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A:\LoomTex\dataset\"/>
    </mc:Choice>
  </mc:AlternateContent>
  <bookViews>
    <workbookView xWindow="-120" yWindow="-120" windowWidth="29040" windowHeight="15720" tabRatio="806" firstSheet="1" activeTab="1"/>
  </bookViews>
  <sheets>
    <sheet name="Summary" sheetId="24" state="hidden" r:id="rId1"/>
    <sheet name="Grey yarn" sheetId="19" r:id="rId2"/>
    <sheet name="Grey Fabric" sheetId="18" r:id="rId3"/>
    <sheet name="Yarn dyeing" sheetId="1" r:id="rId4"/>
    <sheet name="Yarn dying Monthly Required" sheetId="10" state="hidden" r:id="rId5"/>
    <sheet name="Weaving Monthly Plan IH &amp; OS" sheetId="21" state="hidden" r:id="rId6"/>
    <sheet name="Weaving Monthly Plan 2" sheetId="22" state="hidden" r:id="rId7"/>
    <sheet name="Weaving." sheetId="43" r:id="rId8"/>
    <sheet name="Weaving Monthly Req Pivot" sheetId="11" state="hidden" r:id="rId9"/>
    <sheet name="Processing." sheetId="44" r:id="rId10"/>
    <sheet name="Processing Monthly req Pivot" sheetId="13" state="hidden" r:id="rId11"/>
    <sheet name="1" sheetId="20" state="hidden" r:id="rId12"/>
    <sheet name="Emb" sheetId="38" state="hidden" r:id="rId13"/>
    <sheet name="405-&amp;431 1&amp; 2 nd Planning" sheetId="23" state="hidden" r:id="rId14"/>
    <sheet name="Cut to Pack Wk wise Plan_" sheetId="35" state="hidden" r:id="rId15"/>
    <sheet name="Sheet2" sheetId="37" state="hidden" r:id="rId16"/>
    <sheet name="Nelike YF " sheetId="39" state="hidden" r:id="rId17"/>
    <sheet name="Nelike YF Plan" sheetId="40" state="hidden" r:id="rId18"/>
    <sheet name="Sheet1" sheetId="34" state="hidden" r:id="rId19"/>
    <sheet name="Sheet3" sheetId="41" state="hidden" r:id="rId20"/>
    <sheet name="cutting" sheetId="42" state="hidden" r:id="rId21"/>
  </sheets>
  <definedNames>
    <definedName name="_xlnm._FilterDatabase" localSheetId="11" hidden="1">'1'!$A$6:$BV$652</definedName>
    <definedName name="_xlnm._FilterDatabase" localSheetId="13" hidden="1">'405-&amp;431 1&amp; 2 nd Planning'!$B$9:$BW$69</definedName>
    <definedName name="_xlnm._FilterDatabase" localSheetId="14" hidden="1">'Cut to Pack Wk wise Plan_'!$A$6:$BZ$531</definedName>
    <definedName name="_xlnm._FilterDatabase" localSheetId="20" hidden="1">cutting!$A$3:$L$362</definedName>
    <definedName name="_xlnm._FilterDatabase" localSheetId="12" hidden="1">Emb!#REF!</definedName>
    <definedName name="_xlnm._FilterDatabase" localSheetId="2" hidden="1">'Grey Fabric'!$A$2:$Q$110</definedName>
    <definedName name="_xlnm._FilterDatabase" localSheetId="1" hidden="1">'Grey yarn'!$A$2:$Q$595</definedName>
    <definedName name="_xlnm._FilterDatabase" localSheetId="17" hidden="1">'Nelike YF Plan'!$A$8:$BK$114</definedName>
    <definedName name="_xlnm._FilterDatabase" localSheetId="9" hidden="1">Processing.!$A$2:$Y$479</definedName>
    <definedName name="_xlnm._FilterDatabase" localSheetId="7" hidden="1">Weaving.!$A$2:$X$671</definedName>
    <definedName name="_xlnm._FilterDatabase" localSheetId="3" hidden="1">'Yarn dyeing'!$A$2:$T$851</definedName>
    <definedName name="_xlnm.Print_Area" localSheetId="1">'Grey yarn'!$A$1:$N$132</definedName>
    <definedName name="_xlnm.Print_Area" localSheetId="3">'Yarn dyeing'!$A$1:$R$204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65" i="44" l="1"/>
  <c r="K449" i="44"/>
  <c r="K440" i="44"/>
  <c r="K410" i="44"/>
  <c r="K372" i="44"/>
  <c r="K351" i="44"/>
  <c r="K319" i="44"/>
  <c r="K307" i="44"/>
  <c r="K299" i="44"/>
  <c r="K248" i="44"/>
  <c r="K237" i="44"/>
  <c r="K233" i="44"/>
  <c r="K220" i="44"/>
  <c r="K196" i="44"/>
  <c r="K180" i="44"/>
  <c r="K165" i="44"/>
  <c r="K49" i="44"/>
  <c r="K118" i="44"/>
  <c r="T586" i="43" l="1"/>
  <c r="T585" i="43"/>
  <c r="T583" i="43"/>
  <c r="T584" i="43"/>
  <c r="T582" i="43"/>
  <c r="N571" i="19" l="1"/>
  <c r="K571" i="19"/>
  <c r="H571" i="19"/>
  <c r="N570" i="19"/>
  <c r="K570" i="19"/>
  <c r="H570" i="19"/>
  <c r="N569" i="19"/>
  <c r="K569" i="19"/>
  <c r="H569" i="19"/>
  <c r="N568" i="19"/>
  <c r="K568" i="19"/>
  <c r="H568" i="19"/>
  <c r="N567" i="19"/>
  <c r="K567" i="19"/>
  <c r="H567" i="19"/>
  <c r="N566" i="19"/>
  <c r="K566" i="19"/>
  <c r="H566" i="19"/>
  <c r="I811" i="1"/>
  <c r="J811" i="1"/>
  <c r="L811" i="1"/>
  <c r="O811" i="1" s="1"/>
  <c r="N811" i="1"/>
  <c r="R811" i="1"/>
  <c r="I812" i="1"/>
  <c r="J812" i="1"/>
  <c r="L812" i="1"/>
  <c r="O812" i="1" s="1"/>
  <c r="N812" i="1"/>
  <c r="R812" i="1"/>
  <c r="I813" i="1"/>
  <c r="J813" i="1"/>
  <c r="L813" i="1"/>
  <c r="O813" i="1" s="1"/>
  <c r="N813" i="1"/>
  <c r="R813" i="1"/>
  <c r="I814" i="1"/>
  <c r="J814" i="1"/>
  <c r="L814" i="1"/>
  <c r="O814" i="1" s="1"/>
  <c r="N814" i="1"/>
  <c r="R814" i="1"/>
  <c r="I815" i="1"/>
  <c r="J815" i="1"/>
  <c r="L815" i="1"/>
  <c r="O815" i="1" s="1"/>
  <c r="N815" i="1"/>
  <c r="R815" i="1"/>
  <c r="I816" i="1"/>
  <c r="J816" i="1"/>
  <c r="L816" i="1"/>
  <c r="O816" i="1" s="1"/>
  <c r="N816" i="1"/>
  <c r="R816" i="1"/>
  <c r="I817" i="1"/>
  <c r="J817" i="1"/>
  <c r="L817" i="1"/>
  <c r="O817" i="1" s="1"/>
  <c r="N817" i="1"/>
  <c r="R817" i="1"/>
  <c r="I818" i="1"/>
  <c r="J818" i="1"/>
  <c r="L818" i="1"/>
  <c r="O818" i="1" s="1"/>
  <c r="N818" i="1"/>
  <c r="R818" i="1"/>
  <c r="I819" i="1"/>
  <c r="J819" i="1"/>
  <c r="L819" i="1"/>
  <c r="O819" i="1" s="1"/>
  <c r="N819" i="1"/>
  <c r="R819" i="1"/>
  <c r="I820" i="1"/>
  <c r="J820" i="1"/>
  <c r="L820" i="1"/>
  <c r="O820" i="1" s="1"/>
  <c r="N820" i="1"/>
  <c r="R820" i="1"/>
  <c r="I821" i="1"/>
  <c r="J821" i="1"/>
  <c r="L821" i="1"/>
  <c r="O821" i="1" s="1"/>
  <c r="N821" i="1"/>
  <c r="R821" i="1"/>
  <c r="I822" i="1"/>
  <c r="J822" i="1"/>
  <c r="L822" i="1"/>
  <c r="O822" i="1" s="1"/>
  <c r="N822" i="1"/>
  <c r="R822" i="1"/>
  <c r="I823" i="1"/>
  <c r="J823" i="1"/>
  <c r="L823" i="1"/>
  <c r="O823" i="1" s="1"/>
  <c r="N823" i="1"/>
  <c r="R823" i="1"/>
  <c r="I824" i="1"/>
  <c r="J824" i="1"/>
  <c r="L824" i="1"/>
  <c r="O824" i="1" s="1"/>
  <c r="N824" i="1"/>
  <c r="R824" i="1"/>
  <c r="I825" i="1"/>
  <c r="J825" i="1"/>
  <c r="L825" i="1"/>
  <c r="O825" i="1" s="1"/>
  <c r="N825" i="1"/>
  <c r="R825" i="1"/>
  <c r="I826" i="1"/>
  <c r="J826" i="1"/>
  <c r="L826" i="1"/>
  <c r="O826" i="1" s="1"/>
  <c r="N826" i="1"/>
  <c r="R826" i="1"/>
  <c r="I827" i="1"/>
  <c r="J827" i="1"/>
  <c r="L827" i="1"/>
  <c r="O827" i="1" s="1"/>
  <c r="N827" i="1"/>
  <c r="R827" i="1"/>
  <c r="I828" i="1"/>
  <c r="J828" i="1"/>
  <c r="L828" i="1"/>
  <c r="O828" i="1" s="1"/>
  <c r="N828" i="1"/>
  <c r="R828" i="1"/>
  <c r="I829" i="1"/>
  <c r="J829" i="1"/>
  <c r="L829" i="1"/>
  <c r="O829" i="1" s="1"/>
  <c r="N829" i="1"/>
  <c r="R829" i="1"/>
  <c r="I830" i="1"/>
  <c r="J830" i="1"/>
  <c r="L830" i="1"/>
  <c r="O830" i="1" s="1"/>
  <c r="N830" i="1"/>
  <c r="R830" i="1"/>
  <c r="I831" i="1"/>
  <c r="J831" i="1"/>
  <c r="L831" i="1"/>
  <c r="O831" i="1" s="1"/>
  <c r="N831" i="1"/>
  <c r="R831" i="1"/>
  <c r="I832" i="1"/>
  <c r="J832" i="1"/>
  <c r="L832" i="1"/>
  <c r="O832" i="1" s="1"/>
  <c r="N832" i="1"/>
  <c r="R832" i="1"/>
  <c r="I833" i="1"/>
  <c r="J833" i="1"/>
  <c r="L833" i="1"/>
  <c r="O833" i="1" s="1"/>
  <c r="N833" i="1"/>
  <c r="R833" i="1"/>
  <c r="I834" i="1"/>
  <c r="J834" i="1"/>
  <c r="L834" i="1"/>
  <c r="O834" i="1" s="1"/>
  <c r="N834" i="1"/>
  <c r="R834" i="1"/>
  <c r="I835" i="1"/>
  <c r="J835" i="1"/>
  <c r="L835" i="1"/>
  <c r="O835" i="1" s="1"/>
  <c r="N835" i="1"/>
  <c r="R835" i="1"/>
  <c r="I836" i="1"/>
  <c r="J836" i="1"/>
  <c r="L836" i="1"/>
  <c r="O836" i="1" s="1"/>
  <c r="N836" i="1"/>
  <c r="R836" i="1"/>
  <c r="I837" i="1"/>
  <c r="J837" i="1"/>
  <c r="L837" i="1"/>
  <c r="O837" i="1" s="1"/>
  <c r="N837" i="1"/>
  <c r="R837" i="1"/>
  <c r="I838" i="1"/>
  <c r="J838" i="1"/>
  <c r="L838" i="1"/>
  <c r="O838" i="1" s="1"/>
  <c r="N838" i="1"/>
  <c r="R838" i="1"/>
  <c r="I839" i="1"/>
  <c r="J839" i="1"/>
  <c r="L839" i="1"/>
  <c r="O839" i="1" s="1"/>
  <c r="N839" i="1"/>
  <c r="R839" i="1"/>
  <c r="I840" i="1"/>
  <c r="J840" i="1"/>
  <c r="L840" i="1"/>
  <c r="O840" i="1" s="1"/>
  <c r="N840" i="1"/>
  <c r="R840" i="1"/>
  <c r="I841" i="1"/>
  <c r="J841" i="1"/>
  <c r="L841" i="1"/>
  <c r="O841" i="1" s="1"/>
  <c r="N841" i="1"/>
  <c r="R841" i="1"/>
  <c r="I842" i="1"/>
  <c r="J842" i="1"/>
  <c r="L842" i="1"/>
  <c r="O842" i="1" s="1"/>
  <c r="N842" i="1"/>
  <c r="R842" i="1"/>
  <c r="I843" i="1"/>
  <c r="J843" i="1"/>
  <c r="L843" i="1"/>
  <c r="O843" i="1" s="1"/>
  <c r="N843" i="1"/>
  <c r="R843" i="1"/>
  <c r="I844" i="1"/>
  <c r="J844" i="1"/>
  <c r="L844" i="1"/>
  <c r="O844" i="1" s="1"/>
  <c r="N844" i="1"/>
  <c r="R844" i="1"/>
  <c r="I845" i="1"/>
  <c r="J845" i="1"/>
  <c r="L845" i="1"/>
  <c r="O845" i="1" s="1"/>
  <c r="N845" i="1"/>
  <c r="R845" i="1"/>
  <c r="I846" i="1"/>
  <c r="J846" i="1"/>
  <c r="L846" i="1"/>
  <c r="O846" i="1" s="1"/>
  <c r="N846" i="1"/>
  <c r="R846" i="1"/>
  <c r="I847" i="1"/>
  <c r="J847" i="1"/>
  <c r="L847" i="1"/>
  <c r="O847" i="1" s="1"/>
  <c r="N847" i="1"/>
  <c r="R847" i="1"/>
  <c r="I848" i="1"/>
  <c r="J848" i="1"/>
  <c r="L848" i="1"/>
  <c r="O848" i="1" s="1"/>
  <c r="N848" i="1"/>
  <c r="R848" i="1"/>
  <c r="I849" i="1"/>
  <c r="J849" i="1"/>
  <c r="L849" i="1"/>
  <c r="O849" i="1" s="1"/>
  <c r="N849" i="1"/>
  <c r="R849" i="1"/>
  <c r="I850" i="1"/>
  <c r="J850" i="1"/>
  <c r="L850" i="1"/>
  <c r="O850" i="1" s="1"/>
  <c r="N850" i="1"/>
  <c r="R850" i="1"/>
  <c r="I851" i="1"/>
  <c r="J851" i="1"/>
  <c r="L851" i="1"/>
  <c r="O851" i="1" s="1"/>
  <c r="N851" i="1"/>
  <c r="R851" i="1"/>
  <c r="I810" i="1"/>
  <c r="J810" i="1"/>
  <c r="L810" i="1"/>
  <c r="O810" i="1" s="1"/>
  <c r="N810" i="1"/>
  <c r="R810" i="1"/>
  <c r="H572" i="19"/>
  <c r="K572" i="19"/>
  <c r="N572" i="19"/>
  <c r="H573" i="19"/>
  <c r="K573" i="19"/>
  <c r="N573" i="19"/>
  <c r="H574" i="19"/>
  <c r="K574" i="19"/>
  <c r="N574" i="19"/>
  <c r="H575" i="19"/>
  <c r="K575" i="19"/>
  <c r="N575" i="19"/>
  <c r="H576" i="19"/>
  <c r="K576" i="19"/>
  <c r="N576" i="19"/>
  <c r="H577" i="19"/>
  <c r="K577" i="19"/>
  <c r="N577" i="19"/>
  <c r="H578" i="19"/>
  <c r="K578" i="19"/>
  <c r="N578" i="19"/>
  <c r="H579" i="19"/>
  <c r="K579" i="19"/>
  <c r="N579" i="19"/>
  <c r="H580" i="19"/>
  <c r="K580" i="19"/>
  <c r="N580" i="19"/>
  <c r="H581" i="19"/>
  <c r="K581" i="19"/>
  <c r="N581" i="19"/>
  <c r="H582" i="19"/>
  <c r="K582" i="19"/>
  <c r="N582" i="19"/>
  <c r="H583" i="19"/>
  <c r="K583" i="19"/>
  <c r="N583" i="19"/>
  <c r="H584" i="19"/>
  <c r="K584" i="19"/>
  <c r="N584" i="19"/>
  <c r="H585" i="19"/>
  <c r="K585" i="19"/>
  <c r="N585" i="19"/>
  <c r="H586" i="19"/>
  <c r="K586" i="19"/>
  <c r="N586" i="19"/>
  <c r="H587" i="19"/>
  <c r="K587" i="19"/>
  <c r="N587" i="19"/>
  <c r="H588" i="19"/>
  <c r="K588" i="19"/>
  <c r="N588" i="19"/>
  <c r="H589" i="19"/>
  <c r="K589" i="19"/>
  <c r="N589" i="19"/>
  <c r="H590" i="19"/>
  <c r="K590" i="19"/>
  <c r="N590" i="19"/>
  <c r="H591" i="19"/>
  <c r="K591" i="19"/>
  <c r="N591" i="19"/>
  <c r="H592" i="19"/>
  <c r="K592" i="19"/>
  <c r="N592" i="19"/>
  <c r="H593" i="19"/>
  <c r="K593" i="19"/>
  <c r="N593" i="19"/>
  <c r="H594" i="19"/>
  <c r="K594" i="19"/>
  <c r="N594" i="19"/>
  <c r="H595" i="19"/>
  <c r="K595" i="19"/>
  <c r="N595" i="19"/>
  <c r="M111" i="18"/>
  <c r="H112" i="18"/>
  <c r="K112" i="18"/>
  <c r="L112" i="18"/>
  <c r="M112" i="18"/>
  <c r="O112" i="18"/>
  <c r="H113" i="18"/>
  <c r="K113" i="18"/>
  <c r="L113" i="18"/>
  <c r="M113" i="18"/>
  <c r="O113" i="18" s="1"/>
  <c r="H114" i="18"/>
  <c r="K114" i="18"/>
  <c r="L114" i="18"/>
  <c r="M114" i="18"/>
  <c r="O114" i="18" s="1"/>
  <c r="H115" i="18"/>
  <c r="K115" i="18"/>
  <c r="L115" i="18"/>
  <c r="M115" i="18"/>
  <c r="O115" i="18" s="1"/>
  <c r="H116" i="18"/>
  <c r="K116" i="18"/>
  <c r="L116" i="18"/>
  <c r="M116" i="18"/>
  <c r="O116" i="18" s="1"/>
  <c r="H117" i="18"/>
  <c r="K117" i="18"/>
  <c r="L117" i="18"/>
  <c r="M117" i="18"/>
  <c r="O117" i="18"/>
  <c r="H118" i="18"/>
  <c r="K118" i="18"/>
  <c r="L118" i="18"/>
  <c r="M118" i="18"/>
  <c r="O118" i="18"/>
  <c r="H119" i="18"/>
  <c r="K119" i="18"/>
  <c r="L119" i="18"/>
  <c r="M119" i="18"/>
  <c r="O119" i="18" s="1"/>
  <c r="H120" i="18"/>
  <c r="K120" i="18"/>
  <c r="L120" i="18"/>
  <c r="M120" i="18"/>
  <c r="O120" i="18" s="1"/>
  <c r="H121" i="18"/>
  <c r="K121" i="18"/>
  <c r="L121" i="18"/>
  <c r="M121" i="18"/>
  <c r="O121" i="18" s="1"/>
  <c r="H122" i="18"/>
  <c r="K122" i="18"/>
  <c r="L122" i="18"/>
  <c r="M122" i="18"/>
  <c r="O122" i="18"/>
  <c r="H123" i="18"/>
  <c r="K123" i="18"/>
  <c r="L123" i="18"/>
  <c r="M123" i="18"/>
  <c r="O123" i="18"/>
  <c r="H111" i="18"/>
  <c r="K111" i="18"/>
  <c r="L111" i="18"/>
  <c r="O111" i="18"/>
  <c r="L103" i="18" l="1"/>
  <c r="K103" i="18"/>
  <c r="K169" i="44"/>
  <c r="K473" i="44"/>
  <c r="K472" i="44"/>
  <c r="K466" i="44"/>
  <c r="K459" i="44"/>
  <c r="K455" i="44"/>
  <c r="K432" i="44"/>
  <c r="K426" i="44"/>
  <c r="K417" i="44"/>
  <c r="K366" i="44"/>
  <c r="K365" i="44"/>
  <c r="K354" i="44"/>
  <c r="K346" i="44"/>
  <c r="K336" i="44"/>
  <c r="K333" i="44"/>
  <c r="K322" i="44"/>
  <c r="K320" i="44"/>
  <c r="K315" i="44"/>
  <c r="K312" i="44"/>
  <c r="K309" i="44"/>
  <c r="K305" i="44"/>
  <c r="K302" i="44"/>
  <c r="K298" i="44"/>
  <c r="K295" i="44"/>
  <c r="K291" i="44"/>
  <c r="K287" i="44"/>
  <c r="K279" i="44"/>
  <c r="K277" i="44"/>
  <c r="K271" i="44"/>
  <c r="K268" i="44"/>
  <c r="K261" i="44"/>
  <c r="K258" i="44"/>
  <c r="K253" i="44"/>
  <c r="K245" i="44"/>
  <c r="K240" i="44"/>
  <c r="K232" i="44"/>
  <c r="K227" i="44"/>
  <c r="K222" i="44"/>
  <c r="K224" i="44"/>
  <c r="K219" i="44"/>
  <c r="K213" i="44"/>
  <c r="K201" i="44"/>
  <c r="K195" i="44"/>
  <c r="K179" i="44"/>
  <c r="K173" i="44"/>
  <c r="T425" i="43"/>
  <c r="J415" i="43"/>
  <c r="K423" i="44"/>
  <c r="L423" i="44"/>
  <c r="N423" i="44"/>
  <c r="Q423" i="44"/>
  <c r="S423" i="44"/>
  <c r="V423" i="44" s="1"/>
  <c r="K424" i="44"/>
  <c r="L424" i="44"/>
  <c r="N424" i="44"/>
  <c r="Q424" i="44"/>
  <c r="S424" i="44"/>
  <c r="U424" i="44" s="1"/>
  <c r="K425" i="44"/>
  <c r="L425" i="44"/>
  <c r="N425" i="44"/>
  <c r="Q425" i="44"/>
  <c r="S425" i="44"/>
  <c r="U425" i="44" s="1"/>
  <c r="L426" i="44"/>
  <c r="N426" i="44"/>
  <c r="Q426" i="44"/>
  <c r="S426" i="44"/>
  <c r="U426" i="44" s="1"/>
  <c r="K427" i="44"/>
  <c r="L427" i="44"/>
  <c r="N427" i="44"/>
  <c r="Q427" i="44"/>
  <c r="S427" i="44"/>
  <c r="O427" i="44" s="1"/>
  <c r="R427" i="44" s="1"/>
  <c r="K428" i="44"/>
  <c r="L428" i="44"/>
  <c r="N428" i="44"/>
  <c r="Q428" i="44"/>
  <c r="S428" i="44"/>
  <c r="O428" i="44" s="1"/>
  <c r="R428" i="44" s="1"/>
  <c r="K429" i="44"/>
  <c r="L429" i="44"/>
  <c r="N429" i="44"/>
  <c r="Q429" i="44"/>
  <c r="S429" i="44"/>
  <c r="O429" i="44" s="1"/>
  <c r="R429" i="44" s="1"/>
  <c r="K430" i="44"/>
  <c r="L430" i="44"/>
  <c r="N430" i="44"/>
  <c r="Q430" i="44"/>
  <c r="S430" i="44"/>
  <c r="O430" i="44" s="1"/>
  <c r="R430" i="44" s="1"/>
  <c r="K431" i="44"/>
  <c r="L431" i="44"/>
  <c r="N431" i="44"/>
  <c r="Q431" i="44"/>
  <c r="S431" i="44"/>
  <c r="O431" i="44" s="1"/>
  <c r="R431" i="44" s="1"/>
  <c r="L432" i="44"/>
  <c r="N432" i="44"/>
  <c r="Q432" i="44"/>
  <c r="S432" i="44"/>
  <c r="V432" i="44" s="1"/>
  <c r="K433" i="44"/>
  <c r="L433" i="44"/>
  <c r="N433" i="44"/>
  <c r="Q433" i="44"/>
  <c r="S433" i="44"/>
  <c r="U433" i="44" s="1"/>
  <c r="K434" i="44"/>
  <c r="L434" i="44"/>
  <c r="N434" i="44"/>
  <c r="Q434" i="44"/>
  <c r="S434" i="44"/>
  <c r="U434" i="44" s="1"/>
  <c r="K435" i="44"/>
  <c r="L435" i="44"/>
  <c r="N435" i="44"/>
  <c r="Q435" i="44"/>
  <c r="S435" i="44"/>
  <c r="U435" i="44" s="1"/>
  <c r="K436" i="44"/>
  <c r="L436" i="44"/>
  <c r="N436" i="44"/>
  <c r="Q436" i="44"/>
  <c r="S436" i="44"/>
  <c r="O436" i="44" s="1"/>
  <c r="R436" i="44" s="1"/>
  <c r="K437" i="44"/>
  <c r="L437" i="44"/>
  <c r="N437" i="44"/>
  <c r="Q437" i="44"/>
  <c r="S437" i="44"/>
  <c r="V437" i="44" s="1"/>
  <c r="K438" i="44"/>
  <c r="L438" i="44"/>
  <c r="N438" i="44"/>
  <c r="Q438" i="44"/>
  <c r="S438" i="44"/>
  <c r="U438" i="44" s="1"/>
  <c r="K439" i="44"/>
  <c r="L439" i="44"/>
  <c r="N439" i="44"/>
  <c r="Q439" i="44"/>
  <c r="S439" i="44"/>
  <c r="U439" i="44" s="1"/>
  <c r="L440" i="44"/>
  <c r="N440" i="44"/>
  <c r="Q440" i="44"/>
  <c r="S440" i="44"/>
  <c r="V440" i="44" s="1"/>
  <c r="K441" i="44"/>
  <c r="L441" i="44"/>
  <c r="N441" i="44"/>
  <c r="Q441" i="44"/>
  <c r="S441" i="44"/>
  <c r="O441" i="44" s="1"/>
  <c r="R441" i="44" s="1"/>
  <c r="K442" i="44"/>
  <c r="L442" i="44"/>
  <c r="N442" i="44"/>
  <c r="Q442" i="44"/>
  <c r="S442" i="44"/>
  <c r="O442" i="44" s="1"/>
  <c r="R442" i="44" s="1"/>
  <c r="K443" i="44"/>
  <c r="L443" i="44"/>
  <c r="N443" i="44"/>
  <c r="Q443" i="44"/>
  <c r="S443" i="44"/>
  <c r="V443" i="44" s="1"/>
  <c r="K444" i="44"/>
  <c r="L444" i="44"/>
  <c r="N444" i="44"/>
  <c r="Q444" i="44"/>
  <c r="S444" i="44"/>
  <c r="U444" i="44" s="1"/>
  <c r="K445" i="44"/>
  <c r="L445" i="44"/>
  <c r="N445" i="44"/>
  <c r="Q445" i="44"/>
  <c r="S445" i="44"/>
  <c r="O445" i="44" s="1"/>
  <c r="R445" i="44" s="1"/>
  <c r="K446" i="44"/>
  <c r="L446" i="44"/>
  <c r="N446" i="44"/>
  <c r="Q446" i="44"/>
  <c r="S446" i="44"/>
  <c r="O446" i="44" s="1"/>
  <c r="R446" i="44" s="1"/>
  <c r="K447" i="44"/>
  <c r="L447" i="44"/>
  <c r="N447" i="44"/>
  <c r="Q447" i="44"/>
  <c r="S447" i="44"/>
  <c r="O447" i="44" s="1"/>
  <c r="R447" i="44" s="1"/>
  <c r="K448" i="44"/>
  <c r="L448" i="44"/>
  <c r="N448" i="44"/>
  <c r="Q448" i="44"/>
  <c r="S448" i="44"/>
  <c r="O448" i="44" s="1"/>
  <c r="R448" i="44" s="1"/>
  <c r="L449" i="44"/>
  <c r="N449" i="44"/>
  <c r="Q449" i="44"/>
  <c r="S449" i="44"/>
  <c r="V449" i="44" s="1"/>
  <c r="K450" i="44"/>
  <c r="L450" i="44"/>
  <c r="N450" i="44"/>
  <c r="Q450" i="44"/>
  <c r="S450" i="44"/>
  <c r="U450" i="44" s="1"/>
  <c r="K451" i="44"/>
  <c r="L451" i="44"/>
  <c r="N451" i="44"/>
  <c r="Q451" i="44"/>
  <c r="S451" i="44"/>
  <c r="O451" i="44" s="1"/>
  <c r="R451" i="44" s="1"/>
  <c r="K452" i="44"/>
  <c r="L452" i="44"/>
  <c r="N452" i="44"/>
  <c r="Q452" i="44"/>
  <c r="S452" i="44"/>
  <c r="O452" i="44" s="1"/>
  <c r="R452" i="44" s="1"/>
  <c r="K453" i="44"/>
  <c r="L453" i="44"/>
  <c r="N453" i="44"/>
  <c r="Q453" i="44"/>
  <c r="S453" i="44"/>
  <c r="O453" i="44" s="1"/>
  <c r="R453" i="44" s="1"/>
  <c r="K454" i="44"/>
  <c r="L454" i="44"/>
  <c r="N454" i="44"/>
  <c r="Q454" i="44"/>
  <c r="S454" i="44"/>
  <c r="V454" i="44" s="1"/>
  <c r="L455" i="44"/>
  <c r="N455" i="44"/>
  <c r="Q455" i="44"/>
  <c r="S455" i="44"/>
  <c r="O455" i="44" s="1"/>
  <c r="R455" i="44" s="1"/>
  <c r="K456" i="44"/>
  <c r="L456" i="44"/>
  <c r="N456" i="44"/>
  <c r="Q456" i="44"/>
  <c r="S456" i="44"/>
  <c r="U456" i="44" s="1"/>
  <c r="K457" i="44"/>
  <c r="L457" i="44"/>
  <c r="N457" i="44"/>
  <c r="Q457" i="44"/>
  <c r="S457" i="44"/>
  <c r="O457" i="44" s="1"/>
  <c r="R457" i="44" s="1"/>
  <c r="K458" i="44"/>
  <c r="L458" i="44"/>
  <c r="N458" i="44"/>
  <c r="Q458" i="44"/>
  <c r="S458" i="44"/>
  <c r="O458" i="44" s="1"/>
  <c r="R458" i="44" s="1"/>
  <c r="L459" i="44"/>
  <c r="N459" i="44"/>
  <c r="Q459" i="44"/>
  <c r="S459" i="44"/>
  <c r="O459" i="44" s="1"/>
  <c r="R459" i="44" s="1"/>
  <c r="K460" i="44"/>
  <c r="L460" i="44"/>
  <c r="N460" i="44"/>
  <c r="Q460" i="44"/>
  <c r="S460" i="44"/>
  <c r="U460" i="44" s="1"/>
  <c r="K461" i="44"/>
  <c r="L461" i="44"/>
  <c r="N461" i="44"/>
  <c r="Q461" i="44"/>
  <c r="S461" i="44"/>
  <c r="O461" i="44" s="1"/>
  <c r="R461" i="44" s="1"/>
  <c r="K462" i="44"/>
  <c r="L462" i="44"/>
  <c r="N462" i="44"/>
  <c r="Q462" i="44"/>
  <c r="S462" i="44"/>
  <c r="O462" i="44" s="1"/>
  <c r="R462" i="44" s="1"/>
  <c r="K463" i="44"/>
  <c r="L463" i="44"/>
  <c r="N463" i="44"/>
  <c r="Q463" i="44"/>
  <c r="S463" i="44"/>
  <c r="O463" i="44" s="1"/>
  <c r="R463" i="44" s="1"/>
  <c r="K464" i="44"/>
  <c r="L464" i="44"/>
  <c r="N464" i="44"/>
  <c r="Q464" i="44"/>
  <c r="S464" i="44"/>
  <c r="O464" i="44" s="1"/>
  <c r="R464" i="44" s="1"/>
  <c r="L465" i="44"/>
  <c r="N465" i="44"/>
  <c r="Q465" i="44"/>
  <c r="S465" i="44"/>
  <c r="O465" i="44" s="1"/>
  <c r="R465" i="44" s="1"/>
  <c r="L466" i="44"/>
  <c r="N466" i="44"/>
  <c r="Q466" i="44"/>
  <c r="S466" i="44"/>
  <c r="U466" i="44" s="1"/>
  <c r="K467" i="44"/>
  <c r="L467" i="44"/>
  <c r="N467" i="44"/>
  <c r="Q467" i="44"/>
  <c r="S467" i="44"/>
  <c r="U467" i="44" s="1"/>
  <c r="K468" i="44"/>
  <c r="L468" i="44"/>
  <c r="N468" i="44"/>
  <c r="Q468" i="44"/>
  <c r="S468" i="44"/>
  <c r="V468" i="44" s="1"/>
  <c r="K469" i="44"/>
  <c r="L469" i="44"/>
  <c r="N469" i="44"/>
  <c r="Q469" i="44"/>
  <c r="S469" i="44"/>
  <c r="O469" i="44" s="1"/>
  <c r="R469" i="44" s="1"/>
  <c r="K470" i="44"/>
  <c r="L470" i="44"/>
  <c r="N470" i="44"/>
  <c r="Q470" i="44"/>
  <c r="S470" i="44"/>
  <c r="V470" i="44" s="1"/>
  <c r="K471" i="44"/>
  <c r="L471" i="44"/>
  <c r="N471" i="44"/>
  <c r="Q471" i="44"/>
  <c r="S471" i="44"/>
  <c r="U471" i="44" s="1"/>
  <c r="L472" i="44"/>
  <c r="N472" i="44"/>
  <c r="Q472" i="44"/>
  <c r="S472" i="44"/>
  <c r="O472" i="44" s="1"/>
  <c r="R472" i="44" s="1"/>
  <c r="L473" i="44"/>
  <c r="N473" i="44"/>
  <c r="Q473" i="44"/>
  <c r="S473" i="44"/>
  <c r="O473" i="44" s="1"/>
  <c r="R473" i="44" s="1"/>
  <c r="K474" i="44"/>
  <c r="L474" i="44"/>
  <c r="N474" i="44"/>
  <c r="Q474" i="44"/>
  <c r="S474" i="44"/>
  <c r="O474" i="44" s="1"/>
  <c r="R474" i="44" s="1"/>
  <c r="K475" i="44"/>
  <c r="L475" i="44"/>
  <c r="N475" i="44"/>
  <c r="Q475" i="44"/>
  <c r="S475" i="44"/>
  <c r="O475" i="44" s="1"/>
  <c r="R475" i="44" s="1"/>
  <c r="K476" i="44"/>
  <c r="L476" i="44"/>
  <c r="N476" i="44"/>
  <c r="Q476" i="44"/>
  <c r="S476" i="44"/>
  <c r="O476" i="44" s="1"/>
  <c r="R476" i="44" s="1"/>
  <c r="K477" i="44"/>
  <c r="L477" i="44"/>
  <c r="N477" i="44"/>
  <c r="Q477" i="44"/>
  <c r="S477" i="44"/>
  <c r="V477" i="44" s="1"/>
  <c r="K478" i="44"/>
  <c r="L478" i="44"/>
  <c r="N478" i="44"/>
  <c r="Q478" i="44"/>
  <c r="S478" i="44"/>
  <c r="U478" i="44" s="1"/>
  <c r="K479" i="44"/>
  <c r="L479" i="44"/>
  <c r="N479" i="44"/>
  <c r="Q479" i="44"/>
  <c r="S479" i="44"/>
  <c r="U479" i="44" s="1"/>
  <c r="T670" i="43"/>
  <c r="T669" i="43"/>
  <c r="T667" i="43"/>
  <c r="T665" i="43"/>
  <c r="T664" i="43"/>
  <c r="T658" i="43"/>
  <c r="T657" i="43"/>
  <c r="T653" i="43"/>
  <c r="T652" i="43"/>
  <c r="T648" i="43"/>
  <c r="T645" i="43"/>
  <c r="T644" i="43"/>
  <c r="T638" i="43"/>
  <c r="T636" i="43"/>
  <c r="T632" i="43"/>
  <c r="T633" i="43"/>
  <c r="T626" i="43"/>
  <c r="T625" i="43"/>
  <c r="T624" i="43"/>
  <c r="T617" i="43"/>
  <c r="T621" i="43"/>
  <c r="T616" i="43"/>
  <c r="V616" i="43" s="1"/>
  <c r="T615" i="43"/>
  <c r="P615" i="43" s="1"/>
  <c r="S615" i="43" s="1"/>
  <c r="T614" i="43"/>
  <c r="T611" i="43"/>
  <c r="T608" i="43"/>
  <c r="T607" i="43"/>
  <c r="J670" i="43"/>
  <c r="J669" i="43"/>
  <c r="J667" i="43"/>
  <c r="J665" i="43"/>
  <c r="J658" i="43"/>
  <c r="J657" i="43"/>
  <c r="J653" i="43"/>
  <c r="J648" i="43"/>
  <c r="J645" i="43"/>
  <c r="J644" i="43"/>
  <c r="J638" i="43"/>
  <c r="J633" i="43"/>
  <c r="J632" i="43"/>
  <c r="J626" i="43"/>
  <c r="J625" i="43"/>
  <c r="J611" i="43"/>
  <c r="J608" i="43"/>
  <c r="J607" i="43"/>
  <c r="J663" i="43"/>
  <c r="J643" i="43"/>
  <c r="J631" i="43"/>
  <c r="J642" i="43"/>
  <c r="T620" i="43"/>
  <c r="V620" i="43" s="1"/>
  <c r="R620" i="43"/>
  <c r="T619" i="43"/>
  <c r="P619" i="43" s="1"/>
  <c r="S619" i="43" s="1"/>
  <c r="R619" i="43"/>
  <c r="J620" i="43"/>
  <c r="N620" i="43" s="1"/>
  <c r="J619" i="43"/>
  <c r="M619" i="43" s="1"/>
  <c r="J618" i="43"/>
  <c r="R616" i="43"/>
  <c r="R615" i="43"/>
  <c r="J616" i="43"/>
  <c r="N616" i="43" s="1"/>
  <c r="J615" i="43"/>
  <c r="N615" i="43" s="1"/>
  <c r="J614" i="43"/>
  <c r="J659" i="43"/>
  <c r="J649" i="43"/>
  <c r="J627" i="43"/>
  <c r="J622" i="43"/>
  <c r="J609" i="43"/>
  <c r="J671" i="43"/>
  <c r="J661" i="43"/>
  <c r="J660" i="43"/>
  <c r="J656" i="43"/>
  <c r="J655" i="43"/>
  <c r="J651" i="43"/>
  <c r="J650" i="43"/>
  <c r="J640" i="43"/>
  <c r="J639" i="43"/>
  <c r="J635" i="43"/>
  <c r="J634" i="43"/>
  <c r="J629" i="43"/>
  <c r="J628" i="43"/>
  <c r="J612" i="43"/>
  <c r="J666" i="43"/>
  <c r="J654" i="43"/>
  <c r="J637" i="43"/>
  <c r="J647" i="43"/>
  <c r="J630" i="43"/>
  <c r="J623" i="43"/>
  <c r="J613" i="43"/>
  <c r="J641" i="43"/>
  <c r="J646" i="43"/>
  <c r="J662" i="43"/>
  <c r="J668" i="43"/>
  <c r="J610" i="43"/>
  <c r="J652" i="43"/>
  <c r="J624" i="43"/>
  <c r="J621" i="43"/>
  <c r="V475" i="44" l="1"/>
  <c r="U461" i="44"/>
  <c r="U474" i="44"/>
  <c r="U455" i="44"/>
  <c r="V452" i="44"/>
  <c r="M615" i="43"/>
  <c r="M616" i="43"/>
  <c r="U429" i="44"/>
  <c r="U475" i="44"/>
  <c r="U446" i="44"/>
  <c r="V446" i="44"/>
  <c r="V429" i="44"/>
  <c r="V469" i="44"/>
  <c r="V434" i="44"/>
  <c r="V462" i="44"/>
  <c r="V474" i="44"/>
  <c r="U462" i="44"/>
  <c r="U453" i="44"/>
  <c r="U472" i="44"/>
  <c r="U436" i="44"/>
  <c r="V455" i="44"/>
  <c r="U451" i="44"/>
  <c r="U469" i="44"/>
  <c r="U452" i="44"/>
  <c r="U445" i="44"/>
  <c r="V441" i="44"/>
  <c r="O425" i="44"/>
  <c r="R425" i="44" s="1"/>
  <c r="U459" i="44"/>
  <c r="V456" i="44"/>
  <c r="O426" i="44"/>
  <c r="R426" i="44" s="1"/>
  <c r="O456" i="44"/>
  <c r="R456" i="44" s="1"/>
  <c r="O424" i="44"/>
  <c r="R424" i="44" s="1"/>
  <c r="V479" i="44"/>
  <c r="U476" i="44"/>
  <c r="V461" i="44"/>
  <c r="U473" i="44"/>
  <c r="V451" i="44"/>
  <c r="V447" i="44"/>
  <c r="O434" i="44"/>
  <c r="R434" i="44" s="1"/>
  <c r="O479" i="44"/>
  <c r="R479" i="44" s="1"/>
  <c r="O467" i="44"/>
  <c r="R467" i="44" s="1"/>
  <c r="V457" i="44"/>
  <c r="U447" i="44"/>
  <c r="U441" i="44"/>
  <c r="O439" i="44"/>
  <c r="R439" i="44" s="1"/>
  <c r="O435" i="44"/>
  <c r="R435" i="44" s="1"/>
  <c r="V426" i="44"/>
  <c r="V425" i="44"/>
  <c r="V424" i="44"/>
  <c r="O433" i="44"/>
  <c r="R433" i="44" s="1"/>
  <c r="O438" i="44"/>
  <c r="R438" i="44" s="1"/>
  <c r="U464" i="44"/>
  <c r="U457" i="44"/>
  <c r="V450" i="44"/>
  <c r="U448" i="44"/>
  <c r="U442" i="44"/>
  <c r="V473" i="44"/>
  <c r="V472" i="44"/>
  <c r="V471" i="44"/>
  <c r="U468" i="44"/>
  <c r="U465" i="44"/>
  <c r="V445" i="44"/>
  <c r="V444" i="44"/>
  <c r="U440" i="44"/>
  <c r="U431" i="44"/>
  <c r="U428" i="44"/>
  <c r="O440" i="44"/>
  <c r="R440" i="44" s="1"/>
  <c r="V463" i="44"/>
  <c r="V458" i="44"/>
  <c r="O450" i="44"/>
  <c r="R450" i="44" s="1"/>
  <c r="O471" i="44"/>
  <c r="R471" i="44" s="1"/>
  <c r="O444" i="44"/>
  <c r="R444" i="44" s="1"/>
  <c r="V464" i="44"/>
  <c r="U463" i="44"/>
  <c r="O460" i="44"/>
  <c r="R460" i="44" s="1"/>
  <c r="U458" i="44"/>
  <c r="V435" i="44"/>
  <c r="V430" i="44"/>
  <c r="V427" i="44"/>
  <c r="O468" i="44"/>
  <c r="R468" i="44" s="1"/>
  <c r="V467" i="44"/>
  <c r="O466" i="44"/>
  <c r="R466" i="44" s="1"/>
  <c r="V439" i="44"/>
  <c r="V431" i="44"/>
  <c r="U430" i="44"/>
  <c r="U427" i="44"/>
  <c r="U477" i="44"/>
  <c r="V476" i="44"/>
  <c r="U470" i="44"/>
  <c r="V465" i="44"/>
  <c r="V459" i="44"/>
  <c r="U454" i="44"/>
  <c r="V453" i="44"/>
  <c r="U449" i="44"/>
  <c r="V448" i="44"/>
  <c r="U443" i="44"/>
  <c r="V442" i="44"/>
  <c r="U437" i="44"/>
  <c r="V436" i="44"/>
  <c r="U432" i="44"/>
  <c r="V428" i="44"/>
  <c r="U423" i="44"/>
  <c r="O470" i="44"/>
  <c r="R470" i="44" s="1"/>
  <c r="O437" i="44"/>
  <c r="R437" i="44" s="1"/>
  <c r="O432" i="44"/>
  <c r="R432" i="44" s="1"/>
  <c r="O423" i="44"/>
  <c r="R423" i="44" s="1"/>
  <c r="O454" i="44"/>
  <c r="R454" i="44" s="1"/>
  <c r="O443" i="44"/>
  <c r="R443" i="44" s="1"/>
  <c r="V478" i="44"/>
  <c r="V466" i="44"/>
  <c r="V460" i="44"/>
  <c r="V438" i="44"/>
  <c r="V433" i="44"/>
  <c r="O478" i="44"/>
  <c r="R478" i="44" s="1"/>
  <c r="O477" i="44"/>
  <c r="R477" i="44" s="1"/>
  <c r="O449" i="44"/>
  <c r="R449" i="44" s="1"/>
  <c r="M620" i="43"/>
  <c r="P620" i="43"/>
  <c r="S620" i="43" s="1"/>
  <c r="N619" i="43"/>
  <c r="V619" i="43"/>
  <c r="P616" i="43"/>
  <c r="S616" i="43" s="1"/>
  <c r="V615" i="43"/>
  <c r="M608" i="43" l="1"/>
  <c r="N608" i="43"/>
  <c r="R608" i="43"/>
  <c r="P608" i="43"/>
  <c r="S608" i="43" s="1"/>
  <c r="M609" i="43"/>
  <c r="N609" i="43"/>
  <c r="R609" i="43"/>
  <c r="T609" i="43"/>
  <c r="P609" i="43" s="1"/>
  <c r="S609" i="43" s="1"/>
  <c r="M610" i="43"/>
  <c r="N610" i="43"/>
  <c r="R610" i="43"/>
  <c r="T610" i="43"/>
  <c r="P610" i="43" s="1"/>
  <c r="S610" i="43" s="1"/>
  <c r="M611" i="43"/>
  <c r="N611" i="43"/>
  <c r="R611" i="43"/>
  <c r="V611" i="43"/>
  <c r="M612" i="43"/>
  <c r="N612" i="43"/>
  <c r="R612" i="43"/>
  <c r="T612" i="43"/>
  <c r="V612" i="43" s="1"/>
  <c r="M613" i="43"/>
  <c r="N613" i="43"/>
  <c r="R613" i="43"/>
  <c r="T613" i="43"/>
  <c r="P613" i="43" s="1"/>
  <c r="S613" i="43" s="1"/>
  <c r="M614" i="43"/>
  <c r="N614" i="43"/>
  <c r="R614" i="43"/>
  <c r="P614" i="43"/>
  <c r="S614" i="43" s="1"/>
  <c r="M617" i="43"/>
  <c r="N617" i="43"/>
  <c r="R617" i="43"/>
  <c r="P617" i="43"/>
  <c r="S617" i="43" s="1"/>
  <c r="M618" i="43"/>
  <c r="N618" i="43"/>
  <c r="R618" i="43"/>
  <c r="T618" i="43"/>
  <c r="P618" i="43" s="1"/>
  <c r="S618" i="43" s="1"/>
  <c r="M621" i="43"/>
  <c r="N621" i="43"/>
  <c r="R621" i="43"/>
  <c r="V621" i="43"/>
  <c r="M622" i="43"/>
  <c r="N622" i="43"/>
  <c r="R622" i="43"/>
  <c r="T622" i="43"/>
  <c r="V622" i="43" s="1"/>
  <c r="M623" i="43"/>
  <c r="N623" i="43"/>
  <c r="R623" i="43"/>
  <c r="T623" i="43"/>
  <c r="P623" i="43" s="1"/>
  <c r="S623" i="43" s="1"/>
  <c r="M624" i="43"/>
  <c r="N624" i="43"/>
  <c r="R624" i="43"/>
  <c r="P624" i="43"/>
  <c r="S624" i="43" s="1"/>
  <c r="M625" i="43"/>
  <c r="N625" i="43"/>
  <c r="R625" i="43"/>
  <c r="P625" i="43"/>
  <c r="S625" i="43" s="1"/>
  <c r="M626" i="43"/>
  <c r="N626" i="43"/>
  <c r="R626" i="43"/>
  <c r="P626" i="43"/>
  <c r="S626" i="43" s="1"/>
  <c r="M627" i="43"/>
  <c r="N627" i="43"/>
  <c r="R627" i="43"/>
  <c r="T627" i="43"/>
  <c r="P627" i="43" s="1"/>
  <c r="S627" i="43" s="1"/>
  <c r="M628" i="43"/>
  <c r="N628" i="43"/>
  <c r="R628" i="43"/>
  <c r="T628" i="43"/>
  <c r="V628" i="43" s="1"/>
  <c r="M629" i="43"/>
  <c r="N629" i="43"/>
  <c r="R629" i="43"/>
  <c r="T629" i="43"/>
  <c r="P629" i="43" s="1"/>
  <c r="S629" i="43" s="1"/>
  <c r="M630" i="43"/>
  <c r="N630" i="43"/>
  <c r="R630" i="43"/>
  <c r="T630" i="43"/>
  <c r="V630" i="43" s="1"/>
  <c r="M631" i="43"/>
  <c r="N631" i="43"/>
  <c r="R631" i="43"/>
  <c r="T631" i="43"/>
  <c r="P631" i="43" s="1"/>
  <c r="S631" i="43" s="1"/>
  <c r="M632" i="43"/>
  <c r="N632" i="43"/>
  <c r="R632" i="43"/>
  <c r="P632" i="43"/>
  <c r="S632" i="43" s="1"/>
  <c r="M633" i="43"/>
  <c r="N633" i="43"/>
  <c r="R633" i="43"/>
  <c r="P633" i="43"/>
  <c r="S633" i="43" s="1"/>
  <c r="M634" i="43"/>
  <c r="N634" i="43"/>
  <c r="R634" i="43"/>
  <c r="T634" i="43"/>
  <c r="P634" i="43" s="1"/>
  <c r="S634" i="43" s="1"/>
  <c r="M635" i="43"/>
  <c r="N635" i="43"/>
  <c r="R635" i="43"/>
  <c r="T635" i="43"/>
  <c r="P635" i="43" s="1"/>
  <c r="S635" i="43" s="1"/>
  <c r="M636" i="43"/>
  <c r="N636" i="43"/>
  <c r="R636" i="43"/>
  <c r="P636" i="43"/>
  <c r="S636" i="43" s="1"/>
  <c r="M637" i="43"/>
  <c r="N637" i="43"/>
  <c r="R637" i="43"/>
  <c r="T637" i="43"/>
  <c r="V637" i="43" s="1"/>
  <c r="M638" i="43"/>
  <c r="N638" i="43"/>
  <c r="R638" i="43"/>
  <c r="P638" i="43"/>
  <c r="S638" i="43" s="1"/>
  <c r="M639" i="43"/>
  <c r="N639" i="43"/>
  <c r="R639" i="43"/>
  <c r="T639" i="43"/>
  <c r="P639" i="43" s="1"/>
  <c r="S639" i="43" s="1"/>
  <c r="M640" i="43"/>
  <c r="N640" i="43"/>
  <c r="R640" i="43"/>
  <c r="T640" i="43"/>
  <c r="P640" i="43" s="1"/>
  <c r="S640" i="43" s="1"/>
  <c r="M641" i="43"/>
  <c r="N641" i="43"/>
  <c r="R641" i="43"/>
  <c r="T641" i="43"/>
  <c r="P641" i="43" s="1"/>
  <c r="S641" i="43" s="1"/>
  <c r="M642" i="43"/>
  <c r="N642" i="43"/>
  <c r="R642" i="43"/>
  <c r="T642" i="43"/>
  <c r="P642" i="43" s="1"/>
  <c r="S642" i="43" s="1"/>
  <c r="M643" i="43"/>
  <c r="N643" i="43"/>
  <c r="R643" i="43"/>
  <c r="T643" i="43"/>
  <c r="P643" i="43" s="1"/>
  <c r="S643" i="43" s="1"/>
  <c r="M644" i="43"/>
  <c r="N644" i="43"/>
  <c r="R644" i="43"/>
  <c r="P644" i="43"/>
  <c r="S644" i="43" s="1"/>
  <c r="M645" i="43"/>
  <c r="N645" i="43"/>
  <c r="R645" i="43"/>
  <c r="V645" i="43"/>
  <c r="M646" i="43"/>
  <c r="N646" i="43"/>
  <c r="R646" i="43"/>
  <c r="T646" i="43"/>
  <c r="P646" i="43" s="1"/>
  <c r="S646" i="43" s="1"/>
  <c r="M647" i="43"/>
  <c r="N647" i="43"/>
  <c r="R647" i="43"/>
  <c r="T647" i="43"/>
  <c r="P647" i="43" s="1"/>
  <c r="S647" i="43" s="1"/>
  <c r="M648" i="43"/>
  <c r="N648" i="43"/>
  <c r="R648" i="43"/>
  <c r="P648" i="43"/>
  <c r="S648" i="43" s="1"/>
  <c r="M649" i="43"/>
  <c r="N649" i="43"/>
  <c r="R649" i="43"/>
  <c r="T649" i="43"/>
  <c r="P649" i="43" s="1"/>
  <c r="S649" i="43" s="1"/>
  <c r="M650" i="43"/>
  <c r="N650" i="43"/>
  <c r="R650" i="43"/>
  <c r="T650" i="43"/>
  <c r="P650" i="43" s="1"/>
  <c r="S650" i="43" s="1"/>
  <c r="M651" i="43"/>
  <c r="N651" i="43"/>
  <c r="R651" i="43"/>
  <c r="T651" i="43"/>
  <c r="V651" i="43" s="1"/>
  <c r="M652" i="43"/>
  <c r="N652" i="43"/>
  <c r="R652" i="43"/>
  <c r="V652" i="43"/>
  <c r="M653" i="43"/>
  <c r="N653" i="43"/>
  <c r="R653" i="43"/>
  <c r="P653" i="43"/>
  <c r="S653" i="43" s="1"/>
  <c r="M654" i="43"/>
  <c r="N654" i="43"/>
  <c r="R654" i="43"/>
  <c r="T654" i="43"/>
  <c r="P654" i="43" s="1"/>
  <c r="S654" i="43" s="1"/>
  <c r="M655" i="43"/>
  <c r="N655" i="43"/>
  <c r="R655" i="43"/>
  <c r="T655" i="43"/>
  <c r="P655" i="43" s="1"/>
  <c r="S655" i="43" s="1"/>
  <c r="M656" i="43"/>
  <c r="N656" i="43"/>
  <c r="R656" i="43"/>
  <c r="T656" i="43"/>
  <c r="P656" i="43" s="1"/>
  <c r="S656" i="43" s="1"/>
  <c r="M657" i="43"/>
  <c r="N657" i="43"/>
  <c r="R657" i="43"/>
  <c r="P657" i="43"/>
  <c r="S657" i="43" s="1"/>
  <c r="M658" i="43"/>
  <c r="N658" i="43"/>
  <c r="R658" i="43"/>
  <c r="V658" i="43"/>
  <c r="M659" i="43"/>
  <c r="N659" i="43"/>
  <c r="R659" i="43"/>
  <c r="T659" i="43"/>
  <c r="P659" i="43" s="1"/>
  <c r="S659" i="43" s="1"/>
  <c r="M660" i="43"/>
  <c r="N660" i="43"/>
  <c r="R660" i="43"/>
  <c r="T660" i="43"/>
  <c r="P660" i="43" s="1"/>
  <c r="S660" i="43" s="1"/>
  <c r="M661" i="43"/>
  <c r="N661" i="43"/>
  <c r="R661" i="43"/>
  <c r="T661" i="43"/>
  <c r="P661" i="43" s="1"/>
  <c r="S661" i="43" s="1"/>
  <c r="M662" i="43"/>
  <c r="N662" i="43"/>
  <c r="R662" i="43"/>
  <c r="T662" i="43"/>
  <c r="P662" i="43" s="1"/>
  <c r="S662" i="43" s="1"/>
  <c r="M663" i="43"/>
  <c r="N663" i="43"/>
  <c r="R663" i="43"/>
  <c r="T663" i="43"/>
  <c r="V663" i="43" s="1"/>
  <c r="M664" i="43"/>
  <c r="N664" i="43"/>
  <c r="R664" i="43"/>
  <c r="V664" i="43"/>
  <c r="M665" i="43"/>
  <c r="N665" i="43"/>
  <c r="R665" i="43"/>
  <c r="V665" i="43"/>
  <c r="M666" i="43"/>
  <c r="N666" i="43"/>
  <c r="R666" i="43"/>
  <c r="T666" i="43"/>
  <c r="P666" i="43" s="1"/>
  <c r="S666" i="43" s="1"/>
  <c r="M667" i="43"/>
  <c r="N667" i="43"/>
  <c r="R667" i="43"/>
  <c r="P667" i="43"/>
  <c r="S667" i="43" s="1"/>
  <c r="M668" i="43"/>
  <c r="N668" i="43"/>
  <c r="R668" i="43"/>
  <c r="T668" i="43"/>
  <c r="P668" i="43" s="1"/>
  <c r="S668" i="43" s="1"/>
  <c r="M669" i="43"/>
  <c r="N669" i="43"/>
  <c r="R669" i="43"/>
  <c r="P669" i="43"/>
  <c r="S669" i="43" s="1"/>
  <c r="M670" i="43"/>
  <c r="N670" i="43"/>
  <c r="R670" i="43"/>
  <c r="V670" i="43"/>
  <c r="M671" i="43"/>
  <c r="N671" i="43"/>
  <c r="R671" i="43"/>
  <c r="T671" i="43"/>
  <c r="V671" i="43" s="1"/>
  <c r="M607" i="43"/>
  <c r="N607" i="43"/>
  <c r="R607" i="43"/>
  <c r="P607" i="43"/>
  <c r="S607" i="43" s="1"/>
  <c r="P751" i="1"/>
  <c r="V639" i="43" l="1"/>
  <c r="V632" i="43"/>
  <c r="V650" i="43"/>
  <c r="V654" i="43"/>
  <c r="V638" i="43"/>
  <c r="V634" i="43"/>
  <c r="V669" i="43"/>
  <c r="V643" i="43"/>
  <c r="V657" i="43"/>
  <c r="V653" i="43"/>
  <c r="V618" i="43"/>
  <c r="V661" i="43"/>
  <c r="V656" i="43"/>
  <c r="V644" i="43"/>
  <c r="V627" i="43"/>
  <c r="P663" i="43"/>
  <c r="S663" i="43" s="1"/>
  <c r="P658" i="43"/>
  <c r="S658" i="43" s="1"/>
  <c r="V640" i="43"/>
  <c r="V667" i="43"/>
  <c r="V662" i="43"/>
  <c r="V641" i="43"/>
  <c r="V636" i="43"/>
  <c r="V660" i="43"/>
  <c r="V624" i="43"/>
  <c r="V617" i="43"/>
  <c r="V642" i="43"/>
  <c r="V613" i="43"/>
  <c r="V655" i="43"/>
  <c r="V649" i="43"/>
  <c r="V629" i="43"/>
  <c r="V610" i="43"/>
  <c r="V609" i="43"/>
  <c r="V623" i="43"/>
  <c r="V607" i="43"/>
  <c r="V633" i="43"/>
  <c r="P651" i="43"/>
  <c r="S651" i="43" s="1"/>
  <c r="V646" i="43"/>
  <c r="V635" i="43"/>
  <c r="V626" i="43"/>
  <c r="V608" i="43"/>
  <c r="P664" i="43"/>
  <c r="S664" i="43" s="1"/>
  <c r="P621" i="43"/>
  <c r="S621" i="43" s="1"/>
  <c r="P611" i="43"/>
  <c r="S611" i="43" s="1"/>
  <c r="P652" i="43"/>
  <c r="S652" i="43" s="1"/>
  <c r="P670" i="43"/>
  <c r="S670" i="43" s="1"/>
  <c r="P628" i="43"/>
  <c r="S628" i="43" s="1"/>
  <c r="P671" i="43"/>
  <c r="S671" i="43" s="1"/>
  <c r="P612" i="43"/>
  <c r="S612" i="43" s="1"/>
  <c r="P665" i="43"/>
  <c r="S665" i="43" s="1"/>
  <c r="V666" i="43"/>
  <c r="V648" i="43"/>
  <c r="V631" i="43"/>
  <c r="V614" i="43"/>
  <c r="P622" i="43"/>
  <c r="S622" i="43" s="1"/>
  <c r="P630" i="43"/>
  <c r="S630" i="43" s="1"/>
  <c r="P645" i="43"/>
  <c r="S645" i="43" s="1"/>
  <c r="P637" i="43"/>
  <c r="S637" i="43" s="1"/>
  <c r="V668" i="43"/>
  <c r="V659" i="43"/>
  <c r="V647" i="43"/>
  <c r="V625" i="43"/>
  <c r="L759" i="1" l="1"/>
  <c r="L758" i="1"/>
  <c r="L757" i="1"/>
  <c r="L756" i="1"/>
  <c r="L755" i="1"/>
  <c r="L754" i="1"/>
  <c r="L753" i="1"/>
  <c r="L752" i="1"/>
  <c r="K134" i="44" l="1"/>
  <c r="K419" i="44"/>
  <c r="K413" i="44"/>
  <c r="K385" i="44"/>
  <c r="K167" i="44"/>
  <c r="K145" i="44"/>
  <c r="M110" i="18" l="1"/>
  <c r="O110" i="18" s="1"/>
  <c r="M109" i="18"/>
  <c r="O109" i="18" s="1"/>
  <c r="M108" i="18"/>
  <c r="O108" i="18" s="1"/>
  <c r="M107" i="18"/>
  <c r="O107" i="18" s="1"/>
  <c r="M106" i="18"/>
  <c r="O106" i="18" s="1"/>
  <c r="M105" i="18"/>
  <c r="O105" i="18" s="1"/>
  <c r="M104" i="18"/>
  <c r="O104" i="18" s="1"/>
  <c r="M103" i="18"/>
  <c r="O103" i="18" s="1"/>
  <c r="M102" i="18"/>
  <c r="O102" i="18" s="1"/>
  <c r="H103" i="18"/>
  <c r="H104" i="18"/>
  <c r="L104" i="18"/>
  <c r="K104" i="18"/>
  <c r="H105" i="18"/>
  <c r="L105" i="18"/>
  <c r="K105" i="18"/>
  <c r="H106" i="18"/>
  <c r="L106" i="18"/>
  <c r="K106" i="18"/>
  <c r="H107" i="18"/>
  <c r="L107" i="18"/>
  <c r="K107" i="18"/>
  <c r="H108" i="18"/>
  <c r="K108" i="18"/>
  <c r="L108" i="18"/>
  <c r="H109" i="18"/>
  <c r="L109" i="18"/>
  <c r="K109" i="18"/>
  <c r="H110" i="18"/>
  <c r="L110" i="18"/>
  <c r="K110" i="18"/>
  <c r="H102" i="18"/>
  <c r="L102" i="18"/>
  <c r="K102" i="18"/>
  <c r="I101" i="18"/>
  <c r="L101" i="18" s="1"/>
  <c r="H101" i="18"/>
  <c r="K101" i="18"/>
  <c r="O101" i="18"/>
  <c r="S422" i="44"/>
  <c r="O422" i="44" s="1"/>
  <c r="R422" i="44" s="1"/>
  <c r="S421" i="44"/>
  <c r="O421" i="44" s="1"/>
  <c r="R421" i="44" s="1"/>
  <c r="S420" i="44"/>
  <c r="U420" i="44" s="1"/>
  <c r="S419" i="44"/>
  <c r="U419" i="44" s="1"/>
  <c r="S418" i="44"/>
  <c r="U418" i="44" s="1"/>
  <c r="S417" i="44"/>
  <c r="O417" i="44" s="1"/>
  <c r="R417" i="44" s="1"/>
  <c r="S416" i="44"/>
  <c r="U416" i="44" s="1"/>
  <c r="S415" i="44"/>
  <c r="U415" i="44" s="1"/>
  <c r="S414" i="44"/>
  <c r="O414" i="44" s="1"/>
  <c r="R414" i="44" s="1"/>
  <c r="S413" i="44"/>
  <c r="O413" i="44" s="1"/>
  <c r="R413" i="44" s="1"/>
  <c r="S412" i="44"/>
  <c r="O412" i="44" s="1"/>
  <c r="R412" i="44" s="1"/>
  <c r="S411" i="44"/>
  <c r="U411" i="44" s="1"/>
  <c r="S410" i="44"/>
  <c r="U410" i="44" s="1"/>
  <c r="S409" i="44"/>
  <c r="U409" i="44" s="1"/>
  <c r="S408" i="44"/>
  <c r="U408" i="44" s="1"/>
  <c r="K408" i="44"/>
  <c r="L408" i="44"/>
  <c r="N408" i="44"/>
  <c r="Q408" i="44"/>
  <c r="K409" i="44"/>
  <c r="L409" i="44"/>
  <c r="N409" i="44"/>
  <c r="Q409" i="44"/>
  <c r="L410" i="44"/>
  <c r="N410" i="44"/>
  <c r="Q410" i="44"/>
  <c r="K411" i="44"/>
  <c r="L411" i="44"/>
  <c r="N411" i="44"/>
  <c r="Q411" i="44"/>
  <c r="K412" i="44"/>
  <c r="L412" i="44"/>
  <c r="N412" i="44"/>
  <c r="Q412" i="44"/>
  <c r="L413" i="44"/>
  <c r="N413" i="44"/>
  <c r="Q413" i="44"/>
  <c r="K414" i="44"/>
  <c r="L414" i="44"/>
  <c r="N414" i="44"/>
  <c r="Q414" i="44"/>
  <c r="K415" i="44"/>
  <c r="L415" i="44"/>
  <c r="N415" i="44"/>
  <c r="Q415" i="44"/>
  <c r="K416" i="44"/>
  <c r="L416" i="44"/>
  <c r="N416" i="44"/>
  <c r="Q416" i="44"/>
  <c r="L417" i="44"/>
  <c r="N417" i="44"/>
  <c r="Q417" i="44"/>
  <c r="K418" i="44"/>
  <c r="L418" i="44"/>
  <c r="N418" i="44"/>
  <c r="Q418" i="44"/>
  <c r="L419" i="44"/>
  <c r="N419" i="44"/>
  <c r="Q419" i="44"/>
  <c r="K420" i="44"/>
  <c r="L420" i="44"/>
  <c r="N420" i="44"/>
  <c r="Q420" i="44"/>
  <c r="K421" i="44"/>
  <c r="L421" i="44"/>
  <c r="N421" i="44"/>
  <c r="Q421" i="44"/>
  <c r="K422" i="44"/>
  <c r="L422" i="44"/>
  <c r="N422" i="44"/>
  <c r="Q422" i="44"/>
  <c r="H588" i="43"/>
  <c r="J588" i="43" s="1"/>
  <c r="T606" i="43"/>
  <c r="V606" i="43" s="1"/>
  <c r="T605" i="43"/>
  <c r="P605" i="43" s="1"/>
  <c r="T604" i="43"/>
  <c r="P604" i="43" s="1"/>
  <c r="S604" i="43" s="1"/>
  <c r="T603" i="43"/>
  <c r="P603" i="43" s="1"/>
  <c r="S603" i="43" s="1"/>
  <c r="T602" i="43"/>
  <c r="P602" i="43" s="1"/>
  <c r="S602" i="43" s="1"/>
  <c r="T601" i="43"/>
  <c r="V601" i="43" s="1"/>
  <c r="T600" i="43"/>
  <c r="P600" i="43" s="1"/>
  <c r="T599" i="43"/>
  <c r="V599" i="43" s="1"/>
  <c r="T598" i="43"/>
  <c r="V598" i="43" s="1"/>
  <c r="T597" i="43"/>
  <c r="P597" i="43" s="1"/>
  <c r="T596" i="43"/>
  <c r="V596" i="43" s="1"/>
  <c r="T595" i="43"/>
  <c r="P595" i="43" s="1"/>
  <c r="S595" i="43" s="1"/>
  <c r="T594" i="43"/>
  <c r="V594" i="43" s="1"/>
  <c r="T593" i="43"/>
  <c r="P593" i="43" s="1"/>
  <c r="S593" i="43" s="1"/>
  <c r="T592" i="43"/>
  <c r="T591" i="43"/>
  <c r="P591" i="43" s="1"/>
  <c r="S591" i="43" s="1"/>
  <c r="T588" i="43"/>
  <c r="V588" i="43" s="1"/>
  <c r="T587" i="43"/>
  <c r="V587" i="43" s="1"/>
  <c r="T590" i="43"/>
  <c r="P590" i="43" s="1"/>
  <c r="S590" i="43" s="1"/>
  <c r="T589" i="43"/>
  <c r="V589" i="43" s="1"/>
  <c r="P586" i="43"/>
  <c r="S586" i="43" s="1"/>
  <c r="P585" i="43"/>
  <c r="S585" i="43" s="1"/>
  <c r="V583" i="43"/>
  <c r="P582" i="43"/>
  <c r="R606" i="43"/>
  <c r="R605" i="43"/>
  <c r="R604" i="43"/>
  <c r="R603" i="43"/>
  <c r="R602" i="43"/>
  <c r="R601" i="43"/>
  <c r="R600" i="43"/>
  <c r="R599" i="43"/>
  <c r="R598" i="43"/>
  <c r="R597" i="43"/>
  <c r="R596" i="43"/>
  <c r="R595" i="43"/>
  <c r="R594" i="43"/>
  <c r="J582" i="43"/>
  <c r="M582" i="43" s="1"/>
  <c r="J597" i="43"/>
  <c r="N597" i="43" s="1"/>
  <c r="J596" i="43"/>
  <c r="N596" i="43" s="1"/>
  <c r="J595" i="43"/>
  <c r="M595" i="43" s="1"/>
  <c r="J594" i="43"/>
  <c r="N594" i="43" s="1"/>
  <c r="J593" i="43"/>
  <c r="M593" i="43" s="1"/>
  <c r="J592" i="43"/>
  <c r="N592" i="43" s="1"/>
  <c r="J591" i="43"/>
  <c r="M591" i="43" s="1"/>
  <c r="J590" i="43"/>
  <c r="M590" i="43" s="1"/>
  <c r="J589" i="43"/>
  <c r="M589" i="43" s="1"/>
  <c r="J587" i="43"/>
  <c r="M587" i="43" s="1"/>
  <c r="J604" i="43"/>
  <c r="M604" i="43" s="1"/>
  <c r="J598" i="43"/>
  <c r="M598" i="43" s="1"/>
  <c r="J599" i="43"/>
  <c r="M599" i="43" s="1"/>
  <c r="J602" i="43"/>
  <c r="N602" i="43" s="1"/>
  <c r="J601" i="43"/>
  <c r="N601" i="43" s="1"/>
  <c r="J600" i="43"/>
  <c r="M600" i="43" s="1"/>
  <c r="J603" i="43"/>
  <c r="N603" i="43" s="1"/>
  <c r="J586" i="43"/>
  <c r="M586" i="43" s="1"/>
  <c r="J585" i="43"/>
  <c r="M585" i="43" s="1"/>
  <c r="J584" i="43"/>
  <c r="M584" i="43" s="1"/>
  <c r="J583" i="43"/>
  <c r="N583" i="43" s="1"/>
  <c r="J606" i="43"/>
  <c r="M606" i="43" s="1"/>
  <c r="J605" i="43"/>
  <c r="N605" i="43" s="1"/>
  <c r="R583" i="43"/>
  <c r="R584" i="43"/>
  <c r="R585" i="43"/>
  <c r="R586" i="43"/>
  <c r="R587" i="43"/>
  <c r="R588" i="43"/>
  <c r="R589" i="43"/>
  <c r="R590" i="43"/>
  <c r="R591" i="43"/>
  <c r="R592" i="43"/>
  <c r="R593" i="43"/>
  <c r="R582" i="43"/>
  <c r="T114" i="43"/>
  <c r="N294" i="44"/>
  <c r="O409" i="44" l="1"/>
  <c r="R409" i="44" s="1"/>
  <c r="U413" i="44"/>
  <c r="U414" i="44"/>
  <c r="O415" i="44"/>
  <c r="R415" i="44" s="1"/>
  <c r="U412" i="44"/>
  <c r="O416" i="44"/>
  <c r="R416" i="44" s="1"/>
  <c r="U422" i="44"/>
  <c r="O408" i="44"/>
  <c r="R408" i="44" s="1"/>
  <c r="V408" i="44"/>
  <c r="O410" i="44"/>
  <c r="R410" i="44" s="1"/>
  <c r="O418" i="44"/>
  <c r="R418" i="44" s="1"/>
  <c r="O411" i="44"/>
  <c r="R411" i="44" s="1"/>
  <c r="O419" i="44"/>
  <c r="R419" i="44" s="1"/>
  <c r="V418" i="44"/>
  <c r="O420" i="44"/>
  <c r="R420" i="44" s="1"/>
  <c r="U421" i="44"/>
  <c r="M601" i="43"/>
  <c r="N589" i="43"/>
  <c r="M605" i="43"/>
  <c r="M583" i="43"/>
  <c r="M597" i="43"/>
  <c r="P601" i="43"/>
  <c r="S601" i="43" s="1"/>
  <c r="N599" i="43"/>
  <c r="M592" i="43"/>
  <c r="V603" i="43"/>
  <c r="N606" i="43"/>
  <c r="V597" i="43"/>
  <c r="P599" i="43"/>
  <c r="S599" i="43" s="1"/>
  <c r="V600" i="43"/>
  <c r="V604" i="43"/>
  <c r="N582" i="43"/>
  <c r="P598" i="43"/>
  <c r="S598" i="43" s="1"/>
  <c r="N590" i="43"/>
  <c r="N595" i="43"/>
  <c r="M602" i="43"/>
  <c r="N586" i="43"/>
  <c r="M596" i="43"/>
  <c r="P596" i="43"/>
  <c r="S596" i="43" s="1"/>
  <c r="P588" i="43"/>
  <c r="S588" i="43" s="1"/>
  <c r="P606" i="43"/>
  <c r="S606" i="43" s="1"/>
  <c r="P589" i="43"/>
  <c r="S589" i="43" s="1"/>
  <c r="N604" i="43"/>
  <c r="P587" i="43"/>
  <c r="S587" i="43" s="1"/>
  <c r="P594" i="43"/>
  <c r="S594" i="43" s="1"/>
  <c r="N600" i="43"/>
  <c r="P592" i="43"/>
  <c r="S592" i="43" s="1"/>
  <c r="P584" i="43"/>
  <c r="S584" i="43" s="1"/>
  <c r="P583" i="43"/>
  <c r="S583" i="43" s="1"/>
  <c r="S597" i="43"/>
  <c r="S605" i="43"/>
  <c r="S582" i="43"/>
  <c r="M588" i="43"/>
  <c r="N588" i="43"/>
  <c r="N584" i="43"/>
  <c r="N585" i="43"/>
  <c r="N598" i="43"/>
  <c r="M603" i="43"/>
  <c r="V415" i="44"/>
  <c r="V413" i="44"/>
  <c r="V410" i="44"/>
  <c r="V421" i="44"/>
  <c r="U417" i="44"/>
  <c r="V417" i="44"/>
  <c r="V422" i="44"/>
  <c r="V412" i="44"/>
  <c r="V419" i="44"/>
  <c r="V414" i="44"/>
  <c r="V409" i="44"/>
  <c r="V411" i="44"/>
  <c r="V416" i="44"/>
  <c r="V420" i="44"/>
  <c r="V595" i="43"/>
  <c r="S600" i="43"/>
  <c r="V605" i="43"/>
  <c r="V602" i="43"/>
  <c r="N587" i="43"/>
  <c r="N591" i="43"/>
  <c r="N593" i="43"/>
  <c r="M594" i="43"/>
  <c r="V592" i="43"/>
  <c r="V590" i="43"/>
  <c r="V586" i="43"/>
  <c r="V584" i="43"/>
  <c r="V591" i="43"/>
  <c r="V593" i="43"/>
  <c r="V585" i="43"/>
  <c r="V582" i="43"/>
  <c r="R809" i="1"/>
  <c r="N809" i="1"/>
  <c r="L809" i="1"/>
  <c r="O809" i="1" s="1"/>
  <c r="J809" i="1"/>
  <c r="I809" i="1"/>
  <c r="L808" i="1"/>
  <c r="O808" i="1" s="1"/>
  <c r="N808" i="1"/>
  <c r="J808" i="1"/>
  <c r="I808" i="1"/>
  <c r="R807" i="1"/>
  <c r="N807" i="1"/>
  <c r="J807" i="1"/>
  <c r="I807" i="1"/>
  <c r="L806" i="1"/>
  <c r="O806" i="1" s="1"/>
  <c r="N806" i="1"/>
  <c r="J806" i="1"/>
  <c r="I806" i="1"/>
  <c r="P805" i="1"/>
  <c r="L805" i="1" s="1"/>
  <c r="O805" i="1" s="1"/>
  <c r="N805" i="1"/>
  <c r="J805" i="1"/>
  <c r="I805" i="1"/>
  <c r="P804" i="1"/>
  <c r="R804" i="1" s="1"/>
  <c r="N804" i="1"/>
  <c r="J804" i="1"/>
  <c r="I804" i="1"/>
  <c r="R803" i="1"/>
  <c r="N803" i="1"/>
  <c r="L803" i="1"/>
  <c r="O803" i="1" s="1"/>
  <c r="J803" i="1"/>
  <c r="I803" i="1"/>
  <c r="R802" i="1"/>
  <c r="N802" i="1"/>
  <c r="L802" i="1"/>
  <c r="O802" i="1" s="1"/>
  <c r="J802" i="1"/>
  <c r="I802" i="1"/>
  <c r="R801" i="1"/>
  <c r="N801" i="1"/>
  <c r="J801" i="1"/>
  <c r="I801" i="1"/>
  <c r="R800" i="1"/>
  <c r="N800" i="1"/>
  <c r="L800" i="1"/>
  <c r="O800" i="1" s="1"/>
  <c r="J800" i="1"/>
  <c r="I800" i="1"/>
  <c r="R799" i="1"/>
  <c r="N799" i="1"/>
  <c r="J799" i="1"/>
  <c r="I799" i="1"/>
  <c r="R798" i="1"/>
  <c r="N798" i="1"/>
  <c r="J798" i="1"/>
  <c r="I798" i="1"/>
  <c r="L797" i="1"/>
  <c r="O797" i="1" s="1"/>
  <c r="N797" i="1"/>
  <c r="J797" i="1"/>
  <c r="I797" i="1"/>
  <c r="R796" i="1"/>
  <c r="N796" i="1"/>
  <c r="J796" i="1"/>
  <c r="I796" i="1"/>
  <c r="R795" i="1"/>
  <c r="N795" i="1"/>
  <c r="J795" i="1"/>
  <c r="I795" i="1"/>
  <c r="R794" i="1"/>
  <c r="N794" i="1"/>
  <c r="J794" i="1"/>
  <c r="I794" i="1"/>
  <c r="L793" i="1"/>
  <c r="O793" i="1" s="1"/>
  <c r="N793" i="1"/>
  <c r="J793" i="1"/>
  <c r="I793" i="1"/>
  <c r="R792" i="1"/>
  <c r="N792" i="1"/>
  <c r="J792" i="1"/>
  <c r="I792" i="1"/>
  <c r="R791" i="1"/>
  <c r="N791" i="1"/>
  <c r="J791" i="1"/>
  <c r="I791" i="1"/>
  <c r="L790" i="1"/>
  <c r="O790" i="1" s="1"/>
  <c r="N790" i="1"/>
  <c r="J790" i="1"/>
  <c r="I790" i="1"/>
  <c r="L789" i="1"/>
  <c r="O789" i="1" s="1"/>
  <c r="N789" i="1"/>
  <c r="J789" i="1"/>
  <c r="I789" i="1"/>
  <c r="R788" i="1"/>
  <c r="N788" i="1"/>
  <c r="L788" i="1"/>
  <c r="O788" i="1" s="1"/>
  <c r="J788" i="1"/>
  <c r="I788" i="1"/>
  <c r="R787" i="1"/>
  <c r="N787" i="1"/>
  <c r="L787" i="1"/>
  <c r="O787" i="1" s="1"/>
  <c r="J787" i="1"/>
  <c r="I787" i="1"/>
  <c r="R786" i="1"/>
  <c r="N786" i="1"/>
  <c r="J786" i="1"/>
  <c r="I786" i="1"/>
  <c r="R785" i="1"/>
  <c r="N785" i="1"/>
  <c r="J785" i="1"/>
  <c r="I785" i="1"/>
  <c r="R784" i="1"/>
  <c r="N784" i="1"/>
  <c r="L784" i="1"/>
  <c r="O784" i="1" s="1"/>
  <c r="J784" i="1"/>
  <c r="I784" i="1"/>
  <c r="R783" i="1"/>
  <c r="N783" i="1"/>
  <c r="J783" i="1"/>
  <c r="I783" i="1"/>
  <c r="L782" i="1"/>
  <c r="O782" i="1" s="1"/>
  <c r="N782" i="1"/>
  <c r="J782" i="1"/>
  <c r="I782" i="1"/>
  <c r="P781" i="1"/>
  <c r="L781" i="1" s="1"/>
  <c r="O781" i="1" s="1"/>
  <c r="N781" i="1"/>
  <c r="J781" i="1"/>
  <c r="I781" i="1"/>
  <c r="P780" i="1"/>
  <c r="R780" i="1" s="1"/>
  <c r="N780" i="1"/>
  <c r="J780" i="1"/>
  <c r="I780" i="1"/>
  <c r="R779" i="1"/>
  <c r="N779" i="1"/>
  <c r="J779" i="1"/>
  <c r="I779" i="1"/>
  <c r="R778" i="1"/>
  <c r="N778" i="1"/>
  <c r="J778" i="1"/>
  <c r="I778" i="1"/>
  <c r="R777" i="1"/>
  <c r="N777" i="1"/>
  <c r="L777" i="1"/>
  <c r="O777" i="1" s="1"/>
  <c r="J777" i="1"/>
  <c r="I777" i="1"/>
  <c r="R776" i="1"/>
  <c r="N776" i="1"/>
  <c r="J776" i="1"/>
  <c r="I776" i="1"/>
  <c r="R775" i="1"/>
  <c r="N775" i="1"/>
  <c r="J775" i="1"/>
  <c r="I775" i="1"/>
  <c r="T527" i="43"/>
  <c r="V527" i="43" s="1"/>
  <c r="R527" i="43"/>
  <c r="T528" i="43"/>
  <c r="P528" i="43" s="1"/>
  <c r="N760" i="1"/>
  <c r="L760" i="1"/>
  <c r="O760" i="1" s="1"/>
  <c r="R760" i="1"/>
  <c r="I760" i="1"/>
  <c r="J760" i="1"/>
  <c r="R751" i="1"/>
  <c r="N751" i="1"/>
  <c r="I751" i="1"/>
  <c r="J751" i="1"/>
  <c r="P744" i="1"/>
  <c r="R744" i="1" s="1"/>
  <c r="N744" i="1"/>
  <c r="P746" i="1"/>
  <c r="L746" i="1" s="1"/>
  <c r="O746" i="1" s="1"/>
  <c r="P745" i="1"/>
  <c r="R745" i="1" s="1"/>
  <c r="N745" i="1"/>
  <c r="P742" i="1"/>
  <c r="R742" i="1" s="1"/>
  <c r="N742" i="1"/>
  <c r="P743" i="1"/>
  <c r="L743" i="1" s="1"/>
  <c r="O743" i="1" s="1"/>
  <c r="T516" i="43"/>
  <c r="H519" i="19"/>
  <c r="K519" i="19"/>
  <c r="N519" i="19"/>
  <c r="H520" i="19"/>
  <c r="K520" i="19"/>
  <c r="N520" i="19"/>
  <c r="H521" i="19"/>
  <c r="K521" i="19"/>
  <c r="N521" i="19"/>
  <c r="H522" i="19"/>
  <c r="K522" i="19"/>
  <c r="N522" i="19"/>
  <c r="H523" i="19"/>
  <c r="K523" i="19"/>
  <c r="N523" i="19"/>
  <c r="H524" i="19"/>
  <c r="K524" i="19"/>
  <c r="N524" i="19"/>
  <c r="H525" i="19"/>
  <c r="K525" i="19"/>
  <c r="N525" i="19"/>
  <c r="H526" i="19"/>
  <c r="K526" i="19"/>
  <c r="N526" i="19"/>
  <c r="H527" i="19"/>
  <c r="K527" i="19"/>
  <c r="N527" i="19"/>
  <c r="H528" i="19"/>
  <c r="K528" i="19"/>
  <c r="N528" i="19"/>
  <c r="H529" i="19"/>
  <c r="K529" i="19"/>
  <c r="N529" i="19"/>
  <c r="H530" i="19"/>
  <c r="K530" i="19"/>
  <c r="N530" i="19"/>
  <c r="H531" i="19"/>
  <c r="K531" i="19"/>
  <c r="N531" i="19"/>
  <c r="H532" i="19"/>
  <c r="K532" i="19"/>
  <c r="N532" i="19"/>
  <c r="H533" i="19"/>
  <c r="K533" i="19"/>
  <c r="N533" i="19"/>
  <c r="H534" i="19"/>
  <c r="K534" i="19"/>
  <c r="N534" i="19"/>
  <c r="H535" i="19"/>
  <c r="K535" i="19"/>
  <c r="N535" i="19"/>
  <c r="H536" i="19"/>
  <c r="K536" i="19"/>
  <c r="N536" i="19"/>
  <c r="H537" i="19"/>
  <c r="K537" i="19"/>
  <c r="N537" i="19"/>
  <c r="H538" i="19"/>
  <c r="K538" i="19"/>
  <c r="N538" i="19"/>
  <c r="H539" i="19"/>
  <c r="K539" i="19"/>
  <c r="N539" i="19"/>
  <c r="H540" i="19"/>
  <c r="K540" i="19"/>
  <c r="N540" i="19"/>
  <c r="H541" i="19"/>
  <c r="K541" i="19"/>
  <c r="N541" i="19"/>
  <c r="H542" i="19"/>
  <c r="K542" i="19"/>
  <c r="N542" i="19"/>
  <c r="H543" i="19"/>
  <c r="K543" i="19"/>
  <c r="N543" i="19"/>
  <c r="H544" i="19"/>
  <c r="K544" i="19"/>
  <c r="N544" i="19"/>
  <c r="H545" i="19"/>
  <c r="K545" i="19"/>
  <c r="N545" i="19"/>
  <c r="H546" i="19"/>
  <c r="K546" i="19"/>
  <c r="N546" i="19"/>
  <c r="H547" i="19"/>
  <c r="K547" i="19"/>
  <c r="N547" i="19"/>
  <c r="H548" i="19"/>
  <c r="K548" i="19"/>
  <c r="N548" i="19"/>
  <c r="H549" i="19"/>
  <c r="K549" i="19"/>
  <c r="N549" i="19"/>
  <c r="H550" i="19"/>
  <c r="K550" i="19"/>
  <c r="N550" i="19"/>
  <c r="H551" i="19"/>
  <c r="K551" i="19"/>
  <c r="N551" i="19"/>
  <c r="H552" i="19"/>
  <c r="K552" i="19"/>
  <c r="N552" i="19"/>
  <c r="H553" i="19"/>
  <c r="K553" i="19"/>
  <c r="N553" i="19"/>
  <c r="H554" i="19"/>
  <c r="K554" i="19"/>
  <c r="N554" i="19"/>
  <c r="H555" i="19"/>
  <c r="K555" i="19"/>
  <c r="N555" i="19"/>
  <c r="H556" i="19"/>
  <c r="K556" i="19"/>
  <c r="N556" i="19"/>
  <c r="H557" i="19"/>
  <c r="K557" i="19"/>
  <c r="N557" i="19"/>
  <c r="H558" i="19"/>
  <c r="K558" i="19"/>
  <c r="N558" i="19"/>
  <c r="H559" i="19"/>
  <c r="K559" i="19"/>
  <c r="N559" i="19"/>
  <c r="H560" i="19"/>
  <c r="K560" i="19"/>
  <c r="N560" i="19"/>
  <c r="H561" i="19"/>
  <c r="K561" i="19"/>
  <c r="N561" i="19"/>
  <c r="H562" i="19"/>
  <c r="K562" i="19"/>
  <c r="N562" i="19"/>
  <c r="H563" i="19"/>
  <c r="K563" i="19"/>
  <c r="N563" i="19"/>
  <c r="H564" i="19"/>
  <c r="K564" i="19"/>
  <c r="N564" i="19"/>
  <c r="H565" i="19"/>
  <c r="K565" i="19"/>
  <c r="N565" i="19"/>
  <c r="H518" i="19"/>
  <c r="K518" i="19"/>
  <c r="N518" i="19"/>
  <c r="M100" i="18"/>
  <c r="O100" i="18" s="1"/>
  <c r="K100" i="18"/>
  <c r="M99" i="18"/>
  <c r="O99" i="18" s="1"/>
  <c r="K99" i="18"/>
  <c r="M98" i="18"/>
  <c r="O98" i="18" s="1"/>
  <c r="K98" i="18"/>
  <c r="M97" i="18"/>
  <c r="I97" i="18" s="1"/>
  <c r="L97" i="18" s="1"/>
  <c r="K97" i="18"/>
  <c r="M96" i="18"/>
  <c r="I96" i="18" s="1"/>
  <c r="L96" i="18" s="1"/>
  <c r="K96" i="18"/>
  <c r="M95" i="18"/>
  <c r="O95" i="18" s="1"/>
  <c r="K95" i="18"/>
  <c r="M94" i="18"/>
  <c r="O94" i="18" s="1"/>
  <c r="K94" i="18"/>
  <c r="M93" i="18"/>
  <c r="O93" i="18" s="1"/>
  <c r="H94" i="18"/>
  <c r="H95" i="18"/>
  <c r="H96" i="18"/>
  <c r="H97" i="18"/>
  <c r="H98" i="18"/>
  <c r="H99" i="18"/>
  <c r="H100" i="18"/>
  <c r="H93" i="18"/>
  <c r="K93" i="18"/>
  <c r="I767" i="1"/>
  <c r="J767" i="1"/>
  <c r="N767" i="1"/>
  <c r="P767" i="1"/>
  <c r="L767" i="1" s="1"/>
  <c r="O767" i="1" s="1"/>
  <c r="I768" i="1"/>
  <c r="J768" i="1"/>
  <c r="N768" i="1"/>
  <c r="P768" i="1"/>
  <c r="L768" i="1" s="1"/>
  <c r="O768" i="1" s="1"/>
  <c r="I769" i="1"/>
  <c r="J769" i="1"/>
  <c r="N769" i="1"/>
  <c r="L769" i="1"/>
  <c r="O769" i="1" s="1"/>
  <c r="I770" i="1"/>
  <c r="J770" i="1"/>
  <c r="N770" i="1"/>
  <c r="L770" i="1"/>
  <c r="O770" i="1" s="1"/>
  <c r="I771" i="1"/>
  <c r="J771" i="1"/>
  <c r="N771" i="1"/>
  <c r="R771" i="1"/>
  <c r="I772" i="1"/>
  <c r="J772" i="1"/>
  <c r="N772" i="1"/>
  <c r="R772" i="1"/>
  <c r="I773" i="1"/>
  <c r="J773" i="1"/>
  <c r="N773" i="1"/>
  <c r="P773" i="1"/>
  <c r="R773" i="1" s="1"/>
  <c r="I774" i="1"/>
  <c r="J774" i="1"/>
  <c r="N774" i="1"/>
  <c r="P774" i="1"/>
  <c r="L774" i="1" s="1"/>
  <c r="O774" i="1" s="1"/>
  <c r="I743" i="1"/>
  <c r="J743" i="1"/>
  <c r="N743" i="1"/>
  <c r="I744" i="1"/>
  <c r="J744" i="1"/>
  <c r="I745" i="1"/>
  <c r="J745" i="1"/>
  <c r="I746" i="1"/>
  <c r="J746" i="1"/>
  <c r="N746" i="1"/>
  <c r="I747" i="1"/>
  <c r="J747" i="1"/>
  <c r="N747" i="1"/>
  <c r="L747" i="1"/>
  <c r="O747" i="1" s="1"/>
  <c r="I748" i="1"/>
  <c r="J748" i="1"/>
  <c r="N748" i="1"/>
  <c r="L748" i="1"/>
  <c r="O748" i="1" s="1"/>
  <c r="I749" i="1"/>
  <c r="J749" i="1"/>
  <c r="N749" i="1"/>
  <c r="R749" i="1"/>
  <c r="I750" i="1"/>
  <c r="J750" i="1"/>
  <c r="N750" i="1"/>
  <c r="L750" i="1"/>
  <c r="O750" i="1" s="1"/>
  <c r="I752" i="1"/>
  <c r="J752" i="1"/>
  <c r="N752" i="1"/>
  <c r="O752" i="1"/>
  <c r="I753" i="1"/>
  <c r="J753" i="1"/>
  <c r="N753" i="1"/>
  <c r="O753" i="1"/>
  <c r="I754" i="1"/>
  <c r="J754" i="1"/>
  <c r="N754" i="1"/>
  <c r="O754" i="1"/>
  <c r="I755" i="1"/>
  <c r="J755" i="1"/>
  <c r="N755" i="1"/>
  <c r="R755" i="1"/>
  <c r="I756" i="1"/>
  <c r="J756" i="1"/>
  <c r="N756" i="1"/>
  <c r="O756" i="1"/>
  <c r="I757" i="1"/>
  <c r="J757" i="1"/>
  <c r="N757" i="1"/>
  <c r="O757" i="1"/>
  <c r="I758" i="1"/>
  <c r="J758" i="1"/>
  <c r="N758" i="1"/>
  <c r="R758" i="1"/>
  <c r="I759" i="1"/>
  <c r="J759" i="1"/>
  <c r="N759" i="1"/>
  <c r="O759" i="1"/>
  <c r="I761" i="1"/>
  <c r="J761" i="1"/>
  <c r="N761" i="1"/>
  <c r="L761" i="1"/>
  <c r="O761" i="1" s="1"/>
  <c r="I762" i="1"/>
  <c r="J762" i="1"/>
  <c r="N762" i="1"/>
  <c r="L762" i="1"/>
  <c r="O762" i="1" s="1"/>
  <c r="I763" i="1"/>
  <c r="J763" i="1"/>
  <c r="N763" i="1"/>
  <c r="L763" i="1"/>
  <c r="O763" i="1" s="1"/>
  <c r="I764" i="1"/>
  <c r="J764" i="1"/>
  <c r="N764" i="1"/>
  <c r="L764" i="1"/>
  <c r="O764" i="1" s="1"/>
  <c r="I765" i="1"/>
  <c r="J765" i="1"/>
  <c r="N765" i="1"/>
  <c r="R765" i="1"/>
  <c r="I766" i="1"/>
  <c r="J766" i="1"/>
  <c r="N766" i="1"/>
  <c r="R766" i="1"/>
  <c r="I742" i="1"/>
  <c r="J742" i="1"/>
  <c r="K59" i="44"/>
  <c r="K137" i="44"/>
  <c r="J402" i="43"/>
  <c r="J188" i="43"/>
  <c r="T246" i="43"/>
  <c r="T221" i="43"/>
  <c r="I98" i="18" l="1"/>
  <c r="L98" i="18" s="1"/>
  <c r="I93" i="18"/>
  <c r="L93" i="18" s="1"/>
  <c r="L792" i="1"/>
  <c r="O792" i="1" s="1"/>
  <c r="L794" i="1"/>
  <c r="O794" i="1" s="1"/>
  <c r="P527" i="43"/>
  <c r="S527" i="43" s="1"/>
  <c r="L795" i="1"/>
  <c r="O795" i="1" s="1"/>
  <c r="L779" i="1"/>
  <c r="O779" i="1" s="1"/>
  <c r="L785" i="1"/>
  <c r="O785" i="1" s="1"/>
  <c r="L776" i="1"/>
  <c r="O776" i="1" s="1"/>
  <c r="L780" i="1"/>
  <c r="O780" i="1" s="1"/>
  <c r="R808" i="1"/>
  <c r="L786" i="1"/>
  <c r="O786" i="1" s="1"/>
  <c r="L801" i="1"/>
  <c r="O801" i="1" s="1"/>
  <c r="L804" i="1"/>
  <c r="O804" i="1" s="1"/>
  <c r="R793" i="1"/>
  <c r="L778" i="1"/>
  <c r="O778" i="1" s="1"/>
  <c r="L796" i="1"/>
  <c r="O796" i="1" s="1"/>
  <c r="R790" i="1"/>
  <c r="R806" i="1"/>
  <c r="R781" i="1"/>
  <c r="L775" i="1"/>
  <c r="O775" i="1" s="1"/>
  <c r="L783" i="1"/>
  <c r="O783" i="1" s="1"/>
  <c r="L791" i="1"/>
  <c r="O791" i="1" s="1"/>
  <c r="L799" i="1"/>
  <c r="O799" i="1" s="1"/>
  <c r="L807" i="1"/>
  <c r="O807" i="1" s="1"/>
  <c r="R782" i="1"/>
  <c r="R789" i="1"/>
  <c r="L798" i="1"/>
  <c r="O798" i="1" s="1"/>
  <c r="R797" i="1"/>
  <c r="R805" i="1"/>
  <c r="L751" i="1"/>
  <c r="O751" i="1" s="1"/>
  <c r="R764" i="1"/>
  <c r="R756" i="1"/>
  <c r="R774" i="1"/>
  <c r="R768" i="1"/>
  <c r="O755" i="1"/>
  <c r="L771" i="1"/>
  <c r="O771" i="1" s="1"/>
  <c r="R767" i="1"/>
  <c r="L744" i="1"/>
  <c r="O744" i="1" s="1"/>
  <c r="L742" i="1"/>
  <c r="O742" i="1" s="1"/>
  <c r="L766" i="1"/>
  <c r="O766" i="1" s="1"/>
  <c r="R757" i="1"/>
  <c r="R770" i="1"/>
  <c r="R761" i="1"/>
  <c r="R753" i="1"/>
  <c r="L745" i="1"/>
  <c r="O745" i="1" s="1"/>
  <c r="R750" i="1"/>
  <c r="R747" i="1"/>
  <c r="R748" i="1"/>
  <c r="R759" i="1"/>
  <c r="R754" i="1"/>
  <c r="R743" i="1"/>
  <c r="L765" i="1"/>
  <c r="O765" i="1" s="1"/>
  <c r="R763" i="1"/>
  <c r="R746" i="1"/>
  <c r="R769" i="1"/>
  <c r="O97" i="18"/>
  <c r="I100" i="18"/>
  <c r="L100" i="18" s="1"/>
  <c r="I95" i="18"/>
  <c r="L95" i="18" s="1"/>
  <c r="O96" i="18"/>
  <c r="I94" i="18"/>
  <c r="L94" i="18" s="1"/>
  <c r="I99" i="18"/>
  <c r="L99" i="18" s="1"/>
  <c r="L772" i="1"/>
  <c r="O772" i="1" s="1"/>
  <c r="R762" i="1"/>
  <c r="R752" i="1"/>
  <c r="L773" i="1"/>
  <c r="O773" i="1" s="1"/>
  <c r="O758" i="1"/>
  <c r="L749" i="1"/>
  <c r="O749" i="1" s="1"/>
  <c r="J466" i="43"/>
  <c r="M191" i="43"/>
  <c r="N191" i="43"/>
  <c r="R191" i="43"/>
  <c r="T191" i="43"/>
  <c r="P191" i="43" s="1"/>
  <c r="S191" i="43" s="1"/>
  <c r="K401" i="44"/>
  <c r="L401" i="44"/>
  <c r="N401" i="44"/>
  <c r="Q401" i="44"/>
  <c r="S401" i="44"/>
  <c r="V401" i="44" s="1"/>
  <c r="K402" i="44"/>
  <c r="L402" i="44"/>
  <c r="N402" i="44"/>
  <c r="Q402" i="44"/>
  <c r="S402" i="44"/>
  <c r="U402" i="44" s="1"/>
  <c r="K403" i="44"/>
  <c r="L403" i="44"/>
  <c r="N403" i="44"/>
  <c r="R403" i="44"/>
  <c r="Q403" i="44"/>
  <c r="S403" i="44"/>
  <c r="U403" i="44" s="1"/>
  <c r="K404" i="44"/>
  <c r="L404" i="44"/>
  <c r="N404" i="44"/>
  <c r="R404" i="44"/>
  <c r="Q404" i="44"/>
  <c r="S404" i="44"/>
  <c r="U404" i="44" s="1"/>
  <c r="K405" i="44"/>
  <c r="L405" i="44"/>
  <c r="N405" i="44"/>
  <c r="R405" i="44"/>
  <c r="Q405" i="44"/>
  <c r="S405" i="44"/>
  <c r="U405" i="44" s="1"/>
  <c r="K406" i="44"/>
  <c r="L406" i="44"/>
  <c r="N406" i="44"/>
  <c r="Q406" i="44"/>
  <c r="S406" i="44"/>
  <c r="R406" i="44" s="1"/>
  <c r="K407" i="44"/>
  <c r="L407" i="44"/>
  <c r="N407" i="44"/>
  <c r="Q407" i="44"/>
  <c r="S407" i="44"/>
  <c r="R407" i="44" s="1"/>
  <c r="K400" i="44"/>
  <c r="L400" i="44"/>
  <c r="N400" i="44"/>
  <c r="Q400" i="44"/>
  <c r="S400" i="44"/>
  <c r="V400" i="44" s="1"/>
  <c r="V191" i="43" l="1"/>
  <c r="U401" i="44"/>
  <c r="V403" i="44"/>
  <c r="V405" i="44"/>
  <c r="V404" i="44"/>
  <c r="U400" i="44"/>
  <c r="V406" i="44"/>
  <c r="V407" i="44"/>
  <c r="U406" i="44"/>
  <c r="U407" i="44"/>
  <c r="R402" i="44"/>
  <c r="R401" i="44"/>
  <c r="V402" i="44"/>
  <c r="R400" i="44"/>
  <c r="K171" i="44" l="1"/>
  <c r="K129" i="44"/>
  <c r="K166" i="44"/>
  <c r="K126" i="44"/>
  <c r="K73" i="44"/>
  <c r="H251" i="44"/>
  <c r="H250" i="44"/>
  <c r="H249" i="44"/>
  <c r="H216" i="44"/>
  <c r="H215" i="44"/>
  <c r="H214" i="44"/>
  <c r="H210" i="44"/>
  <c r="H209" i="44"/>
  <c r="H208" i="44"/>
  <c r="H205" i="44"/>
  <c r="H204" i="44"/>
  <c r="H203" i="44"/>
  <c r="H192" i="44"/>
  <c r="H191" i="44"/>
  <c r="H190" i="44"/>
  <c r="H183" i="44"/>
  <c r="H182" i="44"/>
  <c r="H181" i="44"/>
  <c r="H176" i="44"/>
  <c r="H175" i="44"/>
  <c r="H174" i="44"/>
  <c r="H162" i="44"/>
  <c r="H161" i="44"/>
  <c r="H160" i="44"/>
  <c r="H153" i="44"/>
  <c r="H152" i="44"/>
  <c r="H151" i="44"/>
  <c r="H141" i="44"/>
  <c r="H140" i="44"/>
  <c r="K177" i="44"/>
  <c r="K374" i="44"/>
  <c r="K348" i="44"/>
  <c r="K328" i="44"/>
  <c r="K339" i="44"/>
  <c r="K289" i="44"/>
  <c r="K304" i="44"/>
  <c r="K300" i="44"/>
  <c r="K274" i="44"/>
  <c r="K272" i="44"/>
  <c r="K266" i="44"/>
  <c r="K262" i="44"/>
  <c r="K217" i="44"/>
  <c r="K211" i="44"/>
  <c r="K193" i="44"/>
  <c r="K78" i="44" l="1"/>
  <c r="K71" i="44"/>
  <c r="K64" i="44"/>
  <c r="K54" i="44"/>
  <c r="K124" i="44"/>
  <c r="K107" i="44"/>
  <c r="K102" i="44"/>
  <c r="K96" i="44"/>
  <c r="K290" i="44"/>
  <c r="K285" i="44"/>
  <c r="K281" i="44"/>
  <c r="K275" i="44"/>
  <c r="K263" i="44"/>
  <c r="K254" i="44"/>
  <c r="K252" i="44"/>
  <c r="K247" i="44"/>
  <c r="K242" i="44"/>
  <c r="K239" i="44"/>
  <c r="K207" i="44"/>
  <c r="K194" i="44"/>
  <c r="K188" i="44"/>
  <c r="K185" i="44"/>
  <c r="K172" i="44"/>
  <c r="K154" i="44"/>
  <c r="K147" i="44"/>
  <c r="K143" i="44"/>
  <c r="K138" i="44"/>
  <c r="K133" i="44"/>
  <c r="K127" i="44"/>
  <c r="S144" i="44"/>
  <c r="T356" i="43" l="1"/>
  <c r="H517" i="19" l="1"/>
  <c r="K517" i="19"/>
  <c r="N517" i="19"/>
  <c r="J571" i="43"/>
  <c r="J570" i="43"/>
  <c r="P585" i="1"/>
  <c r="K318" i="44" l="1"/>
  <c r="K308" i="44"/>
  <c r="K293" i="44"/>
  <c r="K235" i="44"/>
  <c r="K283" i="44"/>
  <c r="K229" i="44"/>
  <c r="K221" i="44"/>
  <c r="K158" i="44"/>
  <c r="K144" i="44"/>
  <c r="K99" i="44"/>
  <c r="K79" i="44"/>
  <c r="K72" i="44"/>
  <c r="K68" i="44"/>
  <c r="P596" i="1" l="1"/>
  <c r="P595" i="1"/>
  <c r="P594" i="1"/>
  <c r="P593" i="1"/>
  <c r="P592" i="1"/>
  <c r="P591" i="1"/>
  <c r="P590" i="1"/>
  <c r="O284" i="1"/>
  <c r="L516" i="19"/>
  <c r="N516" i="19" s="1"/>
  <c r="H516" i="19"/>
  <c r="K516" i="19"/>
  <c r="P741" i="1"/>
  <c r="R741" i="1" s="1"/>
  <c r="P740" i="1"/>
  <c r="R740" i="1" s="1"/>
  <c r="P739" i="1"/>
  <c r="L739" i="1" s="1"/>
  <c r="O739" i="1" s="1"/>
  <c r="I740" i="1"/>
  <c r="J740" i="1"/>
  <c r="N740" i="1"/>
  <c r="I741" i="1"/>
  <c r="J741" i="1"/>
  <c r="N741" i="1"/>
  <c r="K399" i="44"/>
  <c r="L399" i="44"/>
  <c r="N399" i="44"/>
  <c r="Q399" i="44"/>
  <c r="S399" i="44"/>
  <c r="V399" i="44" s="1"/>
  <c r="K398" i="44"/>
  <c r="L398" i="44"/>
  <c r="N398" i="44"/>
  <c r="Q398" i="44"/>
  <c r="S398" i="44"/>
  <c r="V398" i="44" s="1"/>
  <c r="I739" i="1"/>
  <c r="J739" i="1"/>
  <c r="N739" i="1"/>
  <c r="T575" i="43"/>
  <c r="P575" i="43" s="1"/>
  <c r="T574" i="43"/>
  <c r="V574" i="43" s="1"/>
  <c r="T576" i="43"/>
  <c r="V576" i="43" s="1"/>
  <c r="T573" i="43"/>
  <c r="V573" i="43" s="1"/>
  <c r="T572" i="43"/>
  <c r="P572" i="43" s="1"/>
  <c r="S572" i="43" s="1"/>
  <c r="T581" i="43"/>
  <c r="V581" i="43" s="1"/>
  <c r="R581" i="43"/>
  <c r="T580" i="43"/>
  <c r="V580" i="43" s="1"/>
  <c r="R580" i="43"/>
  <c r="T579" i="43"/>
  <c r="V579" i="43" s="1"/>
  <c r="R579" i="43"/>
  <c r="T578" i="43"/>
  <c r="P578" i="43" s="1"/>
  <c r="S578" i="43" s="1"/>
  <c r="R578" i="43"/>
  <c r="T577" i="43"/>
  <c r="V577" i="43" s="1"/>
  <c r="R577" i="43"/>
  <c r="R576" i="43"/>
  <c r="R575" i="43"/>
  <c r="R574" i="43"/>
  <c r="R573" i="43"/>
  <c r="R572" i="43"/>
  <c r="S397" i="44"/>
  <c r="O397" i="44" s="1"/>
  <c r="S396" i="44"/>
  <c r="O396" i="44" s="1"/>
  <c r="S395" i="44"/>
  <c r="O395" i="44" s="1"/>
  <c r="S394" i="44"/>
  <c r="O394" i="44" s="1"/>
  <c r="S393" i="44"/>
  <c r="O393" i="44" s="1"/>
  <c r="S392" i="44"/>
  <c r="O392" i="44" s="1"/>
  <c r="S391" i="44"/>
  <c r="O391" i="44" s="1"/>
  <c r="S390" i="44"/>
  <c r="O390" i="44" s="1"/>
  <c r="O399" i="44" l="1"/>
  <c r="R399" i="44" s="1"/>
  <c r="L740" i="1"/>
  <c r="O740" i="1" s="1"/>
  <c r="L741" i="1"/>
  <c r="O741" i="1" s="1"/>
  <c r="U399" i="44"/>
  <c r="O398" i="44"/>
  <c r="R398" i="44" s="1"/>
  <c r="P580" i="43"/>
  <c r="S580" i="43" s="1"/>
  <c r="P581" i="43"/>
  <c r="S581" i="43" s="1"/>
  <c r="V575" i="43"/>
  <c r="P574" i="43"/>
  <c r="S574" i="43" s="1"/>
  <c r="R739" i="1"/>
  <c r="U398" i="44"/>
  <c r="P576" i="43"/>
  <c r="S576" i="43" s="1"/>
  <c r="P573" i="43"/>
  <c r="S573" i="43" s="1"/>
  <c r="P579" i="43"/>
  <c r="S579" i="43" s="1"/>
  <c r="P577" i="43"/>
  <c r="S577" i="43" s="1"/>
  <c r="V572" i="43"/>
  <c r="V578" i="43"/>
  <c r="S575" i="43"/>
  <c r="K391" i="44"/>
  <c r="L391" i="44"/>
  <c r="N391" i="44"/>
  <c r="Q391" i="44"/>
  <c r="U391" i="44"/>
  <c r="K392" i="44"/>
  <c r="L392" i="44"/>
  <c r="N392" i="44"/>
  <c r="Q392" i="44"/>
  <c r="U392" i="44"/>
  <c r="K393" i="44"/>
  <c r="L393" i="44"/>
  <c r="N393" i="44"/>
  <c r="Q393" i="44"/>
  <c r="U393" i="44"/>
  <c r="K394" i="44"/>
  <c r="L394" i="44"/>
  <c r="N394" i="44"/>
  <c r="Q394" i="44"/>
  <c r="R394" i="44"/>
  <c r="K395" i="44"/>
  <c r="L395" i="44"/>
  <c r="N395" i="44"/>
  <c r="Q395" i="44"/>
  <c r="U395" i="44"/>
  <c r="K396" i="44"/>
  <c r="L396" i="44"/>
  <c r="N396" i="44"/>
  <c r="Q396" i="44"/>
  <c r="U396" i="44"/>
  <c r="K397" i="44"/>
  <c r="L397" i="44"/>
  <c r="N397" i="44"/>
  <c r="Q397" i="44"/>
  <c r="U397" i="44"/>
  <c r="K390" i="44"/>
  <c r="L390" i="44"/>
  <c r="N390" i="44"/>
  <c r="Q390" i="44"/>
  <c r="V390" i="44"/>
  <c r="N576" i="43"/>
  <c r="M576" i="43"/>
  <c r="N575" i="43"/>
  <c r="M575" i="43"/>
  <c r="N574" i="43"/>
  <c r="M574" i="43"/>
  <c r="N573" i="43"/>
  <c r="M573" i="43"/>
  <c r="N572" i="43"/>
  <c r="M572" i="43"/>
  <c r="U390" i="44" l="1"/>
  <c r="U394" i="44"/>
  <c r="R392" i="44"/>
  <c r="R393" i="44"/>
  <c r="V397" i="44"/>
  <c r="V393" i="44"/>
  <c r="V392" i="44"/>
  <c r="R397" i="44"/>
  <c r="V394" i="44"/>
  <c r="R396" i="44"/>
  <c r="R391" i="44"/>
  <c r="R395" i="44"/>
  <c r="V396" i="44"/>
  <c r="V391" i="44"/>
  <c r="V395" i="44"/>
  <c r="R390" i="44"/>
  <c r="T571" i="43" l="1"/>
  <c r="P571" i="43" s="1"/>
  <c r="S571" i="43" s="1"/>
  <c r="M571" i="43"/>
  <c r="N571" i="43"/>
  <c r="R571" i="43"/>
  <c r="M577" i="43"/>
  <c r="N577" i="43"/>
  <c r="M578" i="43"/>
  <c r="N578" i="43"/>
  <c r="M579" i="43"/>
  <c r="N579" i="43"/>
  <c r="M580" i="43"/>
  <c r="N580" i="43"/>
  <c r="M581" i="43"/>
  <c r="N581" i="43"/>
  <c r="M570" i="43"/>
  <c r="N570" i="43"/>
  <c r="R570" i="43"/>
  <c r="T570" i="43"/>
  <c r="P570" i="43" s="1"/>
  <c r="S570" i="43" s="1"/>
  <c r="M569" i="43"/>
  <c r="N569" i="43"/>
  <c r="R569" i="43"/>
  <c r="T569" i="43"/>
  <c r="K386" i="44"/>
  <c r="K381" i="44"/>
  <c r="K377" i="44"/>
  <c r="K363" i="44"/>
  <c r="K358" i="44"/>
  <c r="K350" i="44"/>
  <c r="K345" i="44"/>
  <c r="K332" i="44"/>
  <c r="K286" i="44"/>
  <c r="K276" i="44"/>
  <c r="K256" i="44"/>
  <c r="K255" i="44"/>
  <c r="K244" i="44"/>
  <c r="K231" i="44"/>
  <c r="K226" i="44"/>
  <c r="K218" i="44"/>
  <c r="K212" i="44"/>
  <c r="K200" i="44"/>
  <c r="K198" i="44"/>
  <c r="K189" i="44"/>
  <c r="K187" i="44"/>
  <c r="K164" i="44"/>
  <c r="K135" i="44"/>
  <c r="K125" i="44"/>
  <c r="K100" i="44"/>
  <c r="K80" i="44"/>
  <c r="P569" i="43" l="1"/>
  <c r="S569" i="43" s="1"/>
  <c r="V569" i="43"/>
  <c r="V571" i="43"/>
  <c r="V570" i="43"/>
  <c r="T566" i="43"/>
  <c r="P566" i="43" s="1"/>
  <c r="S566" i="43" s="1"/>
  <c r="R566" i="43"/>
  <c r="T564" i="43"/>
  <c r="P564" i="43" s="1"/>
  <c r="S564" i="43" s="1"/>
  <c r="R564" i="43"/>
  <c r="T563" i="43"/>
  <c r="P563" i="43" s="1"/>
  <c r="S563" i="43" s="1"/>
  <c r="R563" i="43"/>
  <c r="T562" i="43"/>
  <c r="P562" i="43" s="1"/>
  <c r="S562" i="43" s="1"/>
  <c r="R562" i="43"/>
  <c r="T557" i="43"/>
  <c r="P557" i="43" s="1"/>
  <c r="S557" i="43" s="1"/>
  <c r="R557" i="43"/>
  <c r="T556" i="43"/>
  <c r="P556" i="43" s="1"/>
  <c r="S556" i="43" s="1"/>
  <c r="R556" i="43"/>
  <c r="T555" i="43"/>
  <c r="P555" i="43" s="1"/>
  <c r="S555" i="43" s="1"/>
  <c r="R555" i="43"/>
  <c r="T554" i="43"/>
  <c r="P554" i="43" s="1"/>
  <c r="S554" i="43" s="1"/>
  <c r="R554" i="43"/>
  <c r="T553" i="43"/>
  <c r="P553" i="43" s="1"/>
  <c r="S553" i="43" s="1"/>
  <c r="R553" i="43"/>
  <c r="T549" i="43"/>
  <c r="P549" i="43" s="1"/>
  <c r="S549" i="43" s="1"/>
  <c r="R549" i="43"/>
  <c r="T548" i="43"/>
  <c r="P548" i="43" s="1"/>
  <c r="S548" i="43" s="1"/>
  <c r="R548" i="43"/>
  <c r="T547" i="43"/>
  <c r="P547" i="43" s="1"/>
  <c r="S547" i="43" s="1"/>
  <c r="R547" i="43"/>
  <c r="T546" i="43"/>
  <c r="P546" i="43" s="1"/>
  <c r="S546" i="43" s="1"/>
  <c r="R546" i="43"/>
  <c r="T545" i="43"/>
  <c r="P545" i="43" s="1"/>
  <c r="S545" i="43" s="1"/>
  <c r="R545" i="43"/>
  <c r="T534" i="43"/>
  <c r="P534" i="43" s="1"/>
  <c r="S534" i="43" s="1"/>
  <c r="R534" i="43"/>
  <c r="T529" i="43"/>
  <c r="P529" i="43" s="1"/>
  <c r="S529" i="43" s="1"/>
  <c r="R529" i="43"/>
  <c r="T524" i="43"/>
  <c r="P524" i="43" s="1"/>
  <c r="S524" i="43" s="1"/>
  <c r="R524" i="43"/>
  <c r="T523" i="43"/>
  <c r="R523" i="43"/>
  <c r="T522" i="43"/>
  <c r="R522" i="43"/>
  <c r="T521" i="43"/>
  <c r="R521" i="43"/>
  <c r="T518" i="43"/>
  <c r="P518" i="43" s="1"/>
  <c r="S518" i="43" s="1"/>
  <c r="R518" i="43"/>
  <c r="T517" i="43"/>
  <c r="P517" i="43" s="1"/>
  <c r="S389" i="44"/>
  <c r="V389" i="44" s="1"/>
  <c r="Q389" i="44"/>
  <c r="S388" i="44"/>
  <c r="V388" i="44" s="1"/>
  <c r="Q388" i="44"/>
  <c r="S387" i="44"/>
  <c r="O387" i="44" s="1"/>
  <c r="R387" i="44" s="1"/>
  <c r="Q387" i="44"/>
  <c r="S386" i="44"/>
  <c r="V386" i="44" s="1"/>
  <c r="Q386" i="44"/>
  <c r="S385" i="44"/>
  <c r="V385" i="44" s="1"/>
  <c r="Q385" i="44"/>
  <c r="S384" i="44"/>
  <c r="V384" i="44" s="1"/>
  <c r="Q384" i="44"/>
  <c r="S383" i="44"/>
  <c r="O383" i="44" s="1"/>
  <c r="R383" i="44" s="1"/>
  <c r="Q383" i="44"/>
  <c r="S382" i="44"/>
  <c r="V382" i="44" s="1"/>
  <c r="Q382" i="44"/>
  <c r="S381" i="44"/>
  <c r="V381" i="44" s="1"/>
  <c r="Q381" i="44"/>
  <c r="S380" i="44"/>
  <c r="U380" i="44" s="1"/>
  <c r="Q380" i="44"/>
  <c r="S379" i="44"/>
  <c r="O379" i="44" s="1"/>
  <c r="R379" i="44" s="1"/>
  <c r="Q379" i="44"/>
  <c r="S378" i="44"/>
  <c r="V378" i="44" s="1"/>
  <c r="Q378" i="44"/>
  <c r="S377" i="44"/>
  <c r="V377" i="44" s="1"/>
  <c r="Q377" i="44"/>
  <c r="S376" i="44"/>
  <c r="V376" i="44" s="1"/>
  <c r="Q376" i="44"/>
  <c r="S375" i="44"/>
  <c r="O375" i="44" s="1"/>
  <c r="R375" i="44" s="1"/>
  <c r="Q375" i="44"/>
  <c r="S374" i="44"/>
  <c r="V374" i="44" s="1"/>
  <c r="Q374" i="44"/>
  <c r="S373" i="44"/>
  <c r="V373" i="44" s="1"/>
  <c r="Q373" i="44"/>
  <c r="S372" i="44"/>
  <c r="U372" i="44" s="1"/>
  <c r="Q372" i="44"/>
  <c r="S371" i="44"/>
  <c r="O371" i="44" s="1"/>
  <c r="R371" i="44" s="1"/>
  <c r="Q371" i="44"/>
  <c r="S370" i="44"/>
  <c r="V370" i="44" s="1"/>
  <c r="Q370" i="44"/>
  <c r="S369" i="44"/>
  <c r="U369" i="44" s="1"/>
  <c r="Q369" i="44"/>
  <c r="S368" i="44"/>
  <c r="U368" i="44" s="1"/>
  <c r="Q368" i="44"/>
  <c r="S367" i="44"/>
  <c r="O367" i="44" s="1"/>
  <c r="R367" i="44" s="1"/>
  <c r="Q367" i="44"/>
  <c r="S366" i="44"/>
  <c r="V366" i="44" s="1"/>
  <c r="Q366" i="44"/>
  <c r="S365" i="44"/>
  <c r="U365" i="44" s="1"/>
  <c r="Q365" i="44"/>
  <c r="S364" i="44"/>
  <c r="U364" i="44" s="1"/>
  <c r="Q364" i="44"/>
  <c r="S363" i="44"/>
  <c r="O363" i="44" s="1"/>
  <c r="R363" i="44" s="1"/>
  <c r="Q363" i="44"/>
  <c r="S362" i="44"/>
  <c r="V362" i="44" s="1"/>
  <c r="Q362" i="44"/>
  <c r="S361" i="44"/>
  <c r="U361" i="44" s="1"/>
  <c r="Q361" i="44"/>
  <c r="S360" i="44"/>
  <c r="U360" i="44" s="1"/>
  <c r="Q360" i="44"/>
  <c r="S359" i="44"/>
  <c r="O359" i="44" s="1"/>
  <c r="R359" i="44" s="1"/>
  <c r="Q359" i="44"/>
  <c r="S358" i="44"/>
  <c r="V358" i="44" s="1"/>
  <c r="Q358" i="44"/>
  <c r="S357" i="44"/>
  <c r="U357" i="44" s="1"/>
  <c r="Q357" i="44"/>
  <c r="S356" i="44"/>
  <c r="U356" i="44" s="1"/>
  <c r="Q356" i="44"/>
  <c r="S355" i="44"/>
  <c r="O355" i="44" s="1"/>
  <c r="R355" i="44" s="1"/>
  <c r="Q355" i="44"/>
  <c r="S354" i="44"/>
  <c r="V354" i="44" s="1"/>
  <c r="Q354" i="44"/>
  <c r="S353" i="44"/>
  <c r="V353" i="44" s="1"/>
  <c r="Q353" i="44"/>
  <c r="S352" i="44"/>
  <c r="O352" i="44" s="1"/>
  <c r="R352" i="44" s="1"/>
  <c r="Q352" i="44"/>
  <c r="S351" i="44"/>
  <c r="O351" i="44" s="1"/>
  <c r="R351" i="44" s="1"/>
  <c r="Q351" i="44"/>
  <c r="S350" i="44"/>
  <c r="V350" i="44" s="1"/>
  <c r="Q350" i="44"/>
  <c r="L381" i="44"/>
  <c r="N381" i="44"/>
  <c r="K382" i="44"/>
  <c r="L382" i="44"/>
  <c r="N382" i="44"/>
  <c r="K383" i="44"/>
  <c r="L383" i="44"/>
  <c r="N383" i="44"/>
  <c r="K384" i="44"/>
  <c r="L384" i="44"/>
  <c r="N384" i="44"/>
  <c r="L385" i="44"/>
  <c r="N385" i="44"/>
  <c r="L386" i="44"/>
  <c r="N386" i="44"/>
  <c r="K387" i="44"/>
  <c r="L387" i="44"/>
  <c r="N387" i="44"/>
  <c r="K388" i="44"/>
  <c r="L388" i="44"/>
  <c r="N388" i="44"/>
  <c r="K389" i="44"/>
  <c r="L389" i="44"/>
  <c r="N389" i="44"/>
  <c r="L351" i="44"/>
  <c r="N351" i="44"/>
  <c r="K352" i="44"/>
  <c r="L352" i="44"/>
  <c r="N352" i="44"/>
  <c r="K353" i="44"/>
  <c r="L353" i="44"/>
  <c r="N353" i="44"/>
  <c r="L354" i="44"/>
  <c r="N354" i="44"/>
  <c r="K355" i="44"/>
  <c r="L355" i="44"/>
  <c r="N355" i="44"/>
  <c r="K356" i="44"/>
  <c r="L356" i="44"/>
  <c r="N356" i="44"/>
  <c r="K357" i="44"/>
  <c r="L357" i="44"/>
  <c r="N357" i="44"/>
  <c r="L358" i="44"/>
  <c r="N358" i="44"/>
  <c r="K359" i="44"/>
  <c r="L359" i="44"/>
  <c r="N359" i="44"/>
  <c r="K360" i="44"/>
  <c r="L360" i="44"/>
  <c r="N360" i="44"/>
  <c r="K361" i="44"/>
  <c r="L361" i="44"/>
  <c r="N361" i="44"/>
  <c r="K362" i="44"/>
  <c r="L362" i="44"/>
  <c r="N362" i="44"/>
  <c r="L363" i="44"/>
  <c r="N363" i="44"/>
  <c r="K364" i="44"/>
  <c r="L364" i="44"/>
  <c r="N364" i="44"/>
  <c r="L365" i="44"/>
  <c r="N365" i="44"/>
  <c r="L366" i="44"/>
  <c r="N366" i="44"/>
  <c r="K367" i="44"/>
  <c r="L367" i="44"/>
  <c r="N367" i="44"/>
  <c r="K368" i="44"/>
  <c r="L368" i="44"/>
  <c r="N368" i="44"/>
  <c r="K369" i="44"/>
  <c r="L369" i="44"/>
  <c r="N369" i="44"/>
  <c r="K370" i="44"/>
  <c r="L370" i="44"/>
  <c r="N370" i="44"/>
  <c r="K371" i="44"/>
  <c r="L371" i="44"/>
  <c r="N371" i="44"/>
  <c r="L372" i="44"/>
  <c r="N372" i="44"/>
  <c r="K373" i="44"/>
  <c r="L373" i="44"/>
  <c r="N373" i="44"/>
  <c r="L374" i="44"/>
  <c r="N374" i="44"/>
  <c r="K375" i="44"/>
  <c r="L375" i="44"/>
  <c r="N375" i="44"/>
  <c r="K376" i="44"/>
  <c r="L376" i="44"/>
  <c r="N376" i="44"/>
  <c r="L377" i="44"/>
  <c r="N377" i="44"/>
  <c r="K378" i="44"/>
  <c r="L378" i="44"/>
  <c r="N378" i="44"/>
  <c r="K379" i="44"/>
  <c r="L379" i="44"/>
  <c r="N379" i="44"/>
  <c r="K380" i="44"/>
  <c r="L380" i="44"/>
  <c r="N380" i="44"/>
  <c r="L350" i="44"/>
  <c r="N350" i="44"/>
  <c r="P521" i="43" l="1"/>
  <c r="S521" i="43" s="1"/>
  <c r="P523" i="43"/>
  <c r="S523" i="43" s="1"/>
  <c r="P522" i="43"/>
  <c r="S522" i="43" s="1"/>
  <c r="O376" i="44"/>
  <c r="R376" i="44" s="1"/>
  <c r="O373" i="44"/>
  <c r="R373" i="44" s="1"/>
  <c r="O384" i="44"/>
  <c r="R384" i="44" s="1"/>
  <c r="V360" i="44"/>
  <c r="O357" i="44"/>
  <c r="R357" i="44" s="1"/>
  <c r="V368" i="44"/>
  <c r="V380" i="44"/>
  <c r="O388" i="44"/>
  <c r="R388" i="44" s="1"/>
  <c r="O353" i="44"/>
  <c r="R353" i="44" s="1"/>
  <c r="V369" i="44"/>
  <c r="U382" i="44"/>
  <c r="U352" i="44"/>
  <c r="V352" i="44"/>
  <c r="U353" i="44"/>
  <c r="O365" i="44"/>
  <c r="R365" i="44" s="1"/>
  <c r="V356" i="44"/>
  <c r="U376" i="44"/>
  <c r="U381" i="44"/>
  <c r="V364" i="44"/>
  <c r="U389" i="44"/>
  <c r="V361" i="44"/>
  <c r="V365" i="44"/>
  <c r="O369" i="44"/>
  <c r="R369" i="44" s="1"/>
  <c r="U374" i="44"/>
  <c r="O377" i="44"/>
  <c r="R377" i="44" s="1"/>
  <c r="U388" i="44"/>
  <c r="V357" i="44"/>
  <c r="O361" i="44"/>
  <c r="R361" i="44" s="1"/>
  <c r="V372" i="44"/>
  <c r="O381" i="44"/>
  <c r="R381" i="44" s="1"/>
  <c r="U354" i="44"/>
  <c r="U358" i="44"/>
  <c r="U362" i="44"/>
  <c r="U366" i="44"/>
  <c r="U370" i="44"/>
  <c r="U350" i="44"/>
  <c r="O380" i="44"/>
  <c r="R380" i="44" s="1"/>
  <c r="U385" i="44"/>
  <c r="O356" i="44"/>
  <c r="R356" i="44" s="1"/>
  <c r="O360" i="44"/>
  <c r="R360" i="44" s="1"/>
  <c r="O364" i="44"/>
  <c r="R364" i="44" s="1"/>
  <c r="O368" i="44"/>
  <c r="R368" i="44" s="1"/>
  <c r="O372" i="44"/>
  <c r="R372" i="44" s="1"/>
  <c r="U377" i="44"/>
  <c r="U384" i="44"/>
  <c r="U373" i="44"/>
  <c r="U386" i="44"/>
  <c r="O389" i="44"/>
  <c r="R389" i="44" s="1"/>
  <c r="O385" i="44"/>
  <c r="R385" i="44" s="1"/>
  <c r="U378" i="44"/>
  <c r="O350" i="44"/>
  <c r="R350" i="44" s="1"/>
  <c r="O354" i="44"/>
  <c r="R354" i="44" s="1"/>
  <c r="O358" i="44"/>
  <c r="R358" i="44" s="1"/>
  <c r="O362" i="44"/>
  <c r="R362" i="44" s="1"/>
  <c r="O366" i="44"/>
  <c r="R366" i="44" s="1"/>
  <c r="O370" i="44"/>
  <c r="R370" i="44" s="1"/>
  <c r="O374" i="44"/>
  <c r="R374" i="44" s="1"/>
  <c r="O378" i="44"/>
  <c r="R378" i="44" s="1"/>
  <c r="O382" i="44"/>
  <c r="R382" i="44" s="1"/>
  <c r="O386" i="44"/>
  <c r="R386" i="44" s="1"/>
  <c r="U351" i="44"/>
  <c r="U355" i="44"/>
  <c r="U359" i="44"/>
  <c r="U363" i="44"/>
  <c r="U367" i="44"/>
  <c r="U371" i="44"/>
  <c r="U375" i="44"/>
  <c r="U379" i="44"/>
  <c r="U383" i="44"/>
  <c r="U387" i="44"/>
  <c r="V351" i="44"/>
  <c r="V355" i="44"/>
  <c r="V359" i="44"/>
  <c r="V363" i="44"/>
  <c r="V367" i="44"/>
  <c r="V371" i="44"/>
  <c r="V375" i="44"/>
  <c r="V379" i="44"/>
  <c r="V383" i="44"/>
  <c r="V387" i="44"/>
  <c r="V564" i="43" l="1"/>
  <c r="V563" i="43"/>
  <c r="V555" i="43"/>
  <c r="V547" i="43"/>
  <c r="V546" i="43"/>
  <c r="V523" i="43"/>
  <c r="V522" i="43"/>
  <c r="J541" i="43"/>
  <c r="M541" i="43" s="1"/>
  <c r="J523" i="43"/>
  <c r="M523" i="43" s="1"/>
  <c r="J522" i="43"/>
  <c r="M522" i="43" s="1"/>
  <c r="J521" i="43"/>
  <c r="M521" i="43" s="1"/>
  <c r="J533" i="43"/>
  <c r="M533" i="43" s="1"/>
  <c r="J528" i="43"/>
  <c r="M528" i="43" s="1"/>
  <c r="J560" i="43"/>
  <c r="N560" i="43" s="1"/>
  <c r="J540" i="43"/>
  <c r="N540" i="43" s="1"/>
  <c r="J516" i="43"/>
  <c r="M516" i="43" s="1"/>
  <c r="J546" i="43"/>
  <c r="M546" i="43" s="1"/>
  <c r="J547" i="43"/>
  <c r="M547" i="43" s="1"/>
  <c r="J553" i="43"/>
  <c r="M553" i="43" s="1"/>
  <c r="J554" i="43"/>
  <c r="N554" i="43" s="1"/>
  <c r="J555" i="43"/>
  <c r="N555" i="43" s="1"/>
  <c r="J562" i="43"/>
  <c r="M562" i="43" s="1"/>
  <c r="J563" i="43"/>
  <c r="M563" i="43" s="1"/>
  <c r="J564" i="43"/>
  <c r="N564" i="43" s="1"/>
  <c r="J545" i="43"/>
  <c r="N545" i="43" s="1"/>
  <c r="J556" i="43"/>
  <c r="M556" i="43" s="1"/>
  <c r="J549" i="43"/>
  <c r="N549" i="43" s="1"/>
  <c r="J535" i="43"/>
  <c r="N535" i="43" s="1"/>
  <c r="J538" i="43"/>
  <c r="M538" i="43" s="1"/>
  <c r="J542" i="43"/>
  <c r="M542" i="43" s="1"/>
  <c r="J550" i="43"/>
  <c r="N550" i="43" s="1"/>
  <c r="J568" i="43"/>
  <c r="M568" i="43" s="1"/>
  <c r="J567" i="43"/>
  <c r="M567" i="43" s="1"/>
  <c r="J559" i="43"/>
  <c r="M559" i="43" s="1"/>
  <c r="J558" i="43"/>
  <c r="N558" i="43" s="1"/>
  <c r="J551" i="43"/>
  <c r="N551" i="43" s="1"/>
  <c r="J543" i="43"/>
  <c r="N543" i="43" s="1"/>
  <c r="J539" i="43"/>
  <c r="M539" i="43" s="1"/>
  <c r="J536" i="43"/>
  <c r="N536" i="43" s="1"/>
  <c r="J531" i="43"/>
  <c r="M531" i="43" s="1"/>
  <c r="J530" i="43"/>
  <c r="N530" i="43" s="1"/>
  <c r="J526" i="43"/>
  <c r="M526" i="43" s="1"/>
  <c r="J525" i="43"/>
  <c r="M525" i="43" s="1"/>
  <c r="J520" i="43"/>
  <c r="M520" i="43" s="1"/>
  <c r="J519" i="43"/>
  <c r="M519" i="43" s="1"/>
  <c r="J566" i="43"/>
  <c r="M566" i="43" s="1"/>
  <c r="J557" i="43"/>
  <c r="N557" i="43" s="1"/>
  <c r="J548" i="43"/>
  <c r="M548" i="43" s="1"/>
  <c r="J534" i="43"/>
  <c r="N534" i="43" s="1"/>
  <c r="J529" i="43"/>
  <c r="M529" i="43" s="1"/>
  <c r="J518" i="43"/>
  <c r="M518" i="43" s="1"/>
  <c r="J565" i="43"/>
  <c r="M565" i="43" s="1"/>
  <c r="J537" i="43"/>
  <c r="M537" i="43" s="1"/>
  <c r="J561" i="43"/>
  <c r="M561" i="43" s="1"/>
  <c r="J552" i="43"/>
  <c r="M552" i="43" s="1"/>
  <c r="J544" i="43"/>
  <c r="M544" i="43" s="1"/>
  <c r="J532" i="43"/>
  <c r="N532" i="43" s="1"/>
  <c r="J527" i="43"/>
  <c r="M527" i="43" s="1"/>
  <c r="J515" i="43"/>
  <c r="N515" i="43" s="1"/>
  <c r="N452" i="19"/>
  <c r="N451" i="19"/>
  <c r="N447" i="19"/>
  <c r="N448" i="19"/>
  <c r="N449" i="19"/>
  <c r="J524" i="43"/>
  <c r="N524" i="43" s="1"/>
  <c r="J517" i="43"/>
  <c r="N517" i="43" s="1"/>
  <c r="R516" i="43"/>
  <c r="R517" i="43"/>
  <c r="S517" i="43"/>
  <c r="R519" i="43"/>
  <c r="T519" i="43"/>
  <c r="R520" i="43"/>
  <c r="T520" i="43"/>
  <c r="V521" i="43"/>
  <c r="V524" i="43"/>
  <c r="R525" i="43"/>
  <c r="T525" i="43"/>
  <c r="P525" i="43" s="1"/>
  <c r="R526" i="43"/>
  <c r="T526" i="43"/>
  <c r="P526" i="43" s="1"/>
  <c r="R528" i="43"/>
  <c r="R530" i="43"/>
  <c r="T530" i="43"/>
  <c r="P530" i="43" s="1"/>
  <c r="R531" i="43"/>
  <c r="T531" i="43"/>
  <c r="P531" i="43" s="1"/>
  <c r="R532" i="43"/>
  <c r="T532" i="43"/>
  <c r="P532" i="43" s="1"/>
  <c r="R533" i="43"/>
  <c r="T533" i="43"/>
  <c r="P533" i="43" s="1"/>
  <c r="R535" i="43"/>
  <c r="T535" i="43"/>
  <c r="P535" i="43" s="1"/>
  <c r="R536" i="43"/>
  <c r="T536" i="43"/>
  <c r="P536" i="43" s="1"/>
  <c r="R537" i="43"/>
  <c r="T537" i="43"/>
  <c r="P537" i="43" s="1"/>
  <c r="R538" i="43"/>
  <c r="T538" i="43"/>
  <c r="P538" i="43" s="1"/>
  <c r="R539" i="43"/>
  <c r="T539" i="43"/>
  <c r="P539" i="43" s="1"/>
  <c r="R540" i="43"/>
  <c r="T540" i="43"/>
  <c r="P540" i="43" s="1"/>
  <c r="R541" i="43"/>
  <c r="T541" i="43"/>
  <c r="P541" i="43" s="1"/>
  <c r="R542" i="43"/>
  <c r="T542" i="43"/>
  <c r="P542" i="43" s="1"/>
  <c r="R543" i="43"/>
  <c r="T543" i="43"/>
  <c r="P543" i="43" s="1"/>
  <c r="R544" i="43"/>
  <c r="T544" i="43"/>
  <c r="P544" i="43" s="1"/>
  <c r="V549" i="43"/>
  <c r="R550" i="43"/>
  <c r="T550" i="43"/>
  <c r="P550" i="43" s="1"/>
  <c r="R551" i="43"/>
  <c r="T551" i="43"/>
  <c r="P551" i="43" s="1"/>
  <c r="R552" i="43"/>
  <c r="T552" i="43"/>
  <c r="P552" i="43" s="1"/>
  <c r="V557" i="43"/>
  <c r="R558" i="43"/>
  <c r="T558" i="43"/>
  <c r="P558" i="43" s="1"/>
  <c r="R559" i="43"/>
  <c r="T559" i="43"/>
  <c r="P559" i="43" s="1"/>
  <c r="R560" i="43"/>
  <c r="T560" i="43"/>
  <c r="P560" i="43" s="1"/>
  <c r="R561" i="43"/>
  <c r="T561" i="43"/>
  <c r="P561" i="43" s="1"/>
  <c r="R565" i="43"/>
  <c r="T565" i="43"/>
  <c r="P565" i="43" s="1"/>
  <c r="R567" i="43"/>
  <c r="T567" i="43"/>
  <c r="P567" i="43" s="1"/>
  <c r="R568" i="43"/>
  <c r="T568" i="43"/>
  <c r="P568" i="43" s="1"/>
  <c r="R515" i="43"/>
  <c r="T515" i="43"/>
  <c r="P515" i="43" s="1"/>
  <c r="N454" i="19"/>
  <c r="T300" i="43"/>
  <c r="V300" i="43" s="1"/>
  <c r="R300" i="43"/>
  <c r="N300" i="43"/>
  <c r="M300" i="43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453" i="19"/>
  <c r="N514" i="19"/>
  <c r="N513" i="19"/>
  <c r="N511" i="19"/>
  <c r="N510" i="19"/>
  <c r="N509" i="19"/>
  <c r="N508" i="19"/>
  <c r="N507" i="19"/>
  <c r="N506" i="19"/>
  <c r="N505" i="19"/>
  <c r="N504" i="19"/>
  <c r="N502" i="19"/>
  <c r="N501" i="19"/>
  <c r="N500" i="19"/>
  <c r="N497" i="19"/>
  <c r="N496" i="19"/>
  <c r="N495" i="19"/>
  <c r="N493" i="19"/>
  <c r="N492" i="19"/>
  <c r="N491" i="19"/>
  <c r="N490" i="19"/>
  <c r="K515" i="19"/>
  <c r="K514" i="19"/>
  <c r="K513" i="19"/>
  <c r="K512" i="19"/>
  <c r="K511" i="19"/>
  <c r="K510" i="19"/>
  <c r="K509" i="19"/>
  <c r="K508" i="19"/>
  <c r="K507" i="19"/>
  <c r="K506" i="19"/>
  <c r="K505" i="19"/>
  <c r="K504" i="19"/>
  <c r="K503" i="19"/>
  <c r="K502" i="19"/>
  <c r="K501" i="19"/>
  <c r="K500" i="19"/>
  <c r="K499" i="19"/>
  <c r="K498" i="19"/>
  <c r="K497" i="19"/>
  <c r="K496" i="19"/>
  <c r="K495" i="19"/>
  <c r="K494" i="19"/>
  <c r="K493" i="19"/>
  <c r="K492" i="19"/>
  <c r="K491" i="19"/>
  <c r="K490" i="19"/>
  <c r="N486" i="19"/>
  <c r="N485" i="19"/>
  <c r="N484" i="19"/>
  <c r="K486" i="19"/>
  <c r="K485" i="19"/>
  <c r="K484" i="19"/>
  <c r="N481" i="19"/>
  <c r="N480" i="19"/>
  <c r="N479" i="19"/>
  <c r="N478" i="19"/>
  <c r="K481" i="19"/>
  <c r="K480" i="19"/>
  <c r="K479" i="19"/>
  <c r="K478" i="19"/>
  <c r="N476" i="19"/>
  <c r="N474" i="19"/>
  <c r="N473" i="19"/>
  <c r="N472" i="19"/>
  <c r="N471" i="19"/>
  <c r="K476" i="19"/>
  <c r="K474" i="19"/>
  <c r="K473" i="19"/>
  <c r="K472" i="19"/>
  <c r="K471" i="19"/>
  <c r="N468" i="19"/>
  <c r="N467" i="19"/>
  <c r="K468" i="19"/>
  <c r="K467" i="19"/>
  <c r="N463" i="19"/>
  <c r="N464" i="19"/>
  <c r="K464" i="19"/>
  <c r="K463" i="19"/>
  <c r="N460" i="19"/>
  <c r="N459" i="19"/>
  <c r="K460" i="19"/>
  <c r="K459" i="19"/>
  <c r="K454" i="19"/>
  <c r="K453" i="19"/>
  <c r="K451" i="19"/>
  <c r="K449" i="19"/>
  <c r="K448" i="19"/>
  <c r="K447" i="19"/>
  <c r="K452" i="19"/>
  <c r="K445" i="19"/>
  <c r="K446" i="19"/>
  <c r="K444" i="19"/>
  <c r="K443" i="19"/>
  <c r="N445" i="19"/>
  <c r="N444" i="19"/>
  <c r="N443" i="19"/>
  <c r="L437" i="19"/>
  <c r="L499" i="19"/>
  <c r="N499" i="19" s="1"/>
  <c r="L494" i="19"/>
  <c r="N494" i="19" s="1"/>
  <c r="L515" i="19"/>
  <c r="N515" i="19" s="1"/>
  <c r="L512" i="19"/>
  <c r="N512" i="19" s="1"/>
  <c r="L503" i="19"/>
  <c r="N503" i="19" s="1"/>
  <c r="L498" i="19"/>
  <c r="N498" i="19" s="1"/>
  <c r="L489" i="19"/>
  <c r="N489" i="19" s="1"/>
  <c r="K489" i="19"/>
  <c r="L488" i="19"/>
  <c r="N488" i="19" s="1"/>
  <c r="K488" i="19"/>
  <c r="L487" i="19"/>
  <c r="N487" i="19" s="1"/>
  <c r="K487" i="19"/>
  <c r="L483" i="19"/>
  <c r="N483" i="19" s="1"/>
  <c r="K483" i="19"/>
  <c r="L482" i="19"/>
  <c r="N482" i="19" s="1"/>
  <c r="K482" i="19"/>
  <c r="L477" i="19"/>
  <c r="N477" i="19" s="1"/>
  <c r="K477" i="19"/>
  <c r="L470" i="19"/>
  <c r="N470" i="19" s="1"/>
  <c r="K470" i="19"/>
  <c r="L475" i="19"/>
  <c r="N475" i="19" s="1"/>
  <c r="K475" i="19"/>
  <c r="L469" i="19"/>
  <c r="N469" i="19" s="1"/>
  <c r="K469" i="19"/>
  <c r="L466" i="19"/>
  <c r="N466" i="19" s="1"/>
  <c r="K466" i="19"/>
  <c r="L465" i="19"/>
  <c r="N465" i="19" s="1"/>
  <c r="K465" i="19"/>
  <c r="L462" i="19"/>
  <c r="N462" i="19" s="1"/>
  <c r="K462" i="19"/>
  <c r="L461" i="19"/>
  <c r="N461" i="19" s="1"/>
  <c r="K461" i="19"/>
  <c r="L457" i="19"/>
  <c r="N457" i="19" s="1"/>
  <c r="K457" i="19"/>
  <c r="L458" i="19"/>
  <c r="N458" i="19" s="1"/>
  <c r="K458" i="19"/>
  <c r="L456" i="19"/>
  <c r="N456" i="19" s="1"/>
  <c r="K456" i="19"/>
  <c r="L455" i="19"/>
  <c r="N455" i="19" s="1"/>
  <c r="K455" i="19"/>
  <c r="L450" i="19"/>
  <c r="N450" i="19" s="1"/>
  <c r="K450" i="19"/>
  <c r="L446" i="19"/>
  <c r="N446" i="19" s="1"/>
  <c r="L442" i="19"/>
  <c r="N442" i="19" s="1"/>
  <c r="K442" i="19"/>
  <c r="L441" i="19"/>
  <c r="N441" i="19" s="1"/>
  <c r="K441" i="19"/>
  <c r="L433" i="19"/>
  <c r="L429" i="19"/>
  <c r="L428" i="19"/>
  <c r="L425" i="19"/>
  <c r="L421" i="19"/>
  <c r="L418" i="19"/>
  <c r="P516" i="43" l="1"/>
  <c r="S516" i="43" s="1"/>
  <c r="P519" i="43"/>
  <c r="S519" i="43" s="1"/>
  <c r="P520" i="43"/>
  <c r="S520" i="43" s="1"/>
  <c r="S515" i="43"/>
  <c r="V558" i="43"/>
  <c r="S537" i="43"/>
  <c r="V560" i="43"/>
  <c r="S560" i="43"/>
  <c r="S550" i="43"/>
  <c r="S544" i="43"/>
  <c r="S540" i="43"/>
  <c r="S536" i="43"/>
  <c r="S532" i="43"/>
  <c r="S528" i="43"/>
  <c r="V542" i="43"/>
  <c r="S542" i="43"/>
  <c r="S530" i="43"/>
  <c r="S568" i="43"/>
  <c r="S552" i="43"/>
  <c r="V567" i="43"/>
  <c r="S567" i="43"/>
  <c r="V551" i="43"/>
  <c r="S551" i="43"/>
  <c r="V541" i="43"/>
  <c r="S541" i="43"/>
  <c r="S533" i="43"/>
  <c r="S525" i="43"/>
  <c r="S565" i="43"/>
  <c r="S559" i="43"/>
  <c r="S543" i="43"/>
  <c r="S539" i="43"/>
  <c r="V535" i="43"/>
  <c r="S535" i="43"/>
  <c r="S531" i="43"/>
  <c r="S538" i="43"/>
  <c r="S526" i="43"/>
  <c r="S561" i="43"/>
  <c r="N563" i="43"/>
  <c r="N546" i="43"/>
  <c r="N541" i="43"/>
  <c r="M554" i="43"/>
  <c r="N547" i="43"/>
  <c r="M564" i="43"/>
  <c r="M555" i="43"/>
  <c r="V554" i="43"/>
  <c r="M540" i="43"/>
  <c r="N523" i="43"/>
  <c r="M560" i="43"/>
  <c r="N533" i="43"/>
  <c r="N522" i="43"/>
  <c r="N528" i="43"/>
  <c r="N521" i="43"/>
  <c r="N516" i="43"/>
  <c r="N553" i="43"/>
  <c r="M545" i="43"/>
  <c r="M549" i="43"/>
  <c r="N568" i="43"/>
  <c r="N556" i="43"/>
  <c r="N562" i="43"/>
  <c r="M550" i="43"/>
  <c r="N566" i="43"/>
  <c r="N529" i="43"/>
  <c r="V550" i="43"/>
  <c r="N542" i="43"/>
  <c r="M557" i="43"/>
  <c r="V531" i="43"/>
  <c r="M534" i="43"/>
  <c r="M535" i="43"/>
  <c r="N538" i="43"/>
  <c r="N565" i="43"/>
  <c r="N561" i="43"/>
  <c r="N548" i="43"/>
  <c r="N537" i="43"/>
  <c r="V545" i="43"/>
  <c r="N567" i="43"/>
  <c r="M543" i="43"/>
  <c r="M558" i="43"/>
  <c r="M551" i="43"/>
  <c r="N539" i="43"/>
  <c r="N531" i="43"/>
  <c r="N559" i="43"/>
  <c r="M536" i="43"/>
  <c r="N526" i="43"/>
  <c r="M530" i="43"/>
  <c r="N525" i="43"/>
  <c r="N520" i="43"/>
  <c r="N519" i="43"/>
  <c r="N552" i="43"/>
  <c r="N544" i="43"/>
  <c r="N518" i="43"/>
  <c r="M515" i="43"/>
  <c r="M532" i="43"/>
  <c r="N527" i="43"/>
  <c r="V538" i="43"/>
  <c r="M524" i="43"/>
  <c r="V534" i="43"/>
  <c r="V529" i="43"/>
  <c r="M517" i="43"/>
  <c r="V556" i="43"/>
  <c r="V548" i="43"/>
  <c r="V540" i="43"/>
  <c r="V520" i="43"/>
  <c r="V559" i="43"/>
  <c r="V518" i="43"/>
  <c r="V515" i="43"/>
  <c r="V566" i="43"/>
  <c r="V562" i="43"/>
  <c r="V537" i="43"/>
  <c r="V528" i="43"/>
  <c r="V568" i="43"/>
  <c r="V565" i="43"/>
  <c r="V539" i="43"/>
  <c r="V532" i="43"/>
  <c r="V533" i="43"/>
  <c r="V525" i="43"/>
  <c r="V519" i="43"/>
  <c r="V516" i="43"/>
  <c r="S558" i="43"/>
  <c r="V553" i="43"/>
  <c r="V526" i="43"/>
  <c r="V517" i="43"/>
  <c r="V544" i="43"/>
  <c r="V561" i="43"/>
  <c r="V552" i="43"/>
  <c r="V543" i="43"/>
  <c r="V536" i="43"/>
  <c r="V530" i="43"/>
  <c r="P300" i="43"/>
  <c r="S300" i="43" s="1"/>
  <c r="H512" i="19"/>
  <c r="H513" i="19"/>
  <c r="H514" i="19"/>
  <c r="H515" i="19"/>
  <c r="P736" i="1"/>
  <c r="R736" i="1" s="1"/>
  <c r="P735" i="1"/>
  <c r="R735" i="1" s="1"/>
  <c r="P734" i="1"/>
  <c r="R734" i="1" s="1"/>
  <c r="P733" i="1"/>
  <c r="R733" i="1" s="1"/>
  <c r="P732" i="1"/>
  <c r="R732" i="1" s="1"/>
  <c r="P730" i="1"/>
  <c r="R730" i="1" s="1"/>
  <c r="P729" i="1"/>
  <c r="R729" i="1" s="1"/>
  <c r="P728" i="1"/>
  <c r="R728" i="1" s="1"/>
  <c r="P727" i="1"/>
  <c r="R727" i="1" s="1"/>
  <c r="P726" i="1"/>
  <c r="R726" i="1" s="1"/>
  <c r="P725" i="1"/>
  <c r="R725" i="1" s="1"/>
  <c r="P724" i="1"/>
  <c r="R724" i="1" s="1"/>
  <c r="P723" i="1"/>
  <c r="R723" i="1" s="1"/>
  <c r="P722" i="1"/>
  <c r="R722" i="1" s="1"/>
  <c r="P721" i="1"/>
  <c r="R721" i="1" s="1"/>
  <c r="P720" i="1"/>
  <c r="R720" i="1" s="1"/>
  <c r="P719" i="1"/>
  <c r="R719" i="1" s="1"/>
  <c r="P718" i="1"/>
  <c r="R718" i="1" s="1"/>
  <c r="P717" i="1"/>
  <c r="R717" i="1" s="1"/>
  <c r="P715" i="1"/>
  <c r="R715" i="1" s="1"/>
  <c r="P714" i="1"/>
  <c r="R714" i="1" s="1"/>
  <c r="P712" i="1"/>
  <c r="R712" i="1" s="1"/>
  <c r="P713" i="1"/>
  <c r="R713" i="1" s="1"/>
  <c r="P711" i="1"/>
  <c r="R711" i="1" s="1"/>
  <c r="P710" i="1"/>
  <c r="R710" i="1" s="1"/>
  <c r="P709" i="1"/>
  <c r="R709" i="1" s="1"/>
  <c r="P708" i="1"/>
  <c r="R708" i="1" s="1"/>
  <c r="P707" i="1"/>
  <c r="R707" i="1" s="1"/>
  <c r="P705" i="1"/>
  <c r="R705" i="1" s="1"/>
  <c r="P706" i="1"/>
  <c r="R706" i="1" s="1"/>
  <c r="P704" i="1"/>
  <c r="R704" i="1" s="1"/>
  <c r="P703" i="1"/>
  <c r="R703" i="1" s="1"/>
  <c r="P702" i="1"/>
  <c r="R702" i="1" s="1"/>
  <c r="P701" i="1"/>
  <c r="R701" i="1" s="1"/>
  <c r="P700" i="1"/>
  <c r="R700" i="1" s="1"/>
  <c r="P699" i="1"/>
  <c r="R699" i="1" s="1"/>
  <c r="P696" i="1"/>
  <c r="R696" i="1" s="1"/>
  <c r="P695" i="1"/>
  <c r="R695" i="1" s="1"/>
  <c r="P694" i="1"/>
  <c r="R694" i="1" s="1"/>
  <c r="P693" i="1"/>
  <c r="R693" i="1" s="1"/>
  <c r="P691" i="1"/>
  <c r="R691" i="1" s="1"/>
  <c r="P690" i="1"/>
  <c r="R690" i="1" s="1"/>
  <c r="P689" i="1"/>
  <c r="R689" i="1" s="1"/>
  <c r="P688" i="1"/>
  <c r="R688" i="1" s="1"/>
  <c r="P687" i="1"/>
  <c r="R687" i="1" s="1"/>
  <c r="P686" i="1"/>
  <c r="R686" i="1" s="1"/>
  <c r="P685" i="1"/>
  <c r="R685" i="1" s="1"/>
  <c r="P684" i="1"/>
  <c r="R684" i="1" s="1"/>
  <c r="P683" i="1"/>
  <c r="R683" i="1" s="1"/>
  <c r="P682" i="1"/>
  <c r="L682" i="1" s="1"/>
  <c r="O682" i="1" s="1"/>
  <c r="P681" i="1"/>
  <c r="R681" i="1" s="1"/>
  <c r="P680" i="1"/>
  <c r="R680" i="1" s="1"/>
  <c r="P679" i="1"/>
  <c r="R679" i="1" s="1"/>
  <c r="P678" i="1"/>
  <c r="R678" i="1" s="1"/>
  <c r="P677" i="1"/>
  <c r="R677" i="1" s="1"/>
  <c r="P676" i="1"/>
  <c r="R676" i="1" s="1"/>
  <c r="P675" i="1"/>
  <c r="R675" i="1" s="1"/>
  <c r="P674" i="1"/>
  <c r="R674" i="1" s="1"/>
  <c r="P673" i="1"/>
  <c r="R673" i="1" s="1"/>
  <c r="P672" i="1"/>
  <c r="R672" i="1" s="1"/>
  <c r="P670" i="1"/>
  <c r="R670" i="1" s="1"/>
  <c r="P671" i="1"/>
  <c r="R671" i="1" s="1"/>
  <c r="P669" i="1"/>
  <c r="R669" i="1" s="1"/>
  <c r="P668" i="1"/>
  <c r="R668" i="1" s="1"/>
  <c r="P667" i="1"/>
  <c r="R667" i="1" s="1"/>
  <c r="P666" i="1"/>
  <c r="R666" i="1" s="1"/>
  <c r="P665" i="1"/>
  <c r="R665" i="1" s="1"/>
  <c r="P664" i="1"/>
  <c r="R664" i="1" s="1"/>
  <c r="P663" i="1"/>
  <c r="R663" i="1" s="1"/>
  <c r="P662" i="1"/>
  <c r="R662" i="1" s="1"/>
  <c r="P661" i="1"/>
  <c r="R661" i="1" s="1"/>
  <c r="P660" i="1"/>
  <c r="R660" i="1" s="1"/>
  <c r="P659" i="1"/>
  <c r="R659" i="1" s="1"/>
  <c r="P658" i="1"/>
  <c r="R658" i="1" s="1"/>
  <c r="P657" i="1"/>
  <c r="R657" i="1" s="1"/>
  <c r="P656" i="1"/>
  <c r="R656" i="1" s="1"/>
  <c r="P655" i="1"/>
  <c r="R655" i="1" s="1"/>
  <c r="P654" i="1"/>
  <c r="R654" i="1" s="1"/>
  <c r="P653" i="1"/>
  <c r="R653" i="1" s="1"/>
  <c r="P652" i="1"/>
  <c r="R652" i="1" s="1"/>
  <c r="P651" i="1"/>
  <c r="R651" i="1" s="1"/>
  <c r="P650" i="1"/>
  <c r="R650" i="1" s="1"/>
  <c r="P649" i="1"/>
  <c r="R649" i="1" s="1"/>
  <c r="P648" i="1"/>
  <c r="R648" i="1" s="1"/>
  <c r="P647" i="1"/>
  <c r="R647" i="1" s="1"/>
  <c r="P646" i="1"/>
  <c r="R646" i="1" s="1"/>
  <c r="P645" i="1"/>
  <c r="R645" i="1" s="1"/>
  <c r="P644" i="1"/>
  <c r="R644" i="1" s="1"/>
  <c r="P642" i="1"/>
  <c r="R642" i="1" s="1"/>
  <c r="P641" i="1"/>
  <c r="R641" i="1" s="1"/>
  <c r="P640" i="1"/>
  <c r="R640" i="1" s="1"/>
  <c r="P639" i="1"/>
  <c r="R639" i="1" s="1"/>
  <c r="P638" i="1"/>
  <c r="R638" i="1" s="1"/>
  <c r="P637" i="1"/>
  <c r="R637" i="1" s="1"/>
  <c r="P636" i="1"/>
  <c r="R636" i="1" s="1"/>
  <c r="P635" i="1"/>
  <c r="R635" i="1" s="1"/>
  <c r="P632" i="1"/>
  <c r="R632" i="1" s="1"/>
  <c r="P633" i="1"/>
  <c r="R633" i="1" s="1"/>
  <c r="P631" i="1"/>
  <c r="R631" i="1" s="1"/>
  <c r="P630" i="1"/>
  <c r="R630" i="1" s="1"/>
  <c r="P629" i="1"/>
  <c r="R629" i="1" s="1"/>
  <c r="P627" i="1"/>
  <c r="R627" i="1" s="1"/>
  <c r="P626" i="1"/>
  <c r="R626" i="1" s="1"/>
  <c r="P625" i="1"/>
  <c r="R625" i="1" s="1"/>
  <c r="P624" i="1"/>
  <c r="R624" i="1" s="1"/>
  <c r="P623" i="1"/>
  <c r="R623" i="1" s="1"/>
  <c r="P622" i="1"/>
  <c r="L622" i="1" s="1"/>
  <c r="O622" i="1" s="1"/>
  <c r="P618" i="1"/>
  <c r="L618" i="1" s="1"/>
  <c r="O618" i="1" s="1"/>
  <c r="P621" i="1"/>
  <c r="L621" i="1" s="1"/>
  <c r="O621" i="1" s="1"/>
  <c r="P620" i="1"/>
  <c r="L620" i="1" s="1"/>
  <c r="O620" i="1" s="1"/>
  <c r="P617" i="1"/>
  <c r="L617" i="1" s="1"/>
  <c r="O617" i="1" s="1"/>
  <c r="P616" i="1"/>
  <c r="L616" i="1" s="1"/>
  <c r="O616" i="1" s="1"/>
  <c r="P615" i="1"/>
  <c r="L615" i="1" s="1"/>
  <c r="O615" i="1" s="1"/>
  <c r="P613" i="1"/>
  <c r="L613" i="1" s="1"/>
  <c r="O613" i="1" s="1"/>
  <c r="P614" i="1"/>
  <c r="L614" i="1" s="1"/>
  <c r="O614" i="1" s="1"/>
  <c r="P612" i="1"/>
  <c r="L612" i="1" s="1"/>
  <c r="O612" i="1" s="1"/>
  <c r="P611" i="1"/>
  <c r="L611" i="1" s="1"/>
  <c r="O611" i="1" s="1"/>
  <c r="P608" i="1"/>
  <c r="L608" i="1" s="1"/>
  <c r="O608" i="1" s="1"/>
  <c r="P607" i="1"/>
  <c r="L607" i="1" s="1"/>
  <c r="O607" i="1" s="1"/>
  <c r="P606" i="1"/>
  <c r="L606" i="1" s="1"/>
  <c r="O606" i="1" s="1"/>
  <c r="P605" i="1"/>
  <c r="L605" i="1" s="1"/>
  <c r="O605" i="1" s="1"/>
  <c r="P604" i="1"/>
  <c r="P738" i="1"/>
  <c r="P737" i="1"/>
  <c r="P731" i="1"/>
  <c r="P716" i="1"/>
  <c r="P698" i="1"/>
  <c r="P697" i="1"/>
  <c r="P692" i="1"/>
  <c r="P634" i="1"/>
  <c r="P643" i="1"/>
  <c r="P628" i="1"/>
  <c r="P619" i="1"/>
  <c r="P610" i="1"/>
  <c r="P609" i="1"/>
  <c r="P584" i="1"/>
  <c r="L90" i="18"/>
  <c r="L87" i="18"/>
  <c r="L85" i="18"/>
  <c r="L80" i="18"/>
  <c r="L79" i="18"/>
  <c r="L78" i="18"/>
  <c r="L86" i="18"/>
  <c r="L84" i="18"/>
  <c r="L88" i="18"/>
  <c r="L83" i="18"/>
  <c r="L82" i="18"/>
  <c r="L81" i="18"/>
  <c r="M77" i="18"/>
  <c r="O77" i="18" s="1"/>
  <c r="M78" i="18"/>
  <c r="O78" i="18" s="1"/>
  <c r="M79" i="18"/>
  <c r="O79" i="18" s="1"/>
  <c r="M80" i="18"/>
  <c r="O80" i="18" s="1"/>
  <c r="M81" i="18"/>
  <c r="O81" i="18" s="1"/>
  <c r="M82" i="18"/>
  <c r="O82" i="18" s="1"/>
  <c r="M83" i="18"/>
  <c r="O83" i="18" s="1"/>
  <c r="M84" i="18"/>
  <c r="O84" i="18" s="1"/>
  <c r="M85" i="18"/>
  <c r="O85" i="18" s="1"/>
  <c r="M86" i="18"/>
  <c r="O86" i="18" s="1"/>
  <c r="M87" i="18"/>
  <c r="O87" i="18" s="1"/>
  <c r="M88" i="18"/>
  <c r="O88" i="18" s="1"/>
  <c r="M89" i="18"/>
  <c r="O89" i="18" s="1"/>
  <c r="M90" i="18"/>
  <c r="O90" i="18" s="1"/>
  <c r="M91" i="18"/>
  <c r="O91" i="18" s="1"/>
  <c r="M92" i="18"/>
  <c r="O92" i="18" s="1"/>
  <c r="H78" i="18"/>
  <c r="K78" i="18"/>
  <c r="H79" i="18"/>
  <c r="K79" i="18"/>
  <c r="H80" i="18"/>
  <c r="K80" i="18"/>
  <c r="H81" i="18"/>
  <c r="K81" i="18"/>
  <c r="H82" i="18"/>
  <c r="K82" i="18"/>
  <c r="H83" i="18"/>
  <c r="K83" i="18"/>
  <c r="H84" i="18"/>
  <c r="K84" i="18"/>
  <c r="H85" i="18"/>
  <c r="K85" i="18"/>
  <c r="H86" i="18"/>
  <c r="K86" i="18"/>
  <c r="H87" i="18"/>
  <c r="K87" i="18"/>
  <c r="H88" i="18"/>
  <c r="K88" i="18"/>
  <c r="H89" i="18"/>
  <c r="K89" i="18"/>
  <c r="L89" i="18"/>
  <c r="H90" i="18"/>
  <c r="K90" i="18"/>
  <c r="H91" i="18"/>
  <c r="K91" i="18"/>
  <c r="L91" i="18"/>
  <c r="H92" i="18"/>
  <c r="K92" i="18"/>
  <c r="L92" i="18"/>
  <c r="H77" i="18"/>
  <c r="K77" i="18"/>
  <c r="L77" i="18"/>
  <c r="S348" i="44"/>
  <c r="V348" i="44" s="1"/>
  <c r="Q348" i="44"/>
  <c r="N348" i="44"/>
  <c r="L348" i="44"/>
  <c r="S347" i="44"/>
  <c r="V347" i="44" s="1"/>
  <c r="Q347" i="44"/>
  <c r="N347" i="44"/>
  <c r="L347" i="44"/>
  <c r="K347" i="44"/>
  <c r="S346" i="44"/>
  <c r="O346" i="44" s="1"/>
  <c r="R346" i="44" s="1"/>
  <c r="Q346" i="44"/>
  <c r="N346" i="44"/>
  <c r="L346" i="44"/>
  <c r="S345" i="44"/>
  <c r="O345" i="44" s="1"/>
  <c r="R345" i="44" s="1"/>
  <c r="Q345" i="44"/>
  <c r="N345" i="44"/>
  <c r="L345" i="44"/>
  <c r="S344" i="44"/>
  <c r="V344" i="44" s="1"/>
  <c r="Q344" i="44"/>
  <c r="N344" i="44"/>
  <c r="L344" i="44"/>
  <c r="K344" i="44"/>
  <c r="S343" i="44"/>
  <c r="V343" i="44" s="1"/>
  <c r="Q343" i="44"/>
  <c r="N343" i="44"/>
  <c r="L343" i="44"/>
  <c r="K343" i="44"/>
  <c r="S342" i="44"/>
  <c r="O342" i="44" s="1"/>
  <c r="R342" i="44" s="1"/>
  <c r="Q342" i="44"/>
  <c r="N342" i="44"/>
  <c r="L342" i="44"/>
  <c r="K342" i="44"/>
  <c r="S341" i="44"/>
  <c r="O341" i="44" s="1"/>
  <c r="R341" i="44" s="1"/>
  <c r="Q341" i="44"/>
  <c r="N341" i="44"/>
  <c r="L341" i="44"/>
  <c r="K341" i="44"/>
  <c r="S340" i="44"/>
  <c r="V340" i="44" s="1"/>
  <c r="Q340" i="44"/>
  <c r="N340" i="44"/>
  <c r="L340" i="44"/>
  <c r="K340" i="44"/>
  <c r="S339" i="44"/>
  <c r="V339" i="44" s="1"/>
  <c r="Q339" i="44"/>
  <c r="N339" i="44"/>
  <c r="L339" i="44"/>
  <c r="S338" i="44"/>
  <c r="O338" i="44" s="1"/>
  <c r="R338" i="44" s="1"/>
  <c r="Q338" i="44"/>
  <c r="N338" i="44"/>
  <c r="L338" i="44"/>
  <c r="K338" i="44"/>
  <c r="S337" i="44"/>
  <c r="O337" i="44" s="1"/>
  <c r="R337" i="44" s="1"/>
  <c r="Q337" i="44"/>
  <c r="N337" i="44"/>
  <c r="L337" i="44"/>
  <c r="K337" i="44"/>
  <c r="S336" i="44"/>
  <c r="O336" i="44" s="1"/>
  <c r="R336" i="44" s="1"/>
  <c r="Q336" i="44"/>
  <c r="N336" i="44"/>
  <c r="L336" i="44"/>
  <c r="S335" i="44"/>
  <c r="V335" i="44" s="1"/>
  <c r="Q335" i="44"/>
  <c r="N335" i="44"/>
  <c r="L335" i="44"/>
  <c r="K335" i="44"/>
  <c r="S334" i="44"/>
  <c r="V334" i="44" s="1"/>
  <c r="Q334" i="44"/>
  <c r="N334" i="44"/>
  <c r="L334" i="44"/>
  <c r="K334" i="44"/>
  <c r="S333" i="44"/>
  <c r="O333" i="44" s="1"/>
  <c r="R333" i="44" s="1"/>
  <c r="Q333" i="44"/>
  <c r="N333" i="44"/>
  <c r="L333" i="44"/>
  <c r="S332" i="44"/>
  <c r="O332" i="44" s="1"/>
  <c r="R332" i="44" s="1"/>
  <c r="Q332" i="44"/>
  <c r="N332" i="44"/>
  <c r="L332" i="44"/>
  <c r="T508" i="43"/>
  <c r="V508" i="43" s="1"/>
  <c r="R508" i="43"/>
  <c r="T504" i="43"/>
  <c r="P504" i="43" s="1"/>
  <c r="S504" i="43" s="1"/>
  <c r="R504" i="43"/>
  <c r="T502" i="43"/>
  <c r="V502" i="43" s="1"/>
  <c r="R502" i="43"/>
  <c r="T501" i="43"/>
  <c r="V501" i="43" s="1"/>
  <c r="R501" i="43"/>
  <c r="T496" i="43"/>
  <c r="P496" i="43" s="1"/>
  <c r="S496" i="43" s="1"/>
  <c r="R496" i="43"/>
  <c r="T495" i="43"/>
  <c r="V495" i="43" s="1"/>
  <c r="R495" i="43"/>
  <c r="T494" i="43"/>
  <c r="V494" i="43" s="1"/>
  <c r="R494" i="43"/>
  <c r="T492" i="43"/>
  <c r="V492" i="43" s="1"/>
  <c r="R492" i="43"/>
  <c r="J508" i="43"/>
  <c r="N508" i="43" s="1"/>
  <c r="J504" i="43"/>
  <c r="N504" i="43" s="1"/>
  <c r="J502" i="43"/>
  <c r="N502" i="43" s="1"/>
  <c r="J501" i="43"/>
  <c r="N501" i="43" s="1"/>
  <c r="J496" i="43"/>
  <c r="N496" i="43" s="1"/>
  <c r="J495" i="43"/>
  <c r="N495" i="43" s="1"/>
  <c r="J494" i="43"/>
  <c r="M494" i="43" s="1"/>
  <c r="J492" i="43"/>
  <c r="N492" i="43" s="1"/>
  <c r="T505" i="43"/>
  <c r="V505" i="43" s="1"/>
  <c r="R505" i="43"/>
  <c r="T499" i="43"/>
  <c r="P499" i="43" s="1"/>
  <c r="S499" i="43" s="1"/>
  <c r="R499" i="43"/>
  <c r="J505" i="43"/>
  <c r="N505" i="43" s="1"/>
  <c r="J499" i="43"/>
  <c r="N499" i="43" s="1"/>
  <c r="T512" i="43"/>
  <c r="V512" i="43" s="1"/>
  <c r="R512" i="43"/>
  <c r="J512" i="43"/>
  <c r="N512" i="43" s="1"/>
  <c r="T514" i="43"/>
  <c r="V514" i="43" s="1"/>
  <c r="R514" i="43"/>
  <c r="T498" i="43"/>
  <c r="P498" i="43" s="1"/>
  <c r="S498" i="43" s="1"/>
  <c r="R498" i="43"/>
  <c r="J514" i="43"/>
  <c r="N514" i="43" s="1"/>
  <c r="J498" i="43"/>
  <c r="N498" i="43" s="1"/>
  <c r="T513" i="43"/>
  <c r="V513" i="43" s="1"/>
  <c r="R513" i="43"/>
  <c r="T509" i="43"/>
  <c r="P509" i="43" s="1"/>
  <c r="S509" i="43" s="1"/>
  <c r="R509" i="43"/>
  <c r="T503" i="43"/>
  <c r="V503" i="43" s="1"/>
  <c r="R503" i="43"/>
  <c r="T497" i="43"/>
  <c r="V497" i="43" s="1"/>
  <c r="R497" i="43"/>
  <c r="T493" i="43"/>
  <c r="P493" i="43" s="1"/>
  <c r="S493" i="43" s="1"/>
  <c r="R493" i="43"/>
  <c r="J513" i="43"/>
  <c r="N513" i="43" s="1"/>
  <c r="J509" i="43"/>
  <c r="N509" i="43" s="1"/>
  <c r="J503" i="43"/>
  <c r="N503" i="43" s="1"/>
  <c r="J497" i="43"/>
  <c r="N497" i="43" s="1"/>
  <c r="J493" i="43"/>
  <c r="N493" i="43" s="1"/>
  <c r="T510" i="43"/>
  <c r="V510" i="43" s="1"/>
  <c r="R510" i="43"/>
  <c r="T491" i="43"/>
  <c r="V491" i="43" s="1"/>
  <c r="R491" i="43"/>
  <c r="J510" i="43"/>
  <c r="N510" i="43" s="1"/>
  <c r="J491" i="43"/>
  <c r="M491" i="43" s="1"/>
  <c r="T511" i="43"/>
  <c r="V511" i="43" s="1"/>
  <c r="R511" i="43"/>
  <c r="T507" i="43"/>
  <c r="P507" i="43" s="1"/>
  <c r="S507" i="43" s="1"/>
  <c r="R507" i="43"/>
  <c r="T506" i="43"/>
  <c r="V506" i="43" s="1"/>
  <c r="R506" i="43"/>
  <c r="T500" i="43"/>
  <c r="V500" i="43" s="1"/>
  <c r="R500" i="43"/>
  <c r="J511" i="43"/>
  <c r="N511" i="43" s="1"/>
  <c r="J507" i="43"/>
  <c r="M507" i="43" s="1"/>
  <c r="J506" i="43"/>
  <c r="N506" i="43" s="1"/>
  <c r="J500" i="43"/>
  <c r="N500" i="43" s="1"/>
  <c r="T490" i="43"/>
  <c r="T486" i="43"/>
  <c r="P486" i="43" s="1"/>
  <c r="T485" i="43"/>
  <c r="P485" i="43" s="1"/>
  <c r="T480" i="43"/>
  <c r="P480" i="43" s="1"/>
  <c r="T477" i="43"/>
  <c r="P477" i="43" s="1"/>
  <c r="T474" i="43"/>
  <c r="T469" i="43"/>
  <c r="P469" i="43" s="1"/>
  <c r="T468" i="43"/>
  <c r="T462" i="43"/>
  <c r="P462" i="43" s="1"/>
  <c r="T460" i="43"/>
  <c r="P460" i="43" s="1"/>
  <c r="T458" i="43"/>
  <c r="P458" i="43" s="1"/>
  <c r="T457" i="43"/>
  <c r="P457" i="43" s="1"/>
  <c r="T454" i="43"/>
  <c r="P454" i="43" s="1"/>
  <c r="T453" i="43"/>
  <c r="P453" i="43" s="1"/>
  <c r="T450" i="43"/>
  <c r="P450" i="43" s="1"/>
  <c r="T445" i="43"/>
  <c r="P445" i="43" s="1"/>
  <c r="T443" i="43"/>
  <c r="P443" i="43" s="1"/>
  <c r="T441" i="43"/>
  <c r="P441" i="43" s="1"/>
  <c r="T440" i="43"/>
  <c r="P440" i="43" s="1"/>
  <c r="T489" i="43"/>
  <c r="T488" i="43"/>
  <c r="T487" i="43"/>
  <c r="T484" i="43"/>
  <c r="T483" i="43"/>
  <c r="T482" i="43"/>
  <c r="T481" i="43"/>
  <c r="T479" i="43"/>
  <c r="T478" i="43"/>
  <c r="T476" i="43"/>
  <c r="T475" i="43"/>
  <c r="T473" i="43"/>
  <c r="T472" i="43"/>
  <c r="T471" i="43"/>
  <c r="T467" i="43"/>
  <c r="T465" i="43"/>
  <c r="T470" i="43"/>
  <c r="T466" i="43"/>
  <c r="T464" i="43"/>
  <c r="T463" i="43"/>
  <c r="T461" i="43"/>
  <c r="T459" i="43"/>
  <c r="T456" i="43"/>
  <c r="T452" i="43"/>
  <c r="T455" i="43"/>
  <c r="T451" i="43"/>
  <c r="T449" i="43"/>
  <c r="T448" i="43"/>
  <c r="T447" i="43"/>
  <c r="T446" i="43"/>
  <c r="T444" i="43"/>
  <c r="T442" i="43"/>
  <c r="M59" i="18"/>
  <c r="S165" i="44"/>
  <c r="O165" i="44" s="1"/>
  <c r="R165" i="44" s="1"/>
  <c r="Q165" i="44"/>
  <c r="S180" i="44"/>
  <c r="O180" i="44" s="1"/>
  <c r="R180" i="44" s="1"/>
  <c r="Q180" i="44"/>
  <c r="S196" i="44"/>
  <c r="O196" i="44" s="1"/>
  <c r="R196" i="44" s="1"/>
  <c r="Q196" i="44"/>
  <c r="S220" i="44"/>
  <c r="O220" i="44" s="1"/>
  <c r="R220" i="44" s="1"/>
  <c r="Q220" i="44"/>
  <c r="S233" i="44"/>
  <c r="O233" i="44" s="1"/>
  <c r="R233" i="44" s="1"/>
  <c r="Q233" i="44"/>
  <c r="S237" i="44"/>
  <c r="O237" i="44" s="1"/>
  <c r="R237" i="44" s="1"/>
  <c r="Q237" i="44"/>
  <c r="S248" i="44"/>
  <c r="O248" i="44" s="1"/>
  <c r="R248" i="44" s="1"/>
  <c r="Q248" i="44"/>
  <c r="S299" i="44"/>
  <c r="O299" i="44" s="1"/>
  <c r="R299" i="44" s="1"/>
  <c r="Q299" i="44"/>
  <c r="S307" i="44"/>
  <c r="O307" i="44" s="1"/>
  <c r="R307" i="44" s="1"/>
  <c r="Q307" i="44"/>
  <c r="S126" i="44"/>
  <c r="O126" i="44" s="1"/>
  <c r="R126" i="44" s="1"/>
  <c r="Q126" i="44"/>
  <c r="S129" i="44"/>
  <c r="O129" i="44" s="1"/>
  <c r="R129" i="44" s="1"/>
  <c r="Q129" i="44"/>
  <c r="S150" i="44"/>
  <c r="O150" i="44" s="1"/>
  <c r="R150" i="44" s="1"/>
  <c r="Q150" i="44"/>
  <c r="S171" i="44"/>
  <c r="O171" i="44" s="1"/>
  <c r="R171" i="44" s="1"/>
  <c r="Q171" i="44"/>
  <c r="S166" i="44"/>
  <c r="O166" i="44" s="1"/>
  <c r="R166" i="44" s="1"/>
  <c r="Q166" i="44"/>
  <c r="S202" i="44"/>
  <c r="O202" i="44" s="1"/>
  <c r="R202" i="44" s="1"/>
  <c r="Q202" i="44"/>
  <c r="S223" i="44"/>
  <c r="O223" i="44" s="1"/>
  <c r="R223" i="44" s="1"/>
  <c r="Q223" i="44"/>
  <c r="S241" i="44"/>
  <c r="O241" i="44" s="1"/>
  <c r="R241" i="44" s="1"/>
  <c r="Q241" i="44"/>
  <c r="S265" i="44"/>
  <c r="O265" i="44" s="1"/>
  <c r="R265" i="44" s="1"/>
  <c r="Q265" i="44"/>
  <c r="S292" i="44"/>
  <c r="O292" i="44" s="1"/>
  <c r="R292" i="44" s="1"/>
  <c r="Q292" i="44"/>
  <c r="S311" i="44"/>
  <c r="O311" i="44" s="1"/>
  <c r="R311" i="44" s="1"/>
  <c r="Q311" i="44"/>
  <c r="S314" i="44"/>
  <c r="O314" i="44" s="1"/>
  <c r="R314" i="44" s="1"/>
  <c r="Q314" i="44"/>
  <c r="S251" i="44"/>
  <c r="S272" i="44"/>
  <c r="O272" i="44" s="1"/>
  <c r="R272" i="44" s="1"/>
  <c r="Q272" i="44"/>
  <c r="S274" i="44"/>
  <c r="O274" i="44" s="1"/>
  <c r="R274" i="44" s="1"/>
  <c r="Q274" i="44"/>
  <c r="S289" i="44"/>
  <c r="O289" i="44" s="1"/>
  <c r="R289" i="44" s="1"/>
  <c r="Q289" i="44"/>
  <c r="S300" i="44"/>
  <c r="O300" i="44" s="1"/>
  <c r="R300" i="44" s="1"/>
  <c r="Q300" i="44"/>
  <c r="S304" i="44"/>
  <c r="O304" i="44" s="1"/>
  <c r="R304" i="44" s="1"/>
  <c r="Q304" i="44"/>
  <c r="S163" i="44"/>
  <c r="O163" i="44" s="1"/>
  <c r="R163" i="44" s="1"/>
  <c r="Q163" i="44"/>
  <c r="S170" i="44"/>
  <c r="O170" i="44" s="1"/>
  <c r="R170" i="44" s="1"/>
  <c r="Q170" i="44"/>
  <c r="S178" i="44"/>
  <c r="O178" i="44" s="1"/>
  <c r="R178" i="44" s="1"/>
  <c r="Q178" i="44"/>
  <c r="S184" i="44"/>
  <c r="O184" i="44" s="1"/>
  <c r="R184" i="44" s="1"/>
  <c r="Q184" i="44"/>
  <c r="S197" i="44"/>
  <c r="O197" i="44" s="1"/>
  <c r="R197" i="44" s="1"/>
  <c r="Q197" i="44"/>
  <c r="S199" i="44"/>
  <c r="O199" i="44" s="1"/>
  <c r="R199" i="44" s="1"/>
  <c r="Q199" i="44"/>
  <c r="S206" i="44"/>
  <c r="O206" i="44" s="1"/>
  <c r="R206" i="44" s="1"/>
  <c r="Q206" i="44"/>
  <c r="S225" i="44"/>
  <c r="O225" i="44" s="1"/>
  <c r="R225" i="44" s="1"/>
  <c r="Q225" i="44"/>
  <c r="S228" i="44"/>
  <c r="O228" i="44" s="1"/>
  <c r="R228" i="44" s="1"/>
  <c r="Q228" i="44"/>
  <c r="S234" i="44"/>
  <c r="O234" i="44" s="1"/>
  <c r="R234" i="44" s="1"/>
  <c r="Q234" i="44"/>
  <c r="S238" i="44"/>
  <c r="O238" i="44" s="1"/>
  <c r="R238" i="44" s="1"/>
  <c r="Q238" i="44"/>
  <c r="S246" i="44"/>
  <c r="O246" i="44" s="1"/>
  <c r="R246" i="44" s="1"/>
  <c r="Q246" i="44"/>
  <c r="S257" i="44"/>
  <c r="O257" i="44" s="1"/>
  <c r="R257" i="44" s="1"/>
  <c r="Q257" i="44"/>
  <c r="S259" i="44"/>
  <c r="O259" i="44" s="1"/>
  <c r="R259" i="44" s="1"/>
  <c r="Q259" i="44"/>
  <c r="S260" i="44"/>
  <c r="O260" i="44" s="1"/>
  <c r="R260" i="44" s="1"/>
  <c r="Q260" i="44"/>
  <c r="S264" i="44"/>
  <c r="O264" i="44" s="1"/>
  <c r="R264" i="44" s="1"/>
  <c r="Q264" i="44"/>
  <c r="S269" i="44"/>
  <c r="O269" i="44" s="1"/>
  <c r="R269" i="44" s="1"/>
  <c r="Q269" i="44"/>
  <c r="S270" i="44"/>
  <c r="O270" i="44" s="1"/>
  <c r="R270" i="44" s="1"/>
  <c r="Q270" i="44"/>
  <c r="S273" i="44"/>
  <c r="O273" i="44" s="1"/>
  <c r="R273" i="44" s="1"/>
  <c r="Q273" i="44"/>
  <c r="S278" i="44"/>
  <c r="O278" i="44" s="1"/>
  <c r="R278" i="44" s="1"/>
  <c r="Q278" i="44"/>
  <c r="S280" i="44"/>
  <c r="O280" i="44" s="1"/>
  <c r="R280" i="44" s="1"/>
  <c r="Q280" i="44"/>
  <c r="S282" i="44"/>
  <c r="O282" i="44" s="1"/>
  <c r="R282" i="44" s="1"/>
  <c r="Q282" i="44"/>
  <c r="S284" i="44"/>
  <c r="O284" i="44" s="1"/>
  <c r="R284" i="44" s="1"/>
  <c r="Q284" i="44"/>
  <c r="S288" i="44"/>
  <c r="O288" i="44" s="1"/>
  <c r="R288" i="44" s="1"/>
  <c r="Q288" i="44"/>
  <c r="S296" i="44"/>
  <c r="O296" i="44" s="1"/>
  <c r="R296" i="44" s="1"/>
  <c r="Q296" i="44"/>
  <c r="S303" i="44"/>
  <c r="O303" i="44" s="1"/>
  <c r="R303" i="44" s="1"/>
  <c r="Q303" i="44"/>
  <c r="S306" i="44"/>
  <c r="O306" i="44" s="1"/>
  <c r="R306" i="44" s="1"/>
  <c r="Q306" i="44"/>
  <c r="S310" i="44"/>
  <c r="O310" i="44" s="1"/>
  <c r="R310" i="44" s="1"/>
  <c r="Q310" i="44"/>
  <c r="S313" i="44"/>
  <c r="O313" i="44" s="1"/>
  <c r="R313" i="44" s="1"/>
  <c r="Q313" i="44"/>
  <c r="S316" i="44"/>
  <c r="O316" i="44" s="1"/>
  <c r="R316" i="44" s="1"/>
  <c r="Q316" i="44"/>
  <c r="S321" i="44"/>
  <c r="O321" i="44" s="1"/>
  <c r="R321" i="44" s="1"/>
  <c r="Q321" i="44"/>
  <c r="S323" i="44"/>
  <c r="O323" i="44" s="1"/>
  <c r="R323" i="44" s="1"/>
  <c r="Q323" i="44"/>
  <c r="S324" i="44"/>
  <c r="O324" i="44" s="1"/>
  <c r="R324" i="44" s="1"/>
  <c r="Q324" i="44"/>
  <c r="S254" i="44"/>
  <c r="O254" i="44" s="1"/>
  <c r="R254" i="44" s="1"/>
  <c r="Q254" i="44"/>
  <c r="S263" i="44"/>
  <c r="O263" i="44" s="1"/>
  <c r="R263" i="44" s="1"/>
  <c r="Q263" i="44"/>
  <c r="S275" i="44"/>
  <c r="O275" i="44" s="1"/>
  <c r="R275" i="44" s="1"/>
  <c r="Q275" i="44"/>
  <c r="S281" i="44"/>
  <c r="O281" i="44" s="1"/>
  <c r="R281" i="44" s="1"/>
  <c r="Q281" i="44"/>
  <c r="S285" i="44"/>
  <c r="O285" i="44" s="1"/>
  <c r="R285" i="44" s="1"/>
  <c r="Q285" i="44"/>
  <c r="S290" i="44"/>
  <c r="O290" i="44" s="1"/>
  <c r="R290" i="44" s="1"/>
  <c r="Q290" i="44"/>
  <c r="S297" i="44"/>
  <c r="O297" i="44" s="1"/>
  <c r="R297" i="44" s="1"/>
  <c r="Q297" i="44"/>
  <c r="S301" i="44"/>
  <c r="O301" i="44" s="1"/>
  <c r="R301" i="44" s="1"/>
  <c r="Q301" i="44"/>
  <c r="S317" i="44"/>
  <c r="O317" i="44" s="1"/>
  <c r="R317" i="44" s="1"/>
  <c r="Q317" i="44"/>
  <c r="S326" i="44"/>
  <c r="O326" i="44" s="1"/>
  <c r="R326" i="44" s="1"/>
  <c r="Q326" i="44"/>
  <c r="S327" i="44"/>
  <c r="O327" i="44" s="1"/>
  <c r="R327" i="44" s="1"/>
  <c r="Q327" i="44"/>
  <c r="S158" i="44"/>
  <c r="O158" i="44" s="1"/>
  <c r="S221" i="44"/>
  <c r="O221" i="44" s="1"/>
  <c r="S283" i="44"/>
  <c r="O283" i="44" s="1"/>
  <c r="S235" i="44"/>
  <c r="O235" i="44" s="1"/>
  <c r="S229" i="44"/>
  <c r="O229" i="44" s="1"/>
  <c r="S318" i="44"/>
  <c r="O318" i="44" s="1"/>
  <c r="S308" i="44"/>
  <c r="O308" i="44" s="1"/>
  <c r="S331" i="44"/>
  <c r="O331" i="44" s="1"/>
  <c r="R331" i="44" s="1"/>
  <c r="Q331" i="44"/>
  <c r="S294" i="44"/>
  <c r="O294" i="44" s="1"/>
  <c r="R294" i="44" s="1"/>
  <c r="Q294" i="44"/>
  <c r="S286" i="44"/>
  <c r="O286" i="44" s="1"/>
  <c r="R286" i="44" s="1"/>
  <c r="Q286" i="44"/>
  <c r="S276" i="44"/>
  <c r="O276" i="44" s="1"/>
  <c r="R276" i="44" s="1"/>
  <c r="Q276" i="44"/>
  <c r="S267" i="44"/>
  <c r="O267" i="44" s="1"/>
  <c r="R267" i="44" s="1"/>
  <c r="Q267" i="44"/>
  <c r="S256" i="44"/>
  <c r="O256" i="44" s="1"/>
  <c r="R256" i="44" s="1"/>
  <c r="Q256" i="44"/>
  <c r="S255" i="44"/>
  <c r="O255" i="44" s="1"/>
  <c r="R255" i="44" s="1"/>
  <c r="Q255" i="44"/>
  <c r="S244" i="44"/>
  <c r="O244" i="44" s="1"/>
  <c r="R244" i="44" s="1"/>
  <c r="Q244" i="44"/>
  <c r="S243" i="44"/>
  <c r="O243" i="44" s="1"/>
  <c r="R243" i="44" s="1"/>
  <c r="Q243" i="44"/>
  <c r="S236" i="44"/>
  <c r="O236" i="44" s="1"/>
  <c r="R236" i="44" s="1"/>
  <c r="Q236" i="44"/>
  <c r="S231" i="44"/>
  <c r="O231" i="44" s="1"/>
  <c r="R231" i="44" s="1"/>
  <c r="Q231" i="44"/>
  <c r="S230" i="44"/>
  <c r="O230" i="44" s="1"/>
  <c r="R230" i="44" s="1"/>
  <c r="Q230" i="44"/>
  <c r="S226" i="44"/>
  <c r="O226" i="44" s="1"/>
  <c r="R226" i="44" s="1"/>
  <c r="Q226" i="44"/>
  <c r="S218" i="44"/>
  <c r="O218" i="44" s="1"/>
  <c r="R218" i="44" s="1"/>
  <c r="Q218" i="44"/>
  <c r="S212" i="44"/>
  <c r="O212" i="44" s="1"/>
  <c r="R212" i="44" s="1"/>
  <c r="Q212" i="44"/>
  <c r="S200" i="44"/>
  <c r="O200" i="44" s="1"/>
  <c r="R200" i="44" s="1"/>
  <c r="Q200" i="44"/>
  <c r="S198" i="44"/>
  <c r="O198" i="44" s="1"/>
  <c r="R198" i="44" s="1"/>
  <c r="Q198" i="44"/>
  <c r="S189" i="44"/>
  <c r="O189" i="44" s="1"/>
  <c r="R189" i="44" s="1"/>
  <c r="Q189" i="44"/>
  <c r="S187" i="44"/>
  <c r="O187" i="44" s="1"/>
  <c r="R187" i="44" s="1"/>
  <c r="Q187" i="44"/>
  <c r="S186" i="44"/>
  <c r="O186" i="44" s="1"/>
  <c r="R186" i="44" s="1"/>
  <c r="Q186" i="44"/>
  <c r="S167" i="44"/>
  <c r="O167" i="44" s="1"/>
  <c r="R167" i="44" s="1"/>
  <c r="Q167" i="44"/>
  <c r="S164" i="44"/>
  <c r="O164" i="44" s="1"/>
  <c r="R164" i="44" s="1"/>
  <c r="Q164" i="44"/>
  <c r="S135" i="44"/>
  <c r="O135" i="44" s="1"/>
  <c r="R135" i="44" s="1"/>
  <c r="Q135" i="44"/>
  <c r="S148" i="44"/>
  <c r="O148" i="44" s="1"/>
  <c r="R148" i="44" s="1"/>
  <c r="Q148" i="44"/>
  <c r="S145" i="44"/>
  <c r="O145" i="44" s="1"/>
  <c r="L723" i="1" l="1"/>
  <c r="O723" i="1" s="1"/>
  <c r="L649" i="1"/>
  <c r="O649" i="1" s="1"/>
  <c r="L691" i="1"/>
  <c r="O691" i="1" s="1"/>
  <c r="L719" i="1"/>
  <c r="O719" i="1" s="1"/>
  <c r="L725" i="1"/>
  <c r="O725" i="1" s="1"/>
  <c r="L701" i="1"/>
  <c r="O701" i="1" s="1"/>
  <c r="L654" i="1"/>
  <c r="O654" i="1" s="1"/>
  <c r="L688" i="1"/>
  <c r="O688" i="1" s="1"/>
  <c r="L695" i="1"/>
  <c r="O695" i="1" s="1"/>
  <c r="L734" i="1"/>
  <c r="O734" i="1" s="1"/>
  <c r="L735" i="1"/>
  <c r="O735" i="1" s="1"/>
  <c r="L732" i="1"/>
  <c r="O732" i="1" s="1"/>
  <c r="L626" i="1"/>
  <c r="O626" i="1" s="1"/>
  <c r="L641" i="1"/>
  <c r="O641" i="1" s="1"/>
  <c r="L683" i="1"/>
  <c r="O683" i="1" s="1"/>
  <c r="L636" i="1"/>
  <c r="O636" i="1" s="1"/>
  <c r="L642" i="1"/>
  <c r="O642" i="1" s="1"/>
  <c r="L664" i="1"/>
  <c r="O664" i="1" s="1"/>
  <c r="L623" i="1"/>
  <c r="O623" i="1" s="1"/>
  <c r="L629" i="1"/>
  <c r="O629" i="1" s="1"/>
  <c r="L729" i="1"/>
  <c r="O729" i="1" s="1"/>
  <c r="L680" i="1"/>
  <c r="O680" i="1" s="1"/>
  <c r="L624" i="1"/>
  <c r="O624" i="1" s="1"/>
  <c r="L674" i="1"/>
  <c r="O674" i="1" s="1"/>
  <c r="L710" i="1"/>
  <c r="O710" i="1" s="1"/>
  <c r="L736" i="1"/>
  <c r="O736" i="1" s="1"/>
  <c r="L666" i="1"/>
  <c r="O666" i="1" s="1"/>
  <c r="L689" i="1"/>
  <c r="O689" i="1" s="1"/>
  <c r="L631" i="1"/>
  <c r="O631" i="1" s="1"/>
  <c r="L645" i="1"/>
  <c r="O645" i="1" s="1"/>
  <c r="L672" i="1"/>
  <c r="O672" i="1" s="1"/>
  <c r="L684" i="1"/>
  <c r="O684" i="1" s="1"/>
  <c r="L696" i="1"/>
  <c r="O696" i="1" s="1"/>
  <c r="L644" i="1"/>
  <c r="O644" i="1" s="1"/>
  <c r="L668" i="1"/>
  <c r="O668" i="1" s="1"/>
  <c r="L632" i="1"/>
  <c r="O632" i="1" s="1"/>
  <c r="L640" i="1"/>
  <c r="O640" i="1" s="1"/>
  <c r="L650" i="1"/>
  <c r="O650" i="1" s="1"/>
  <c r="L656" i="1"/>
  <c r="O656" i="1" s="1"/>
  <c r="L687" i="1"/>
  <c r="O687" i="1" s="1"/>
  <c r="L700" i="1"/>
  <c r="O700" i="1" s="1"/>
  <c r="L705" i="1"/>
  <c r="O705" i="1" s="1"/>
  <c r="L713" i="1"/>
  <c r="O713" i="1" s="1"/>
  <c r="R682" i="1"/>
  <c r="L637" i="1"/>
  <c r="O637" i="1" s="1"/>
  <c r="L652" i="1"/>
  <c r="O652" i="1" s="1"/>
  <c r="L708" i="1"/>
  <c r="O708" i="1" s="1"/>
  <c r="L633" i="1"/>
  <c r="O633" i="1" s="1"/>
  <c r="L685" i="1"/>
  <c r="O685" i="1" s="1"/>
  <c r="L712" i="1"/>
  <c r="O712" i="1" s="1"/>
  <c r="L627" i="1"/>
  <c r="O627" i="1" s="1"/>
  <c r="L638" i="1"/>
  <c r="O638" i="1" s="1"/>
  <c r="L653" i="1"/>
  <c r="O653" i="1" s="1"/>
  <c r="L658" i="1"/>
  <c r="O658" i="1" s="1"/>
  <c r="L671" i="1"/>
  <c r="O671" i="1" s="1"/>
  <c r="L704" i="1"/>
  <c r="O704" i="1" s="1"/>
  <c r="L709" i="1"/>
  <c r="O709" i="1" s="1"/>
  <c r="L721" i="1"/>
  <c r="O721" i="1" s="1"/>
  <c r="L726" i="1"/>
  <c r="O726" i="1" s="1"/>
  <c r="L646" i="1"/>
  <c r="O646" i="1" s="1"/>
  <c r="L660" i="1"/>
  <c r="O660" i="1" s="1"/>
  <c r="L676" i="1"/>
  <c r="O676" i="1" s="1"/>
  <c r="L681" i="1"/>
  <c r="O681" i="1" s="1"/>
  <c r="L694" i="1"/>
  <c r="O694" i="1" s="1"/>
  <c r="L706" i="1"/>
  <c r="O706" i="1" s="1"/>
  <c r="L714" i="1"/>
  <c r="O714" i="1" s="1"/>
  <c r="L730" i="1"/>
  <c r="O730" i="1" s="1"/>
  <c r="L625" i="1"/>
  <c r="O625" i="1" s="1"/>
  <c r="L630" i="1"/>
  <c r="O630" i="1" s="1"/>
  <c r="L635" i="1"/>
  <c r="O635" i="1" s="1"/>
  <c r="L639" i="1"/>
  <c r="O639" i="1" s="1"/>
  <c r="L648" i="1"/>
  <c r="O648" i="1" s="1"/>
  <c r="L657" i="1"/>
  <c r="O657" i="1" s="1"/>
  <c r="L662" i="1"/>
  <c r="O662" i="1" s="1"/>
  <c r="L678" i="1"/>
  <c r="O678" i="1" s="1"/>
  <c r="L686" i="1"/>
  <c r="O686" i="1" s="1"/>
  <c r="L690" i="1"/>
  <c r="O690" i="1" s="1"/>
  <c r="L702" i="1"/>
  <c r="O702" i="1" s="1"/>
  <c r="L717" i="1"/>
  <c r="O717" i="1" s="1"/>
  <c r="L727" i="1"/>
  <c r="O727" i="1" s="1"/>
  <c r="L647" i="1"/>
  <c r="O647" i="1" s="1"/>
  <c r="L651" i="1"/>
  <c r="O651" i="1" s="1"/>
  <c r="L655" i="1"/>
  <c r="O655" i="1" s="1"/>
  <c r="L679" i="1"/>
  <c r="O679" i="1" s="1"/>
  <c r="L693" i="1"/>
  <c r="O693" i="1" s="1"/>
  <c r="L699" i="1"/>
  <c r="O699" i="1" s="1"/>
  <c r="L703" i="1"/>
  <c r="O703" i="1" s="1"/>
  <c r="L707" i="1"/>
  <c r="O707" i="1" s="1"/>
  <c r="L711" i="1"/>
  <c r="O711" i="1" s="1"/>
  <c r="L724" i="1"/>
  <c r="O724" i="1" s="1"/>
  <c r="L728" i="1"/>
  <c r="O728" i="1" s="1"/>
  <c r="L733" i="1"/>
  <c r="O733" i="1" s="1"/>
  <c r="L715" i="1"/>
  <c r="O715" i="1" s="1"/>
  <c r="L718" i="1"/>
  <c r="O718" i="1" s="1"/>
  <c r="L720" i="1"/>
  <c r="O720" i="1" s="1"/>
  <c r="L722" i="1"/>
  <c r="O722" i="1" s="1"/>
  <c r="L659" i="1"/>
  <c r="O659" i="1" s="1"/>
  <c r="L661" i="1"/>
  <c r="O661" i="1" s="1"/>
  <c r="L663" i="1"/>
  <c r="O663" i="1" s="1"/>
  <c r="L665" i="1"/>
  <c r="O665" i="1" s="1"/>
  <c r="L667" i="1"/>
  <c r="O667" i="1" s="1"/>
  <c r="L669" i="1"/>
  <c r="O669" i="1" s="1"/>
  <c r="L670" i="1"/>
  <c r="O670" i="1" s="1"/>
  <c r="L673" i="1"/>
  <c r="O673" i="1" s="1"/>
  <c r="L675" i="1"/>
  <c r="O675" i="1" s="1"/>
  <c r="L677" i="1"/>
  <c r="O677" i="1" s="1"/>
  <c r="P501" i="43"/>
  <c r="S501" i="43" s="1"/>
  <c r="M508" i="43"/>
  <c r="P492" i="43"/>
  <c r="S492" i="43" s="1"/>
  <c r="P508" i="43"/>
  <c r="S508" i="43" s="1"/>
  <c r="M498" i="43"/>
  <c r="M493" i="43"/>
  <c r="M496" i="43"/>
  <c r="O340" i="44"/>
  <c r="R340" i="44" s="1"/>
  <c r="O334" i="44"/>
  <c r="R334" i="44" s="1"/>
  <c r="O344" i="44"/>
  <c r="R344" i="44" s="1"/>
  <c r="O348" i="44"/>
  <c r="R348" i="44" s="1"/>
  <c r="O335" i="44"/>
  <c r="R335" i="44" s="1"/>
  <c r="O339" i="44"/>
  <c r="R339" i="44" s="1"/>
  <c r="O343" i="44"/>
  <c r="R343" i="44" s="1"/>
  <c r="U343" i="44"/>
  <c r="U344" i="44"/>
  <c r="U334" i="44"/>
  <c r="U339" i="44"/>
  <c r="O347" i="44"/>
  <c r="R347" i="44" s="1"/>
  <c r="U332" i="44"/>
  <c r="U345" i="44"/>
  <c r="V332" i="44"/>
  <c r="U333" i="44"/>
  <c r="V336" i="44"/>
  <c r="U337" i="44"/>
  <c r="V341" i="44"/>
  <c r="V345" i="44"/>
  <c r="V333" i="44"/>
  <c r="V337" i="44"/>
  <c r="U338" i="44"/>
  <c r="U342" i="44"/>
  <c r="U346" i="44"/>
  <c r="U336" i="44"/>
  <c r="U341" i="44"/>
  <c r="U335" i="44"/>
  <c r="U340" i="44"/>
  <c r="U347" i="44"/>
  <c r="U348" i="44"/>
  <c r="V338" i="44"/>
  <c r="V342" i="44"/>
  <c r="V346" i="44"/>
  <c r="M502" i="43"/>
  <c r="P502" i="43"/>
  <c r="S502" i="43" s="1"/>
  <c r="M501" i="43"/>
  <c r="N494" i="43"/>
  <c r="M495" i="43"/>
  <c r="M504" i="43"/>
  <c r="M492" i="43"/>
  <c r="M512" i="43"/>
  <c r="P505" i="43"/>
  <c r="S505" i="43" s="1"/>
  <c r="P495" i="43"/>
  <c r="S495" i="43" s="1"/>
  <c r="V504" i="43"/>
  <c r="V496" i="43"/>
  <c r="P494" i="43"/>
  <c r="S494" i="43" s="1"/>
  <c r="P512" i="43"/>
  <c r="S512" i="43" s="1"/>
  <c r="V499" i="43"/>
  <c r="M499" i="43"/>
  <c r="M505" i="43"/>
  <c r="M514" i="43"/>
  <c r="P513" i="43"/>
  <c r="S513" i="43" s="1"/>
  <c r="P497" i="43"/>
  <c r="S497" i="43" s="1"/>
  <c r="P503" i="43"/>
  <c r="S503" i="43" s="1"/>
  <c r="P514" i="43"/>
  <c r="S514" i="43" s="1"/>
  <c r="V498" i="43"/>
  <c r="P511" i="43"/>
  <c r="S511" i="43" s="1"/>
  <c r="M503" i="43"/>
  <c r="M510" i="43"/>
  <c r="V509" i="43"/>
  <c r="V493" i="43"/>
  <c r="M509" i="43"/>
  <c r="M497" i="43"/>
  <c r="M513" i="43"/>
  <c r="P500" i="43"/>
  <c r="S500" i="43" s="1"/>
  <c r="P510" i="43"/>
  <c r="S510" i="43" s="1"/>
  <c r="N491" i="43"/>
  <c r="M511" i="43"/>
  <c r="N507" i="43"/>
  <c r="P491" i="43"/>
  <c r="S491" i="43" s="1"/>
  <c r="P506" i="43"/>
  <c r="S506" i="43" s="1"/>
  <c r="M500" i="43"/>
  <c r="M506" i="43"/>
  <c r="V507" i="43"/>
  <c r="J490" i="43" l="1"/>
  <c r="M490" i="43" s="1"/>
  <c r="J489" i="43"/>
  <c r="N489" i="43" s="1"/>
  <c r="J484" i="43"/>
  <c r="N484" i="43" s="1"/>
  <c r="J479" i="43"/>
  <c r="M479" i="43" s="1"/>
  <c r="J476" i="43"/>
  <c r="N476" i="43" s="1"/>
  <c r="J473" i="43"/>
  <c r="M473" i="43" s="1"/>
  <c r="J472" i="43"/>
  <c r="M472" i="43" s="1"/>
  <c r="J471" i="43"/>
  <c r="N471" i="43" s="1"/>
  <c r="J470" i="43"/>
  <c r="M470" i="43" s="1"/>
  <c r="J467" i="43"/>
  <c r="M467" i="43" s="1"/>
  <c r="J465" i="43"/>
  <c r="N465" i="43" s="1"/>
  <c r="J464" i="43"/>
  <c r="M464" i="43" s="1"/>
  <c r="J461" i="43"/>
  <c r="N461" i="43" s="1"/>
  <c r="J455" i="43"/>
  <c r="M455" i="43" s="1"/>
  <c r="J452" i="43"/>
  <c r="M452" i="43" s="1"/>
  <c r="J451" i="43"/>
  <c r="M451" i="43" s="1"/>
  <c r="J449" i="43"/>
  <c r="M449" i="43" s="1"/>
  <c r="J444" i="43"/>
  <c r="M444" i="43" s="1"/>
  <c r="J447" i="43"/>
  <c r="M447" i="43" s="1"/>
  <c r="H436" i="43"/>
  <c r="H468" i="43"/>
  <c r="J468" i="43" s="1"/>
  <c r="M468" i="43" s="1"/>
  <c r="H445" i="43"/>
  <c r="J445" i="43" s="1"/>
  <c r="N445" i="43" s="1"/>
  <c r="J486" i="43"/>
  <c r="M486" i="43" s="1"/>
  <c r="J458" i="43"/>
  <c r="M458" i="43" s="1"/>
  <c r="J454" i="43"/>
  <c r="M454" i="43" s="1"/>
  <c r="M466" i="43"/>
  <c r="J456" i="43"/>
  <c r="N456" i="43" s="1"/>
  <c r="J448" i="43"/>
  <c r="M448" i="43" s="1"/>
  <c r="J442" i="43"/>
  <c r="J485" i="43"/>
  <c r="N485" i="43" s="1"/>
  <c r="J441" i="43"/>
  <c r="M441" i="43" s="1"/>
  <c r="J480" i="43"/>
  <c r="M480" i="43" s="1"/>
  <c r="J474" i="43"/>
  <c r="M474" i="43" s="1"/>
  <c r="J469" i="43"/>
  <c r="M469" i="43" s="1"/>
  <c r="J460" i="43"/>
  <c r="M460" i="43" s="1"/>
  <c r="J457" i="43"/>
  <c r="M457" i="43" s="1"/>
  <c r="J453" i="43"/>
  <c r="N453" i="43" s="1"/>
  <c r="J443" i="43"/>
  <c r="N443" i="43" s="1"/>
  <c r="J477" i="43"/>
  <c r="N477" i="43" s="1"/>
  <c r="J440" i="43"/>
  <c r="M440" i="43" s="1"/>
  <c r="J462" i="43"/>
  <c r="M462" i="43" s="1"/>
  <c r="J450" i="43"/>
  <c r="N450" i="43" s="1"/>
  <c r="J488" i="43"/>
  <c r="M488" i="43" s="1"/>
  <c r="J483" i="43"/>
  <c r="M483" i="43" s="1"/>
  <c r="J482" i="43"/>
  <c r="M482" i="43" s="1"/>
  <c r="J478" i="43"/>
  <c r="M478" i="43" s="1"/>
  <c r="J475" i="43"/>
  <c r="M475" i="43" s="1"/>
  <c r="J459" i="43"/>
  <c r="N459" i="43" s="1"/>
  <c r="J446" i="43"/>
  <c r="M446" i="43" s="1"/>
  <c r="S322" i="44"/>
  <c r="Q322" i="44"/>
  <c r="S320" i="44"/>
  <c r="O320" i="44" s="1"/>
  <c r="R320" i="44" s="1"/>
  <c r="Q320" i="44"/>
  <c r="S315" i="44"/>
  <c r="V315" i="44" s="1"/>
  <c r="Q315" i="44"/>
  <c r="S312" i="44"/>
  <c r="U312" i="44" s="1"/>
  <c r="Q312" i="44"/>
  <c r="S309" i="44"/>
  <c r="U309" i="44" s="1"/>
  <c r="Q309" i="44"/>
  <c r="S305" i="44"/>
  <c r="O305" i="44" s="1"/>
  <c r="R305" i="44" s="1"/>
  <c r="S271" i="44"/>
  <c r="O271" i="44" s="1"/>
  <c r="Q305" i="44"/>
  <c r="L304" i="44"/>
  <c r="N304" i="44"/>
  <c r="V304" i="44"/>
  <c r="L305" i="44"/>
  <c r="N305" i="44"/>
  <c r="K306" i="44"/>
  <c r="L306" i="44"/>
  <c r="N306" i="44"/>
  <c r="V306" i="44"/>
  <c r="L307" i="44"/>
  <c r="N307" i="44"/>
  <c r="V307" i="44"/>
  <c r="L308" i="44"/>
  <c r="N308" i="44"/>
  <c r="Q308" i="44"/>
  <c r="R308" i="44"/>
  <c r="V308" i="44"/>
  <c r="L309" i="44"/>
  <c r="N309" i="44"/>
  <c r="K310" i="44"/>
  <c r="L310" i="44"/>
  <c r="N310" i="44"/>
  <c r="V310" i="44"/>
  <c r="K311" i="44"/>
  <c r="L311" i="44"/>
  <c r="N311" i="44"/>
  <c r="V311" i="44"/>
  <c r="L312" i="44"/>
  <c r="N312" i="44"/>
  <c r="K313" i="44"/>
  <c r="L313" i="44"/>
  <c r="N313" i="44"/>
  <c r="V313" i="44"/>
  <c r="K314" i="44"/>
  <c r="L314" i="44"/>
  <c r="N314" i="44"/>
  <c r="V314" i="44"/>
  <c r="L315" i="44"/>
  <c r="N315" i="44"/>
  <c r="K316" i="44"/>
  <c r="L316" i="44"/>
  <c r="N316" i="44"/>
  <c r="V316" i="44"/>
  <c r="K317" i="44"/>
  <c r="L317" i="44"/>
  <c r="N317" i="44"/>
  <c r="V317" i="44"/>
  <c r="L318" i="44"/>
  <c r="N318" i="44"/>
  <c r="Q318" i="44"/>
  <c r="R318" i="44"/>
  <c r="V318" i="44"/>
  <c r="L319" i="44"/>
  <c r="N319" i="44"/>
  <c r="Q319" i="44"/>
  <c r="S319" i="44"/>
  <c r="L320" i="44"/>
  <c r="N320" i="44"/>
  <c r="K321" i="44"/>
  <c r="L321" i="44"/>
  <c r="N321" i="44"/>
  <c r="V321" i="44"/>
  <c r="L322" i="44"/>
  <c r="N322" i="44"/>
  <c r="K323" i="44"/>
  <c r="L323" i="44"/>
  <c r="N323" i="44"/>
  <c r="V323" i="44"/>
  <c r="K324" i="44"/>
  <c r="L324" i="44"/>
  <c r="N324" i="44"/>
  <c r="V324" i="44"/>
  <c r="K325" i="44"/>
  <c r="L325" i="44"/>
  <c r="N325" i="44"/>
  <c r="Q325" i="44"/>
  <c r="S325" i="44"/>
  <c r="K326" i="44"/>
  <c r="L326" i="44"/>
  <c r="N326" i="44"/>
  <c r="V326" i="44"/>
  <c r="K327" i="44"/>
  <c r="L327" i="44"/>
  <c r="N327" i="44"/>
  <c r="V327" i="44"/>
  <c r="L328" i="44"/>
  <c r="N328" i="44"/>
  <c r="Q328" i="44"/>
  <c r="S328" i="44"/>
  <c r="K329" i="44"/>
  <c r="L329" i="44"/>
  <c r="N329" i="44"/>
  <c r="Q329" i="44"/>
  <c r="S329" i="44"/>
  <c r="K330" i="44"/>
  <c r="L330" i="44"/>
  <c r="N330" i="44"/>
  <c r="Q330" i="44"/>
  <c r="S330" i="44"/>
  <c r="K331" i="44"/>
  <c r="L331" i="44"/>
  <c r="N331" i="44"/>
  <c r="V331" i="44"/>
  <c r="K349" i="44"/>
  <c r="L349" i="44"/>
  <c r="N349" i="44"/>
  <c r="Q349" i="44"/>
  <c r="S349" i="44"/>
  <c r="O349" i="44" s="1"/>
  <c r="R349" i="44" s="1"/>
  <c r="K303" i="44"/>
  <c r="L303" i="44"/>
  <c r="N303" i="44"/>
  <c r="R441" i="43"/>
  <c r="S441" i="43"/>
  <c r="R442" i="43"/>
  <c r="P442" i="43"/>
  <c r="S442" i="43" s="1"/>
  <c r="R443" i="43"/>
  <c r="S443" i="43"/>
  <c r="R444" i="43"/>
  <c r="V444" i="43"/>
  <c r="R445" i="43"/>
  <c r="V445" i="43"/>
  <c r="R446" i="43"/>
  <c r="V446" i="43"/>
  <c r="R447" i="43"/>
  <c r="P447" i="43"/>
  <c r="S447" i="43" s="1"/>
  <c r="R448" i="43"/>
  <c r="P448" i="43"/>
  <c r="S448" i="43" s="1"/>
  <c r="R449" i="43"/>
  <c r="P449" i="43"/>
  <c r="S449" i="43" s="1"/>
  <c r="R450" i="43"/>
  <c r="S450" i="43"/>
  <c r="R451" i="43"/>
  <c r="P451" i="43"/>
  <c r="S451" i="43" s="1"/>
  <c r="R452" i="43"/>
  <c r="P452" i="43"/>
  <c r="S452" i="43" s="1"/>
  <c r="R453" i="43"/>
  <c r="V453" i="43"/>
  <c r="R454" i="43"/>
  <c r="S454" i="43"/>
  <c r="R455" i="43"/>
  <c r="P455" i="43"/>
  <c r="S455" i="43" s="1"/>
  <c r="R456" i="43"/>
  <c r="P456" i="43"/>
  <c r="S456" i="43" s="1"/>
  <c r="R457" i="43"/>
  <c r="V457" i="43"/>
  <c r="R458" i="43"/>
  <c r="S458" i="43"/>
  <c r="R459" i="43"/>
  <c r="P459" i="43"/>
  <c r="S459" i="43" s="1"/>
  <c r="R460" i="43"/>
  <c r="S460" i="43"/>
  <c r="R461" i="43"/>
  <c r="P461" i="43"/>
  <c r="S461" i="43" s="1"/>
  <c r="R462" i="43"/>
  <c r="S462" i="43"/>
  <c r="M463" i="43"/>
  <c r="N463" i="43"/>
  <c r="R463" i="43"/>
  <c r="P463" i="43"/>
  <c r="S463" i="43" s="1"/>
  <c r="R464" i="43"/>
  <c r="V464" i="43"/>
  <c r="R465" i="43"/>
  <c r="V465" i="43"/>
  <c r="R466" i="43"/>
  <c r="V466" i="43"/>
  <c r="R467" i="43"/>
  <c r="P467" i="43"/>
  <c r="S467" i="43" s="1"/>
  <c r="R468" i="43"/>
  <c r="P468" i="43"/>
  <c r="S468" i="43" s="1"/>
  <c r="R469" i="43"/>
  <c r="S469" i="43"/>
  <c r="R470" i="43"/>
  <c r="V470" i="43"/>
  <c r="R471" i="43"/>
  <c r="P471" i="43"/>
  <c r="S471" i="43" s="1"/>
  <c r="R472" i="43"/>
  <c r="V472" i="43"/>
  <c r="R473" i="43"/>
  <c r="P473" i="43"/>
  <c r="S473" i="43" s="1"/>
  <c r="R474" i="43"/>
  <c r="P474" i="43"/>
  <c r="S474" i="43" s="1"/>
  <c r="R475" i="43"/>
  <c r="P475" i="43"/>
  <c r="S475" i="43" s="1"/>
  <c r="R476" i="43"/>
  <c r="P476" i="43"/>
  <c r="S476" i="43" s="1"/>
  <c r="R477" i="43"/>
  <c r="S477" i="43"/>
  <c r="R478" i="43"/>
  <c r="V478" i="43"/>
  <c r="R479" i="43"/>
  <c r="P479" i="43"/>
  <c r="S479" i="43" s="1"/>
  <c r="R480" i="43"/>
  <c r="V480" i="43"/>
  <c r="M481" i="43"/>
  <c r="N481" i="43"/>
  <c r="R481" i="43"/>
  <c r="P481" i="43"/>
  <c r="S481" i="43" s="1"/>
  <c r="R482" i="43"/>
  <c r="P482" i="43"/>
  <c r="S482" i="43" s="1"/>
  <c r="R483" i="43"/>
  <c r="P483" i="43"/>
  <c r="S483" i="43" s="1"/>
  <c r="R484" i="43"/>
  <c r="P484" i="43"/>
  <c r="S484" i="43" s="1"/>
  <c r="R485" i="43"/>
  <c r="S485" i="43"/>
  <c r="R486" i="43"/>
  <c r="V486" i="43"/>
  <c r="M487" i="43"/>
  <c r="N487" i="43"/>
  <c r="R487" i="43"/>
  <c r="P487" i="43"/>
  <c r="S487" i="43" s="1"/>
  <c r="R488" i="43"/>
  <c r="P488" i="43"/>
  <c r="S488" i="43" s="1"/>
  <c r="R489" i="43"/>
  <c r="P489" i="43"/>
  <c r="S489" i="43" s="1"/>
  <c r="R490" i="43"/>
  <c r="V490" i="43"/>
  <c r="R440" i="43"/>
  <c r="S440" i="43"/>
  <c r="M442" i="43" l="1"/>
  <c r="N490" i="43"/>
  <c r="M489" i="43"/>
  <c r="M456" i="43"/>
  <c r="N448" i="43"/>
  <c r="M484" i="43"/>
  <c r="V319" i="44"/>
  <c r="O319" i="44"/>
  <c r="R319" i="44" s="1"/>
  <c r="V329" i="44"/>
  <c r="O329" i="44"/>
  <c r="R329" i="44" s="1"/>
  <c r="V328" i="44"/>
  <c r="O328" i="44"/>
  <c r="R328" i="44" s="1"/>
  <c r="V325" i="44"/>
  <c r="O325" i="44"/>
  <c r="R325" i="44" s="1"/>
  <c r="V330" i="44"/>
  <c r="O330" i="44"/>
  <c r="R330" i="44" s="1"/>
  <c r="U304" i="44"/>
  <c r="O315" i="44"/>
  <c r="R315" i="44" s="1"/>
  <c r="O322" i="44"/>
  <c r="R322" i="44" s="1"/>
  <c r="U318" i="44"/>
  <c r="U314" i="44"/>
  <c r="V305" i="44"/>
  <c r="U327" i="44"/>
  <c r="U319" i="44"/>
  <c r="U305" i="44"/>
  <c r="U349" i="44"/>
  <c r="U326" i="44"/>
  <c r="U313" i="44"/>
  <c r="M445" i="43"/>
  <c r="M461" i="43"/>
  <c r="N458" i="43"/>
  <c r="N479" i="43"/>
  <c r="M476" i="43"/>
  <c r="V349" i="44"/>
  <c r="U328" i="44"/>
  <c r="U323" i="44"/>
  <c r="N469" i="43"/>
  <c r="N473" i="43"/>
  <c r="N472" i="43"/>
  <c r="N470" i="43"/>
  <c r="M471" i="43"/>
  <c r="M465" i="43"/>
  <c r="N464" i="43"/>
  <c r="N467" i="43"/>
  <c r="N452" i="43"/>
  <c r="N455" i="43"/>
  <c r="N451" i="43"/>
  <c r="N449" i="43"/>
  <c r="N444" i="43"/>
  <c r="N447" i="43"/>
  <c r="N454" i="43"/>
  <c r="N468" i="43"/>
  <c r="N486" i="43"/>
  <c r="N466" i="43"/>
  <c r="N460" i="43"/>
  <c r="N442" i="43"/>
  <c r="M477" i="43"/>
  <c r="M485" i="43"/>
  <c r="M450" i="43"/>
  <c r="N474" i="43"/>
  <c r="N441" i="43"/>
  <c r="N480" i="43"/>
  <c r="N440" i="43"/>
  <c r="N482" i="43"/>
  <c r="M453" i="43"/>
  <c r="M443" i="43"/>
  <c r="N457" i="43"/>
  <c r="N488" i="43"/>
  <c r="N462" i="43"/>
  <c r="N483" i="43"/>
  <c r="M459" i="43"/>
  <c r="N475" i="43"/>
  <c r="V452" i="43"/>
  <c r="N478" i="43"/>
  <c r="N446" i="43"/>
  <c r="V448" i="43"/>
  <c r="V442" i="43"/>
  <c r="V441" i="43"/>
  <c r="O309" i="44"/>
  <c r="R309" i="44" s="1"/>
  <c r="O312" i="44"/>
  <c r="R312" i="44" s="1"/>
  <c r="U308" i="44"/>
  <c r="U325" i="44"/>
  <c r="V312" i="44"/>
  <c r="V322" i="44"/>
  <c r="V320" i="44"/>
  <c r="U310" i="44"/>
  <c r="V303" i="44"/>
  <c r="U315" i="44"/>
  <c r="V309" i="44"/>
  <c r="U331" i="44"/>
  <c r="U329" i="44"/>
  <c r="U321" i="44"/>
  <c r="U306" i="44"/>
  <c r="U303" i="44"/>
  <c r="U322" i="44"/>
  <c r="U307" i="44"/>
  <c r="U324" i="44"/>
  <c r="U330" i="44"/>
  <c r="U320" i="44"/>
  <c r="U316" i="44"/>
  <c r="U311" i="44"/>
  <c r="U317" i="44"/>
  <c r="V449" i="43"/>
  <c r="V481" i="43"/>
  <c r="V443" i="43"/>
  <c r="V456" i="43"/>
  <c r="V487" i="43"/>
  <c r="V485" i="43"/>
  <c r="V473" i="43"/>
  <c r="V471" i="43"/>
  <c r="V451" i="43"/>
  <c r="V467" i="43"/>
  <c r="V477" i="43"/>
  <c r="V469" i="43"/>
  <c r="V482" i="43"/>
  <c r="V463" i="43"/>
  <c r="V459" i="43"/>
  <c r="P490" i="43"/>
  <c r="S490" i="43" s="1"/>
  <c r="V462" i="43"/>
  <c r="V455" i="43"/>
  <c r="V440" i="43"/>
  <c r="V454" i="43"/>
  <c r="P464" i="43"/>
  <c r="S464" i="43" s="1"/>
  <c r="S457" i="43"/>
  <c r="P465" i="43"/>
  <c r="S465" i="43" s="1"/>
  <c r="P478" i="43"/>
  <c r="S478" i="43" s="1"/>
  <c r="V476" i="43"/>
  <c r="S445" i="43"/>
  <c r="P444" i="43"/>
  <c r="S444" i="43" s="1"/>
  <c r="V484" i="43"/>
  <c r="V474" i="43"/>
  <c r="P470" i="43"/>
  <c r="S470" i="43" s="1"/>
  <c r="V483" i="43"/>
  <c r="V479" i="43"/>
  <c r="V475" i="43"/>
  <c r="V468" i="43"/>
  <c r="V460" i="43"/>
  <c r="V458" i="43"/>
  <c r="V489" i="43"/>
  <c r="V461" i="43"/>
  <c r="V447" i="43"/>
  <c r="V488" i="43"/>
  <c r="V450" i="43"/>
  <c r="S486" i="43"/>
  <c r="S480" i="43"/>
  <c r="P466" i="43"/>
  <c r="S466" i="43" s="1"/>
  <c r="S453" i="43"/>
  <c r="P472" i="43"/>
  <c r="S472" i="43" s="1"/>
  <c r="P446" i="43"/>
  <c r="S446" i="43" s="1"/>
  <c r="I585" i="1" l="1"/>
  <c r="J585" i="1"/>
  <c r="L585" i="1"/>
  <c r="O585" i="1" s="1"/>
  <c r="R585" i="1"/>
  <c r="I586" i="1"/>
  <c r="J586" i="1"/>
  <c r="L586" i="1"/>
  <c r="O586" i="1" s="1"/>
  <c r="R586" i="1"/>
  <c r="I587" i="1"/>
  <c r="J587" i="1"/>
  <c r="L587" i="1"/>
  <c r="O587" i="1" s="1"/>
  <c r="R587" i="1"/>
  <c r="I588" i="1"/>
  <c r="J588" i="1"/>
  <c r="L588" i="1"/>
  <c r="O588" i="1" s="1"/>
  <c r="R588" i="1"/>
  <c r="I589" i="1"/>
  <c r="J589" i="1"/>
  <c r="L589" i="1"/>
  <c r="O589" i="1" s="1"/>
  <c r="R589" i="1"/>
  <c r="I590" i="1"/>
  <c r="J590" i="1"/>
  <c r="L590" i="1"/>
  <c r="O590" i="1" s="1"/>
  <c r="R590" i="1"/>
  <c r="I591" i="1"/>
  <c r="J591" i="1"/>
  <c r="L591" i="1"/>
  <c r="O591" i="1" s="1"/>
  <c r="R591" i="1"/>
  <c r="I592" i="1"/>
  <c r="J592" i="1"/>
  <c r="L592" i="1"/>
  <c r="O592" i="1" s="1"/>
  <c r="R592" i="1"/>
  <c r="I593" i="1"/>
  <c r="J593" i="1"/>
  <c r="L593" i="1"/>
  <c r="O593" i="1" s="1"/>
  <c r="R593" i="1"/>
  <c r="I594" i="1"/>
  <c r="J594" i="1"/>
  <c r="L594" i="1"/>
  <c r="O594" i="1" s="1"/>
  <c r="R594" i="1"/>
  <c r="I595" i="1"/>
  <c r="J595" i="1"/>
  <c r="L595" i="1"/>
  <c r="O595" i="1" s="1"/>
  <c r="R595" i="1"/>
  <c r="I596" i="1"/>
  <c r="J596" i="1"/>
  <c r="L596" i="1"/>
  <c r="O596" i="1" s="1"/>
  <c r="R596" i="1"/>
  <c r="I597" i="1"/>
  <c r="J597" i="1"/>
  <c r="L597" i="1"/>
  <c r="O597" i="1" s="1"/>
  <c r="R597" i="1"/>
  <c r="I598" i="1"/>
  <c r="J598" i="1"/>
  <c r="L598" i="1"/>
  <c r="O598" i="1" s="1"/>
  <c r="R598" i="1"/>
  <c r="I599" i="1"/>
  <c r="J599" i="1"/>
  <c r="L599" i="1"/>
  <c r="O599" i="1" s="1"/>
  <c r="R599" i="1"/>
  <c r="I600" i="1"/>
  <c r="J600" i="1"/>
  <c r="L600" i="1"/>
  <c r="O600" i="1" s="1"/>
  <c r="R600" i="1"/>
  <c r="I601" i="1"/>
  <c r="J601" i="1"/>
  <c r="L601" i="1"/>
  <c r="O601" i="1" s="1"/>
  <c r="R601" i="1"/>
  <c r="I602" i="1"/>
  <c r="J602" i="1"/>
  <c r="L602" i="1"/>
  <c r="O602" i="1" s="1"/>
  <c r="R602" i="1"/>
  <c r="I603" i="1"/>
  <c r="J603" i="1"/>
  <c r="L603" i="1"/>
  <c r="O603" i="1" s="1"/>
  <c r="R603" i="1"/>
  <c r="I604" i="1"/>
  <c r="J604" i="1"/>
  <c r="L604" i="1"/>
  <c r="O604" i="1" s="1"/>
  <c r="R604" i="1"/>
  <c r="I605" i="1"/>
  <c r="J605" i="1"/>
  <c r="R605" i="1"/>
  <c r="I606" i="1"/>
  <c r="J606" i="1"/>
  <c r="R606" i="1"/>
  <c r="I607" i="1"/>
  <c r="J607" i="1"/>
  <c r="R607" i="1"/>
  <c r="I608" i="1"/>
  <c r="J608" i="1"/>
  <c r="R608" i="1"/>
  <c r="I609" i="1"/>
  <c r="J609" i="1"/>
  <c r="L609" i="1"/>
  <c r="O609" i="1" s="1"/>
  <c r="R609" i="1"/>
  <c r="I610" i="1"/>
  <c r="J610" i="1"/>
  <c r="L610" i="1"/>
  <c r="O610" i="1" s="1"/>
  <c r="R610" i="1"/>
  <c r="I611" i="1"/>
  <c r="J611" i="1"/>
  <c r="R611" i="1"/>
  <c r="I612" i="1"/>
  <c r="J612" i="1"/>
  <c r="R612" i="1"/>
  <c r="I613" i="1"/>
  <c r="J613" i="1"/>
  <c r="R613" i="1"/>
  <c r="I614" i="1"/>
  <c r="J614" i="1"/>
  <c r="R614" i="1"/>
  <c r="I615" i="1"/>
  <c r="J615" i="1"/>
  <c r="R615" i="1"/>
  <c r="I616" i="1"/>
  <c r="J616" i="1"/>
  <c r="R616" i="1"/>
  <c r="I617" i="1"/>
  <c r="J617" i="1"/>
  <c r="R617" i="1"/>
  <c r="I618" i="1"/>
  <c r="J618" i="1"/>
  <c r="R618" i="1"/>
  <c r="I619" i="1"/>
  <c r="J619" i="1"/>
  <c r="L619" i="1"/>
  <c r="O619" i="1" s="1"/>
  <c r="R619" i="1"/>
  <c r="I620" i="1"/>
  <c r="J620" i="1"/>
  <c r="R620" i="1"/>
  <c r="I621" i="1"/>
  <c r="J621" i="1"/>
  <c r="R621" i="1"/>
  <c r="I622" i="1"/>
  <c r="J622" i="1"/>
  <c r="R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L628" i="1"/>
  <c r="O628" i="1" s="1"/>
  <c r="R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L634" i="1"/>
  <c r="O634" i="1" s="1"/>
  <c r="R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L643" i="1"/>
  <c r="O643" i="1" s="1"/>
  <c r="R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L692" i="1"/>
  <c r="O692" i="1" s="1"/>
  <c r="R692" i="1"/>
  <c r="I693" i="1"/>
  <c r="J693" i="1"/>
  <c r="I694" i="1"/>
  <c r="J694" i="1"/>
  <c r="I695" i="1"/>
  <c r="J695" i="1"/>
  <c r="I696" i="1"/>
  <c r="J696" i="1"/>
  <c r="I697" i="1"/>
  <c r="J697" i="1"/>
  <c r="L697" i="1"/>
  <c r="O697" i="1" s="1"/>
  <c r="R697" i="1"/>
  <c r="I698" i="1"/>
  <c r="J698" i="1"/>
  <c r="L698" i="1"/>
  <c r="O698" i="1" s="1"/>
  <c r="R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L716" i="1"/>
  <c r="O716" i="1" s="1"/>
  <c r="R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L731" i="1"/>
  <c r="O731" i="1" s="1"/>
  <c r="R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L737" i="1"/>
  <c r="O737" i="1" s="1"/>
  <c r="R737" i="1"/>
  <c r="I738" i="1"/>
  <c r="J738" i="1"/>
  <c r="L738" i="1"/>
  <c r="O738" i="1" s="1"/>
  <c r="R738" i="1"/>
  <c r="I584" i="1"/>
  <c r="J584" i="1"/>
  <c r="L584" i="1"/>
  <c r="O584" i="1" s="1"/>
  <c r="R584" i="1"/>
  <c r="H511" i="19"/>
  <c r="H510" i="19"/>
  <c r="H509" i="19"/>
  <c r="H508" i="19"/>
  <c r="H507" i="19"/>
  <c r="H506" i="19"/>
  <c r="H505" i="19"/>
  <c r="H504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L410" i="19"/>
  <c r="L409" i="19"/>
  <c r="N409" i="19" s="1"/>
  <c r="L403" i="19"/>
  <c r="N403" i="19" s="1"/>
  <c r="L402" i="19"/>
  <c r="N402" i="19" s="1"/>
  <c r="L408" i="19"/>
  <c r="N408" i="19" s="1"/>
  <c r="L407" i="19"/>
  <c r="N407" i="19" s="1"/>
  <c r="L406" i="19"/>
  <c r="N406" i="19" s="1"/>
  <c r="L405" i="19"/>
  <c r="N405" i="19" s="1"/>
  <c r="L404" i="19"/>
  <c r="N404" i="19" s="1"/>
  <c r="L401" i="19"/>
  <c r="N401" i="19" s="1"/>
  <c r="L400" i="19"/>
  <c r="N400" i="19" s="1"/>
  <c r="L399" i="19"/>
  <c r="N399" i="19" s="1"/>
  <c r="L398" i="19"/>
  <c r="N398" i="19" s="1"/>
  <c r="L397" i="19"/>
  <c r="N397" i="19" s="1"/>
  <c r="H398" i="19"/>
  <c r="K398" i="19"/>
  <c r="H399" i="19"/>
  <c r="K399" i="19"/>
  <c r="H400" i="19"/>
  <c r="K400" i="19"/>
  <c r="H401" i="19"/>
  <c r="K401" i="19"/>
  <c r="H402" i="19"/>
  <c r="K402" i="19"/>
  <c r="H403" i="19"/>
  <c r="K403" i="19"/>
  <c r="H404" i="19"/>
  <c r="K404" i="19"/>
  <c r="H405" i="19"/>
  <c r="K405" i="19"/>
  <c r="H406" i="19"/>
  <c r="K406" i="19"/>
  <c r="H407" i="19"/>
  <c r="K407" i="19"/>
  <c r="H408" i="19"/>
  <c r="K408" i="19"/>
  <c r="H409" i="19"/>
  <c r="K409" i="19"/>
  <c r="H410" i="19"/>
  <c r="K410" i="19"/>
  <c r="N410" i="19"/>
  <c r="H411" i="19"/>
  <c r="K411" i="19"/>
  <c r="N411" i="19"/>
  <c r="H412" i="19"/>
  <c r="K412" i="19"/>
  <c r="N412" i="19"/>
  <c r="H413" i="19"/>
  <c r="K413" i="19"/>
  <c r="N413" i="19"/>
  <c r="H414" i="19"/>
  <c r="K414" i="19"/>
  <c r="N414" i="19"/>
  <c r="H415" i="19"/>
  <c r="K415" i="19"/>
  <c r="N415" i="19"/>
  <c r="H416" i="19"/>
  <c r="K416" i="19"/>
  <c r="N416" i="19"/>
  <c r="H417" i="19"/>
  <c r="K417" i="19"/>
  <c r="N417" i="19"/>
  <c r="H418" i="19"/>
  <c r="K418" i="19"/>
  <c r="N418" i="19"/>
  <c r="H419" i="19"/>
  <c r="K419" i="19"/>
  <c r="N419" i="19"/>
  <c r="H420" i="19"/>
  <c r="K420" i="19"/>
  <c r="N420" i="19"/>
  <c r="H421" i="19"/>
  <c r="K421" i="19"/>
  <c r="N421" i="19"/>
  <c r="H422" i="19"/>
  <c r="K422" i="19"/>
  <c r="N422" i="19"/>
  <c r="H423" i="19"/>
  <c r="K423" i="19"/>
  <c r="N423" i="19"/>
  <c r="H424" i="19"/>
  <c r="K424" i="19"/>
  <c r="N424" i="19"/>
  <c r="H425" i="19"/>
  <c r="K425" i="19"/>
  <c r="N425" i="19"/>
  <c r="H426" i="19"/>
  <c r="K426" i="19"/>
  <c r="N426" i="19"/>
  <c r="H427" i="19"/>
  <c r="K427" i="19"/>
  <c r="N427" i="19"/>
  <c r="H428" i="19"/>
  <c r="K428" i="19"/>
  <c r="N428" i="19"/>
  <c r="H429" i="19"/>
  <c r="K429" i="19"/>
  <c r="N429" i="19"/>
  <c r="H430" i="19"/>
  <c r="K430" i="19"/>
  <c r="N430" i="19"/>
  <c r="H431" i="19"/>
  <c r="K431" i="19"/>
  <c r="N431" i="19"/>
  <c r="H432" i="19"/>
  <c r="K432" i="19"/>
  <c r="N432" i="19"/>
  <c r="H433" i="19"/>
  <c r="K433" i="19"/>
  <c r="N433" i="19"/>
  <c r="H434" i="19"/>
  <c r="K434" i="19"/>
  <c r="N434" i="19"/>
  <c r="H435" i="19"/>
  <c r="K435" i="19"/>
  <c r="N435" i="19"/>
  <c r="H436" i="19"/>
  <c r="K436" i="19"/>
  <c r="N436" i="19"/>
  <c r="H437" i="19"/>
  <c r="K437" i="19"/>
  <c r="N437" i="19"/>
  <c r="H438" i="19"/>
  <c r="K438" i="19"/>
  <c r="N438" i="19"/>
  <c r="H439" i="19"/>
  <c r="K439" i="19"/>
  <c r="N439" i="19"/>
  <c r="H440" i="19"/>
  <c r="K440" i="19"/>
  <c r="N440" i="19"/>
  <c r="H397" i="19"/>
  <c r="K397" i="19"/>
  <c r="K45" i="44"/>
  <c r="K67" i="44"/>
  <c r="K70" i="44"/>
  <c r="K77" i="44"/>
  <c r="K82" i="44"/>
  <c r="K86" i="44"/>
  <c r="K87" i="44"/>
  <c r="K92" i="44"/>
  <c r="K95" i="44"/>
  <c r="K98" i="44"/>
  <c r="K101" i="44"/>
  <c r="K119" i="44"/>
  <c r="K121" i="44"/>
  <c r="K123" i="44"/>
  <c r="K136" i="44"/>
  <c r="K157" i="44"/>
  <c r="K156" i="44"/>
  <c r="N419" i="43"/>
  <c r="N397" i="43"/>
  <c r="N376" i="43"/>
  <c r="M76" i="18"/>
  <c r="O76" i="18" s="1"/>
  <c r="M75" i="18"/>
  <c r="O75" i="18" s="1"/>
  <c r="M74" i="18"/>
  <c r="O74" i="18" s="1"/>
  <c r="M73" i="18"/>
  <c r="O73" i="18" s="1"/>
  <c r="M72" i="18"/>
  <c r="O72" i="18" s="1"/>
  <c r="M71" i="18"/>
  <c r="O71" i="18" s="1"/>
  <c r="M70" i="18"/>
  <c r="O70" i="18" s="1"/>
  <c r="M69" i="18"/>
  <c r="O69" i="18" s="1"/>
  <c r="M68" i="18"/>
  <c r="O68" i="18" s="1"/>
  <c r="M67" i="18"/>
  <c r="O67" i="18" s="1"/>
  <c r="M66" i="18"/>
  <c r="O66" i="18" s="1"/>
  <c r="M65" i="18"/>
  <c r="O65" i="18" s="1"/>
  <c r="M64" i="18"/>
  <c r="O64" i="18" s="1"/>
  <c r="L63" i="18"/>
  <c r="M63" i="18"/>
  <c r="O63" i="18" s="1"/>
  <c r="H64" i="18"/>
  <c r="K64" i="18"/>
  <c r="L64" i="18"/>
  <c r="H65" i="18"/>
  <c r="K65" i="18"/>
  <c r="L65" i="18"/>
  <c r="H66" i="18"/>
  <c r="K66" i="18"/>
  <c r="L66" i="18"/>
  <c r="H67" i="18"/>
  <c r="K67" i="18"/>
  <c r="L67" i="18"/>
  <c r="H68" i="18"/>
  <c r="K68" i="18"/>
  <c r="L68" i="18"/>
  <c r="H69" i="18"/>
  <c r="K69" i="18"/>
  <c r="L69" i="18"/>
  <c r="H70" i="18"/>
  <c r="K70" i="18"/>
  <c r="L70" i="18"/>
  <c r="H71" i="18"/>
  <c r="K71" i="18"/>
  <c r="L71" i="18"/>
  <c r="H72" i="18"/>
  <c r="K72" i="18"/>
  <c r="L72" i="18"/>
  <c r="H73" i="18"/>
  <c r="K73" i="18"/>
  <c r="L73" i="18"/>
  <c r="H74" i="18"/>
  <c r="K74" i="18"/>
  <c r="L74" i="18"/>
  <c r="H75" i="18"/>
  <c r="K75" i="18"/>
  <c r="L75" i="18"/>
  <c r="H76" i="18"/>
  <c r="K76" i="18"/>
  <c r="L76" i="18"/>
  <c r="H63" i="18"/>
  <c r="K63" i="18"/>
  <c r="K339" i="19"/>
  <c r="I337" i="19"/>
  <c r="K337" i="19" s="1"/>
  <c r="I340" i="19"/>
  <c r="K340" i="19" s="1"/>
  <c r="I505" i="1"/>
  <c r="J505" i="1"/>
  <c r="L505" i="1"/>
  <c r="O505" i="1" s="1"/>
  <c r="R505" i="1"/>
  <c r="I506" i="1"/>
  <c r="J506" i="1"/>
  <c r="L506" i="1"/>
  <c r="O506" i="1" s="1"/>
  <c r="R506" i="1"/>
  <c r="I507" i="1"/>
  <c r="J507" i="1"/>
  <c r="L507" i="1"/>
  <c r="O507" i="1" s="1"/>
  <c r="R507" i="1"/>
  <c r="I508" i="1"/>
  <c r="J508" i="1"/>
  <c r="L508" i="1"/>
  <c r="O508" i="1" s="1"/>
  <c r="R508" i="1"/>
  <c r="I509" i="1"/>
  <c r="J509" i="1"/>
  <c r="L509" i="1"/>
  <c r="O509" i="1" s="1"/>
  <c r="R509" i="1"/>
  <c r="I510" i="1"/>
  <c r="J510" i="1"/>
  <c r="L510" i="1"/>
  <c r="O510" i="1" s="1"/>
  <c r="R510" i="1"/>
  <c r="I511" i="1"/>
  <c r="J511" i="1"/>
  <c r="L511" i="1"/>
  <c r="O511" i="1" s="1"/>
  <c r="R511" i="1"/>
  <c r="I512" i="1"/>
  <c r="J512" i="1"/>
  <c r="L512" i="1"/>
  <c r="O512" i="1" s="1"/>
  <c r="R512" i="1"/>
  <c r="I513" i="1"/>
  <c r="J513" i="1"/>
  <c r="L513" i="1"/>
  <c r="O513" i="1" s="1"/>
  <c r="R513" i="1"/>
  <c r="I514" i="1"/>
  <c r="J514" i="1"/>
  <c r="L514" i="1"/>
  <c r="O514" i="1" s="1"/>
  <c r="R514" i="1"/>
  <c r="I515" i="1"/>
  <c r="J515" i="1"/>
  <c r="L515" i="1"/>
  <c r="O515" i="1" s="1"/>
  <c r="R515" i="1"/>
  <c r="I516" i="1"/>
  <c r="J516" i="1"/>
  <c r="L516" i="1"/>
  <c r="O516" i="1" s="1"/>
  <c r="R516" i="1"/>
  <c r="I517" i="1"/>
  <c r="J517" i="1"/>
  <c r="L517" i="1"/>
  <c r="O517" i="1" s="1"/>
  <c r="R517" i="1"/>
  <c r="I518" i="1"/>
  <c r="J518" i="1"/>
  <c r="L518" i="1"/>
  <c r="O518" i="1" s="1"/>
  <c r="R518" i="1"/>
  <c r="I519" i="1"/>
  <c r="J519" i="1"/>
  <c r="L519" i="1"/>
  <c r="O519" i="1" s="1"/>
  <c r="R519" i="1"/>
  <c r="I520" i="1"/>
  <c r="J520" i="1"/>
  <c r="L520" i="1"/>
  <c r="O520" i="1" s="1"/>
  <c r="R520" i="1"/>
  <c r="I521" i="1"/>
  <c r="J521" i="1"/>
  <c r="L521" i="1"/>
  <c r="O521" i="1" s="1"/>
  <c r="R521" i="1"/>
  <c r="I522" i="1"/>
  <c r="J522" i="1"/>
  <c r="L522" i="1"/>
  <c r="O522" i="1" s="1"/>
  <c r="R522" i="1"/>
  <c r="I523" i="1"/>
  <c r="J523" i="1"/>
  <c r="L523" i="1"/>
  <c r="O523" i="1" s="1"/>
  <c r="R523" i="1"/>
  <c r="I524" i="1"/>
  <c r="J524" i="1"/>
  <c r="L524" i="1"/>
  <c r="O524" i="1" s="1"/>
  <c r="R524" i="1"/>
  <c r="I525" i="1"/>
  <c r="J525" i="1"/>
  <c r="L525" i="1"/>
  <c r="O525" i="1" s="1"/>
  <c r="R525" i="1"/>
  <c r="I526" i="1"/>
  <c r="J526" i="1"/>
  <c r="L526" i="1"/>
  <c r="O526" i="1" s="1"/>
  <c r="R526" i="1"/>
  <c r="I527" i="1"/>
  <c r="J527" i="1"/>
  <c r="L527" i="1"/>
  <c r="O527" i="1" s="1"/>
  <c r="R527" i="1"/>
  <c r="I528" i="1"/>
  <c r="J528" i="1"/>
  <c r="L528" i="1"/>
  <c r="O528" i="1" s="1"/>
  <c r="R528" i="1"/>
  <c r="I529" i="1"/>
  <c r="J529" i="1"/>
  <c r="L529" i="1"/>
  <c r="O529" i="1" s="1"/>
  <c r="R529" i="1"/>
  <c r="I530" i="1"/>
  <c r="J530" i="1"/>
  <c r="L530" i="1"/>
  <c r="O530" i="1" s="1"/>
  <c r="R530" i="1"/>
  <c r="I531" i="1"/>
  <c r="J531" i="1"/>
  <c r="L531" i="1"/>
  <c r="O531" i="1" s="1"/>
  <c r="R531" i="1"/>
  <c r="I532" i="1"/>
  <c r="J532" i="1"/>
  <c r="L532" i="1"/>
  <c r="O532" i="1" s="1"/>
  <c r="R532" i="1"/>
  <c r="I533" i="1"/>
  <c r="J533" i="1"/>
  <c r="L533" i="1"/>
  <c r="O533" i="1" s="1"/>
  <c r="R533" i="1"/>
  <c r="I534" i="1"/>
  <c r="J534" i="1"/>
  <c r="L534" i="1"/>
  <c r="O534" i="1" s="1"/>
  <c r="R534" i="1"/>
  <c r="I535" i="1"/>
  <c r="J535" i="1"/>
  <c r="L535" i="1"/>
  <c r="O535" i="1" s="1"/>
  <c r="R535" i="1"/>
  <c r="I536" i="1"/>
  <c r="J536" i="1"/>
  <c r="L536" i="1"/>
  <c r="O536" i="1" s="1"/>
  <c r="R536" i="1"/>
  <c r="I537" i="1"/>
  <c r="J537" i="1"/>
  <c r="L537" i="1"/>
  <c r="O537" i="1" s="1"/>
  <c r="R537" i="1"/>
  <c r="I538" i="1"/>
  <c r="J538" i="1"/>
  <c r="L538" i="1"/>
  <c r="O538" i="1" s="1"/>
  <c r="R538" i="1"/>
  <c r="I539" i="1"/>
  <c r="J539" i="1"/>
  <c r="L539" i="1"/>
  <c r="O539" i="1" s="1"/>
  <c r="R539" i="1"/>
  <c r="I540" i="1"/>
  <c r="J540" i="1"/>
  <c r="L540" i="1"/>
  <c r="O540" i="1" s="1"/>
  <c r="R540" i="1"/>
  <c r="I541" i="1"/>
  <c r="J541" i="1"/>
  <c r="L541" i="1"/>
  <c r="O541" i="1" s="1"/>
  <c r="R541" i="1"/>
  <c r="I542" i="1"/>
  <c r="J542" i="1"/>
  <c r="L542" i="1"/>
  <c r="O542" i="1" s="1"/>
  <c r="R542" i="1"/>
  <c r="I543" i="1"/>
  <c r="J543" i="1"/>
  <c r="L543" i="1"/>
  <c r="O543" i="1" s="1"/>
  <c r="R543" i="1"/>
  <c r="I544" i="1"/>
  <c r="J544" i="1"/>
  <c r="L544" i="1"/>
  <c r="O544" i="1" s="1"/>
  <c r="R544" i="1"/>
  <c r="I545" i="1"/>
  <c r="J545" i="1"/>
  <c r="L545" i="1"/>
  <c r="O545" i="1" s="1"/>
  <c r="R545" i="1"/>
  <c r="I546" i="1"/>
  <c r="J546" i="1"/>
  <c r="L546" i="1"/>
  <c r="O546" i="1" s="1"/>
  <c r="R546" i="1"/>
  <c r="I547" i="1"/>
  <c r="J547" i="1"/>
  <c r="L547" i="1"/>
  <c r="O547" i="1" s="1"/>
  <c r="R547" i="1"/>
  <c r="I548" i="1"/>
  <c r="J548" i="1"/>
  <c r="L548" i="1"/>
  <c r="O548" i="1" s="1"/>
  <c r="R548" i="1"/>
  <c r="I549" i="1"/>
  <c r="J549" i="1"/>
  <c r="L549" i="1"/>
  <c r="O549" i="1" s="1"/>
  <c r="R549" i="1"/>
  <c r="I550" i="1"/>
  <c r="J550" i="1"/>
  <c r="L550" i="1"/>
  <c r="O550" i="1" s="1"/>
  <c r="R550" i="1"/>
  <c r="I551" i="1"/>
  <c r="J551" i="1"/>
  <c r="L551" i="1"/>
  <c r="O551" i="1" s="1"/>
  <c r="R551" i="1"/>
  <c r="I552" i="1"/>
  <c r="J552" i="1"/>
  <c r="L552" i="1"/>
  <c r="O552" i="1" s="1"/>
  <c r="R552" i="1"/>
  <c r="I553" i="1"/>
  <c r="J553" i="1"/>
  <c r="L553" i="1"/>
  <c r="O553" i="1" s="1"/>
  <c r="R553" i="1"/>
  <c r="I554" i="1"/>
  <c r="J554" i="1"/>
  <c r="L554" i="1"/>
  <c r="O554" i="1" s="1"/>
  <c r="R554" i="1"/>
  <c r="I555" i="1"/>
  <c r="J555" i="1"/>
  <c r="L555" i="1"/>
  <c r="O555" i="1" s="1"/>
  <c r="R555" i="1"/>
  <c r="I556" i="1"/>
  <c r="J556" i="1"/>
  <c r="L556" i="1"/>
  <c r="O556" i="1" s="1"/>
  <c r="R556" i="1"/>
  <c r="I557" i="1"/>
  <c r="J557" i="1"/>
  <c r="L557" i="1"/>
  <c r="O557" i="1" s="1"/>
  <c r="R557" i="1"/>
  <c r="I558" i="1"/>
  <c r="J558" i="1"/>
  <c r="L558" i="1"/>
  <c r="O558" i="1" s="1"/>
  <c r="R558" i="1"/>
  <c r="I559" i="1"/>
  <c r="J559" i="1"/>
  <c r="L559" i="1"/>
  <c r="O559" i="1" s="1"/>
  <c r="R559" i="1"/>
  <c r="I560" i="1"/>
  <c r="J560" i="1"/>
  <c r="L560" i="1"/>
  <c r="O560" i="1" s="1"/>
  <c r="R560" i="1"/>
  <c r="I561" i="1"/>
  <c r="J561" i="1"/>
  <c r="L561" i="1"/>
  <c r="O561" i="1" s="1"/>
  <c r="R561" i="1"/>
  <c r="I562" i="1"/>
  <c r="J562" i="1"/>
  <c r="L562" i="1"/>
  <c r="O562" i="1" s="1"/>
  <c r="R562" i="1"/>
  <c r="I563" i="1"/>
  <c r="J563" i="1"/>
  <c r="L563" i="1"/>
  <c r="O563" i="1" s="1"/>
  <c r="R563" i="1"/>
  <c r="I564" i="1"/>
  <c r="J564" i="1"/>
  <c r="L564" i="1"/>
  <c r="O564" i="1" s="1"/>
  <c r="R564" i="1"/>
  <c r="I565" i="1"/>
  <c r="J565" i="1"/>
  <c r="L565" i="1"/>
  <c r="O565" i="1" s="1"/>
  <c r="R565" i="1"/>
  <c r="I566" i="1"/>
  <c r="J566" i="1"/>
  <c r="L566" i="1"/>
  <c r="O566" i="1" s="1"/>
  <c r="R566" i="1"/>
  <c r="I567" i="1"/>
  <c r="J567" i="1"/>
  <c r="L567" i="1"/>
  <c r="O567" i="1" s="1"/>
  <c r="R567" i="1"/>
  <c r="I568" i="1"/>
  <c r="J568" i="1"/>
  <c r="L568" i="1"/>
  <c r="O568" i="1" s="1"/>
  <c r="R568" i="1"/>
  <c r="I569" i="1"/>
  <c r="J569" i="1"/>
  <c r="L569" i="1"/>
  <c r="O569" i="1" s="1"/>
  <c r="R569" i="1"/>
  <c r="I570" i="1"/>
  <c r="J570" i="1"/>
  <c r="L570" i="1"/>
  <c r="O570" i="1" s="1"/>
  <c r="R570" i="1"/>
  <c r="I571" i="1"/>
  <c r="J571" i="1"/>
  <c r="L571" i="1"/>
  <c r="O571" i="1" s="1"/>
  <c r="R571" i="1"/>
  <c r="I572" i="1"/>
  <c r="J572" i="1"/>
  <c r="L572" i="1"/>
  <c r="O572" i="1" s="1"/>
  <c r="R572" i="1"/>
  <c r="I573" i="1"/>
  <c r="J573" i="1"/>
  <c r="L573" i="1"/>
  <c r="O573" i="1" s="1"/>
  <c r="R573" i="1"/>
  <c r="I574" i="1"/>
  <c r="J574" i="1"/>
  <c r="L574" i="1"/>
  <c r="O574" i="1" s="1"/>
  <c r="R574" i="1"/>
  <c r="I575" i="1"/>
  <c r="J575" i="1"/>
  <c r="L575" i="1"/>
  <c r="O575" i="1" s="1"/>
  <c r="R575" i="1"/>
  <c r="I576" i="1"/>
  <c r="J576" i="1"/>
  <c r="L576" i="1"/>
  <c r="O576" i="1" s="1"/>
  <c r="R576" i="1"/>
  <c r="I577" i="1"/>
  <c r="J577" i="1"/>
  <c r="L577" i="1"/>
  <c r="O577" i="1" s="1"/>
  <c r="R577" i="1"/>
  <c r="I578" i="1"/>
  <c r="J578" i="1"/>
  <c r="L578" i="1"/>
  <c r="O578" i="1" s="1"/>
  <c r="R578" i="1"/>
  <c r="I579" i="1"/>
  <c r="J579" i="1"/>
  <c r="L579" i="1"/>
  <c r="O579" i="1" s="1"/>
  <c r="R579" i="1"/>
  <c r="I580" i="1"/>
  <c r="J580" i="1"/>
  <c r="L580" i="1"/>
  <c r="O580" i="1" s="1"/>
  <c r="R580" i="1"/>
  <c r="I581" i="1"/>
  <c r="J581" i="1"/>
  <c r="L581" i="1"/>
  <c r="O581" i="1" s="1"/>
  <c r="R581" i="1"/>
  <c r="I582" i="1"/>
  <c r="J582" i="1"/>
  <c r="L582" i="1"/>
  <c r="O582" i="1" s="1"/>
  <c r="R582" i="1"/>
  <c r="I583" i="1"/>
  <c r="J583" i="1"/>
  <c r="L583" i="1"/>
  <c r="O583" i="1" s="1"/>
  <c r="R583" i="1"/>
  <c r="I504" i="1"/>
  <c r="J504" i="1"/>
  <c r="L504" i="1"/>
  <c r="O504" i="1" s="1"/>
  <c r="R504" i="1"/>
  <c r="H338" i="19"/>
  <c r="K338" i="19"/>
  <c r="N338" i="19"/>
  <c r="H339" i="19"/>
  <c r="N339" i="19"/>
  <c r="H340" i="19"/>
  <c r="N340" i="19"/>
  <c r="H341" i="19"/>
  <c r="K341" i="19"/>
  <c r="N341" i="19"/>
  <c r="H342" i="19"/>
  <c r="K342" i="19"/>
  <c r="N342" i="19"/>
  <c r="H343" i="19"/>
  <c r="K343" i="19"/>
  <c r="N343" i="19"/>
  <c r="H344" i="19"/>
  <c r="K344" i="19"/>
  <c r="N344" i="19"/>
  <c r="H345" i="19"/>
  <c r="K345" i="19"/>
  <c r="N345" i="19"/>
  <c r="H346" i="19"/>
  <c r="K346" i="19"/>
  <c r="N346" i="19"/>
  <c r="H347" i="19"/>
  <c r="K347" i="19"/>
  <c r="N347" i="19"/>
  <c r="H348" i="19"/>
  <c r="K348" i="19"/>
  <c r="N348" i="19"/>
  <c r="H349" i="19"/>
  <c r="K349" i="19"/>
  <c r="N349" i="19"/>
  <c r="H350" i="19"/>
  <c r="K350" i="19"/>
  <c r="N350" i="19"/>
  <c r="H351" i="19"/>
  <c r="K351" i="19"/>
  <c r="N351" i="19"/>
  <c r="H352" i="19"/>
  <c r="K352" i="19"/>
  <c r="N352" i="19"/>
  <c r="H353" i="19"/>
  <c r="K353" i="19"/>
  <c r="N353" i="19"/>
  <c r="H354" i="19"/>
  <c r="K354" i="19"/>
  <c r="N354" i="19"/>
  <c r="H355" i="19"/>
  <c r="K355" i="19"/>
  <c r="N355" i="19"/>
  <c r="H356" i="19"/>
  <c r="K356" i="19"/>
  <c r="N356" i="19"/>
  <c r="H357" i="19"/>
  <c r="K357" i="19"/>
  <c r="N357" i="19"/>
  <c r="H358" i="19"/>
  <c r="K358" i="19"/>
  <c r="N358" i="19"/>
  <c r="H359" i="19"/>
  <c r="K359" i="19"/>
  <c r="N359" i="19"/>
  <c r="H360" i="19"/>
  <c r="K360" i="19"/>
  <c r="N360" i="19"/>
  <c r="H361" i="19"/>
  <c r="K361" i="19"/>
  <c r="N361" i="19"/>
  <c r="H362" i="19"/>
  <c r="K362" i="19"/>
  <c r="N362" i="19"/>
  <c r="H363" i="19"/>
  <c r="K363" i="19"/>
  <c r="N363" i="19"/>
  <c r="H364" i="19"/>
  <c r="K364" i="19"/>
  <c r="N364" i="19"/>
  <c r="H365" i="19"/>
  <c r="K365" i="19"/>
  <c r="N365" i="19"/>
  <c r="H366" i="19"/>
  <c r="K366" i="19"/>
  <c r="N366" i="19"/>
  <c r="H367" i="19"/>
  <c r="K367" i="19"/>
  <c r="N367" i="19"/>
  <c r="H368" i="19"/>
  <c r="K368" i="19"/>
  <c r="N368" i="19"/>
  <c r="H369" i="19"/>
  <c r="K369" i="19"/>
  <c r="N369" i="19"/>
  <c r="H370" i="19"/>
  <c r="K370" i="19"/>
  <c r="N370" i="19"/>
  <c r="H371" i="19"/>
  <c r="K371" i="19"/>
  <c r="N371" i="19"/>
  <c r="H372" i="19"/>
  <c r="K372" i="19"/>
  <c r="N372" i="19"/>
  <c r="H373" i="19"/>
  <c r="K373" i="19"/>
  <c r="N373" i="19"/>
  <c r="H374" i="19"/>
  <c r="K374" i="19"/>
  <c r="N374" i="19"/>
  <c r="H375" i="19"/>
  <c r="K375" i="19"/>
  <c r="N375" i="19"/>
  <c r="H376" i="19"/>
  <c r="K376" i="19"/>
  <c r="N376" i="19"/>
  <c r="H377" i="19"/>
  <c r="K377" i="19"/>
  <c r="N377" i="19"/>
  <c r="H378" i="19"/>
  <c r="K378" i="19"/>
  <c r="N378" i="19"/>
  <c r="H379" i="19"/>
  <c r="K379" i="19"/>
  <c r="N379" i="19"/>
  <c r="H380" i="19"/>
  <c r="K380" i="19"/>
  <c r="N380" i="19"/>
  <c r="H381" i="19"/>
  <c r="K381" i="19"/>
  <c r="N381" i="19"/>
  <c r="H382" i="19"/>
  <c r="K382" i="19"/>
  <c r="N382" i="19"/>
  <c r="H383" i="19"/>
  <c r="K383" i="19"/>
  <c r="N383" i="19"/>
  <c r="H384" i="19"/>
  <c r="K384" i="19"/>
  <c r="N384" i="19"/>
  <c r="H385" i="19"/>
  <c r="K385" i="19"/>
  <c r="N385" i="19"/>
  <c r="H386" i="19"/>
  <c r="K386" i="19"/>
  <c r="N386" i="19"/>
  <c r="H387" i="19"/>
  <c r="K387" i="19"/>
  <c r="N387" i="19"/>
  <c r="H388" i="19"/>
  <c r="K388" i="19"/>
  <c r="N388" i="19"/>
  <c r="H389" i="19"/>
  <c r="K389" i="19"/>
  <c r="N389" i="19"/>
  <c r="H390" i="19"/>
  <c r="K390" i="19"/>
  <c r="N390" i="19"/>
  <c r="H391" i="19"/>
  <c r="K391" i="19"/>
  <c r="N391" i="19"/>
  <c r="H392" i="19"/>
  <c r="K392" i="19"/>
  <c r="N392" i="19"/>
  <c r="H393" i="19"/>
  <c r="K393" i="19"/>
  <c r="N393" i="19"/>
  <c r="H394" i="19"/>
  <c r="K394" i="19"/>
  <c r="N394" i="19"/>
  <c r="H395" i="19"/>
  <c r="K395" i="19"/>
  <c r="N395" i="19"/>
  <c r="H396" i="19"/>
  <c r="K396" i="19"/>
  <c r="N396" i="19"/>
  <c r="H337" i="19"/>
  <c r="N337" i="19"/>
  <c r="M419" i="43"/>
  <c r="K270" i="44"/>
  <c r="L270" i="44"/>
  <c r="N270" i="44"/>
  <c r="V270" i="44"/>
  <c r="L271" i="44"/>
  <c r="N271" i="44"/>
  <c r="R271" i="44"/>
  <c r="Q271" i="44"/>
  <c r="U271" i="44"/>
  <c r="K273" i="44"/>
  <c r="L273" i="44"/>
  <c r="N273" i="44"/>
  <c r="L272" i="44"/>
  <c r="N272" i="44"/>
  <c r="L274" i="44"/>
  <c r="N274" i="44"/>
  <c r="V274" i="44"/>
  <c r="L276" i="44"/>
  <c r="N276" i="44"/>
  <c r="U276" i="44"/>
  <c r="L277" i="44"/>
  <c r="N277" i="44"/>
  <c r="Q277" i="44"/>
  <c r="S277" i="44"/>
  <c r="L275" i="44"/>
  <c r="N275" i="44"/>
  <c r="U275" i="44"/>
  <c r="L279" i="44"/>
  <c r="N279" i="44"/>
  <c r="Q279" i="44"/>
  <c r="S279" i="44"/>
  <c r="K278" i="44"/>
  <c r="L278" i="44"/>
  <c r="N278" i="44"/>
  <c r="K280" i="44"/>
  <c r="L280" i="44"/>
  <c r="N280" i="44"/>
  <c r="V280" i="44"/>
  <c r="L281" i="44"/>
  <c r="N281" i="44"/>
  <c r="U281" i="44"/>
  <c r="L283" i="44"/>
  <c r="N283" i="44"/>
  <c r="Q283" i="44"/>
  <c r="R283" i="44"/>
  <c r="K282" i="44"/>
  <c r="L282" i="44"/>
  <c r="N282" i="44"/>
  <c r="U282" i="44"/>
  <c r="L286" i="44"/>
  <c r="N286" i="44"/>
  <c r="U286" i="44"/>
  <c r="L287" i="44"/>
  <c r="N287" i="44"/>
  <c r="Q287" i="44"/>
  <c r="S287" i="44"/>
  <c r="K284" i="44"/>
  <c r="L284" i="44"/>
  <c r="N284" i="44"/>
  <c r="L285" i="44"/>
  <c r="N285" i="44"/>
  <c r="K288" i="44"/>
  <c r="L288" i="44"/>
  <c r="N288" i="44"/>
  <c r="V288" i="44"/>
  <c r="L291" i="44"/>
  <c r="N291" i="44"/>
  <c r="Q291" i="44"/>
  <c r="S291" i="44"/>
  <c r="L290" i="44"/>
  <c r="N290" i="44"/>
  <c r="U290" i="44"/>
  <c r="L289" i="44"/>
  <c r="N289" i="44"/>
  <c r="K294" i="44"/>
  <c r="L294" i="44"/>
  <c r="L293" i="44"/>
  <c r="N293" i="44"/>
  <c r="Q293" i="44"/>
  <c r="S293" i="44"/>
  <c r="K292" i="44"/>
  <c r="L292" i="44"/>
  <c r="N292" i="44"/>
  <c r="L295" i="44"/>
  <c r="N295" i="44"/>
  <c r="Q295" i="44"/>
  <c r="S295" i="44"/>
  <c r="L298" i="44"/>
  <c r="N298" i="44"/>
  <c r="Q298" i="44"/>
  <c r="S298" i="44"/>
  <c r="K296" i="44"/>
  <c r="L296" i="44"/>
  <c r="N296" i="44"/>
  <c r="U296" i="44"/>
  <c r="K297" i="44"/>
  <c r="L297" i="44"/>
  <c r="N297" i="44"/>
  <c r="L299" i="44"/>
  <c r="N299" i="44"/>
  <c r="L302" i="44"/>
  <c r="N302" i="44"/>
  <c r="Q302" i="44"/>
  <c r="S302" i="44"/>
  <c r="K301" i="44"/>
  <c r="L301" i="44"/>
  <c r="N301" i="44"/>
  <c r="U301" i="44"/>
  <c r="L300" i="44"/>
  <c r="N300" i="44"/>
  <c r="V300" i="44"/>
  <c r="T438" i="43"/>
  <c r="T437" i="43"/>
  <c r="T435" i="43"/>
  <c r="T433" i="43"/>
  <c r="T432" i="43"/>
  <c r="T427" i="43"/>
  <c r="T422" i="43"/>
  <c r="T417" i="43"/>
  <c r="T416" i="43"/>
  <c r="T414" i="43"/>
  <c r="T411" i="43"/>
  <c r="T410" i="43"/>
  <c r="T407" i="43"/>
  <c r="T404" i="43"/>
  <c r="T403" i="43"/>
  <c r="T402" i="43"/>
  <c r="T400" i="43"/>
  <c r="T436" i="43"/>
  <c r="T419" i="43"/>
  <c r="P419" i="43" s="1"/>
  <c r="T439" i="43"/>
  <c r="T428" i="43"/>
  <c r="T408" i="43"/>
  <c r="T406" i="43"/>
  <c r="T434" i="43"/>
  <c r="T426" i="43"/>
  <c r="T424" i="43"/>
  <c r="T421" i="43"/>
  <c r="T415" i="43"/>
  <c r="T412" i="43"/>
  <c r="T405" i="43"/>
  <c r="T401" i="43"/>
  <c r="T396" i="43"/>
  <c r="T431" i="43"/>
  <c r="T430" i="43"/>
  <c r="T429" i="43"/>
  <c r="T423" i="43"/>
  <c r="T418" i="43"/>
  <c r="J438" i="43"/>
  <c r="M438" i="43" s="1"/>
  <c r="J437" i="43"/>
  <c r="M437" i="43" s="1"/>
  <c r="J433" i="43"/>
  <c r="M433" i="43" s="1"/>
  <c r="J435" i="43"/>
  <c r="M435" i="43" s="1"/>
  <c r="J432" i="43"/>
  <c r="M432" i="43" s="1"/>
  <c r="J427" i="43"/>
  <c r="M427" i="43" s="1"/>
  <c r="J422" i="43"/>
  <c r="M422" i="43" s="1"/>
  <c r="J417" i="43"/>
  <c r="M417" i="43" s="1"/>
  <c r="J416" i="43"/>
  <c r="M416" i="43" s="1"/>
  <c r="J414" i="43"/>
  <c r="M414" i="43" s="1"/>
  <c r="J411" i="43"/>
  <c r="M411" i="43" s="1"/>
  <c r="J410" i="43"/>
  <c r="M410" i="43" s="1"/>
  <c r="J407" i="43"/>
  <c r="M407" i="43" s="1"/>
  <c r="J404" i="43"/>
  <c r="M404" i="43" s="1"/>
  <c r="J403" i="43"/>
  <c r="M403" i="43" s="1"/>
  <c r="M402" i="43"/>
  <c r="J400" i="43"/>
  <c r="M400" i="43" s="1"/>
  <c r="J436" i="43"/>
  <c r="M436" i="43" s="1"/>
  <c r="J431" i="43"/>
  <c r="M431" i="43" s="1"/>
  <c r="J439" i="43"/>
  <c r="M439" i="43" s="1"/>
  <c r="J428" i="43"/>
  <c r="M428" i="43" s="1"/>
  <c r="J408" i="43"/>
  <c r="M408" i="43" s="1"/>
  <c r="J406" i="43"/>
  <c r="M406" i="43" s="1"/>
  <c r="J434" i="43"/>
  <c r="M434" i="43" s="1"/>
  <c r="J426" i="43"/>
  <c r="M426" i="43" s="1"/>
  <c r="J424" i="43"/>
  <c r="M424" i="43" s="1"/>
  <c r="J421" i="43"/>
  <c r="M421" i="43" s="1"/>
  <c r="M415" i="43"/>
  <c r="M412" i="43"/>
  <c r="J405" i="43"/>
  <c r="M405" i="43" s="1"/>
  <c r="J401" i="43"/>
  <c r="M401" i="43" s="1"/>
  <c r="J430" i="43"/>
  <c r="M430" i="43" s="1"/>
  <c r="J429" i="43"/>
  <c r="M429" i="43" s="1"/>
  <c r="J423" i="43"/>
  <c r="M423" i="43" s="1"/>
  <c r="J418" i="43"/>
  <c r="M418" i="43" s="1"/>
  <c r="J409" i="43"/>
  <c r="M409" i="43" s="1"/>
  <c r="T420" i="43"/>
  <c r="T413" i="43"/>
  <c r="J425" i="43"/>
  <c r="M425" i="43" s="1"/>
  <c r="J420" i="43"/>
  <c r="M420" i="43" s="1"/>
  <c r="J413" i="43"/>
  <c r="M413" i="43" s="1"/>
  <c r="O293" i="44" l="1"/>
  <c r="R293" i="44" s="1"/>
  <c r="O279" i="44"/>
  <c r="R279" i="44" s="1"/>
  <c r="O287" i="44"/>
  <c r="R287" i="44" s="1"/>
  <c r="V302" i="44"/>
  <c r="O302" i="44"/>
  <c r="R302" i="44" s="1"/>
  <c r="U291" i="44"/>
  <c r="O291" i="44"/>
  <c r="R291" i="44" s="1"/>
  <c r="V295" i="44"/>
  <c r="O295" i="44"/>
  <c r="R295" i="44" s="1"/>
  <c r="V277" i="44"/>
  <c r="O277" i="44"/>
  <c r="R277" i="44" s="1"/>
  <c r="U298" i="44"/>
  <c r="O298" i="44"/>
  <c r="R298" i="44" s="1"/>
  <c r="U284" i="44"/>
  <c r="N425" i="43"/>
  <c r="N403" i="43"/>
  <c r="N408" i="43"/>
  <c r="N427" i="43"/>
  <c r="N404" i="43"/>
  <c r="N424" i="43"/>
  <c r="N409" i="43"/>
  <c r="N410" i="43"/>
  <c r="N428" i="43"/>
  <c r="N400" i="43"/>
  <c r="N412" i="43"/>
  <c r="N432" i="43"/>
  <c r="N401" i="43"/>
  <c r="N416" i="43"/>
  <c r="N434" i="43"/>
  <c r="N402" i="43"/>
  <c r="N417" i="43"/>
  <c r="N435" i="43"/>
  <c r="N411" i="43"/>
  <c r="N426" i="43"/>
  <c r="N405" i="43"/>
  <c r="N413" i="43"/>
  <c r="N421" i="43"/>
  <c r="N429" i="43"/>
  <c r="N437" i="43"/>
  <c r="N433" i="43"/>
  <c r="N436" i="43"/>
  <c r="N439" i="43"/>
  <c r="N406" i="43"/>
  <c r="N414" i="43"/>
  <c r="N422" i="43"/>
  <c r="N430" i="43"/>
  <c r="N438" i="43"/>
  <c r="N418" i="43"/>
  <c r="N420" i="43"/>
  <c r="N407" i="43"/>
  <c r="N415" i="43"/>
  <c r="N423" i="43"/>
  <c r="N431" i="43"/>
  <c r="U295" i="44"/>
  <c r="V290" i="44"/>
  <c r="V286" i="44"/>
  <c r="U299" i="44"/>
  <c r="U274" i="44"/>
  <c r="U300" i="44"/>
  <c r="U279" i="44"/>
  <c r="U287" i="44"/>
  <c r="U277" i="44"/>
  <c r="U273" i="44"/>
  <c r="V272" i="44"/>
  <c r="V299" i="44"/>
  <c r="V289" i="44"/>
  <c r="U289" i="44"/>
  <c r="U270" i="44"/>
  <c r="U280" i="44"/>
  <c r="U294" i="44"/>
  <c r="V297" i="44"/>
  <c r="V298" i="44"/>
  <c r="V285" i="44"/>
  <c r="V287" i="44"/>
  <c r="U283" i="44"/>
  <c r="V296" i="44"/>
  <c r="V293" i="44"/>
  <c r="U293" i="44"/>
  <c r="U278" i="44"/>
  <c r="U285" i="44"/>
  <c r="V283" i="44"/>
  <c r="U297" i="44"/>
  <c r="V292" i="44"/>
  <c r="V294" i="44"/>
  <c r="V284" i="44"/>
  <c r="U272" i="44"/>
  <c r="V278" i="44"/>
  <c r="U292" i="44"/>
  <c r="U288" i="44"/>
  <c r="V281" i="44"/>
  <c r="V275" i="44"/>
  <c r="U302" i="44"/>
  <c r="V279" i="44"/>
  <c r="V273" i="44"/>
  <c r="V301" i="44"/>
  <c r="V271" i="44"/>
  <c r="V291" i="44"/>
  <c r="V282" i="44"/>
  <c r="V276" i="44"/>
  <c r="R401" i="43" l="1"/>
  <c r="P401" i="43"/>
  <c r="S401" i="43" s="1"/>
  <c r="R402" i="43"/>
  <c r="V402" i="43"/>
  <c r="R403" i="43"/>
  <c r="P403" i="43"/>
  <c r="S403" i="43" s="1"/>
  <c r="R404" i="43"/>
  <c r="P404" i="43"/>
  <c r="S404" i="43" s="1"/>
  <c r="R405" i="43"/>
  <c r="P405" i="43"/>
  <c r="S405" i="43" s="1"/>
  <c r="R406" i="43"/>
  <c r="V406" i="43"/>
  <c r="R407" i="43"/>
  <c r="P407" i="43"/>
  <c r="S407" i="43" s="1"/>
  <c r="R408" i="43"/>
  <c r="P408" i="43"/>
  <c r="S408" i="43" s="1"/>
  <c r="R409" i="43"/>
  <c r="T409" i="43"/>
  <c r="P409" i="43" s="1"/>
  <c r="S409" i="43" s="1"/>
  <c r="R410" i="43"/>
  <c r="P410" i="43"/>
  <c r="S410" i="43" s="1"/>
  <c r="R411" i="43"/>
  <c r="P411" i="43"/>
  <c r="S411" i="43" s="1"/>
  <c r="R412" i="43"/>
  <c r="P412" i="43"/>
  <c r="S412" i="43" s="1"/>
  <c r="R413" i="43"/>
  <c r="P413" i="43"/>
  <c r="S413" i="43" s="1"/>
  <c r="R414" i="43"/>
  <c r="P414" i="43"/>
  <c r="S414" i="43" s="1"/>
  <c r="R415" i="43"/>
  <c r="V415" i="43"/>
  <c r="R416" i="43"/>
  <c r="P416" i="43"/>
  <c r="S416" i="43" s="1"/>
  <c r="R417" i="43"/>
  <c r="P417" i="43"/>
  <c r="S417" i="43" s="1"/>
  <c r="R418" i="43"/>
  <c r="P418" i="43"/>
  <c r="S418" i="43" s="1"/>
  <c r="R419" i="43"/>
  <c r="S419" i="43"/>
  <c r="R420" i="43"/>
  <c r="P420" i="43"/>
  <c r="S420" i="43" s="1"/>
  <c r="R421" i="43"/>
  <c r="P421" i="43"/>
  <c r="S421" i="43" s="1"/>
  <c r="R422" i="43"/>
  <c r="V422" i="43"/>
  <c r="R423" i="43"/>
  <c r="P423" i="43"/>
  <c r="S423" i="43" s="1"/>
  <c r="R424" i="43"/>
  <c r="P424" i="43"/>
  <c r="S424" i="43" s="1"/>
  <c r="R425" i="43"/>
  <c r="P425" i="43"/>
  <c r="S425" i="43" s="1"/>
  <c r="R426" i="43"/>
  <c r="P426" i="43"/>
  <c r="S426" i="43" s="1"/>
  <c r="R427" i="43"/>
  <c r="V427" i="43"/>
  <c r="R428" i="43"/>
  <c r="P428" i="43"/>
  <c r="S428" i="43" s="1"/>
  <c r="R429" i="43"/>
  <c r="P429" i="43"/>
  <c r="S429" i="43" s="1"/>
  <c r="V429" i="43"/>
  <c r="R430" i="43"/>
  <c r="P430" i="43"/>
  <c r="S430" i="43" s="1"/>
  <c r="R431" i="43"/>
  <c r="P431" i="43"/>
  <c r="S431" i="43" s="1"/>
  <c r="R432" i="43"/>
  <c r="V432" i="43"/>
  <c r="R433" i="43"/>
  <c r="P433" i="43"/>
  <c r="S433" i="43" s="1"/>
  <c r="R434" i="43"/>
  <c r="P434" i="43"/>
  <c r="S434" i="43" s="1"/>
  <c r="R435" i="43"/>
  <c r="P435" i="43"/>
  <c r="S435" i="43" s="1"/>
  <c r="R436" i="43"/>
  <c r="P436" i="43"/>
  <c r="S436" i="43" s="1"/>
  <c r="R437" i="43"/>
  <c r="P437" i="43"/>
  <c r="S437" i="43" s="1"/>
  <c r="R438" i="43"/>
  <c r="P438" i="43"/>
  <c r="S438" i="43" s="1"/>
  <c r="R439" i="43"/>
  <c r="P439" i="43"/>
  <c r="S439" i="43" s="1"/>
  <c r="R400" i="43"/>
  <c r="P400" i="43"/>
  <c r="S400" i="43" s="1"/>
  <c r="S117" i="44"/>
  <c r="O117" i="44" s="1"/>
  <c r="S116" i="44"/>
  <c r="O116" i="44" s="1"/>
  <c r="S115" i="44"/>
  <c r="O115" i="44" s="1"/>
  <c r="S114" i="44"/>
  <c r="O114" i="44" s="1"/>
  <c r="S113" i="44"/>
  <c r="O113" i="44" s="1"/>
  <c r="S112" i="44"/>
  <c r="O112" i="44" s="1"/>
  <c r="S111" i="44"/>
  <c r="O111" i="44" s="1"/>
  <c r="S110" i="44"/>
  <c r="O110" i="44" s="1"/>
  <c r="S109" i="44"/>
  <c r="O109" i="44" s="1"/>
  <c r="S108" i="44"/>
  <c r="O108" i="44" s="1"/>
  <c r="L67" i="43"/>
  <c r="V434" i="43" l="1"/>
  <c r="V437" i="43"/>
  <c r="V433" i="43"/>
  <c r="V423" i="43"/>
  <c r="V414" i="43"/>
  <c r="V403" i="43"/>
  <c r="V401" i="43"/>
  <c r="V417" i="43"/>
  <c r="V410" i="43"/>
  <c r="V435" i="43"/>
  <c r="P432" i="43"/>
  <c r="S432" i="43" s="1"/>
  <c r="V420" i="43"/>
  <c r="V411" i="43"/>
  <c r="V413" i="43"/>
  <c r="V409" i="43"/>
  <c r="V404" i="43"/>
  <c r="V424" i="43"/>
  <c r="V418" i="43"/>
  <c r="V421" i="43"/>
  <c r="V419" i="43"/>
  <c r="V412" i="43"/>
  <c r="P427" i="43"/>
  <c r="S427" i="43" s="1"/>
  <c r="V436" i="43"/>
  <c r="P422" i="43"/>
  <c r="S422" i="43" s="1"/>
  <c r="V428" i="43"/>
  <c r="V426" i="43"/>
  <c r="P402" i="43"/>
  <c r="S402" i="43" s="1"/>
  <c r="V439" i="43"/>
  <c r="V430" i="43"/>
  <c r="V416" i="43"/>
  <c r="P415" i="43"/>
  <c r="S415" i="43" s="1"/>
  <c r="V407" i="43"/>
  <c r="V425" i="43"/>
  <c r="V405" i="43"/>
  <c r="V400" i="43"/>
  <c r="P406" i="43"/>
  <c r="S406" i="43" s="1"/>
  <c r="V438" i="43"/>
  <c r="V431" i="43"/>
  <c r="V408" i="43"/>
  <c r="M223" i="43"/>
  <c r="N223" i="43"/>
  <c r="M224" i="43"/>
  <c r="N224" i="43"/>
  <c r="M225" i="43"/>
  <c r="N225" i="43"/>
  <c r="M226" i="43"/>
  <c r="N226" i="43"/>
  <c r="M227" i="43"/>
  <c r="N227" i="43"/>
  <c r="M228" i="43"/>
  <c r="N228" i="43"/>
  <c r="M229" i="43"/>
  <c r="N229" i="43"/>
  <c r="M230" i="43"/>
  <c r="N230" i="43"/>
  <c r="M231" i="43"/>
  <c r="N231" i="43"/>
  <c r="M232" i="43"/>
  <c r="N232" i="43"/>
  <c r="M233" i="43"/>
  <c r="N233" i="43"/>
  <c r="M234" i="43"/>
  <c r="N234" i="43"/>
  <c r="M235" i="43"/>
  <c r="N235" i="43"/>
  <c r="M236" i="43"/>
  <c r="N236" i="43"/>
  <c r="M237" i="43"/>
  <c r="N237" i="43"/>
  <c r="R223" i="43"/>
  <c r="S223" i="43"/>
  <c r="T223" i="43"/>
  <c r="V223" i="43" s="1"/>
  <c r="R224" i="43"/>
  <c r="S224" i="43"/>
  <c r="T224" i="43"/>
  <c r="V224" i="43" s="1"/>
  <c r="R225" i="43"/>
  <c r="S225" i="43"/>
  <c r="T225" i="43"/>
  <c r="V225" i="43" s="1"/>
  <c r="R226" i="43"/>
  <c r="S226" i="43"/>
  <c r="T226" i="43"/>
  <c r="V226" i="43" s="1"/>
  <c r="R227" i="43"/>
  <c r="S227" i="43"/>
  <c r="T227" i="43"/>
  <c r="V227" i="43" s="1"/>
  <c r="R228" i="43"/>
  <c r="S228" i="43"/>
  <c r="T228" i="43"/>
  <c r="V228" i="43" s="1"/>
  <c r="R229" i="43"/>
  <c r="S229" i="43"/>
  <c r="T229" i="43"/>
  <c r="V229" i="43" s="1"/>
  <c r="R230" i="43"/>
  <c r="S230" i="43"/>
  <c r="T230" i="43"/>
  <c r="V230" i="43" s="1"/>
  <c r="R231" i="43"/>
  <c r="S231" i="43"/>
  <c r="T231" i="43"/>
  <c r="V231" i="43" s="1"/>
  <c r="R232" i="43"/>
  <c r="S232" i="43"/>
  <c r="T232" i="43"/>
  <c r="V232" i="43" s="1"/>
  <c r="R233" i="43"/>
  <c r="S233" i="43"/>
  <c r="T233" i="43"/>
  <c r="V233" i="43" s="1"/>
  <c r="R234" i="43"/>
  <c r="S234" i="43"/>
  <c r="T234" i="43"/>
  <c r="V234" i="43" s="1"/>
  <c r="R235" i="43"/>
  <c r="S235" i="43"/>
  <c r="T235" i="43"/>
  <c r="V235" i="43" s="1"/>
  <c r="R236" i="43"/>
  <c r="S236" i="43"/>
  <c r="T236" i="43"/>
  <c r="V236" i="43" s="1"/>
  <c r="R237" i="43"/>
  <c r="S237" i="43"/>
  <c r="T237" i="43"/>
  <c r="V237" i="43" s="1"/>
  <c r="V236" i="44"/>
  <c r="V117" i="44"/>
  <c r="R117" i="44"/>
  <c r="Q117" i="44"/>
  <c r="N117" i="44"/>
  <c r="L117" i="44"/>
  <c r="K117" i="44"/>
  <c r="V116" i="44"/>
  <c r="R116" i="44"/>
  <c r="Q116" i="44"/>
  <c r="N116" i="44"/>
  <c r="L116" i="44"/>
  <c r="K116" i="44"/>
  <c r="V115" i="44"/>
  <c r="R115" i="44"/>
  <c r="Q115" i="44"/>
  <c r="N115" i="44"/>
  <c r="L115" i="44"/>
  <c r="K115" i="44"/>
  <c r="V114" i="44"/>
  <c r="R114" i="44"/>
  <c r="Q114" i="44"/>
  <c r="N114" i="44"/>
  <c r="L114" i="44"/>
  <c r="K114" i="44"/>
  <c r="V113" i="44"/>
  <c r="R113" i="44"/>
  <c r="Q113" i="44"/>
  <c r="N113" i="44"/>
  <c r="L113" i="44"/>
  <c r="K113" i="44"/>
  <c r="V112" i="44"/>
  <c r="R112" i="44"/>
  <c r="Q112" i="44"/>
  <c r="N112" i="44"/>
  <c r="L112" i="44"/>
  <c r="K112" i="44"/>
  <c r="V111" i="44"/>
  <c r="R111" i="44"/>
  <c r="Q111" i="44"/>
  <c r="N111" i="44"/>
  <c r="L111" i="44"/>
  <c r="K111" i="44"/>
  <c r="V110" i="44"/>
  <c r="R110" i="44"/>
  <c r="Q110" i="44"/>
  <c r="N110" i="44"/>
  <c r="L110" i="44"/>
  <c r="K110" i="44"/>
  <c r="V109" i="44"/>
  <c r="R109" i="44"/>
  <c r="Q109" i="44"/>
  <c r="N109" i="44"/>
  <c r="L109" i="44"/>
  <c r="K109" i="44"/>
  <c r="V108" i="44"/>
  <c r="R108" i="44"/>
  <c r="Q108" i="44"/>
  <c r="N108" i="44"/>
  <c r="L108" i="44"/>
  <c r="K108" i="44"/>
  <c r="V269" i="44"/>
  <c r="N269" i="44"/>
  <c r="L269" i="44"/>
  <c r="K269" i="44"/>
  <c r="S266" i="44"/>
  <c r="V266" i="44" s="1"/>
  <c r="R266" i="44"/>
  <c r="Q266" i="44"/>
  <c r="N266" i="44"/>
  <c r="L266" i="44"/>
  <c r="S268" i="44"/>
  <c r="V268" i="44" s="1"/>
  <c r="R268" i="44"/>
  <c r="Q268" i="44"/>
  <c r="N268" i="44"/>
  <c r="L268" i="44"/>
  <c r="V265" i="44"/>
  <c r="N265" i="44"/>
  <c r="L265" i="44"/>
  <c r="K265" i="44"/>
  <c r="V267" i="44"/>
  <c r="N267" i="44"/>
  <c r="L267" i="44"/>
  <c r="K267" i="44"/>
  <c r="V264" i="44"/>
  <c r="N264" i="44"/>
  <c r="L264" i="44"/>
  <c r="K264" i="44"/>
  <c r="S262" i="44"/>
  <c r="V262" i="44" s="1"/>
  <c r="R262" i="44"/>
  <c r="Q262" i="44"/>
  <c r="N262" i="44"/>
  <c r="L262" i="44"/>
  <c r="V263" i="44"/>
  <c r="N263" i="44"/>
  <c r="L263" i="44"/>
  <c r="V260" i="44"/>
  <c r="N260" i="44"/>
  <c r="L260" i="44"/>
  <c r="K260" i="44"/>
  <c r="S261" i="44"/>
  <c r="V261" i="44" s="1"/>
  <c r="R261" i="44"/>
  <c r="Q261" i="44"/>
  <c r="N261" i="44"/>
  <c r="L261" i="44"/>
  <c r="V259" i="44"/>
  <c r="N259" i="44"/>
  <c r="L259" i="44"/>
  <c r="K259" i="44"/>
  <c r="V257" i="44"/>
  <c r="N257" i="44"/>
  <c r="L257" i="44"/>
  <c r="K257" i="44"/>
  <c r="S258" i="44"/>
  <c r="V258" i="44" s="1"/>
  <c r="R258" i="44"/>
  <c r="Q258" i="44"/>
  <c r="N258" i="44"/>
  <c r="L258" i="44"/>
  <c r="V256" i="44"/>
  <c r="N256" i="44"/>
  <c r="L256" i="44"/>
  <c r="V254" i="44"/>
  <c r="N254" i="44"/>
  <c r="L254" i="44"/>
  <c r="V233" i="44"/>
  <c r="N233" i="44"/>
  <c r="L233" i="44"/>
  <c r="V235" i="44"/>
  <c r="R235" i="44"/>
  <c r="Q235" i="44"/>
  <c r="N235" i="44"/>
  <c r="L235" i="44"/>
  <c r="N236" i="44"/>
  <c r="L236" i="44"/>
  <c r="K236" i="44"/>
  <c r="L247" i="44"/>
  <c r="N247" i="44"/>
  <c r="Q247" i="44"/>
  <c r="R247" i="44"/>
  <c r="S247" i="44"/>
  <c r="U247" i="44" s="1"/>
  <c r="L248" i="44"/>
  <c r="N248" i="44"/>
  <c r="U248" i="44"/>
  <c r="K249" i="44"/>
  <c r="L249" i="44"/>
  <c r="N249" i="44"/>
  <c r="Q249" i="44"/>
  <c r="R249" i="44"/>
  <c r="S249" i="44"/>
  <c r="U249" i="44" s="1"/>
  <c r="K250" i="44"/>
  <c r="L250" i="44"/>
  <c r="N250" i="44"/>
  <c r="Q250" i="44"/>
  <c r="R250" i="44"/>
  <c r="S250" i="44"/>
  <c r="U250" i="44" s="1"/>
  <c r="K251" i="44"/>
  <c r="L251" i="44"/>
  <c r="N251" i="44"/>
  <c r="Q251" i="44"/>
  <c r="R251" i="44"/>
  <c r="U251" i="44"/>
  <c r="L253" i="44"/>
  <c r="N253" i="44"/>
  <c r="Q253" i="44"/>
  <c r="R253" i="44"/>
  <c r="S253" i="44"/>
  <c r="U253" i="44" s="1"/>
  <c r="L252" i="44"/>
  <c r="N252" i="44"/>
  <c r="Q252" i="44"/>
  <c r="R252" i="44"/>
  <c r="S252" i="44"/>
  <c r="U252" i="44" s="1"/>
  <c r="L255" i="44"/>
  <c r="N255" i="44"/>
  <c r="U255" i="44"/>
  <c r="L237" i="44"/>
  <c r="N237" i="44"/>
  <c r="U237" i="44"/>
  <c r="L240" i="44"/>
  <c r="N240" i="44"/>
  <c r="Q240" i="44"/>
  <c r="R240" i="44"/>
  <c r="S240" i="44"/>
  <c r="U240" i="44" s="1"/>
  <c r="K238" i="44"/>
  <c r="L238" i="44"/>
  <c r="N238" i="44"/>
  <c r="U238" i="44"/>
  <c r="L239" i="44"/>
  <c r="N239" i="44"/>
  <c r="Q239" i="44"/>
  <c r="R239" i="44"/>
  <c r="S239" i="44"/>
  <c r="U239" i="44" s="1"/>
  <c r="K243" i="44"/>
  <c r="L243" i="44"/>
  <c r="N243" i="44"/>
  <c r="U243" i="44"/>
  <c r="L244" i="44"/>
  <c r="N244" i="44"/>
  <c r="U244" i="44"/>
  <c r="K241" i="44"/>
  <c r="L241" i="44"/>
  <c r="N241" i="44"/>
  <c r="U241" i="44"/>
  <c r="L245" i="44"/>
  <c r="N245" i="44"/>
  <c r="Q245" i="44"/>
  <c r="R245" i="44"/>
  <c r="S245" i="44"/>
  <c r="U245" i="44" s="1"/>
  <c r="L242" i="44"/>
  <c r="N242" i="44"/>
  <c r="Q242" i="44"/>
  <c r="R242" i="44"/>
  <c r="S242" i="44"/>
  <c r="U242" i="44" s="1"/>
  <c r="K246" i="44"/>
  <c r="L246" i="44"/>
  <c r="N246" i="44"/>
  <c r="U246" i="44"/>
  <c r="K234" i="44"/>
  <c r="L234" i="44"/>
  <c r="N234" i="44"/>
  <c r="U234" i="44"/>
  <c r="H52" i="18"/>
  <c r="K52" i="18"/>
  <c r="L52" i="18"/>
  <c r="M52" i="18"/>
  <c r="O52" i="18" s="1"/>
  <c r="H53" i="18"/>
  <c r="K53" i="18"/>
  <c r="L53" i="18"/>
  <c r="M53" i="18"/>
  <c r="O53" i="18" s="1"/>
  <c r="H54" i="18"/>
  <c r="K54" i="18"/>
  <c r="L54" i="18"/>
  <c r="M54" i="18"/>
  <c r="O54" i="18" s="1"/>
  <c r="H55" i="18"/>
  <c r="K55" i="18"/>
  <c r="L55" i="18"/>
  <c r="M55" i="18"/>
  <c r="O55" i="18" s="1"/>
  <c r="H56" i="18"/>
  <c r="K56" i="18"/>
  <c r="L56" i="18"/>
  <c r="M56" i="18"/>
  <c r="O56" i="18" s="1"/>
  <c r="H57" i="18"/>
  <c r="K57" i="18"/>
  <c r="L57" i="18"/>
  <c r="M57" i="18"/>
  <c r="O57" i="18" s="1"/>
  <c r="H58" i="18"/>
  <c r="K58" i="18"/>
  <c r="L58" i="18"/>
  <c r="M58" i="18"/>
  <c r="O58" i="18" s="1"/>
  <c r="H59" i="18"/>
  <c r="K59" i="18"/>
  <c r="L59" i="18"/>
  <c r="O59" i="18"/>
  <c r="H60" i="18"/>
  <c r="K60" i="18"/>
  <c r="L60" i="18"/>
  <c r="M60" i="18"/>
  <c r="O60" i="18" s="1"/>
  <c r="H61" i="18"/>
  <c r="K61" i="18"/>
  <c r="L61" i="18"/>
  <c r="M61" i="18"/>
  <c r="O61" i="18" s="1"/>
  <c r="H62" i="18"/>
  <c r="K62" i="18"/>
  <c r="L62" i="18"/>
  <c r="M62" i="18"/>
  <c r="O62" i="18" s="1"/>
  <c r="H51" i="18"/>
  <c r="K51" i="18"/>
  <c r="L51" i="18"/>
  <c r="M51" i="18"/>
  <c r="O51" i="18" s="1"/>
  <c r="V253" i="44" l="1"/>
  <c r="V242" i="44"/>
  <c r="V240" i="44"/>
  <c r="V251" i="44"/>
  <c r="V250" i="44"/>
  <c r="V238" i="44"/>
  <c r="V245" i="44"/>
  <c r="V239" i="44"/>
  <c r="V252" i="44"/>
  <c r="V247" i="44"/>
  <c r="V248" i="44"/>
  <c r="V241" i="44"/>
  <c r="V246" i="44"/>
  <c r="V243" i="44"/>
  <c r="V234" i="44"/>
  <c r="V244" i="44"/>
  <c r="V255" i="44"/>
  <c r="V237" i="44"/>
  <c r="V249" i="44"/>
  <c r="U254" i="44"/>
  <c r="U256" i="44"/>
  <c r="U258" i="44"/>
  <c r="U257" i="44"/>
  <c r="U259" i="44"/>
  <c r="U261" i="44"/>
  <c r="U260" i="44"/>
  <c r="U263" i="44"/>
  <c r="U262" i="44"/>
  <c r="U264" i="44"/>
  <c r="U267" i="44"/>
  <c r="U265" i="44"/>
  <c r="U268" i="44"/>
  <c r="U266" i="44"/>
  <c r="U269" i="44"/>
  <c r="U108" i="44"/>
  <c r="U109" i="44"/>
  <c r="U110" i="44"/>
  <c r="U111" i="44"/>
  <c r="U112" i="44"/>
  <c r="U113" i="44"/>
  <c r="U114" i="44"/>
  <c r="U115" i="44"/>
  <c r="U116" i="44"/>
  <c r="U117" i="44"/>
  <c r="U233" i="44"/>
  <c r="U236" i="44"/>
  <c r="U235" i="44"/>
  <c r="L481" i="1"/>
  <c r="L479" i="1"/>
  <c r="L480" i="1"/>
  <c r="L478" i="1"/>
  <c r="L457" i="1"/>
  <c r="L456" i="1"/>
  <c r="L455" i="1"/>
  <c r="L454" i="1"/>
  <c r="L453" i="1"/>
  <c r="L452" i="1"/>
  <c r="P458" i="1"/>
  <c r="L462" i="1"/>
  <c r="L461" i="1"/>
  <c r="L460" i="1"/>
  <c r="L459" i="1"/>
  <c r="L446" i="1"/>
  <c r="L447" i="1"/>
  <c r="L448" i="1"/>
  <c r="L449" i="1"/>
  <c r="L451" i="1"/>
  <c r="L450" i="1"/>
  <c r="I500" i="1"/>
  <c r="J500" i="1"/>
  <c r="L500" i="1"/>
  <c r="O500" i="1" s="1"/>
  <c r="R500" i="1"/>
  <c r="I501" i="1"/>
  <c r="J501" i="1"/>
  <c r="L501" i="1"/>
  <c r="O501" i="1" s="1"/>
  <c r="R501" i="1"/>
  <c r="I502" i="1"/>
  <c r="J502" i="1"/>
  <c r="L502" i="1"/>
  <c r="O502" i="1" s="1"/>
  <c r="R502" i="1"/>
  <c r="I503" i="1"/>
  <c r="J503" i="1"/>
  <c r="L503" i="1"/>
  <c r="O503" i="1" s="1"/>
  <c r="R503" i="1"/>
  <c r="I499" i="1"/>
  <c r="J499" i="1"/>
  <c r="L499" i="1"/>
  <c r="O499" i="1" s="1"/>
  <c r="R499" i="1"/>
  <c r="L445" i="1"/>
  <c r="L444" i="1"/>
  <c r="L443" i="1"/>
  <c r="L442" i="1"/>
  <c r="L441" i="1"/>
  <c r="L440" i="1"/>
  <c r="L439" i="1"/>
  <c r="L438" i="1"/>
  <c r="L437" i="1"/>
  <c r="L431" i="1"/>
  <c r="L430" i="1"/>
  <c r="L429" i="1"/>
  <c r="L436" i="1"/>
  <c r="L435" i="1"/>
  <c r="L434" i="1"/>
  <c r="L433" i="1"/>
  <c r="L428" i="1"/>
  <c r="L427" i="1"/>
  <c r="L426" i="1"/>
  <c r="L425" i="1"/>
  <c r="L495" i="1"/>
  <c r="L494" i="1"/>
  <c r="L493" i="1"/>
  <c r="L492" i="1"/>
  <c r="L491" i="1"/>
  <c r="L490" i="1"/>
  <c r="L488" i="1"/>
  <c r="L489" i="1"/>
  <c r="L487" i="1"/>
  <c r="L486" i="1"/>
  <c r="L485" i="1"/>
  <c r="L484" i="1"/>
  <c r="L483" i="1"/>
  <c r="L482" i="1"/>
  <c r="L477" i="1"/>
  <c r="L476" i="1"/>
  <c r="L475" i="1"/>
  <c r="L474" i="1"/>
  <c r="L473" i="1"/>
  <c r="L472" i="1"/>
  <c r="L471" i="1"/>
  <c r="L470" i="1"/>
  <c r="L469" i="1"/>
  <c r="L463" i="1"/>
  <c r="L468" i="1"/>
  <c r="L467" i="1"/>
  <c r="L466" i="1"/>
  <c r="L465" i="1"/>
  <c r="J479" i="1"/>
  <c r="T397" i="43"/>
  <c r="P397" i="43" s="1"/>
  <c r="T395" i="43"/>
  <c r="P395" i="43" s="1"/>
  <c r="T393" i="43"/>
  <c r="P393" i="43" s="1"/>
  <c r="T392" i="43"/>
  <c r="P392" i="43" s="1"/>
  <c r="T388" i="43"/>
  <c r="P388" i="43" s="1"/>
  <c r="T387" i="43"/>
  <c r="P387" i="43" s="1"/>
  <c r="T383" i="43"/>
  <c r="P383" i="43" s="1"/>
  <c r="T381" i="43"/>
  <c r="P381" i="43" s="1"/>
  <c r="T378" i="43"/>
  <c r="P378" i="43" s="1"/>
  <c r="T373" i="43"/>
  <c r="P373" i="43" s="1"/>
  <c r="T379" i="43"/>
  <c r="P379" i="43" s="1"/>
  <c r="T371" i="43"/>
  <c r="P371" i="43" s="1"/>
  <c r="T359" i="43"/>
  <c r="P359" i="43" s="1"/>
  <c r="T351" i="43"/>
  <c r="P351" i="43" s="1"/>
  <c r="T346" i="43"/>
  <c r="P346" i="43" s="1"/>
  <c r="T345" i="43"/>
  <c r="P345" i="43" s="1"/>
  <c r="T338" i="43"/>
  <c r="P338" i="43" s="1"/>
  <c r="T336" i="43"/>
  <c r="P336" i="43" s="1"/>
  <c r="T334" i="43"/>
  <c r="P334" i="43" s="1"/>
  <c r="T326" i="43"/>
  <c r="P326" i="43" s="1"/>
  <c r="T324" i="43"/>
  <c r="P324" i="43" s="1"/>
  <c r="T322" i="43"/>
  <c r="P322" i="43" s="1"/>
  <c r="T321" i="43"/>
  <c r="P321" i="43" s="1"/>
  <c r="T320" i="43"/>
  <c r="P320" i="43" s="1"/>
  <c r="T319" i="43"/>
  <c r="P319" i="43" s="1"/>
  <c r="T317" i="43"/>
  <c r="P317" i="43" s="1"/>
  <c r="T313" i="43"/>
  <c r="P313" i="43" s="1"/>
  <c r="T312" i="43"/>
  <c r="P312" i="43" s="1"/>
  <c r="T305" i="43"/>
  <c r="P305" i="43" s="1"/>
  <c r="T304" i="43"/>
  <c r="P304" i="43" s="1"/>
  <c r="T297" i="43"/>
  <c r="P297" i="43" s="1"/>
  <c r="T289" i="43"/>
  <c r="P289" i="43" s="1"/>
  <c r="T286" i="43"/>
  <c r="P286" i="43" s="1"/>
  <c r="T274" i="43"/>
  <c r="P274" i="43" s="1"/>
  <c r="T273" i="43"/>
  <c r="P273" i="43" s="1"/>
  <c r="T271" i="43"/>
  <c r="P271" i="43" s="1"/>
  <c r="T212" i="43"/>
  <c r="P212" i="43" s="1"/>
  <c r="T211" i="43"/>
  <c r="P211" i="43" s="1"/>
  <c r="T136" i="43"/>
  <c r="P136" i="43" s="1"/>
  <c r="T360" i="43"/>
  <c r="P360" i="43" s="1"/>
  <c r="T352" i="43"/>
  <c r="P352" i="43" s="1"/>
  <c r="T349" i="43"/>
  <c r="P349" i="43" s="1"/>
  <c r="T316" i="43"/>
  <c r="P316" i="43" s="1"/>
  <c r="T281" i="43"/>
  <c r="P281" i="43" s="1"/>
  <c r="T263" i="43"/>
  <c r="P263" i="43" s="1"/>
  <c r="T390" i="43"/>
  <c r="P390" i="43" s="1"/>
  <c r="P356" i="43"/>
  <c r="T323" i="43"/>
  <c r="P323" i="43" s="1"/>
  <c r="T290" i="43"/>
  <c r="P290" i="43" s="1"/>
  <c r="T207" i="43"/>
  <c r="P207" i="43" s="1"/>
  <c r="T362" i="43"/>
  <c r="P362" i="43" s="1"/>
  <c r="T363" i="43"/>
  <c r="P363" i="43" s="1"/>
  <c r="T361" i="43"/>
  <c r="P361" i="43" s="1"/>
  <c r="T310" i="43"/>
  <c r="T309" i="43"/>
  <c r="T308" i="43"/>
  <c r="T303" i="43"/>
  <c r="T302" i="43"/>
  <c r="T301" i="43"/>
  <c r="T296" i="43"/>
  <c r="T295" i="43"/>
  <c r="T294" i="43"/>
  <c r="T277" i="43"/>
  <c r="T276" i="43"/>
  <c r="T275" i="43"/>
  <c r="T269" i="43"/>
  <c r="T268" i="43"/>
  <c r="T267" i="43"/>
  <c r="T210" i="43"/>
  <c r="T209" i="43"/>
  <c r="T208" i="43"/>
  <c r="T134" i="43"/>
  <c r="T132" i="43"/>
  <c r="P132" i="43" s="1"/>
  <c r="T133" i="43"/>
  <c r="T330" i="43"/>
  <c r="P330" i="43" s="1"/>
  <c r="T329" i="43"/>
  <c r="P329" i="43" s="1"/>
  <c r="T328" i="43"/>
  <c r="P328" i="43" s="1"/>
  <c r="T369" i="43"/>
  <c r="P369" i="43" s="1"/>
  <c r="T368" i="43"/>
  <c r="P368" i="43" s="1"/>
  <c r="T367" i="43"/>
  <c r="P367" i="43" s="1"/>
  <c r="T344" i="43"/>
  <c r="P344" i="43" s="1"/>
  <c r="T343" i="43"/>
  <c r="P343" i="43" s="1"/>
  <c r="T342" i="43"/>
  <c r="P342" i="43" s="1"/>
  <c r="T333" i="43"/>
  <c r="P333" i="43" s="1"/>
  <c r="T332" i="43"/>
  <c r="P332" i="43" s="1"/>
  <c r="T331" i="43"/>
  <c r="P331" i="43" s="1"/>
  <c r="T293" i="43"/>
  <c r="P293" i="43" s="1"/>
  <c r="T292" i="43"/>
  <c r="P292" i="43" s="1"/>
  <c r="T291" i="43"/>
  <c r="P291" i="43" s="1"/>
  <c r="T284" i="43"/>
  <c r="P284" i="43" s="1"/>
  <c r="T283" i="43"/>
  <c r="P283" i="43" s="1"/>
  <c r="T282" i="43"/>
  <c r="P282" i="43" s="1"/>
  <c r="T266" i="43"/>
  <c r="P266" i="43" s="1"/>
  <c r="T265" i="43"/>
  <c r="P265" i="43" s="1"/>
  <c r="T264" i="43"/>
  <c r="P264" i="43" s="1"/>
  <c r="T131" i="43"/>
  <c r="P131" i="43" s="1"/>
  <c r="T130" i="43"/>
  <c r="P130" i="43" s="1"/>
  <c r="T129" i="43"/>
  <c r="P129" i="43" s="1"/>
  <c r="T365" i="43"/>
  <c r="P365" i="43" s="1"/>
  <c r="T357" i="43"/>
  <c r="P357" i="43" s="1"/>
  <c r="T325" i="43"/>
  <c r="P325" i="43" s="1"/>
  <c r="T318" i="43"/>
  <c r="P318" i="43" s="1"/>
  <c r="T394" i="43"/>
  <c r="P394" i="43" s="1"/>
  <c r="T314" i="43"/>
  <c r="P314" i="43" s="1"/>
  <c r="T306" i="43"/>
  <c r="P306" i="43" s="1"/>
  <c r="T279" i="43"/>
  <c r="P279" i="43" s="1"/>
  <c r="P396" i="43"/>
  <c r="T384" i="43"/>
  <c r="P384" i="43" s="1"/>
  <c r="T376" i="43"/>
  <c r="P376" i="43" s="1"/>
  <c r="T375" i="43"/>
  <c r="P375" i="43" s="1"/>
  <c r="T374" i="43"/>
  <c r="P374" i="43" s="1"/>
  <c r="T358" i="43"/>
  <c r="P358" i="43" s="1"/>
  <c r="T353" i="43"/>
  <c r="P353" i="43" s="1"/>
  <c r="T350" i="43"/>
  <c r="P350" i="43" s="1"/>
  <c r="T337" i="43"/>
  <c r="P337" i="43" s="1"/>
  <c r="T335" i="43"/>
  <c r="P335" i="43" s="1"/>
  <c r="T298" i="43"/>
  <c r="P298" i="43" s="1"/>
  <c r="T288" i="43"/>
  <c r="P288" i="43" s="1"/>
  <c r="T285" i="43"/>
  <c r="P285" i="43" s="1"/>
  <c r="T270" i="43"/>
  <c r="P270" i="43" s="1"/>
  <c r="T389" i="43"/>
  <c r="P389" i="43" s="1"/>
  <c r="T94" i="43"/>
  <c r="P94" i="43" s="1"/>
  <c r="T138" i="43"/>
  <c r="P138" i="43" s="1"/>
  <c r="T386" i="43"/>
  <c r="P386" i="43" s="1"/>
  <c r="T380" i="43"/>
  <c r="P380" i="43" s="1"/>
  <c r="T377" i="43"/>
  <c r="P377" i="43" s="1"/>
  <c r="T370" i="43"/>
  <c r="P370" i="43" s="1"/>
  <c r="T364" i="43"/>
  <c r="P364" i="43" s="1"/>
  <c r="T311" i="43"/>
  <c r="P311" i="43" s="1"/>
  <c r="T278" i="43"/>
  <c r="P278" i="43" s="1"/>
  <c r="T244" i="43"/>
  <c r="P244" i="43" s="1"/>
  <c r="T242" i="43"/>
  <c r="P242" i="43" s="1"/>
  <c r="T218" i="43"/>
  <c r="P218" i="43" s="1"/>
  <c r="T206" i="43"/>
  <c r="P206" i="43" s="1"/>
  <c r="T203" i="43"/>
  <c r="P203" i="43" s="1"/>
  <c r="T199" i="43"/>
  <c r="P199" i="43" s="1"/>
  <c r="T174" i="43"/>
  <c r="P174" i="43" s="1"/>
  <c r="T168" i="43"/>
  <c r="P168" i="43" s="1"/>
  <c r="T121" i="43"/>
  <c r="P121" i="43" s="1"/>
  <c r="T80" i="43"/>
  <c r="P80" i="43" s="1"/>
  <c r="T79" i="43"/>
  <c r="P79" i="43" s="1"/>
  <c r="T398" i="43" l="1"/>
  <c r="T399" i="43"/>
  <c r="M399" i="43"/>
  <c r="N399" i="43"/>
  <c r="R399" i="43"/>
  <c r="M398" i="43"/>
  <c r="N398" i="43"/>
  <c r="R398" i="43"/>
  <c r="P399" i="43" l="1"/>
  <c r="S399" i="43" s="1"/>
  <c r="P398" i="43"/>
  <c r="S398" i="43" s="1"/>
  <c r="V399" i="43"/>
  <c r="V398" i="43"/>
  <c r="M387" i="43" l="1"/>
  <c r="M386" i="43"/>
  <c r="N387" i="43"/>
  <c r="N386" i="43"/>
  <c r="V379" i="43" l="1"/>
  <c r="R379" i="43"/>
  <c r="V378" i="43"/>
  <c r="R378" i="43"/>
  <c r="V377" i="43"/>
  <c r="R377" i="43"/>
  <c r="S379" i="43" l="1"/>
  <c r="S377" i="43"/>
  <c r="S378" i="43"/>
  <c r="M379" i="43" l="1"/>
  <c r="N379" i="43"/>
  <c r="M378" i="43"/>
  <c r="N378" i="43"/>
  <c r="M377" i="43"/>
  <c r="N377" i="43"/>
  <c r="M375" i="43" l="1"/>
  <c r="N375" i="43"/>
  <c r="R375" i="43"/>
  <c r="S375" i="43"/>
  <c r="M376" i="43"/>
  <c r="R376" i="43"/>
  <c r="S376" i="43"/>
  <c r="M380" i="43"/>
  <c r="N380" i="43"/>
  <c r="R380" i="43"/>
  <c r="V380" i="43"/>
  <c r="M381" i="43"/>
  <c r="N381" i="43"/>
  <c r="R381" i="43"/>
  <c r="S381" i="43"/>
  <c r="M382" i="43"/>
  <c r="N382" i="43"/>
  <c r="R382" i="43"/>
  <c r="T382" i="43"/>
  <c r="M383" i="43"/>
  <c r="N383" i="43"/>
  <c r="R383" i="43"/>
  <c r="V383" i="43"/>
  <c r="M384" i="43"/>
  <c r="N384" i="43"/>
  <c r="R384" i="43"/>
  <c r="S384" i="43"/>
  <c r="M385" i="43"/>
  <c r="N385" i="43"/>
  <c r="R385" i="43"/>
  <c r="T385" i="43"/>
  <c r="R386" i="43"/>
  <c r="S386" i="43"/>
  <c r="R387" i="43"/>
  <c r="V387" i="43"/>
  <c r="M388" i="43"/>
  <c r="N388" i="43"/>
  <c r="R388" i="43"/>
  <c r="S388" i="43"/>
  <c r="M389" i="43"/>
  <c r="N389" i="43"/>
  <c r="R389" i="43"/>
  <c r="S389" i="43"/>
  <c r="M390" i="43"/>
  <c r="N390" i="43"/>
  <c r="R390" i="43"/>
  <c r="S390" i="43"/>
  <c r="M391" i="43"/>
  <c r="N391" i="43"/>
  <c r="R391" i="43"/>
  <c r="T391" i="43"/>
  <c r="M392" i="43"/>
  <c r="N392" i="43"/>
  <c r="R392" i="43"/>
  <c r="S392" i="43"/>
  <c r="M393" i="43"/>
  <c r="N393" i="43"/>
  <c r="R393" i="43"/>
  <c r="S393" i="43"/>
  <c r="M394" i="43"/>
  <c r="N394" i="43"/>
  <c r="R394" i="43"/>
  <c r="V394" i="43"/>
  <c r="M395" i="43"/>
  <c r="N395" i="43"/>
  <c r="R395" i="43"/>
  <c r="S395" i="43"/>
  <c r="M396" i="43"/>
  <c r="N396" i="43"/>
  <c r="R396" i="43"/>
  <c r="S396" i="43"/>
  <c r="M397" i="43"/>
  <c r="R397" i="43"/>
  <c r="S397" i="43"/>
  <c r="I474" i="1"/>
  <c r="J474" i="1"/>
  <c r="O474" i="1"/>
  <c r="R474" i="1"/>
  <c r="I475" i="1"/>
  <c r="J475" i="1"/>
  <c r="O475" i="1"/>
  <c r="R475" i="1"/>
  <c r="I476" i="1"/>
  <c r="J476" i="1"/>
  <c r="O476" i="1"/>
  <c r="R476" i="1"/>
  <c r="I477" i="1"/>
  <c r="J477" i="1"/>
  <c r="O477" i="1"/>
  <c r="R477" i="1"/>
  <c r="I478" i="1"/>
  <c r="J478" i="1"/>
  <c r="O478" i="1"/>
  <c r="R478" i="1"/>
  <c r="I479" i="1"/>
  <c r="O479" i="1"/>
  <c r="R479" i="1"/>
  <c r="I480" i="1"/>
  <c r="J480" i="1"/>
  <c r="O480" i="1"/>
  <c r="R480" i="1"/>
  <c r="I481" i="1"/>
  <c r="J481" i="1"/>
  <c r="O481" i="1"/>
  <c r="R481" i="1"/>
  <c r="I482" i="1"/>
  <c r="J482" i="1"/>
  <c r="O482" i="1"/>
  <c r="R482" i="1"/>
  <c r="I483" i="1"/>
  <c r="J483" i="1"/>
  <c r="O483" i="1"/>
  <c r="R483" i="1"/>
  <c r="I484" i="1"/>
  <c r="J484" i="1"/>
  <c r="O484" i="1"/>
  <c r="R484" i="1"/>
  <c r="I485" i="1"/>
  <c r="J485" i="1"/>
  <c r="O485" i="1"/>
  <c r="R485" i="1"/>
  <c r="I486" i="1"/>
  <c r="J486" i="1"/>
  <c r="O486" i="1"/>
  <c r="R486" i="1"/>
  <c r="I487" i="1"/>
  <c r="J487" i="1"/>
  <c r="O487" i="1"/>
  <c r="R487" i="1"/>
  <c r="I488" i="1"/>
  <c r="J488" i="1"/>
  <c r="O488" i="1"/>
  <c r="R488" i="1"/>
  <c r="I489" i="1"/>
  <c r="J489" i="1"/>
  <c r="O489" i="1"/>
  <c r="R489" i="1"/>
  <c r="I490" i="1"/>
  <c r="J490" i="1"/>
  <c r="O490" i="1"/>
  <c r="R490" i="1"/>
  <c r="I491" i="1"/>
  <c r="J491" i="1"/>
  <c r="O491" i="1"/>
  <c r="R491" i="1"/>
  <c r="I492" i="1"/>
  <c r="J492" i="1"/>
  <c r="O492" i="1"/>
  <c r="R492" i="1"/>
  <c r="I493" i="1"/>
  <c r="J493" i="1"/>
  <c r="O493" i="1"/>
  <c r="R493" i="1"/>
  <c r="I494" i="1"/>
  <c r="J494" i="1"/>
  <c r="O494" i="1"/>
  <c r="R494" i="1"/>
  <c r="I495" i="1"/>
  <c r="J495" i="1"/>
  <c r="O495" i="1"/>
  <c r="R495" i="1"/>
  <c r="I496" i="1"/>
  <c r="J496" i="1"/>
  <c r="I497" i="1"/>
  <c r="J497" i="1"/>
  <c r="I498" i="1"/>
  <c r="J498" i="1"/>
  <c r="L464" i="1"/>
  <c r="O464" i="1" s="1"/>
  <c r="L458" i="1"/>
  <c r="O458" i="1" s="1"/>
  <c r="R441" i="1"/>
  <c r="R432" i="1"/>
  <c r="J137" i="43"/>
  <c r="T372" i="43"/>
  <c r="P372" i="43" s="1"/>
  <c r="T366" i="43"/>
  <c r="P366" i="43" s="1"/>
  <c r="T355" i="43"/>
  <c r="P355" i="43" s="1"/>
  <c r="T354" i="43"/>
  <c r="P354" i="43" s="1"/>
  <c r="T348" i="43"/>
  <c r="P348" i="43" s="1"/>
  <c r="T347" i="43"/>
  <c r="P347" i="43" s="1"/>
  <c r="T341" i="43"/>
  <c r="P341" i="43" s="1"/>
  <c r="T340" i="43"/>
  <c r="P340" i="43" s="1"/>
  <c r="T339" i="43"/>
  <c r="P339" i="43" s="1"/>
  <c r="T327" i="43"/>
  <c r="P327" i="43" s="1"/>
  <c r="T315" i="43"/>
  <c r="P315" i="43" s="1"/>
  <c r="T307" i="43"/>
  <c r="P307" i="43" s="1"/>
  <c r="T299" i="43"/>
  <c r="P299" i="43" s="1"/>
  <c r="T287" i="43"/>
  <c r="P287" i="43" s="1"/>
  <c r="T280" i="43"/>
  <c r="P280" i="43" s="1"/>
  <c r="T272" i="43"/>
  <c r="P272" i="43" s="1"/>
  <c r="T262" i="43"/>
  <c r="P262" i="43" s="1"/>
  <c r="T261" i="43"/>
  <c r="P261" i="43" s="1"/>
  <c r="T247" i="43"/>
  <c r="T238" i="43"/>
  <c r="T205" i="43"/>
  <c r="P205" i="43" s="1"/>
  <c r="T202" i="43"/>
  <c r="T180" i="43"/>
  <c r="T179" i="43"/>
  <c r="I464" i="1"/>
  <c r="J464" i="1"/>
  <c r="I465" i="1"/>
  <c r="J465" i="1"/>
  <c r="O465" i="1"/>
  <c r="R465" i="1"/>
  <c r="I466" i="1"/>
  <c r="J466" i="1"/>
  <c r="O466" i="1"/>
  <c r="R466" i="1"/>
  <c r="I467" i="1"/>
  <c r="J467" i="1"/>
  <c r="O467" i="1"/>
  <c r="R467" i="1"/>
  <c r="I468" i="1"/>
  <c r="J468" i="1"/>
  <c r="O468" i="1"/>
  <c r="R468" i="1"/>
  <c r="I469" i="1"/>
  <c r="J469" i="1"/>
  <c r="O469" i="1"/>
  <c r="R469" i="1"/>
  <c r="I470" i="1"/>
  <c r="J470" i="1"/>
  <c r="O470" i="1"/>
  <c r="R470" i="1"/>
  <c r="I471" i="1"/>
  <c r="J471" i="1"/>
  <c r="O471" i="1"/>
  <c r="R471" i="1"/>
  <c r="I472" i="1"/>
  <c r="J472" i="1"/>
  <c r="O472" i="1"/>
  <c r="R472" i="1"/>
  <c r="I473" i="1"/>
  <c r="J473" i="1"/>
  <c r="O473" i="1"/>
  <c r="R473" i="1"/>
  <c r="I426" i="1"/>
  <c r="J426" i="1"/>
  <c r="O426" i="1"/>
  <c r="R426" i="1"/>
  <c r="I427" i="1"/>
  <c r="J427" i="1"/>
  <c r="O427" i="1"/>
  <c r="R427" i="1"/>
  <c r="I428" i="1"/>
  <c r="J428" i="1"/>
  <c r="O428" i="1"/>
  <c r="R428" i="1"/>
  <c r="I429" i="1"/>
  <c r="J429" i="1"/>
  <c r="O429" i="1"/>
  <c r="R429" i="1"/>
  <c r="I430" i="1"/>
  <c r="J430" i="1"/>
  <c r="O430" i="1"/>
  <c r="R430" i="1"/>
  <c r="I431" i="1"/>
  <c r="J431" i="1"/>
  <c r="O431" i="1"/>
  <c r="R431" i="1"/>
  <c r="I432" i="1"/>
  <c r="J432" i="1"/>
  <c r="I433" i="1"/>
  <c r="J433" i="1"/>
  <c r="O433" i="1"/>
  <c r="R433" i="1"/>
  <c r="I434" i="1"/>
  <c r="J434" i="1"/>
  <c r="O434" i="1"/>
  <c r="R434" i="1"/>
  <c r="I435" i="1"/>
  <c r="J435" i="1"/>
  <c r="O435" i="1"/>
  <c r="R435" i="1"/>
  <c r="I436" i="1"/>
  <c r="J436" i="1"/>
  <c r="O436" i="1"/>
  <c r="R436" i="1"/>
  <c r="I437" i="1"/>
  <c r="J437" i="1"/>
  <c r="O437" i="1"/>
  <c r="R437" i="1"/>
  <c r="I438" i="1"/>
  <c r="J438" i="1"/>
  <c r="O438" i="1"/>
  <c r="R438" i="1"/>
  <c r="I439" i="1"/>
  <c r="J439" i="1"/>
  <c r="O439" i="1"/>
  <c r="R439" i="1"/>
  <c r="I440" i="1"/>
  <c r="J440" i="1"/>
  <c r="O440" i="1"/>
  <c r="R440" i="1"/>
  <c r="I441" i="1"/>
  <c r="J441" i="1"/>
  <c r="I442" i="1"/>
  <c r="J442" i="1"/>
  <c r="O442" i="1"/>
  <c r="R442" i="1"/>
  <c r="I443" i="1"/>
  <c r="J443" i="1"/>
  <c r="O443" i="1"/>
  <c r="R443" i="1"/>
  <c r="I444" i="1"/>
  <c r="J444" i="1"/>
  <c r="O444" i="1"/>
  <c r="R444" i="1"/>
  <c r="I445" i="1"/>
  <c r="J445" i="1"/>
  <c r="O445" i="1"/>
  <c r="R445" i="1"/>
  <c r="I446" i="1"/>
  <c r="J446" i="1"/>
  <c r="O446" i="1"/>
  <c r="R446" i="1"/>
  <c r="I447" i="1"/>
  <c r="J447" i="1"/>
  <c r="O447" i="1"/>
  <c r="R447" i="1"/>
  <c r="I448" i="1"/>
  <c r="J448" i="1"/>
  <c r="O448" i="1"/>
  <c r="R448" i="1"/>
  <c r="I449" i="1"/>
  <c r="J449" i="1"/>
  <c r="O449" i="1"/>
  <c r="R449" i="1"/>
  <c r="I450" i="1"/>
  <c r="J450" i="1"/>
  <c r="O450" i="1"/>
  <c r="R450" i="1"/>
  <c r="I451" i="1"/>
  <c r="J451" i="1"/>
  <c r="O451" i="1"/>
  <c r="R451" i="1"/>
  <c r="I452" i="1"/>
  <c r="J452" i="1"/>
  <c r="O452" i="1"/>
  <c r="R452" i="1"/>
  <c r="I453" i="1"/>
  <c r="J453" i="1"/>
  <c r="O453" i="1"/>
  <c r="R453" i="1"/>
  <c r="I454" i="1"/>
  <c r="J454" i="1"/>
  <c r="O454" i="1"/>
  <c r="R454" i="1"/>
  <c r="I455" i="1"/>
  <c r="J455" i="1"/>
  <c r="O455" i="1"/>
  <c r="R455" i="1"/>
  <c r="I456" i="1"/>
  <c r="J456" i="1"/>
  <c r="O456" i="1"/>
  <c r="R456" i="1"/>
  <c r="I457" i="1"/>
  <c r="J457" i="1"/>
  <c r="O457" i="1"/>
  <c r="R457" i="1"/>
  <c r="I458" i="1"/>
  <c r="J458" i="1"/>
  <c r="I459" i="1"/>
  <c r="J459" i="1"/>
  <c r="O459" i="1"/>
  <c r="R459" i="1"/>
  <c r="I460" i="1"/>
  <c r="J460" i="1"/>
  <c r="O460" i="1"/>
  <c r="R460" i="1"/>
  <c r="I461" i="1"/>
  <c r="J461" i="1"/>
  <c r="O461" i="1"/>
  <c r="R461" i="1"/>
  <c r="I462" i="1"/>
  <c r="J462" i="1"/>
  <c r="O462" i="1"/>
  <c r="R462" i="1"/>
  <c r="I463" i="1"/>
  <c r="J463" i="1"/>
  <c r="O463" i="1"/>
  <c r="R463" i="1"/>
  <c r="I425" i="1"/>
  <c r="J425" i="1"/>
  <c r="O425" i="1"/>
  <c r="R425" i="1"/>
  <c r="H323" i="19"/>
  <c r="K323" i="19"/>
  <c r="N323" i="19"/>
  <c r="H324" i="19"/>
  <c r="K324" i="19"/>
  <c r="N324" i="19"/>
  <c r="H325" i="19"/>
  <c r="K325" i="19"/>
  <c r="N325" i="19"/>
  <c r="H326" i="19"/>
  <c r="K326" i="19"/>
  <c r="N326" i="19"/>
  <c r="H327" i="19"/>
  <c r="K327" i="19"/>
  <c r="N327" i="19"/>
  <c r="H328" i="19"/>
  <c r="K328" i="19"/>
  <c r="N328" i="19"/>
  <c r="H329" i="19"/>
  <c r="K329" i="19"/>
  <c r="N329" i="19"/>
  <c r="H330" i="19"/>
  <c r="K330" i="19"/>
  <c r="N330" i="19"/>
  <c r="H331" i="19"/>
  <c r="K331" i="19"/>
  <c r="N331" i="19"/>
  <c r="H332" i="19"/>
  <c r="K332" i="19"/>
  <c r="N332" i="19"/>
  <c r="H333" i="19"/>
  <c r="K333" i="19"/>
  <c r="N333" i="19"/>
  <c r="H334" i="19"/>
  <c r="K334" i="19"/>
  <c r="N334" i="19"/>
  <c r="H335" i="19"/>
  <c r="K335" i="19"/>
  <c r="N335" i="19"/>
  <c r="H336" i="19"/>
  <c r="K336" i="19"/>
  <c r="N336" i="19"/>
  <c r="H293" i="19"/>
  <c r="K293" i="19"/>
  <c r="N293" i="19"/>
  <c r="H294" i="19"/>
  <c r="K294" i="19"/>
  <c r="N294" i="19"/>
  <c r="H295" i="19"/>
  <c r="K295" i="19"/>
  <c r="N295" i="19"/>
  <c r="H296" i="19"/>
  <c r="K296" i="19"/>
  <c r="N296" i="19"/>
  <c r="H297" i="19"/>
  <c r="K297" i="19"/>
  <c r="N297" i="19"/>
  <c r="H298" i="19"/>
  <c r="K298" i="19"/>
  <c r="N298" i="19"/>
  <c r="H299" i="19"/>
  <c r="K299" i="19"/>
  <c r="N299" i="19"/>
  <c r="H300" i="19"/>
  <c r="K300" i="19"/>
  <c r="N300" i="19"/>
  <c r="H301" i="19"/>
  <c r="K301" i="19"/>
  <c r="N301" i="19"/>
  <c r="H302" i="19"/>
  <c r="K302" i="19"/>
  <c r="N302" i="19"/>
  <c r="H303" i="19"/>
  <c r="K303" i="19"/>
  <c r="N303" i="19"/>
  <c r="H304" i="19"/>
  <c r="K304" i="19"/>
  <c r="N304" i="19"/>
  <c r="H305" i="19"/>
  <c r="K305" i="19"/>
  <c r="N305" i="19"/>
  <c r="H306" i="19"/>
  <c r="K306" i="19"/>
  <c r="N306" i="19"/>
  <c r="H307" i="19"/>
  <c r="K307" i="19"/>
  <c r="N307" i="19"/>
  <c r="H308" i="19"/>
  <c r="K308" i="19"/>
  <c r="N308" i="19"/>
  <c r="H309" i="19"/>
  <c r="K309" i="19"/>
  <c r="N309" i="19"/>
  <c r="H310" i="19"/>
  <c r="K310" i="19"/>
  <c r="N310" i="19"/>
  <c r="H311" i="19"/>
  <c r="K311" i="19"/>
  <c r="N311" i="19"/>
  <c r="H312" i="19"/>
  <c r="K312" i="19"/>
  <c r="N312" i="19"/>
  <c r="H313" i="19"/>
  <c r="K313" i="19"/>
  <c r="N313" i="19"/>
  <c r="H314" i="19"/>
  <c r="K314" i="19"/>
  <c r="L314" i="19"/>
  <c r="N314" i="19" s="1"/>
  <c r="H315" i="19"/>
  <c r="K315" i="19"/>
  <c r="L315" i="19"/>
  <c r="N315" i="19" s="1"/>
  <c r="H316" i="19"/>
  <c r="K316" i="19"/>
  <c r="L316" i="19"/>
  <c r="N316" i="19" s="1"/>
  <c r="H317" i="19"/>
  <c r="K317" i="19"/>
  <c r="L317" i="19"/>
  <c r="N317" i="19" s="1"/>
  <c r="H318" i="19"/>
  <c r="K318" i="19"/>
  <c r="N318" i="19"/>
  <c r="H319" i="19"/>
  <c r="K319" i="19"/>
  <c r="N319" i="19"/>
  <c r="H320" i="19"/>
  <c r="K320" i="19"/>
  <c r="N320" i="19"/>
  <c r="H321" i="19"/>
  <c r="K321" i="19"/>
  <c r="N321" i="19"/>
  <c r="H322" i="19"/>
  <c r="K322" i="19"/>
  <c r="N322" i="19"/>
  <c r="H292" i="19"/>
  <c r="K292" i="19"/>
  <c r="N292" i="19"/>
  <c r="P382" i="43" l="1"/>
  <c r="S382" i="43" s="1"/>
  <c r="V391" i="43"/>
  <c r="P391" i="43"/>
  <c r="S391" i="43" s="1"/>
  <c r="P385" i="43"/>
  <c r="S385" i="43" s="1"/>
  <c r="V397" i="43"/>
  <c r="V375" i="43"/>
  <c r="R464" i="1"/>
  <c r="R458" i="1"/>
  <c r="V395" i="43"/>
  <c r="S387" i="43"/>
  <c r="V384" i="43"/>
  <c r="V390" i="43"/>
  <c r="V381" i="43"/>
  <c r="V382" i="43"/>
  <c r="V393" i="43"/>
  <c r="V386" i="43"/>
  <c r="V376" i="43"/>
  <c r="V392" i="43"/>
  <c r="V385" i="43"/>
  <c r="V388" i="43"/>
  <c r="S383" i="43"/>
  <c r="V389" i="43"/>
  <c r="S394" i="43"/>
  <c r="V396" i="43"/>
  <c r="S380" i="43"/>
  <c r="O441" i="1"/>
  <c r="L432" i="1"/>
  <c r="O432" i="1" s="1"/>
  <c r="M366" i="43"/>
  <c r="N366" i="43"/>
  <c r="R366" i="43"/>
  <c r="S366" i="43"/>
  <c r="V366" i="43"/>
  <c r="M367" i="43"/>
  <c r="N367" i="43"/>
  <c r="R367" i="43"/>
  <c r="S367" i="43"/>
  <c r="V367" i="43"/>
  <c r="M368" i="43"/>
  <c r="N368" i="43"/>
  <c r="R368" i="43"/>
  <c r="S368" i="43"/>
  <c r="V368" i="43"/>
  <c r="M369" i="43"/>
  <c r="N369" i="43"/>
  <c r="R369" i="43"/>
  <c r="S369" i="43"/>
  <c r="V369" i="43"/>
  <c r="M370" i="43"/>
  <c r="N370" i="43"/>
  <c r="R370" i="43"/>
  <c r="S370" i="43"/>
  <c r="V370" i="43"/>
  <c r="M371" i="43"/>
  <c r="N371" i="43"/>
  <c r="R371" i="43"/>
  <c r="S371" i="43"/>
  <c r="V371" i="43"/>
  <c r="M372" i="43"/>
  <c r="N372" i="43"/>
  <c r="R372" i="43"/>
  <c r="S372" i="43"/>
  <c r="V372" i="43"/>
  <c r="M373" i="43"/>
  <c r="N373" i="43"/>
  <c r="R373" i="43"/>
  <c r="S373" i="43"/>
  <c r="V373" i="43"/>
  <c r="M374" i="43"/>
  <c r="N374" i="43"/>
  <c r="R374" i="43"/>
  <c r="S374" i="43"/>
  <c r="V374" i="43"/>
  <c r="M347" i="43" l="1"/>
  <c r="N347" i="43"/>
  <c r="R347" i="43"/>
  <c r="S347" i="43"/>
  <c r="V347" i="43"/>
  <c r="M348" i="43"/>
  <c r="N348" i="43"/>
  <c r="R348" i="43"/>
  <c r="S348" i="43"/>
  <c r="V348" i="43"/>
  <c r="M349" i="43"/>
  <c r="N349" i="43"/>
  <c r="R349" i="43"/>
  <c r="S349" i="43"/>
  <c r="V349" i="43"/>
  <c r="M350" i="43"/>
  <c r="N350" i="43"/>
  <c r="R350" i="43"/>
  <c r="S350" i="43"/>
  <c r="V350" i="43"/>
  <c r="M351" i="43"/>
  <c r="N351" i="43"/>
  <c r="R351" i="43"/>
  <c r="S351" i="43"/>
  <c r="V351" i="43"/>
  <c r="M352" i="43"/>
  <c r="N352" i="43"/>
  <c r="R352" i="43"/>
  <c r="S352" i="43"/>
  <c r="V352" i="43"/>
  <c r="M353" i="43"/>
  <c r="N353" i="43"/>
  <c r="R353" i="43"/>
  <c r="S353" i="43"/>
  <c r="V353" i="43"/>
  <c r="M354" i="43"/>
  <c r="N354" i="43"/>
  <c r="R354" i="43"/>
  <c r="S354" i="43"/>
  <c r="V354" i="43"/>
  <c r="M355" i="43"/>
  <c r="N355" i="43"/>
  <c r="R355" i="43"/>
  <c r="S355" i="43"/>
  <c r="V355" i="43"/>
  <c r="M356" i="43"/>
  <c r="N356" i="43"/>
  <c r="R356" i="43"/>
  <c r="S356" i="43"/>
  <c r="V356" i="43"/>
  <c r="M357" i="43"/>
  <c r="N357" i="43"/>
  <c r="R357" i="43"/>
  <c r="S357" i="43"/>
  <c r="V357" i="43"/>
  <c r="M358" i="43"/>
  <c r="N358" i="43"/>
  <c r="R358" i="43"/>
  <c r="S358" i="43"/>
  <c r="V358" i="43"/>
  <c r="M359" i="43"/>
  <c r="N359" i="43"/>
  <c r="R359" i="43"/>
  <c r="S359" i="43"/>
  <c r="V359" i="43"/>
  <c r="M360" i="43"/>
  <c r="N360" i="43"/>
  <c r="R360" i="43"/>
  <c r="S360" i="43"/>
  <c r="V360" i="43"/>
  <c r="M361" i="43"/>
  <c r="N361" i="43"/>
  <c r="R361" i="43"/>
  <c r="S361" i="43"/>
  <c r="V361" i="43"/>
  <c r="M362" i="43"/>
  <c r="N362" i="43"/>
  <c r="R362" i="43"/>
  <c r="S362" i="43"/>
  <c r="V362" i="43"/>
  <c r="M363" i="43"/>
  <c r="N363" i="43"/>
  <c r="R363" i="43"/>
  <c r="S363" i="43"/>
  <c r="V363" i="43"/>
  <c r="M364" i="43"/>
  <c r="N364" i="43"/>
  <c r="R364" i="43"/>
  <c r="S364" i="43"/>
  <c r="V364" i="43"/>
  <c r="M365" i="43"/>
  <c r="N365" i="43"/>
  <c r="R365" i="43"/>
  <c r="S365" i="43"/>
  <c r="V365" i="43"/>
  <c r="M346" i="43"/>
  <c r="N346" i="43"/>
  <c r="R346" i="43"/>
  <c r="S346" i="43"/>
  <c r="V346" i="43"/>
  <c r="R24" i="43" l="1"/>
  <c r="M6" i="18" l="1"/>
  <c r="M7" i="18"/>
  <c r="O7" i="18" s="1"/>
  <c r="M8" i="18"/>
  <c r="O8" i="18" s="1"/>
  <c r="M9" i="18"/>
  <c r="M10" i="18"/>
  <c r="O10" i="18" s="1"/>
  <c r="M11" i="18"/>
  <c r="M12" i="18"/>
  <c r="M13" i="18"/>
  <c r="M14" i="18"/>
  <c r="M15" i="18"/>
  <c r="M16" i="18"/>
  <c r="O16" i="18" s="1"/>
  <c r="M17" i="18"/>
  <c r="M18" i="18"/>
  <c r="O18" i="18" s="1"/>
  <c r="M19" i="18"/>
  <c r="M20" i="18"/>
  <c r="M21" i="18"/>
  <c r="M22" i="18"/>
  <c r="O22" i="18" s="1"/>
  <c r="M23" i="18"/>
  <c r="O23" i="18" s="1"/>
  <c r="M24" i="18"/>
  <c r="O24" i="18" s="1"/>
  <c r="M25" i="18"/>
  <c r="O25" i="18" s="1"/>
  <c r="M26" i="18"/>
  <c r="O26" i="18" s="1"/>
  <c r="M27" i="18"/>
  <c r="O27" i="18" s="1"/>
  <c r="M28" i="18"/>
  <c r="O28" i="18" s="1"/>
  <c r="M29" i="18"/>
  <c r="O29" i="18" s="1"/>
  <c r="M30" i="18"/>
  <c r="O30" i="18" s="1"/>
  <c r="M31" i="18"/>
  <c r="O31" i="18" s="1"/>
  <c r="M32" i="18"/>
  <c r="O32" i="18" s="1"/>
  <c r="M33" i="18"/>
  <c r="O33" i="18" s="1"/>
  <c r="M34" i="18"/>
  <c r="O34" i="18" s="1"/>
  <c r="M35" i="18"/>
  <c r="O35" i="18" s="1"/>
  <c r="M36" i="18"/>
  <c r="O36" i="18" s="1"/>
  <c r="M37" i="18"/>
  <c r="O37" i="18" s="1"/>
  <c r="M38" i="18"/>
  <c r="O38" i="18" s="1"/>
  <c r="M39" i="18"/>
  <c r="O39" i="18" s="1"/>
  <c r="M40" i="18"/>
  <c r="O40" i="18" s="1"/>
  <c r="M41" i="18"/>
  <c r="O41" i="18" s="1"/>
  <c r="M42" i="18"/>
  <c r="O42" i="18" s="1"/>
  <c r="M43" i="18"/>
  <c r="O43" i="18" s="1"/>
  <c r="M44" i="18"/>
  <c r="O44" i="18" s="1"/>
  <c r="M45" i="18"/>
  <c r="O45" i="18" s="1"/>
  <c r="M46" i="18"/>
  <c r="O46" i="18" s="1"/>
  <c r="M47" i="18"/>
  <c r="O47" i="18" s="1"/>
  <c r="M48" i="18"/>
  <c r="O48" i="18" s="1"/>
  <c r="M49" i="18"/>
  <c r="O49" i="18" s="1"/>
  <c r="M50" i="18"/>
  <c r="O50" i="18" s="1"/>
  <c r="M5" i="18"/>
  <c r="O5" i="18" s="1"/>
  <c r="K23" i="18"/>
  <c r="L23" i="18"/>
  <c r="K24" i="18"/>
  <c r="L24" i="18"/>
  <c r="K25" i="18"/>
  <c r="L25" i="18"/>
  <c r="K26" i="18"/>
  <c r="L26" i="18"/>
  <c r="K27" i="18"/>
  <c r="L27" i="18"/>
  <c r="K28" i="18"/>
  <c r="L28" i="18"/>
  <c r="K29" i="18"/>
  <c r="L29" i="18"/>
  <c r="K30" i="18"/>
  <c r="L30" i="18"/>
  <c r="K31" i="18"/>
  <c r="L31" i="18"/>
  <c r="K32" i="18"/>
  <c r="L32" i="18"/>
  <c r="K33" i="18"/>
  <c r="L33" i="18"/>
  <c r="K34" i="18"/>
  <c r="L34" i="18"/>
  <c r="K35" i="18"/>
  <c r="L35" i="18"/>
  <c r="K36" i="18"/>
  <c r="L36" i="18"/>
  <c r="K37" i="18"/>
  <c r="L37" i="18"/>
  <c r="K38" i="18"/>
  <c r="L38" i="18"/>
  <c r="K39" i="18"/>
  <c r="L39" i="18"/>
  <c r="K40" i="18"/>
  <c r="L40" i="18"/>
  <c r="K41" i="18"/>
  <c r="L41" i="18"/>
  <c r="K42" i="18"/>
  <c r="L42" i="18"/>
  <c r="K43" i="18"/>
  <c r="L43" i="18"/>
  <c r="K44" i="18"/>
  <c r="L44" i="18"/>
  <c r="K45" i="18"/>
  <c r="L45" i="18"/>
  <c r="K46" i="18"/>
  <c r="L46" i="18"/>
  <c r="K47" i="18"/>
  <c r="L47" i="18"/>
  <c r="K48" i="18"/>
  <c r="L48" i="18"/>
  <c r="K49" i="18"/>
  <c r="L49" i="18"/>
  <c r="K50" i="18"/>
  <c r="L50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4" i="18"/>
  <c r="K4" i="18"/>
  <c r="L4" i="18"/>
  <c r="O4" i="18"/>
  <c r="H5" i="18"/>
  <c r="K5" i="18"/>
  <c r="L5" i="18"/>
  <c r="H6" i="18"/>
  <c r="K6" i="18"/>
  <c r="L6" i="18"/>
  <c r="H7" i="18"/>
  <c r="K7" i="18"/>
  <c r="L7" i="18"/>
  <c r="H8" i="18"/>
  <c r="K8" i="18"/>
  <c r="L8" i="18"/>
  <c r="H9" i="18"/>
  <c r="K9" i="18"/>
  <c r="L9" i="18"/>
  <c r="H10" i="18"/>
  <c r="K10" i="18"/>
  <c r="L10" i="18"/>
  <c r="H11" i="18"/>
  <c r="K11" i="18"/>
  <c r="L11" i="18"/>
  <c r="H12" i="18"/>
  <c r="K12" i="18"/>
  <c r="L12" i="18"/>
  <c r="H13" i="18"/>
  <c r="K13" i="18"/>
  <c r="L13" i="18"/>
  <c r="H14" i="18"/>
  <c r="K14" i="18"/>
  <c r="L14" i="18"/>
  <c r="H15" i="18"/>
  <c r="K15" i="18"/>
  <c r="L15" i="18"/>
  <c r="H16" i="18"/>
  <c r="K16" i="18"/>
  <c r="L16" i="18"/>
  <c r="H17" i="18"/>
  <c r="K17" i="18"/>
  <c r="L17" i="18"/>
  <c r="H18" i="18"/>
  <c r="K18" i="18"/>
  <c r="L18" i="18"/>
  <c r="H19" i="18"/>
  <c r="K19" i="18"/>
  <c r="L19" i="18"/>
  <c r="H20" i="18"/>
  <c r="K20" i="18"/>
  <c r="L20" i="18"/>
  <c r="H21" i="18"/>
  <c r="K21" i="18"/>
  <c r="L21" i="18"/>
  <c r="H22" i="18"/>
  <c r="K22" i="18"/>
  <c r="L22" i="18"/>
  <c r="S216" i="44"/>
  <c r="V216" i="44" s="1"/>
  <c r="S215" i="44"/>
  <c r="S214" i="44"/>
  <c r="V214" i="44" s="1"/>
  <c r="S210" i="44"/>
  <c r="S209" i="44"/>
  <c r="V209" i="44" s="1"/>
  <c r="S208" i="44"/>
  <c r="S205" i="44"/>
  <c r="V205" i="44" s="1"/>
  <c r="S204" i="44"/>
  <c r="S203" i="44"/>
  <c r="V203" i="44" s="1"/>
  <c r="S192" i="44"/>
  <c r="V192" i="44" s="1"/>
  <c r="S191" i="44"/>
  <c r="S190" i="44"/>
  <c r="U190" i="44" s="1"/>
  <c r="S183" i="44"/>
  <c r="U183" i="44" s="1"/>
  <c r="S182" i="44"/>
  <c r="S181" i="44"/>
  <c r="U181" i="44" s="1"/>
  <c r="S176" i="44"/>
  <c r="U176" i="44" s="1"/>
  <c r="S175" i="44"/>
  <c r="U175" i="44" s="1"/>
  <c r="S174" i="44"/>
  <c r="U174" i="44" s="1"/>
  <c r="S162" i="44"/>
  <c r="S161" i="44"/>
  <c r="U161" i="44" s="1"/>
  <c r="S160" i="44"/>
  <c r="U160" i="44" s="1"/>
  <c r="S153" i="44"/>
  <c r="U153" i="44" s="1"/>
  <c r="S152" i="44"/>
  <c r="U152" i="44" s="1"/>
  <c r="S151" i="44"/>
  <c r="S142" i="44"/>
  <c r="U142" i="44" s="1"/>
  <c r="S141" i="44"/>
  <c r="U141" i="44" s="1"/>
  <c r="S140" i="44"/>
  <c r="S232" i="44"/>
  <c r="U232" i="44" s="1"/>
  <c r="S227" i="44"/>
  <c r="S224" i="44"/>
  <c r="V224" i="44" s="1"/>
  <c r="S222" i="44"/>
  <c r="V222" i="44" s="1"/>
  <c r="S219" i="44"/>
  <c r="V219" i="44" s="1"/>
  <c r="S213" i="44"/>
  <c r="V213" i="44" s="1"/>
  <c r="S207" i="44"/>
  <c r="V207" i="44" s="1"/>
  <c r="S201" i="44"/>
  <c r="S194" i="44"/>
  <c r="S195" i="44"/>
  <c r="V195" i="44" s="1"/>
  <c r="S188" i="44"/>
  <c r="S185" i="44"/>
  <c r="U185" i="44" s="1"/>
  <c r="S179" i="44"/>
  <c r="U179" i="44" s="1"/>
  <c r="S172" i="44"/>
  <c r="U172" i="44" s="1"/>
  <c r="S173" i="44"/>
  <c r="U173" i="44" s="1"/>
  <c r="S168" i="44"/>
  <c r="U168" i="44" s="1"/>
  <c r="S169" i="44"/>
  <c r="U169" i="44" s="1"/>
  <c r="S159" i="44"/>
  <c r="U159" i="44" s="1"/>
  <c r="S154" i="44"/>
  <c r="U154" i="44" s="1"/>
  <c r="S155" i="44"/>
  <c r="U155" i="44" s="1"/>
  <c r="S147" i="44"/>
  <c r="S149" i="44"/>
  <c r="U149" i="44" s="1"/>
  <c r="S146" i="44"/>
  <c r="U146" i="44" s="1"/>
  <c r="S143" i="44"/>
  <c r="U143" i="44" s="1"/>
  <c r="S138" i="44"/>
  <c r="U138" i="44" s="1"/>
  <c r="U144" i="44"/>
  <c r="S136" i="44"/>
  <c r="U136" i="44" s="1"/>
  <c r="K139" i="44"/>
  <c r="L139" i="44"/>
  <c r="N139" i="44"/>
  <c r="Q139" i="44"/>
  <c r="R139" i="44"/>
  <c r="S139" i="44"/>
  <c r="U139" i="44" s="1"/>
  <c r="L137" i="44"/>
  <c r="N137" i="44"/>
  <c r="Q137" i="44"/>
  <c r="R137" i="44"/>
  <c r="S137" i="44"/>
  <c r="U137" i="44" s="1"/>
  <c r="L138" i="44"/>
  <c r="N138" i="44"/>
  <c r="Q138" i="44"/>
  <c r="R138" i="44"/>
  <c r="L144" i="44"/>
  <c r="N144" i="44"/>
  <c r="Q144" i="44"/>
  <c r="R144" i="44"/>
  <c r="K140" i="44"/>
  <c r="L140" i="44"/>
  <c r="N140" i="44"/>
  <c r="Q140" i="44"/>
  <c r="R140" i="44"/>
  <c r="K141" i="44"/>
  <c r="L141" i="44"/>
  <c r="N141" i="44"/>
  <c r="Q141" i="44"/>
  <c r="R141" i="44"/>
  <c r="K142" i="44"/>
  <c r="L142" i="44"/>
  <c r="N142" i="44"/>
  <c r="Q142" i="44"/>
  <c r="R142" i="44"/>
  <c r="L143" i="44"/>
  <c r="N143" i="44"/>
  <c r="Q143" i="44"/>
  <c r="R143" i="44"/>
  <c r="L145" i="44"/>
  <c r="N145" i="44"/>
  <c r="Q145" i="44"/>
  <c r="R145" i="44"/>
  <c r="U145" i="44"/>
  <c r="K146" i="44"/>
  <c r="L146" i="44"/>
  <c r="N146" i="44"/>
  <c r="Q146" i="44"/>
  <c r="R146" i="44"/>
  <c r="K148" i="44"/>
  <c r="L148" i="44"/>
  <c r="N148" i="44"/>
  <c r="U148" i="44"/>
  <c r="K149" i="44"/>
  <c r="L149" i="44"/>
  <c r="N149" i="44"/>
  <c r="Q149" i="44"/>
  <c r="R149" i="44"/>
  <c r="L147" i="44"/>
  <c r="N147" i="44"/>
  <c r="Q147" i="44"/>
  <c r="R147" i="44"/>
  <c r="K150" i="44"/>
  <c r="L150" i="44"/>
  <c r="N150" i="44"/>
  <c r="U150" i="44"/>
  <c r="K151" i="44"/>
  <c r="L151" i="44"/>
  <c r="N151" i="44"/>
  <c r="Q151" i="44"/>
  <c r="R151" i="44"/>
  <c r="K152" i="44"/>
  <c r="L152" i="44"/>
  <c r="N152" i="44"/>
  <c r="Q152" i="44"/>
  <c r="R152" i="44"/>
  <c r="K153" i="44"/>
  <c r="L153" i="44"/>
  <c r="N153" i="44"/>
  <c r="Q153" i="44"/>
  <c r="R153" i="44"/>
  <c r="K155" i="44"/>
  <c r="L155" i="44"/>
  <c r="N155" i="44"/>
  <c r="Q155" i="44"/>
  <c r="R155" i="44"/>
  <c r="L154" i="44"/>
  <c r="N154" i="44"/>
  <c r="Q154" i="44"/>
  <c r="R154" i="44"/>
  <c r="L157" i="44"/>
  <c r="N157" i="44"/>
  <c r="Q157" i="44"/>
  <c r="R157" i="44"/>
  <c r="U157" i="44"/>
  <c r="L156" i="44"/>
  <c r="N156" i="44"/>
  <c r="Q156" i="44"/>
  <c r="R156" i="44"/>
  <c r="S156" i="44"/>
  <c r="L158" i="44"/>
  <c r="N158" i="44"/>
  <c r="Q158" i="44"/>
  <c r="K159" i="44"/>
  <c r="L159" i="44"/>
  <c r="N159" i="44"/>
  <c r="Q159" i="44"/>
  <c r="R159" i="44"/>
  <c r="L164" i="44"/>
  <c r="N164" i="44"/>
  <c r="U164" i="44"/>
  <c r="K160" i="44"/>
  <c r="L160" i="44"/>
  <c r="N160" i="44"/>
  <c r="Q160" i="44"/>
  <c r="R160" i="44"/>
  <c r="K161" i="44"/>
  <c r="L161" i="44"/>
  <c r="N161" i="44"/>
  <c r="Q161" i="44"/>
  <c r="R161" i="44"/>
  <c r="K162" i="44"/>
  <c r="L162" i="44"/>
  <c r="N162" i="44"/>
  <c r="Q162" i="44"/>
  <c r="R162" i="44"/>
  <c r="K163" i="44"/>
  <c r="L163" i="44"/>
  <c r="N163" i="44"/>
  <c r="L167" i="44"/>
  <c r="N167" i="44"/>
  <c r="U167" i="44"/>
  <c r="L166" i="44"/>
  <c r="N166" i="44"/>
  <c r="U166" i="44"/>
  <c r="L165" i="44"/>
  <c r="N165" i="44"/>
  <c r="U165" i="44"/>
  <c r="L169" i="44"/>
  <c r="N169" i="44"/>
  <c r="Q169" i="44"/>
  <c r="R169" i="44"/>
  <c r="K168" i="44"/>
  <c r="L168" i="44"/>
  <c r="N168" i="44"/>
  <c r="Q168" i="44"/>
  <c r="R168" i="44"/>
  <c r="K170" i="44"/>
  <c r="L170" i="44"/>
  <c r="N170" i="44"/>
  <c r="L171" i="44"/>
  <c r="N171" i="44"/>
  <c r="U171" i="44"/>
  <c r="L173" i="44"/>
  <c r="N173" i="44"/>
  <c r="Q173" i="44"/>
  <c r="R173" i="44"/>
  <c r="L172" i="44"/>
  <c r="N172" i="44"/>
  <c r="Q172" i="44"/>
  <c r="R172" i="44"/>
  <c r="K174" i="44"/>
  <c r="L174" i="44"/>
  <c r="N174" i="44"/>
  <c r="Q174" i="44"/>
  <c r="R174" i="44"/>
  <c r="K175" i="44"/>
  <c r="L175" i="44"/>
  <c r="N175" i="44"/>
  <c r="Q175" i="44"/>
  <c r="R175" i="44"/>
  <c r="K176" i="44"/>
  <c r="L176" i="44"/>
  <c r="N176" i="44"/>
  <c r="Q176" i="44"/>
  <c r="R176" i="44"/>
  <c r="L179" i="44"/>
  <c r="N179" i="44"/>
  <c r="Q179" i="44"/>
  <c r="R179" i="44"/>
  <c r="K178" i="44"/>
  <c r="L178" i="44"/>
  <c r="N178" i="44"/>
  <c r="L177" i="44"/>
  <c r="N177" i="44"/>
  <c r="Q177" i="44"/>
  <c r="R177" i="44"/>
  <c r="S177" i="44"/>
  <c r="U177" i="44" s="1"/>
  <c r="K186" i="44"/>
  <c r="L186" i="44"/>
  <c r="N186" i="44"/>
  <c r="U186" i="44"/>
  <c r="L187" i="44"/>
  <c r="N187" i="44"/>
  <c r="U187" i="44"/>
  <c r="L180" i="44"/>
  <c r="N180" i="44"/>
  <c r="U180" i="44"/>
  <c r="K181" i="44"/>
  <c r="L181" i="44"/>
  <c r="N181" i="44"/>
  <c r="Q181" i="44"/>
  <c r="R181" i="44"/>
  <c r="K182" i="44"/>
  <c r="L182" i="44"/>
  <c r="N182" i="44"/>
  <c r="Q182" i="44"/>
  <c r="R182" i="44"/>
  <c r="K183" i="44"/>
  <c r="L183" i="44"/>
  <c r="N183" i="44"/>
  <c r="Q183" i="44"/>
  <c r="R183" i="44"/>
  <c r="K184" i="44"/>
  <c r="L184" i="44"/>
  <c r="N184" i="44"/>
  <c r="U184" i="44"/>
  <c r="L185" i="44"/>
  <c r="N185" i="44"/>
  <c r="Q185" i="44"/>
  <c r="R185" i="44"/>
  <c r="L189" i="44"/>
  <c r="N189" i="44"/>
  <c r="U189" i="44"/>
  <c r="L188" i="44"/>
  <c r="N188" i="44"/>
  <c r="Q188" i="44"/>
  <c r="R188" i="44"/>
  <c r="K190" i="44"/>
  <c r="L190" i="44"/>
  <c r="N190" i="44"/>
  <c r="Q190" i="44"/>
  <c r="R190" i="44"/>
  <c r="K191" i="44"/>
  <c r="L191" i="44"/>
  <c r="N191" i="44"/>
  <c r="Q191" i="44"/>
  <c r="R191" i="44"/>
  <c r="K192" i="44"/>
  <c r="L192" i="44"/>
  <c r="N192" i="44"/>
  <c r="Q192" i="44"/>
  <c r="R192" i="44"/>
  <c r="L195" i="44"/>
  <c r="N195" i="44"/>
  <c r="Q195" i="44"/>
  <c r="R195" i="44"/>
  <c r="L194" i="44"/>
  <c r="N194" i="44"/>
  <c r="Q194" i="44"/>
  <c r="R194" i="44"/>
  <c r="L193" i="44"/>
  <c r="N193" i="44"/>
  <c r="Q193" i="44"/>
  <c r="R193" i="44"/>
  <c r="S193" i="44"/>
  <c r="V193" i="44" s="1"/>
  <c r="L198" i="44"/>
  <c r="N198" i="44"/>
  <c r="L196" i="44"/>
  <c r="N196" i="44"/>
  <c r="V196" i="44"/>
  <c r="K197" i="44"/>
  <c r="L197" i="44"/>
  <c r="N197" i="44"/>
  <c r="V197" i="44"/>
  <c r="L200" i="44"/>
  <c r="N200" i="44"/>
  <c r="V200" i="44"/>
  <c r="L201" i="44"/>
  <c r="N201" i="44"/>
  <c r="Q201" i="44"/>
  <c r="R201" i="44"/>
  <c r="K199" i="44"/>
  <c r="L199" i="44"/>
  <c r="N199" i="44"/>
  <c r="V199" i="44"/>
  <c r="K202" i="44"/>
  <c r="L202" i="44"/>
  <c r="N202" i="44"/>
  <c r="V202" i="44"/>
  <c r="K203" i="44"/>
  <c r="L203" i="44"/>
  <c r="N203" i="44"/>
  <c r="Q203" i="44"/>
  <c r="R203" i="44"/>
  <c r="K204" i="44"/>
  <c r="L204" i="44"/>
  <c r="N204" i="44"/>
  <c r="Q204" i="44"/>
  <c r="R204" i="44"/>
  <c r="K205" i="44"/>
  <c r="L205" i="44"/>
  <c r="N205" i="44"/>
  <c r="Q205" i="44"/>
  <c r="R205" i="44"/>
  <c r="K206" i="44"/>
  <c r="L206" i="44"/>
  <c r="N206" i="44"/>
  <c r="V206" i="44"/>
  <c r="L207" i="44"/>
  <c r="N207" i="44"/>
  <c r="Q207" i="44"/>
  <c r="R207" i="44"/>
  <c r="L212" i="44"/>
  <c r="N212" i="44"/>
  <c r="V212" i="44"/>
  <c r="K208" i="44"/>
  <c r="L208" i="44"/>
  <c r="N208" i="44"/>
  <c r="Q208" i="44"/>
  <c r="R208" i="44"/>
  <c r="K209" i="44"/>
  <c r="L209" i="44"/>
  <c r="N209" i="44"/>
  <c r="Q209" i="44"/>
  <c r="R209" i="44"/>
  <c r="K210" i="44"/>
  <c r="L210" i="44"/>
  <c r="N210" i="44"/>
  <c r="Q210" i="44"/>
  <c r="R210" i="44"/>
  <c r="L213" i="44"/>
  <c r="N213" i="44"/>
  <c r="Q213" i="44"/>
  <c r="R213" i="44"/>
  <c r="L211" i="44"/>
  <c r="N211" i="44"/>
  <c r="Q211" i="44"/>
  <c r="R211" i="44"/>
  <c r="S211" i="44"/>
  <c r="V211" i="44" s="1"/>
  <c r="L218" i="44"/>
  <c r="N218" i="44"/>
  <c r="K214" i="44"/>
  <c r="L214" i="44"/>
  <c r="N214" i="44"/>
  <c r="Q214" i="44"/>
  <c r="R214" i="44"/>
  <c r="K215" i="44"/>
  <c r="L215" i="44"/>
  <c r="N215" i="44"/>
  <c r="Q215" i="44"/>
  <c r="R215" i="44"/>
  <c r="K216" i="44"/>
  <c r="L216" i="44"/>
  <c r="N216" i="44"/>
  <c r="Q216" i="44"/>
  <c r="R216" i="44"/>
  <c r="L219" i="44"/>
  <c r="N219" i="44"/>
  <c r="Q219" i="44"/>
  <c r="R219" i="44"/>
  <c r="L217" i="44"/>
  <c r="N217" i="44"/>
  <c r="Q217" i="44"/>
  <c r="R217" i="44"/>
  <c r="S217" i="44"/>
  <c r="L221" i="44"/>
  <c r="N221" i="44"/>
  <c r="Q221" i="44"/>
  <c r="L220" i="44"/>
  <c r="N220" i="44"/>
  <c r="L222" i="44"/>
  <c r="N222" i="44"/>
  <c r="Q222" i="44"/>
  <c r="R222" i="44"/>
  <c r="K223" i="44"/>
  <c r="L223" i="44"/>
  <c r="N223" i="44"/>
  <c r="L224" i="44"/>
  <c r="N224" i="44"/>
  <c r="Q224" i="44"/>
  <c r="R224" i="44"/>
  <c r="L226" i="44"/>
  <c r="N226" i="44"/>
  <c r="V226" i="44"/>
  <c r="L227" i="44"/>
  <c r="N227" i="44"/>
  <c r="Q227" i="44"/>
  <c r="R227" i="44"/>
  <c r="K225" i="44"/>
  <c r="L225" i="44"/>
  <c r="N225" i="44"/>
  <c r="K228" i="44"/>
  <c r="L228" i="44"/>
  <c r="N228" i="44"/>
  <c r="K230" i="44"/>
  <c r="L230" i="44"/>
  <c r="N230" i="44"/>
  <c r="V230" i="44"/>
  <c r="L229" i="44"/>
  <c r="N229" i="44"/>
  <c r="Q229" i="44"/>
  <c r="R229" i="44"/>
  <c r="V229" i="44"/>
  <c r="L231" i="44"/>
  <c r="N231" i="44"/>
  <c r="V231" i="44"/>
  <c r="L232" i="44"/>
  <c r="N232" i="44"/>
  <c r="Q232" i="44"/>
  <c r="R232" i="44"/>
  <c r="L136" i="44"/>
  <c r="N136" i="44"/>
  <c r="Q136" i="44"/>
  <c r="R136" i="44"/>
  <c r="T254" i="43"/>
  <c r="T250" i="43"/>
  <c r="T245" i="43"/>
  <c r="T220" i="43"/>
  <c r="T204" i="43"/>
  <c r="T201" i="43"/>
  <c r="T193" i="43"/>
  <c r="T257" i="43"/>
  <c r="T256" i="43"/>
  <c r="T255" i="43"/>
  <c r="T241" i="43"/>
  <c r="T240" i="43"/>
  <c r="T239" i="43"/>
  <c r="T198" i="43"/>
  <c r="T197" i="43"/>
  <c r="T196" i="43"/>
  <c r="T253" i="43"/>
  <c r="T248" i="43"/>
  <c r="O6" i="18" l="1"/>
  <c r="O15" i="18"/>
  <c r="O14" i="18"/>
  <c r="O20" i="18"/>
  <c r="O12" i="18"/>
  <c r="O9" i="18"/>
  <c r="O17" i="18"/>
  <c r="O19" i="18"/>
  <c r="O11" i="18"/>
  <c r="O21" i="18"/>
  <c r="O13" i="18"/>
  <c r="V136" i="44"/>
  <c r="V138" i="44"/>
  <c r="U200" i="44"/>
  <c r="U227" i="44"/>
  <c r="V227" i="44"/>
  <c r="U156" i="44"/>
  <c r="V156" i="44"/>
  <c r="U213" i="44"/>
  <c r="U219" i="44"/>
  <c r="V232" i="44"/>
  <c r="V168" i="44"/>
  <c r="U229" i="44"/>
  <c r="U206" i="44"/>
  <c r="U202" i="44"/>
  <c r="V160" i="44"/>
  <c r="V149" i="44"/>
  <c r="V190" i="44"/>
  <c r="U209" i="44"/>
  <c r="U197" i="44"/>
  <c r="V175" i="44"/>
  <c r="V154" i="44"/>
  <c r="V179" i="44"/>
  <c r="U230" i="44"/>
  <c r="U222" i="44"/>
  <c r="U212" i="44"/>
  <c r="U192" i="44"/>
  <c r="U224" i="44"/>
  <c r="U211" i="44"/>
  <c r="U203" i="44"/>
  <c r="U195" i="44"/>
  <c r="U226" i="44"/>
  <c r="U214" i="44"/>
  <c r="U205" i="44"/>
  <c r="U193" i="44"/>
  <c r="V164" i="44"/>
  <c r="V142" i="44"/>
  <c r="U199" i="44"/>
  <c r="U231" i="44"/>
  <c r="U216" i="44"/>
  <c r="U207" i="44"/>
  <c r="U196" i="44"/>
  <c r="V187" i="44"/>
  <c r="V167" i="44"/>
  <c r="V217" i="44"/>
  <c r="U217" i="44"/>
  <c r="V228" i="44"/>
  <c r="U228" i="44"/>
  <c r="V215" i="44"/>
  <c r="U215" i="44"/>
  <c r="V198" i="44"/>
  <c r="U198" i="44"/>
  <c r="U191" i="44"/>
  <c r="V191" i="44"/>
  <c r="U147" i="44"/>
  <c r="V147" i="44"/>
  <c r="U140" i="44"/>
  <c r="V140" i="44"/>
  <c r="V220" i="44"/>
  <c r="U220" i="44"/>
  <c r="V201" i="44"/>
  <c r="U201" i="44"/>
  <c r="V208" i="44"/>
  <c r="U208" i="44"/>
  <c r="U170" i="44"/>
  <c r="V170" i="44"/>
  <c r="U188" i="44"/>
  <c r="V188" i="44"/>
  <c r="U162" i="44"/>
  <c r="V162" i="44"/>
  <c r="V223" i="44"/>
  <c r="U223" i="44"/>
  <c r="V204" i="44"/>
  <c r="U204" i="44"/>
  <c r="U151" i="44"/>
  <c r="V151" i="44"/>
  <c r="V225" i="44"/>
  <c r="U225" i="44"/>
  <c r="V218" i="44"/>
  <c r="U218" i="44"/>
  <c r="V194" i="44"/>
  <c r="U194" i="44"/>
  <c r="U178" i="44"/>
  <c r="V178" i="44"/>
  <c r="V210" i="44"/>
  <c r="U210" i="44"/>
  <c r="U182" i="44"/>
  <c r="V182" i="44"/>
  <c r="V139" i="44"/>
  <c r="U163" i="44"/>
  <c r="V163" i="44"/>
  <c r="V180" i="44"/>
  <c r="V166" i="44"/>
  <c r="V143" i="44"/>
  <c r="V161" i="44"/>
  <c r="V137" i="44"/>
  <c r="V174" i="44"/>
  <c r="V165" i="44"/>
  <c r="V157" i="44"/>
  <c r="V181" i="44"/>
  <c r="V176" i="44"/>
  <c r="V153" i="44"/>
  <c r="V145" i="44"/>
  <c r="V189" i="44"/>
  <c r="V177" i="44"/>
  <c r="V155" i="44"/>
  <c r="V148" i="44"/>
  <c r="V150" i="44"/>
  <c r="V144" i="44"/>
  <c r="V184" i="44"/>
  <c r="V173" i="44"/>
  <c r="V185" i="44"/>
  <c r="V169" i="44"/>
  <c r="V159" i="44"/>
  <c r="V152" i="44"/>
  <c r="V146" i="44"/>
  <c r="V141" i="44"/>
  <c r="V171" i="44"/>
  <c r="V183" i="44"/>
  <c r="V186" i="44"/>
  <c r="V172" i="44"/>
  <c r="T259" i="43"/>
  <c r="T252" i="43"/>
  <c r="T243" i="43"/>
  <c r="T216" i="43"/>
  <c r="T215" i="43"/>
  <c r="T214" i="43"/>
  <c r="T194" i="43"/>
  <c r="T192" i="43"/>
  <c r="S133" i="44" l="1"/>
  <c r="R133" i="44"/>
  <c r="Q133" i="44"/>
  <c r="N133" i="44"/>
  <c r="L133" i="44"/>
  <c r="S132" i="44"/>
  <c r="O132" i="44" s="1"/>
  <c r="R132" i="44" s="1"/>
  <c r="Q132" i="44"/>
  <c r="N132" i="44"/>
  <c r="L132" i="44"/>
  <c r="S131" i="44"/>
  <c r="U131" i="44" s="1"/>
  <c r="Q131" i="44"/>
  <c r="N131" i="44"/>
  <c r="H131" i="44"/>
  <c r="L131" i="44" s="1"/>
  <c r="S130" i="44"/>
  <c r="Q130" i="44"/>
  <c r="N130" i="44"/>
  <c r="H130" i="44"/>
  <c r="K130" i="44" s="1"/>
  <c r="N129" i="44"/>
  <c r="L129" i="44"/>
  <c r="N135" i="44"/>
  <c r="L135" i="44"/>
  <c r="S134" i="44"/>
  <c r="R134" i="44"/>
  <c r="Q134" i="44"/>
  <c r="N134" i="44"/>
  <c r="L134" i="44"/>
  <c r="S127" i="44"/>
  <c r="R127" i="44"/>
  <c r="Q127" i="44"/>
  <c r="N127" i="44"/>
  <c r="L127" i="44"/>
  <c r="S128" i="44"/>
  <c r="R128" i="44"/>
  <c r="Q128" i="44"/>
  <c r="N128" i="44"/>
  <c r="L128" i="44"/>
  <c r="K128" i="44"/>
  <c r="N126" i="44"/>
  <c r="L126" i="44"/>
  <c r="S124" i="44"/>
  <c r="R124" i="44"/>
  <c r="Q124" i="44"/>
  <c r="N124" i="44"/>
  <c r="L124" i="44"/>
  <c r="S123" i="44"/>
  <c r="O123" i="44" s="1"/>
  <c r="R123" i="44" s="1"/>
  <c r="Q123" i="44"/>
  <c r="N123" i="44"/>
  <c r="L123" i="44"/>
  <c r="S125" i="44"/>
  <c r="R125" i="44"/>
  <c r="Q125" i="44"/>
  <c r="N125" i="44"/>
  <c r="L125" i="44"/>
  <c r="S121" i="44"/>
  <c r="U121" i="44" s="1"/>
  <c r="Q121" i="44"/>
  <c r="N121" i="44"/>
  <c r="L121" i="44"/>
  <c r="S122" i="44"/>
  <c r="U122" i="44" s="1"/>
  <c r="R122" i="44"/>
  <c r="Q122" i="44"/>
  <c r="N122" i="44"/>
  <c r="L122" i="44"/>
  <c r="K122" i="44"/>
  <c r="S120" i="44"/>
  <c r="U120" i="44" s="1"/>
  <c r="R120" i="44"/>
  <c r="Q120" i="44"/>
  <c r="N120" i="44"/>
  <c r="L120" i="44"/>
  <c r="K120" i="44"/>
  <c r="S119" i="44"/>
  <c r="Q119" i="44"/>
  <c r="N119" i="44"/>
  <c r="L119" i="44"/>
  <c r="S118" i="44"/>
  <c r="U118" i="44" s="1"/>
  <c r="R118" i="44"/>
  <c r="Q118" i="44"/>
  <c r="N118" i="44"/>
  <c r="L118" i="44"/>
  <c r="S96" i="44"/>
  <c r="U96" i="44" s="1"/>
  <c r="R96" i="44"/>
  <c r="Q96" i="44"/>
  <c r="N96" i="44"/>
  <c r="L96" i="44"/>
  <c r="S95" i="44"/>
  <c r="U95" i="44" s="1"/>
  <c r="Q95" i="44"/>
  <c r="N95" i="44"/>
  <c r="L95" i="44"/>
  <c r="S97" i="44"/>
  <c r="R97" i="44"/>
  <c r="Q97" i="44"/>
  <c r="N97" i="44"/>
  <c r="L97" i="44"/>
  <c r="K97" i="44"/>
  <c r="S93" i="44"/>
  <c r="V93" i="44" s="1"/>
  <c r="Q93" i="44"/>
  <c r="N93" i="44"/>
  <c r="L93" i="44"/>
  <c r="K93" i="44"/>
  <c r="S94" i="44"/>
  <c r="R94" i="44"/>
  <c r="Q94" i="44"/>
  <c r="N94" i="44"/>
  <c r="L94" i="44"/>
  <c r="K94" i="44"/>
  <c r="S92" i="44"/>
  <c r="V92" i="44" s="1"/>
  <c r="Q92" i="44"/>
  <c r="N92" i="44"/>
  <c r="L92" i="44"/>
  <c r="S91" i="44"/>
  <c r="V91" i="44" s="1"/>
  <c r="R91" i="44"/>
  <c r="Q91" i="44"/>
  <c r="N91" i="44"/>
  <c r="L91" i="44"/>
  <c r="K91" i="44"/>
  <c r="S90" i="44"/>
  <c r="V90" i="44" s="1"/>
  <c r="R90" i="44"/>
  <c r="Q90" i="44"/>
  <c r="N90" i="44"/>
  <c r="H90" i="44"/>
  <c r="K90" i="44" s="1"/>
  <c r="S89" i="44"/>
  <c r="V89" i="44" s="1"/>
  <c r="R89" i="44"/>
  <c r="Q89" i="44"/>
  <c r="N89" i="44"/>
  <c r="H89" i="44"/>
  <c r="K89" i="44" s="1"/>
  <c r="S88" i="44"/>
  <c r="U88" i="44" s="1"/>
  <c r="R88" i="44"/>
  <c r="Q88" i="44"/>
  <c r="N88" i="44"/>
  <c r="H88" i="44"/>
  <c r="S87" i="44"/>
  <c r="Q87" i="44"/>
  <c r="N87" i="44"/>
  <c r="L87" i="44"/>
  <c r="S86" i="44"/>
  <c r="V86" i="44" s="1"/>
  <c r="Q86" i="44"/>
  <c r="N86" i="44"/>
  <c r="L86" i="44"/>
  <c r="S85" i="44"/>
  <c r="U85" i="44" s="1"/>
  <c r="R85" i="44"/>
  <c r="Q85" i="44"/>
  <c r="N85" i="44"/>
  <c r="L85" i="44"/>
  <c r="K85" i="44"/>
  <c r="S84" i="44"/>
  <c r="R84" i="44"/>
  <c r="Q84" i="44"/>
  <c r="N84" i="44"/>
  <c r="L84" i="44"/>
  <c r="K84" i="44"/>
  <c r="S82" i="44"/>
  <c r="O82" i="44" s="1"/>
  <c r="R82" i="44" s="1"/>
  <c r="Q82" i="44"/>
  <c r="N82" i="44"/>
  <c r="L82" i="44"/>
  <c r="S83" i="44"/>
  <c r="V83" i="44" s="1"/>
  <c r="R83" i="44"/>
  <c r="Q83" i="44"/>
  <c r="N83" i="44"/>
  <c r="L83" i="44"/>
  <c r="K83" i="44"/>
  <c r="S107" i="44"/>
  <c r="V107" i="44" s="1"/>
  <c r="R107" i="44"/>
  <c r="Q107" i="44"/>
  <c r="N107" i="44"/>
  <c r="L107" i="44"/>
  <c r="S106" i="44"/>
  <c r="Q106" i="44"/>
  <c r="N106" i="44"/>
  <c r="L106" i="44"/>
  <c r="K106" i="44"/>
  <c r="S105" i="44"/>
  <c r="Q105" i="44"/>
  <c r="N105" i="44"/>
  <c r="H105" i="44"/>
  <c r="K105" i="44" s="1"/>
  <c r="S104" i="44"/>
  <c r="Q104" i="44"/>
  <c r="N104" i="44"/>
  <c r="H104" i="44"/>
  <c r="L104" i="44" s="1"/>
  <c r="S103" i="44"/>
  <c r="Q103" i="44"/>
  <c r="N103" i="44"/>
  <c r="H103" i="44"/>
  <c r="S102" i="44"/>
  <c r="R102" i="44"/>
  <c r="Q102" i="44"/>
  <c r="N102" i="44"/>
  <c r="L102" i="44"/>
  <c r="S101" i="44"/>
  <c r="U101" i="44" s="1"/>
  <c r="Q101" i="44"/>
  <c r="N101" i="44"/>
  <c r="L101" i="44"/>
  <c r="S98" i="44"/>
  <c r="V98" i="44" s="1"/>
  <c r="Q98" i="44"/>
  <c r="N98" i="44"/>
  <c r="L98" i="44"/>
  <c r="S100" i="44"/>
  <c r="U100" i="44" s="1"/>
  <c r="R100" i="44"/>
  <c r="Q100" i="44"/>
  <c r="N100" i="44"/>
  <c r="L100" i="44"/>
  <c r="S99" i="44"/>
  <c r="V99" i="44" s="1"/>
  <c r="R99" i="44"/>
  <c r="Q99" i="44"/>
  <c r="N99" i="44"/>
  <c r="L99" i="44"/>
  <c r="S78" i="44"/>
  <c r="U78" i="44" s="1"/>
  <c r="R78" i="44"/>
  <c r="Q78" i="44"/>
  <c r="N78" i="44"/>
  <c r="L78" i="44"/>
  <c r="S77" i="44"/>
  <c r="V77" i="44" s="1"/>
  <c r="Q77" i="44"/>
  <c r="N77" i="44"/>
  <c r="L77" i="44"/>
  <c r="S81" i="44"/>
  <c r="U81" i="44" s="1"/>
  <c r="R81" i="44"/>
  <c r="Q81" i="44"/>
  <c r="N81" i="44"/>
  <c r="L81" i="44"/>
  <c r="K81" i="44"/>
  <c r="S76" i="44"/>
  <c r="V76" i="44" s="1"/>
  <c r="Q76" i="44"/>
  <c r="N76" i="44"/>
  <c r="H76" i="44"/>
  <c r="L76" i="44" s="1"/>
  <c r="S75" i="44"/>
  <c r="Q75" i="44"/>
  <c r="N75" i="44"/>
  <c r="H75" i="44"/>
  <c r="K75" i="44" s="1"/>
  <c r="S74" i="44"/>
  <c r="Q74" i="44"/>
  <c r="N74" i="44"/>
  <c r="H74" i="44"/>
  <c r="L74" i="44" s="1"/>
  <c r="S73" i="44"/>
  <c r="U73" i="44" s="1"/>
  <c r="Q73" i="44"/>
  <c r="N73" i="44"/>
  <c r="L73" i="44"/>
  <c r="S80" i="44"/>
  <c r="U80" i="44" s="1"/>
  <c r="R80" i="44"/>
  <c r="Q80" i="44"/>
  <c r="N80" i="44"/>
  <c r="L80" i="44"/>
  <c r="S79" i="44"/>
  <c r="U79" i="44" s="1"/>
  <c r="R79" i="44"/>
  <c r="Q79" i="44"/>
  <c r="N79" i="44"/>
  <c r="L79" i="44"/>
  <c r="S71" i="44"/>
  <c r="U71" i="44" s="1"/>
  <c r="R71" i="44"/>
  <c r="Q71" i="44"/>
  <c r="N71" i="44"/>
  <c r="L71" i="44"/>
  <c r="S70" i="44"/>
  <c r="U70" i="44" s="1"/>
  <c r="Q70" i="44"/>
  <c r="N70" i="44"/>
  <c r="L70" i="44"/>
  <c r="S72" i="44"/>
  <c r="U72" i="44" s="1"/>
  <c r="R72" i="44"/>
  <c r="Q72" i="44"/>
  <c r="N72" i="44"/>
  <c r="L72" i="44"/>
  <c r="S66" i="44"/>
  <c r="O66" i="44" s="1"/>
  <c r="R66" i="44" s="1"/>
  <c r="Q66" i="44"/>
  <c r="N66" i="44"/>
  <c r="L66" i="44"/>
  <c r="K66" i="44"/>
  <c r="S67" i="44"/>
  <c r="U67" i="44" s="1"/>
  <c r="Q67" i="44"/>
  <c r="N67" i="44"/>
  <c r="L67" i="44"/>
  <c r="S69" i="44"/>
  <c r="V69" i="44" s="1"/>
  <c r="R69" i="44"/>
  <c r="Q69" i="44"/>
  <c r="N69" i="44"/>
  <c r="L69" i="44"/>
  <c r="K69" i="44"/>
  <c r="S68" i="44"/>
  <c r="V68" i="44" s="1"/>
  <c r="R68" i="44"/>
  <c r="Q68" i="44"/>
  <c r="N68" i="44"/>
  <c r="L68" i="44"/>
  <c r="S63" i="44"/>
  <c r="V63" i="44" s="1"/>
  <c r="Q63" i="44"/>
  <c r="N63" i="44"/>
  <c r="L63" i="44"/>
  <c r="K63" i="44"/>
  <c r="S64" i="44"/>
  <c r="R64" i="44"/>
  <c r="Q64" i="44"/>
  <c r="N64" i="44"/>
  <c r="L64" i="44"/>
  <c r="S65" i="44"/>
  <c r="U65" i="44" s="1"/>
  <c r="R65" i="44"/>
  <c r="Q65" i="44"/>
  <c r="N65" i="44"/>
  <c r="L65" i="44"/>
  <c r="K65" i="44"/>
  <c r="S62" i="44"/>
  <c r="U62" i="44" s="1"/>
  <c r="R62" i="44"/>
  <c r="Q62" i="44"/>
  <c r="N62" i="44"/>
  <c r="H62" i="44"/>
  <c r="K62" i="44" s="1"/>
  <c r="S61" i="44"/>
  <c r="U61" i="44" s="1"/>
  <c r="R61" i="44"/>
  <c r="Q61" i="44"/>
  <c r="N61" i="44"/>
  <c r="H61" i="44"/>
  <c r="L61" i="44" s="1"/>
  <c r="S60" i="44"/>
  <c r="U60" i="44" s="1"/>
  <c r="R60" i="44"/>
  <c r="Q60" i="44"/>
  <c r="N60" i="44"/>
  <c r="H60" i="44"/>
  <c r="K60" i="44" s="1"/>
  <c r="S59" i="44"/>
  <c r="O59" i="44" s="1"/>
  <c r="R59" i="44" s="1"/>
  <c r="Q59" i="44"/>
  <c r="N59" i="44"/>
  <c r="L59" i="44"/>
  <c r="S49" i="44"/>
  <c r="Q49" i="44"/>
  <c r="N49" i="44"/>
  <c r="L49" i="44"/>
  <c r="S53" i="44"/>
  <c r="U53" i="44" s="1"/>
  <c r="Q53" i="44"/>
  <c r="N53" i="44"/>
  <c r="L53" i="44"/>
  <c r="K53" i="44"/>
  <c r="S55" i="44"/>
  <c r="R55" i="44"/>
  <c r="Q55" i="44"/>
  <c r="N55" i="44"/>
  <c r="L55" i="44"/>
  <c r="K55" i="44"/>
  <c r="S54" i="44"/>
  <c r="U54" i="44" s="1"/>
  <c r="R54" i="44"/>
  <c r="Q54" i="44"/>
  <c r="N54" i="44"/>
  <c r="L54" i="44"/>
  <c r="S52" i="44"/>
  <c r="Q52" i="44"/>
  <c r="N52" i="44"/>
  <c r="H52" i="44"/>
  <c r="L52" i="44" s="1"/>
  <c r="S51" i="44"/>
  <c r="V51" i="44" s="1"/>
  <c r="Q51" i="44"/>
  <c r="N51" i="44"/>
  <c r="H51" i="44"/>
  <c r="S50" i="44"/>
  <c r="Q50" i="44"/>
  <c r="N50" i="44"/>
  <c r="H50" i="44"/>
  <c r="L50" i="44" s="1"/>
  <c r="S58" i="44"/>
  <c r="Q58" i="44"/>
  <c r="N58" i="44"/>
  <c r="L58" i="44"/>
  <c r="K58" i="44"/>
  <c r="S57" i="44"/>
  <c r="V57" i="44" s="1"/>
  <c r="Q57" i="44"/>
  <c r="N57" i="44"/>
  <c r="L57" i="44"/>
  <c r="K57" i="44"/>
  <c r="S56" i="44"/>
  <c r="Q56" i="44"/>
  <c r="N56" i="44"/>
  <c r="L56" i="44"/>
  <c r="K56" i="44"/>
  <c r="S35" i="44"/>
  <c r="V35" i="44" s="1"/>
  <c r="Q35" i="44"/>
  <c r="N35" i="44"/>
  <c r="L35" i="44"/>
  <c r="K35" i="44"/>
  <c r="S36" i="44"/>
  <c r="V36" i="44" s="1"/>
  <c r="Q36" i="44"/>
  <c r="N36" i="44"/>
  <c r="L36" i="44"/>
  <c r="K36" i="44"/>
  <c r="S37" i="44"/>
  <c r="V37" i="44" s="1"/>
  <c r="Q37" i="44"/>
  <c r="N37" i="44"/>
  <c r="L37" i="44"/>
  <c r="K37" i="44"/>
  <c r="S38" i="44"/>
  <c r="Q38" i="44"/>
  <c r="N38" i="44"/>
  <c r="L38" i="44"/>
  <c r="K38" i="44"/>
  <c r="S39" i="44"/>
  <c r="V39" i="44" s="1"/>
  <c r="Q39" i="44"/>
  <c r="N39" i="44"/>
  <c r="L39" i="44"/>
  <c r="K39" i="44"/>
  <c r="S40" i="44"/>
  <c r="V40" i="44" s="1"/>
  <c r="Q40" i="44"/>
  <c r="N40" i="44"/>
  <c r="L40" i="44"/>
  <c r="K40" i="44"/>
  <c r="S41" i="44"/>
  <c r="V41" i="44" s="1"/>
  <c r="Q41" i="44"/>
  <c r="N41" i="44"/>
  <c r="L41" i="44"/>
  <c r="K41" i="44"/>
  <c r="S42" i="44"/>
  <c r="V42" i="44" s="1"/>
  <c r="Q42" i="44"/>
  <c r="N42" i="44"/>
  <c r="L42" i="44"/>
  <c r="K42" i="44"/>
  <c r="S43" i="44"/>
  <c r="Q43" i="44"/>
  <c r="N43" i="44"/>
  <c r="L43" i="44"/>
  <c r="K43" i="44"/>
  <c r="S44" i="44"/>
  <c r="V44" i="44" s="1"/>
  <c r="Q44" i="44"/>
  <c r="N44" i="44"/>
  <c r="L44" i="44"/>
  <c r="K44" i="44"/>
  <c r="S16" i="44"/>
  <c r="Q16" i="44"/>
  <c r="N16" i="44"/>
  <c r="L16" i="44"/>
  <c r="K16" i="44"/>
  <c r="S17" i="44"/>
  <c r="Q17" i="44"/>
  <c r="N17" i="44"/>
  <c r="L17" i="44"/>
  <c r="K17" i="44"/>
  <c r="S13" i="44"/>
  <c r="V13" i="44" s="1"/>
  <c r="Q13" i="44"/>
  <c r="N13" i="44"/>
  <c r="L13" i="44"/>
  <c r="K13" i="44"/>
  <c r="S14" i="44"/>
  <c r="V14" i="44" s="1"/>
  <c r="Q14" i="44"/>
  <c r="N14" i="44"/>
  <c r="L14" i="44"/>
  <c r="K14" i="44"/>
  <c r="S21" i="44"/>
  <c r="Q21" i="44"/>
  <c r="N21" i="44"/>
  <c r="L21" i="44"/>
  <c r="K21" i="44"/>
  <c r="S24" i="44"/>
  <c r="V24" i="44" s="1"/>
  <c r="Q24" i="44"/>
  <c r="N24" i="44"/>
  <c r="L24" i="44"/>
  <c r="K24" i="44"/>
  <c r="S22" i="44"/>
  <c r="V22" i="44" s="1"/>
  <c r="Q22" i="44"/>
  <c r="N22" i="44"/>
  <c r="L22" i="44"/>
  <c r="K22" i="44"/>
  <c r="S23" i="44"/>
  <c r="V23" i="44" s="1"/>
  <c r="Q23" i="44"/>
  <c r="N23" i="44"/>
  <c r="L23" i="44"/>
  <c r="K23" i="44"/>
  <c r="S28" i="44"/>
  <c r="V28" i="44" s="1"/>
  <c r="Q28" i="44"/>
  <c r="N28" i="44"/>
  <c r="L28" i="44"/>
  <c r="K28" i="44"/>
  <c r="S31" i="44"/>
  <c r="V31" i="44" s="1"/>
  <c r="Q31" i="44"/>
  <c r="N31" i="44"/>
  <c r="L31" i="44"/>
  <c r="K31" i="44"/>
  <c r="S29" i="44"/>
  <c r="Q29" i="44"/>
  <c r="N29" i="44"/>
  <c r="L29" i="44"/>
  <c r="K29" i="44"/>
  <c r="S30" i="44"/>
  <c r="V30" i="44" s="1"/>
  <c r="Q30" i="44"/>
  <c r="N30" i="44"/>
  <c r="L30" i="44"/>
  <c r="K30" i="44"/>
  <c r="S20" i="44"/>
  <c r="V20" i="44" s="1"/>
  <c r="Q20" i="44"/>
  <c r="N20" i="44"/>
  <c r="L20" i="44"/>
  <c r="K20" i="44"/>
  <c r="S19" i="44"/>
  <c r="V19" i="44" s="1"/>
  <c r="Q19" i="44"/>
  <c r="N19" i="44"/>
  <c r="L19" i="44"/>
  <c r="K19" i="44"/>
  <c r="S27" i="44"/>
  <c r="Q27" i="44"/>
  <c r="N27" i="44"/>
  <c r="L27" i="44"/>
  <c r="K27" i="44"/>
  <c r="S26" i="44"/>
  <c r="V26" i="44" s="1"/>
  <c r="Q26" i="44"/>
  <c r="N26" i="44"/>
  <c r="L26" i="44"/>
  <c r="K26" i="44"/>
  <c r="S15" i="44"/>
  <c r="Q15" i="44"/>
  <c r="N15" i="44"/>
  <c r="L15" i="44"/>
  <c r="K15" i="44"/>
  <c r="S32" i="44"/>
  <c r="V32" i="44" s="1"/>
  <c r="Q32" i="44"/>
  <c r="N32" i="44"/>
  <c r="L32" i="44"/>
  <c r="K32" i="44"/>
  <c r="S18" i="44"/>
  <c r="V18" i="44" s="1"/>
  <c r="Q18" i="44"/>
  <c r="N18" i="44"/>
  <c r="L18" i="44"/>
  <c r="K18" i="44"/>
  <c r="S25" i="44"/>
  <c r="V25" i="44" s="1"/>
  <c r="Q25" i="44"/>
  <c r="N25" i="44"/>
  <c r="L25" i="44"/>
  <c r="K25" i="44"/>
  <c r="S33" i="44"/>
  <c r="Q33" i="44"/>
  <c r="N33" i="44"/>
  <c r="L33" i="44"/>
  <c r="K33" i="44"/>
  <c r="S34" i="44"/>
  <c r="Q34" i="44"/>
  <c r="N34" i="44"/>
  <c r="L34" i="44"/>
  <c r="K34" i="44"/>
  <c r="S48" i="44"/>
  <c r="Q48" i="44"/>
  <c r="N48" i="44"/>
  <c r="S47" i="44"/>
  <c r="Q47" i="44"/>
  <c r="N47" i="44"/>
  <c r="S45" i="44"/>
  <c r="O45" i="44" s="1"/>
  <c r="R45" i="44" s="1"/>
  <c r="Q45" i="44"/>
  <c r="N45" i="44"/>
  <c r="S46" i="44"/>
  <c r="V46" i="44" s="1"/>
  <c r="Q46" i="44"/>
  <c r="N46" i="44"/>
  <c r="S6" i="44"/>
  <c r="U6" i="44" s="1"/>
  <c r="R6" i="44"/>
  <c r="Q6" i="44"/>
  <c r="N6" i="44"/>
  <c r="L6" i="44"/>
  <c r="K6" i="44"/>
  <c r="S7" i="44"/>
  <c r="U7" i="44" s="1"/>
  <c r="R7" i="44"/>
  <c r="Q7" i="44"/>
  <c r="N7" i="44"/>
  <c r="L7" i="44"/>
  <c r="K7" i="44"/>
  <c r="S3" i="44"/>
  <c r="R3" i="44"/>
  <c r="Q3" i="44"/>
  <c r="N3" i="44"/>
  <c r="L3" i="44"/>
  <c r="K3" i="44"/>
  <c r="S9" i="44"/>
  <c r="U9" i="44" s="1"/>
  <c r="R9" i="44"/>
  <c r="Q9" i="44"/>
  <c r="N9" i="44"/>
  <c r="L9" i="44"/>
  <c r="K9" i="44"/>
  <c r="S8" i="44"/>
  <c r="R8" i="44"/>
  <c r="Q8" i="44"/>
  <c r="N8" i="44"/>
  <c r="L8" i="44"/>
  <c r="K8" i="44"/>
  <c r="S5" i="44"/>
  <c r="R5" i="44"/>
  <c r="Q5" i="44"/>
  <c r="N5" i="44"/>
  <c r="L5" i="44"/>
  <c r="K5" i="44"/>
  <c r="S4" i="44"/>
  <c r="U4" i="44" s="1"/>
  <c r="R4" i="44"/>
  <c r="Q4" i="44"/>
  <c r="N4" i="44"/>
  <c r="L4" i="44"/>
  <c r="K4" i="44"/>
  <c r="Q12" i="44"/>
  <c r="O12" i="44"/>
  <c r="N12" i="44"/>
  <c r="K12" i="44"/>
  <c r="S11" i="44"/>
  <c r="R11" i="44"/>
  <c r="Q11" i="44"/>
  <c r="N11" i="44"/>
  <c r="Q10" i="44"/>
  <c r="O10" i="44"/>
  <c r="N10" i="44"/>
  <c r="L10" i="44"/>
  <c r="K10" i="44"/>
  <c r="V345" i="43"/>
  <c r="S345" i="43"/>
  <c r="R345" i="43"/>
  <c r="N345" i="43"/>
  <c r="M345" i="43"/>
  <c r="V344" i="43"/>
  <c r="S344" i="43"/>
  <c r="R344" i="43"/>
  <c r="N344" i="43"/>
  <c r="M344" i="43"/>
  <c r="V343" i="43"/>
  <c r="S343" i="43"/>
  <c r="R343" i="43"/>
  <c r="N343" i="43"/>
  <c r="M343" i="43"/>
  <c r="V342" i="43"/>
  <c r="S342" i="43"/>
  <c r="R342" i="43"/>
  <c r="N342" i="43"/>
  <c r="M342" i="43"/>
  <c r="V341" i="43"/>
  <c r="S341" i="43"/>
  <c r="R341" i="43"/>
  <c r="N341" i="43"/>
  <c r="M341" i="43"/>
  <c r="V340" i="43"/>
  <c r="S340" i="43"/>
  <c r="R340" i="43"/>
  <c r="N340" i="43"/>
  <c r="M340" i="43"/>
  <c r="V339" i="43"/>
  <c r="S339" i="43"/>
  <c r="R339" i="43"/>
  <c r="N339" i="43"/>
  <c r="M339" i="43"/>
  <c r="V338" i="43"/>
  <c r="S338" i="43"/>
  <c r="R338" i="43"/>
  <c r="N338" i="43"/>
  <c r="M338" i="43"/>
  <c r="V337" i="43"/>
  <c r="S337" i="43"/>
  <c r="R337" i="43"/>
  <c r="N337" i="43"/>
  <c r="M337" i="43"/>
  <c r="V336" i="43"/>
  <c r="S336" i="43"/>
  <c r="R336" i="43"/>
  <c r="N336" i="43"/>
  <c r="M336" i="43"/>
  <c r="V335" i="43"/>
  <c r="S335" i="43"/>
  <c r="R335" i="43"/>
  <c r="N335" i="43"/>
  <c r="M335" i="43"/>
  <c r="V334" i="43"/>
  <c r="S334" i="43"/>
  <c r="R334" i="43"/>
  <c r="N334" i="43"/>
  <c r="M334" i="43"/>
  <c r="V333" i="43"/>
  <c r="S333" i="43"/>
  <c r="R333" i="43"/>
  <c r="N333" i="43"/>
  <c r="M333" i="43"/>
  <c r="V332" i="43"/>
  <c r="S332" i="43"/>
  <c r="R332" i="43"/>
  <c r="N332" i="43"/>
  <c r="M332" i="43"/>
  <c r="V331" i="43"/>
  <c r="S331" i="43"/>
  <c r="R331" i="43"/>
  <c r="N331" i="43"/>
  <c r="M331" i="43"/>
  <c r="V330" i="43"/>
  <c r="S330" i="43"/>
  <c r="R330" i="43"/>
  <c r="N330" i="43"/>
  <c r="M330" i="43"/>
  <c r="V329" i="43"/>
  <c r="S329" i="43"/>
  <c r="R329" i="43"/>
  <c r="N329" i="43"/>
  <c r="M329" i="43"/>
  <c r="V328" i="43"/>
  <c r="S328" i="43"/>
  <c r="R328" i="43"/>
  <c r="N328" i="43"/>
  <c r="M328" i="43"/>
  <c r="V327" i="43"/>
  <c r="S327" i="43"/>
  <c r="R327" i="43"/>
  <c r="N327" i="43"/>
  <c r="M327" i="43"/>
  <c r="V326" i="43"/>
  <c r="S326" i="43"/>
  <c r="R326" i="43"/>
  <c r="N326" i="43"/>
  <c r="M326" i="43"/>
  <c r="V325" i="43"/>
  <c r="S325" i="43"/>
  <c r="R325" i="43"/>
  <c r="N325" i="43"/>
  <c r="M325" i="43"/>
  <c r="V324" i="43"/>
  <c r="S324" i="43"/>
  <c r="R324" i="43"/>
  <c r="N324" i="43"/>
  <c r="M324" i="43"/>
  <c r="V323" i="43"/>
  <c r="S323" i="43"/>
  <c r="R323" i="43"/>
  <c r="N323" i="43"/>
  <c r="M323" i="43"/>
  <c r="V322" i="43"/>
  <c r="S322" i="43"/>
  <c r="R322" i="43"/>
  <c r="N322" i="43"/>
  <c r="M322" i="43"/>
  <c r="V321" i="43"/>
  <c r="S321" i="43"/>
  <c r="R321" i="43"/>
  <c r="N321" i="43"/>
  <c r="M321" i="43"/>
  <c r="V320" i="43"/>
  <c r="S320" i="43"/>
  <c r="R320" i="43"/>
  <c r="N320" i="43"/>
  <c r="M320" i="43"/>
  <c r="V319" i="43"/>
  <c r="S319" i="43"/>
  <c r="R319" i="43"/>
  <c r="N319" i="43"/>
  <c r="M319" i="43"/>
  <c r="V318" i="43"/>
  <c r="S318" i="43"/>
  <c r="R318" i="43"/>
  <c r="N318" i="43"/>
  <c r="M318" i="43"/>
  <c r="V317" i="43"/>
  <c r="S317" i="43"/>
  <c r="R317" i="43"/>
  <c r="N317" i="43"/>
  <c r="M317" i="43"/>
  <c r="V316" i="43"/>
  <c r="S316" i="43"/>
  <c r="R316" i="43"/>
  <c r="N316" i="43"/>
  <c r="M316" i="43"/>
  <c r="V315" i="43"/>
  <c r="S315" i="43"/>
  <c r="R315" i="43"/>
  <c r="N315" i="43"/>
  <c r="M315" i="43"/>
  <c r="V314" i="43"/>
  <c r="S314" i="43"/>
  <c r="R314" i="43"/>
  <c r="N314" i="43"/>
  <c r="M314" i="43"/>
  <c r="V313" i="43"/>
  <c r="S313" i="43"/>
  <c r="R313" i="43"/>
  <c r="N313" i="43"/>
  <c r="M313" i="43"/>
  <c r="V312" i="43"/>
  <c r="S312" i="43"/>
  <c r="R312" i="43"/>
  <c r="N312" i="43"/>
  <c r="M312" i="43"/>
  <c r="V311" i="43"/>
  <c r="S311" i="43"/>
  <c r="R311" i="43"/>
  <c r="N311" i="43"/>
  <c r="M311" i="43"/>
  <c r="R310" i="43"/>
  <c r="N310" i="43"/>
  <c r="M310" i="43"/>
  <c r="R309" i="43"/>
  <c r="N309" i="43"/>
  <c r="M309" i="43"/>
  <c r="R308" i="43"/>
  <c r="N308" i="43"/>
  <c r="M308" i="43"/>
  <c r="V307" i="43"/>
  <c r="S307" i="43"/>
  <c r="R307" i="43"/>
  <c r="N307" i="43"/>
  <c r="M307" i="43"/>
  <c r="V306" i="43"/>
  <c r="S306" i="43"/>
  <c r="R306" i="43"/>
  <c r="N306" i="43"/>
  <c r="M306" i="43"/>
  <c r="V305" i="43"/>
  <c r="S305" i="43"/>
  <c r="R305" i="43"/>
  <c r="N305" i="43"/>
  <c r="M305" i="43"/>
  <c r="V304" i="43"/>
  <c r="S304" i="43"/>
  <c r="R304" i="43"/>
  <c r="N304" i="43"/>
  <c r="M304" i="43"/>
  <c r="R303" i="43"/>
  <c r="N303" i="43"/>
  <c r="M303" i="43"/>
  <c r="R302" i="43"/>
  <c r="N302" i="43"/>
  <c r="M302" i="43"/>
  <c r="R301" i="43"/>
  <c r="N301" i="43"/>
  <c r="M301" i="43"/>
  <c r="V299" i="43"/>
  <c r="S299" i="43"/>
  <c r="R299" i="43"/>
  <c r="N299" i="43"/>
  <c r="M299" i="43"/>
  <c r="V298" i="43"/>
  <c r="S298" i="43"/>
  <c r="R298" i="43"/>
  <c r="N298" i="43"/>
  <c r="M298" i="43"/>
  <c r="V297" i="43"/>
  <c r="S297" i="43"/>
  <c r="R297" i="43"/>
  <c r="N297" i="43"/>
  <c r="M297" i="43"/>
  <c r="R296" i="43"/>
  <c r="N296" i="43"/>
  <c r="M296" i="43"/>
  <c r="R295" i="43"/>
  <c r="N295" i="43"/>
  <c r="M295" i="43"/>
  <c r="R294" i="43"/>
  <c r="N294" i="43"/>
  <c r="M294" i="43"/>
  <c r="V293" i="43"/>
  <c r="S293" i="43"/>
  <c r="R293" i="43"/>
  <c r="N293" i="43"/>
  <c r="M293" i="43"/>
  <c r="V292" i="43"/>
  <c r="S292" i="43"/>
  <c r="R292" i="43"/>
  <c r="N292" i="43"/>
  <c r="M292" i="43"/>
  <c r="V291" i="43"/>
  <c r="S291" i="43"/>
  <c r="R291" i="43"/>
  <c r="N291" i="43"/>
  <c r="M291" i="43"/>
  <c r="V290" i="43"/>
  <c r="S290" i="43"/>
  <c r="R290" i="43"/>
  <c r="N290" i="43"/>
  <c r="M290" i="43"/>
  <c r="V289" i="43"/>
  <c r="S289" i="43"/>
  <c r="R289" i="43"/>
  <c r="N289" i="43"/>
  <c r="M289" i="43"/>
  <c r="V288" i="43"/>
  <c r="S288" i="43"/>
  <c r="R288" i="43"/>
  <c r="N288" i="43"/>
  <c r="M288" i="43"/>
  <c r="V287" i="43"/>
  <c r="S287" i="43"/>
  <c r="R287" i="43"/>
  <c r="N287" i="43"/>
  <c r="M287" i="43"/>
  <c r="V286" i="43"/>
  <c r="S286" i="43"/>
  <c r="R286" i="43"/>
  <c r="N286" i="43"/>
  <c r="M286" i="43"/>
  <c r="V285" i="43"/>
  <c r="S285" i="43"/>
  <c r="R285" i="43"/>
  <c r="N285" i="43"/>
  <c r="M285" i="43"/>
  <c r="V284" i="43"/>
  <c r="S284" i="43"/>
  <c r="R284" i="43"/>
  <c r="N284" i="43"/>
  <c r="M284" i="43"/>
  <c r="V283" i="43"/>
  <c r="S283" i="43"/>
  <c r="R283" i="43"/>
  <c r="N283" i="43"/>
  <c r="M283" i="43"/>
  <c r="V282" i="43"/>
  <c r="S282" i="43"/>
  <c r="R282" i="43"/>
  <c r="N282" i="43"/>
  <c r="M282" i="43"/>
  <c r="V281" i="43"/>
  <c r="S281" i="43"/>
  <c r="R281" i="43"/>
  <c r="N281" i="43"/>
  <c r="M281" i="43"/>
  <c r="V280" i="43"/>
  <c r="S280" i="43"/>
  <c r="R280" i="43"/>
  <c r="N280" i="43"/>
  <c r="M280" i="43"/>
  <c r="V279" i="43"/>
  <c r="S279" i="43"/>
  <c r="R279" i="43"/>
  <c r="N279" i="43"/>
  <c r="M279" i="43"/>
  <c r="V278" i="43"/>
  <c r="S278" i="43"/>
  <c r="R278" i="43"/>
  <c r="N278" i="43"/>
  <c r="M278" i="43"/>
  <c r="R277" i="43"/>
  <c r="N277" i="43"/>
  <c r="M277" i="43"/>
  <c r="R276" i="43"/>
  <c r="N276" i="43"/>
  <c r="M276" i="43"/>
  <c r="R275" i="43"/>
  <c r="N275" i="43"/>
  <c r="M275" i="43"/>
  <c r="V274" i="43"/>
  <c r="S274" i="43"/>
  <c r="R274" i="43"/>
  <c r="N274" i="43"/>
  <c r="M274" i="43"/>
  <c r="V273" i="43"/>
  <c r="S273" i="43"/>
  <c r="R273" i="43"/>
  <c r="N273" i="43"/>
  <c r="M273" i="43"/>
  <c r="V272" i="43"/>
  <c r="S272" i="43"/>
  <c r="R272" i="43"/>
  <c r="N272" i="43"/>
  <c r="M272" i="43"/>
  <c r="V271" i="43"/>
  <c r="S271" i="43"/>
  <c r="R271" i="43"/>
  <c r="N271" i="43"/>
  <c r="M271" i="43"/>
  <c r="V270" i="43"/>
  <c r="S270" i="43"/>
  <c r="R270" i="43"/>
  <c r="N270" i="43"/>
  <c r="M270" i="43"/>
  <c r="R269" i="43"/>
  <c r="N269" i="43"/>
  <c r="M269" i="43"/>
  <c r="R268" i="43"/>
  <c r="N268" i="43"/>
  <c r="M268" i="43"/>
  <c r="R267" i="43"/>
  <c r="N267" i="43"/>
  <c r="M267" i="43"/>
  <c r="V266" i="43"/>
  <c r="S266" i="43"/>
  <c r="R266" i="43"/>
  <c r="N266" i="43"/>
  <c r="M266" i="43"/>
  <c r="V265" i="43"/>
  <c r="S265" i="43"/>
  <c r="R265" i="43"/>
  <c r="N265" i="43"/>
  <c r="M265" i="43"/>
  <c r="V264" i="43"/>
  <c r="S264" i="43"/>
  <c r="R264" i="43"/>
  <c r="N264" i="43"/>
  <c r="M264" i="43"/>
  <c r="V263" i="43"/>
  <c r="S263" i="43"/>
  <c r="R263" i="43"/>
  <c r="N263" i="43"/>
  <c r="M263" i="43"/>
  <c r="V262" i="43"/>
  <c r="S262" i="43"/>
  <c r="R262" i="43"/>
  <c r="N262" i="43"/>
  <c r="M262" i="43"/>
  <c r="V261" i="43"/>
  <c r="S261" i="43"/>
  <c r="R261" i="43"/>
  <c r="N261" i="43"/>
  <c r="M261" i="43"/>
  <c r="T260" i="43"/>
  <c r="V260" i="43" s="1"/>
  <c r="S260" i="43"/>
  <c r="R260" i="43"/>
  <c r="N260" i="43"/>
  <c r="M260" i="43"/>
  <c r="V259" i="43"/>
  <c r="S259" i="43"/>
  <c r="R259" i="43"/>
  <c r="N259" i="43"/>
  <c r="M259" i="43"/>
  <c r="T258" i="43"/>
  <c r="V258" i="43" s="1"/>
  <c r="S258" i="43"/>
  <c r="R258" i="43"/>
  <c r="N258" i="43"/>
  <c r="M258" i="43"/>
  <c r="V257" i="43"/>
  <c r="S257" i="43"/>
  <c r="R257" i="43"/>
  <c r="N257" i="43"/>
  <c r="M257" i="43"/>
  <c r="V256" i="43"/>
  <c r="S256" i="43"/>
  <c r="R256" i="43"/>
  <c r="N256" i="43"/>
  <c r="M256" i="43"/>
  <c r="V255" i="43"/>
  <c r="S255" i="43"/>
  <c r="R255" i="43"/>
  <c r="N255" i="43"/>
  <c r="M255" i="43"/>
  <c r="V254" i="43"/>
  <c r="S254" i="43"/>
  <c r="R254" i="43"/>
  <c r="N254" i="43"/>
  <c r="M254" i="43"/>
  <c r="V253" i="43"/>
  <c r="S253" i="43"/>
  <c r="R253" i="43"/>
  <c r="N253" i="43"/>
  <c r="M253" i="43"/>
  <c r="V252" i="43"/>
  <c r="S252" i="43"/>
  <c r="R252" i="43"/>
  <c r="N252" i="43"/>
  <c r="M252" i="43"/>
  <c r="T251" i="43"/>
  <c r="V251" i="43" s="1"/>
  <c r="S251" i="43"/>
  <c r="R251" i="43"/>
  <c r="N251" i="43"/>
  <c r="M251" i="43"/>
  <c r="V250" i="43"/>
  <c r="S250" i="43"/>
  <c r="R250" i="43"/>
  <c r="N250" i="43"/>
  <c r="M250" i="43"/>
  <c r="T249" i="43"/>
  <c r="V249" i="43" s="1"/>
  <c r="S249" i="43"/>
  <c r="R249" i="43"/>
  <c r="N249" i="43"/>
  <c r="M249" i="43"/>
  <c r="V248" i="43"/>
  <c r="S248" i="43"/>
  <c r="R248" i="43"/>
  <c r="N248" i="43"/>
  <c r="M248" i="43"/>
  <c r="V247" i="43"/>
  <c r="S247" i="43"/>
  <c r="R247" i="43"/>
  <c r="N247" i="43"/>
  <c r="M247" i="43"/>
  <c r="V246" i="43"/>
  <c r="S246" i="43"/>
  <c r="R246" i="43"/>
  <c r="N246" i="43"/>
  <c r="M246" i="43"/>
  <c r="V245" i="43"/>
  <c r="S245" i="43"/>
  <c r="R245" i="43"/>
  <c r="N245" i="43"/>
  <c r="M245" i="43"/>
  <c r="V244" i="43"/>
  <c r="S244" i="43"/>
  <c r="R244" i="43"/>
  <c r="N244" i="43"/>
  <c r="M244" i="43"/>
  <c r="V243" i="43"/>
  <c r="S243" i="43"/>
  <c r="R243" i="43"/>
  <c r="N243" i="43"/>
  <c r="M243" i="43"/>
  <c r="V242" i="43"/>
  <c r="S242" i="43"/>
  <c r="R242" i="43"/>
  <c r="N242" i="43"/>
  <c r="M242" i="43"/>
  <c r="V241" i="43"/>
  <c r="S241" i="43"/>
  <c r="R241" i="43"/>
  <c r="N241" i="43"/>
  <c r="M241" i="43"/>
  <c r="V240" i="43"/>
  <c r="S240" i="43"/>
  <c r="R240" i="43"/>
  <c r="N240" i="43"/>
  <c r="M240" i="43"/>
  <c r="V239" i="43"/>
  <c r="S239" i="43"/>
  <c r="R239" i="43"/>
  <c r="N239" i="43"/>
  <c r="M239" i="43"/>
  <c r="V238" i="43"/>
  <c r="S238" i="43"/>
  <c r="R238" i="43"/>
  <c r="N238" i="43"/>
  <c r="M238" i="43"/>
  <c r="T222" i="43"/>
  <c r="V222" i="43" s="1"/>
  <c r="S222" i="43"/>
  <c r="R222" i="43"/>
  <c r="N222" i="43"/>
  <c r="M222" i="43"/>
  <c r="R221" i="43"/>
  <c r="N221" i="43"/>
  <c r="M221" i="43"/>
  <c r="R220" i="43"/>
  <c r="N220" i="43"/>
  <c r="M220" i="43"/>
  <c r="T219" i="43"/>
  <c r="R219" i="43"/>
  <c r="N219" i="43"/>
  <c r="M219" i="43"/>
  <c r="V218" i="43"/>
  <c r="R218" i="43"/>
  <c r="N218" i="43"/>
  <c r="M218" i="43"/>
  <c r="S217" i="43"/>
  <c r="R217" i="43"/>
  <c r="N217" i="43"/>
  <c r="M217" i="43"/>
  <c r="S216" i="43"/>
  <c r="R216" i="43"/>
  <c r="N216" i="43"/>
  <c r="M216" i="43"/>
  <c r="S215" i="43"/>
  <c r="R215" i="43"/>
  <c r="N215" i="43"/>
  <c r="M215" i="43"/>
  <c r="S214" i="43"/>
  <c r="R214" i="43"/>
  <c r="N214" i="43"/>
  <c r="M214" i="43"/>
  <c r="T213" i="43"/>
  <c r="P213" i="43" s="1"/>
  <c r="S213" i="43" s="1"/>
  <c r="R213" i="43"/>
  <c r="N213" i="43"/>
  <c r="M213" i="43"/>
  <c r="R212" i="43"/>
  <c r="N212" i="43"/>
  <c r="M212" i="43"/>
  <c r="V211" i="43"/>
  <c r="R211" i="43"/>
  <c r="N211" i="43"/>
  <c r="M211" i="43"/>
  <c r="R210" i="43"/>
  <c r="N210" i="43"/>
  <c r="M210" i="43"/>
  <c r="R209" i="43"/>
  <c r="N209" i="43"/>
  <c r="M209" i="43"/>
  <c r="R208" i="43"/>
  <c r="N208" i="43"/>
  <c r="M208" i="43"/>
  <c r="R207" i="43"/>
  <c r="N207" i="43"/>
  <c r="M207" i="43"/>
  <c r="R206" i="43"/>
  <c r="N206" i="43"/>
  <c r="M206" i="43"/>
  <c r="R205" i="43"/>
  <c r="N205" i="43"/>
  <c r="M205" i="43"/>
  <c r="R204" i="43"/>
  <c r="N204" i="43"/>
  <c r="M204" i="43"/>
  <c r="V203" i="43"/>
  <c r="R203" i="43"/>
  <c r="N203" i="43"/>
  <c r="M203" i="43"/>
  <c r="R202" i="43"/>
  <c r="N202" i="43"/>
  <c r="M202" i="43"/>
  <c r="S201" i="43"/>
  <c r="R201" i="43"/>
  <c r="N201" i="43"/>
  <c r="M201" i="43"/>
  <c r="T200" i="43"/>
  <c r="R200" i="43"/>
  <c r="N200" i="43"/>
  <c r="M200" i="43"/>
  <c r="V199" i="43"/>
  <c r="S199" i="43"/>
  <c r="R199" i="43"/>
  <c r="N199" i="43"/>
  <c r="M199" i="43"/>
  <c r="R198" i="43"/>
  <c r="N198" i="43"/>
  <c r="M198" i="43"/>
  <c r="V197" i="43"/>
  <c r="R197" i="43"/>
  <c r="N197" i="43"/>
  <c r="M197" i="43"/>
  <c r="R196" i="43"/>
  <c r="N196" i="43"/>
  <c r="M196" i="43"/>
  <c r="V195" i="43"/>
  <c r="S195" i="43"/>
  <c r="R195" i="43"/>
  <c r="N195" i="43"/>
  <c r="M195" i="43"/>
  <c r="R194" i="43"/>
  <c r="N194" i="43"/>
  <c r="M194" i="43"/>
  <c r="R193" i="43"/>
  <c r="N193" i="43"/>
  <c r="M193" i="43"/>
  <c r="R192" i="43"/>
  <c r="N192" i="43"/>
  <c r="M192" i="43"/>
  <c r="T190" i="43"/>
  <c r="V190" i="43" s="1"/>
  <c r="S190" i="43"/>
  <c r="R190" i="43"/>
  <c r="J190" i="43"/>
  <c r="T189" i="43"/>
  <c r="V189" i="43" s="1"/>
  <c r="R189" i="43"/>
  <c r="N189" i="43"/>
  <c r="M189" i="43"/>
  <c r="T188" i="43"/>
  <c r="V188" i="43" s="1"/>
  <c r="S188" i="43"/>
  <c r="R188" i="43"/>
  <c r="T187" i="43"/>
  <c r="V187" i="43" s="1"/>
  <c r="S187" i="43"/>
  <c r="R187" i="43"/>
  <c r="J187" i="43"/>
  <c r="T186" i="43"/>
  <c r="V186" i="43" s="1"/>
  <c r="S186" i="43"/>
  <c r="R186" i="43"/>
  <c r="J186" i="43"/>
  <c r="T185" i="43"/>
  <c r="V185" i="43" s="1"/>
  <c r="S185" i="43"/>
  <c r="R185" i="43"/>
  <c r="J185" i="43"/>
  <c r="T184" i="43"/>
  <c r="V184" i="43" s="1"/>
  <c r="S184" i="43"/>
  <c r="R184" i="43"/>
  <c r="J184" i="43"/>
  <c r="T183" i="43"/>
  <c r="V183" i="43" s="1"/>
  <c r="S183" i="43"/>
  <c r="R183" i="43"/>
  <c r="J183" i="43"/>
  <c r="T182" i="43"/>
  <c r="V182" i="43" s="1"/>
  <c r="S182" i="43"/>
  <c r="R182" i="43"/>
  <c r="J182" i="43"/>
  <c r="T181" i="43"/>
  <c r="V181" i="43" s="1"/>
  <c r="S181" i="43"/>
  <c r="R181" i="43"/>
  <c r="J181" i="43"/>
  <c r="V180" i="43"/>
  <c r="S180" i="43"/>
  <c r="R180" i="43"/>
  <c r="J180" i="43"/>
  <c r="V179" i="43"/>
  <c r="S179" i="43"/>
  <c r="R179" i="43"/>
  <c r="J179" i="43"/>
  <c r="T178" i="43"/>
  <c r="V178" i="43" s="1"/>
  <c r="S178" i="43"/>
  <c r="R178" i="43"/>
  <c r="J178" i="43"/>
  <c r="T177" i="43"/>
  <c r="V177" i="43" s="1"/>
  <c r="S177" i="43"/>
  <c r="R177" i="43"/>
  <c r="J177" i="43"/>
  <c r="T176" i="43"/>
  <c r="V176" i="43" s="1"/>
  <c r="S176" i="43"/>
  <c r="R176" i="43"/>
  <c r="J176" i="43"/>
  <c r="T175" i="43"/>
  <c r="R175" i="43"/>
  <c r="J175" i="43"/>
  <c r="V174" i="43"/>
  <c r="S174" i="43"/>
  <c r="R174" i="43"/>
  <c r="J174" i="43"/>
  <c r="T173" i="43"/>
  <c r="V173" i="43" s="1"/>
  <c r="S173" i="43"/>
  <c r="R173" i="43"/>
  <c r="J173" i="43"/>
  <c r="T172" i="43"/>
  <c r="V172" i="43" s="1"/>
  <c r="S172" i="43"/>
  <c r="R172" i="43"/>
  <c r="J172" i="43"/>
  <c r="T171" i="43"/>
  <c r="V171" i="43" s="1"/>
  <c r="S171" i="43"/>
  <c r="R171" i="43"/>
  <c r="J171" i="43"/>
  <c r="T170" i="43"/>
  <c r="V170" i="43" s="1"/>
  <c r="S170" i="43"/>
  <c r="R170" i="43"/>
  <c r="J170" i="43"/>
  <c r="T169" i="43"/>
  <c r="R169" i="43"/>
  <c r="J169" i="43"/>
  <c r="V168" i="43"/>
  <c r="S168" i="43"/>
  <c r="R168" i="43"/>
  <c r="J168" i="43"/>
  <c r="T167" i="43"/>
  <c r="V167" i="43" s="1"/>
  <c r="S167" i="43"/>
  <c r="R167" i="43"/>
  <c r="J167" i="43"/>
  <c r="M167" i="43" s="1"/>
  <c r="T166" i="43"/>
  <c r="V166" i="43" s="1"/>
  <c r="S166" i="43"/>
  <c r="R166" i="43"/>
  <c r="J166" i="43"/>
  <c r="T165" i="43"/>
  <c r="V165" i="43" s="1"/>
  <c r="S165" i="43"/>
  <c r="R165" i="43"/>
  <c r="J165" i="43"/>
  <c r="T164" i="43"/>
  <c r="V164" i="43" s="1"/>
  <c r="S164" i="43"/>
  <c r="R164" i="43"/>
  <c r="J164" i="43"/>
  <c r="T163" i="43"/>
  <c r="R163" i="43"/>
  <c r="J163" i="43"/>
  <c r="T162" i="43"/>
  <c r="V162" i="43" s="1"/>
  <c r="R162" i="43"/>
  <c r="N162" i="43"/>
  <c r="M162" i="43"/>
  <c r="T161" i="43"/>
  <c r="V161" i="43" s="1"/>
  <c r="S161" i="43"/>
  <c r="R161" i="43"/>
  <c r="J161" i="43"/>
  <c r="T160" i="43"/>
  <c r="V160" i="43" s="1"/>
  <c r="S160" i="43"/>
  <c r="R160" i="43"/>
  <c r="H160" i="43"/>
  <c r="J160" i="43" s="1"/>
  <c r="T159" i="43"/>
  <c r="R159" i="43"/>
  <c r="J159" i="43"/>
  <c r="T158" i="43"/>
  <c r="V158" i="43" s="1"/>
  <c r="S158" i="43"/>
  <c r="R158" i="43"/>
  <c r="J158" i="43"/>
  <c r="T157" i="43"/>
  <c r="V157" i="43" s="1"/>
  <c r="S157" i="43"/>
  <c r="R157" i="43"/>
  <c r="J157" i="43"/>
  <c r="T156" i="43"/>
  <c r="V156" i="43" s="1"/>
  <c r="S156" i="43"/>
  <c r="R156" i="43"/>
  <c r="J156" i="43"/>
  <c r="T155" i="43"/>
  <c r="V155" i="43" s="1"/>
  <c r="S155" i="43"/>
  <c r="R155" i="43"/>
  <c r="J155" i="43"/>
  <c r="T154" i="43"/>
  <c r="V154" i="43" s="1"/>
  <c r="S154" i="43"/>
  <c r="R154" i="43"/>
  <c r="J154" i="43"/>
  <c r="T153" i="43"/>
  <c r="V153" i="43" s="1"/>
  <c r="S153" i="43"/>
  <c r="R153" i="43"/>
  <c r="J153" i="43"/>
  <c r="T152" i="43"/>
  <c r="V152" i="43" s="1"/>
  <c r="R152" i="43"/>
  <c r="J152" i="43"/>
  <c r="T151" i="43"/>
  <c r="V151" i="43" s="1"/>
  <c r="S151" i="43"/>
  <c r="R151" i="43"/>
  <c r="J151" i="43"/>
  <c r="T150" i="43"/>
  <c r="V150" i="43" s="1"/>
  <c r="S150" i="43"/>
  <c r="R150" i="43"/>
  <c r="J150" i="43"/>
  <c r="T149" i="43"/>
  <c r="V149" i="43" s="1"/>
  <c r="S149" i="43"/>
  <c r="R149" i="43"/>
  <c r="J149" i="43"/>
  <c r="T148" i="43"/>
  <c r="V148" i="43" s="1"/>
  <c r="S148" i="43"/>
  <c r="R148" i="43"/>
  <c r="J148" i="43"/>
  <c r="T147" i="43"/>
  <c r="V147" i="43" s="1"/>
  <c r="S147" i="43"/>
  <c r="R147" i="43"/>
  <c r="J147" i="43"/>
  <c r="T146" i="43"/>
  <c r="V146" i="43" s="1"/>
  <c r="S146" i="43"/>
  <c r="R146" i="43"/>
  <c r="J146" i="43"/>
  <c r="T145" i="43"/>
  <c r="V145" i="43" s="1"/>
  <c r="S145" i="43"/>
  <c r="R145" i="43"/>
  <c r="J145" i="43"/>
  <c r="T144" i="43"/>
  <c r="V144" i="43" s="1"/>
  <c r="R144" i="43"/>
  <c r="J144" i="43"/>
  <c r="T143" i="43"/>
  <c r="R143" i="43"/>
  <c r="N143" i="43"/>
  <c r="M143" i="43"/>
  <c r="T142" i="43"/>
  <c r="R142" i="43"/>
  <c r="J142" i="43"/>
  <c r="T141" i="43"/>
  <c r="V141" i="43" s="1"/>
  <c r="S141" i="43"/>
  <c r="R141" i="43"/>
  <c r="J141" i="43"/>
  <c r="T140" i="43"/>
  <c r="V140" i="43" s="1"/>
  <c r="S140" i="43"/>
  <c r="R140" i="43"/>
  <c r="J140" i="43"/>
  <c r="T139" i="43"/>
  <c r="R139" i="43"/>
  <c r="J139" i="43"/>
  <c r="V138" i="43"/>
  <c r="S138" i="43"/>
  <c r="R138" i="43"/>
  <c r="J138" i="43"/>
  <c r="T137" i="43"/>
  <c r="V137" i="43" s="1"/>
  <c r="S137" i="43"/>
  <c r="R137" i="43"/>
  <c r="V136" i="43"/>
  <c r="S136" i="43"/>
  <c r="R136" i="43"/>
  <c r="J136" i="43"/>
  <c r="T135" i="43"/>
  <c r="R135" i="43"/>
  <c r="J135" i="43"/>
  <c r="R134" i="43"/>
  <c r="J134" i="43"/>
  <c r="R133" i="43"/>
  <c r="J133" i="43"/>
  <c r="V132" i="43"/>
  <c r="S132" i="43"/>
  <c r="R132" i="43"/>
  <c r="J132" i="43"/>
  <c r="V131" i="43"/>
  <c r="S131" i="43"/>
  <c r="R131" i="43"/>
  <c r="J131" i="43"/>
  <c r="V130" i="43"/>
  <c r="S130" i="43"/>
  <c r="R130" i="43"/>
  <c r="J130" i="43"/>
  <c r="V129" i="43"/>
  <c r="S129" i="43"/>
  <c r="R129" i="43"/>
  <c r="J129" i="43"/>
  <c r="T128" i="43"/>
  <c r="V128" i="43" s="1"/>
  <c r="S128" i="43"/>
  <c r="R128" i="43"/>
  <c r="J128" i="43"/>
  <c r="T127" i="43"/>
  <c r="V127" i="43" s="1"/>
  <c r="R127" i="43"/>
  <c r="J127" i="43"/>
  <c r="T126" i="43"/>
  <c r="V126" i="43" s="1"/>
  <c r="S126" i="43"/>
  <c r="R126" i="43"/>
  <c r="J126" i="43"/>
  <c r="T125" i="43"/>
  <c r="V125" i="43" s="1"/>
  <c r="S125" i="43"/>
  <c r="R125" i="43"/>
  <c r="J125" i="43"/>
  <c r="T124" i="43"/>
  <c r="R124" i="43"/>
  <c r="J124" i="43"/>
  <c r="T123" i="43"/>
  <c r="V123" i="43" s="1"/>
  <c r="S123" i="43"/>
  <c r="R123" i="43"/>
  <c r="J123" i="43"/>
  <c r="T122" i="43"/>
  <c r="V122" i="43" s="1"/>
  <c r="S122" i="43"/>
  <c r="R122" i="43"/>
  <c r="J122" i="43"/>
  <c r="V121" i="43"/>
  <c r="S121" i="43"/>
  <c r="R121" i="43"/>
  <c r="J121" i="43"/>
  <c r="T120" i="43"/>
  <c r="V120" i="43" s="1"/>
  <c r="S120" i="43"/>
  <c r="R120" i="43"/>
  <c r="J120" i="43"/>
  <c r="T119" i="43"/>
  <c r="V119" i="43" s="1"/>
  <c r="S119" i="43"/>
  <c r="R119" i="43"/>
  <c r="J119" i="43"/>
  <c r="T118" i="43"/>
  <c r="V118" i="43" s="1"/>
  <c r="S118" i="43"/>
  <c r="R118" i="43"/>
  <c r="J118" i="43"/>
  <c r="T117" i="43"/>
  <c r="R117" i="43"/>
  <c r="J117" i="43"/>
  <c r="N117" i="43" s="1"/>
  <c r="T116" i="43"/>
  <c r="R116" i="43"/>
  <c r="N116" i="43"/>
  <c r="M116" i="43"/>
  <c r="T115" i="43"/>
  <c r="V115" i="43" s="1"/>
  <c r="S115" i="43"/>
  <c r="R115" i="43"/>
  <c r="J115" i="43"/>
  <c r="V114" i="43"/>
  <c r="S114" i="43"/>
  <c r="R114" i="43"/>
  <c r="J114" i="43"/>
  <c r="T113" i="43"/>
  <c r="V113" i="43" s="1"/>
  <c r="S113" i="43"/>
  <c r="R113" i="43"/>
  <c r="J113" i="43"/>
  <c r="T112" i="43"/>
  <c r="V112" i="43" s="1"/>
  <c r="S112" i="43"/>
  <c r="R112" i="43"/>
  <c r="J112" i="43"/>
  <c r="T111" i="43"/>
  <c r="V111" i="43" s="1"/>
  <c r="S111" i="43"/>
  <c r="R111" i="43"/>
  <c r="J111" i="43"/>
  <c r="T110" i="43"/>
  <c r="V110" i="43" s="1"/>
  <c r="S110" i="43"/>
  <c r="R110" i="43"/>
  <c r="J110" i="43"/>
  <c r="T109" i="43"/>
  <c r="V109" i="43" s="1"/>
  <c r="S109" i="43"/>
  <c r="R109" i="43"/>
  <c r="J109" i="43"/>
  <c r="T108" i="43"/>
  <c r="V108" i="43" s="1"/>
  <c r="S108" i="43"/>
  <c r="R108" i="43"/>
  <c r="J108" i="43"/>
  <c r="T107" i="43"/>
  <c r="V107" i="43" s="1"/>
  <c r="S107" i="43"/>
  <c r="R107" i="43"/>
  <c r="J107" i="43"/>
  <c r="T106" i="43"/>
  <c r="V106" i="43" s="1"/>
  <c r="S106" i="43"/>
  <c r="R106" i="43"/>
  <c r="J106" i="43"/>
  <c r="T105" i="43"/>
  <c r="R105" i="43"/>
  <c r="J105" i="43"/>
  <c r="V104" i="43"/>
  <c r="S104" i="43"/>
  <c r="R104" i="43"/>
  <c r="J104" i="43"/>
  <c r="T103" i="43"/>
  <c r="V103" i="43" s="1"/>
  <c r="S103" i="43"/>
  <c r="R103" i="43"/>
  <c r="J103" i="43"/>
  <c r="T102" i="43"/>
  <c r="R102" i="43"/>
  <c r="J102" i="43"/>
  <c r="T101" i="43"/>
  <c r="V101" i="43" s="1"/>
  <c r="R101" i="43"/>
  <c r="N101" i="43"/>
  <c r="M101" i="43"/>
  <c r="T100" i="43"/>
  <c r="V100" i="43" s="1"/>
  <c r="S100" i="43"/>
  <c r="R100" i="43"/>
  <c r="J100" i="43"/>
  <c r="T99" i="43"/>
  <c r="V99" i="43" s="1"/>
  <c r="S99" i="43"/>
  <c r="R99" i="43"/>
  <c r="J99" i="43"/>
  <c r="T98" i="43"/>
  <c r="V98" i="43" s="1"/>
  <c r="S98" i="43"/>
  <c r="R98" i="43"/>
  <c r="J98" i="43"/>
  <c r="T97" i="43"/>
  <c r="V97" i="43" s="1"/>
  <c r="S97" i="43"/>
  <c r="R97" i="43"/>
  <c r="J97" i="43"/>
  <c r="T96" i="43"/>
  <c r="V96" i="43" s="1"/>
  <c r="S96" i="43"/>
  <c r="R96" i="43"/>
  <c r="J96" i="43"/>
  <c r="T95" i="43"/>
  <c r="V95" i="43" s="1"/>
  <c r="S95" i="43"/>
  <c r="R95" i="43"/>
  <c r="J95" i="43"/>
  <c r="V94" i="43"/>
  <c r="S94" i="43"/>
  <c r="R94" i="43"/>
  <c r="J94" i="43"/>
  <c r="T93" i="43"/>
  <c r="V93" i="43" s="1"/>
  <c r="S93" i="43"/>
  <c r="R93" i="43"/>
  <c r="J93" i="43"/>
  <c r="T92" i="43"/>
  <c r="V92" i="43" s="1"/>
  <c r="S92" i="43"/>
  <c r="R92" i="43"/>
  <c r="J92" i="43"/>
  <c r="T91" i="43"/>
  <c r="V91" i="43" s="1"/>
  <c r="S91" i="43"/>
  <c r="R91" i="43"/>
  <c r="J91" i="43"/>
  <c r="T90" i="43"/>
  <c r="V90" i="43" s="1"/>
  <c r="S90" i="43"/>
  <c r="R90" i="43"/>
  <c r="J90" i="43"/>
  <c r="T89" i="43"/>
  <c r="V89" i="43" s="1"/>
  <c r="S89" i="43"/>
  <c r="R89" i="43"/>
  <c r="J89" i="43"/>
  <c r="T88" i="43"/>
  <c r="V88" i="43" s="1"/>
  <c r="S88" i="43"/>
  <c r="R88" i="43"/>
  <c r="J88" i="43"/>
  <c r="T87" i="43"/>
  <c r="V87" i="43" s="1"/>
  <c r="S87" i="43"/>
  <c r="R87" i="43"/>
  <c r="J87" i="43"/>
  <c r="T86" i="43"/>
  <c r="V86" i="43" s="1"/>
  <c r="S86" i="43"/>
  <c r="R86" i="43"/>
  <c r="J86" i="43"/>
  <c r="T85" i="43"/>
  <c r="V85" i="43" s="1"/>
  <c r="S85" i="43"/>
  <c r="R85" i="43"/>
  <c r="J85" i="43"/>
  <c r="T84" i="43"/>
  <c r="V84" i="43" s="1"/>
  <c r="S84" i="43"/>
  <c r="R84" i="43"/>
  <c r="J84" i="43"/>
  <c r="T83" i="43"/>
  <c r="V83" i="43" s="1"/>
  <c r="S83" i="43"/>
  <c r="R83" i="43"/>
  <c r="H83" i="43"/>
  <c r="T82" i="43"/>
  <c r="P82" i="43" s="1"/>
  <c r="S82" i="43" s="1"/>
  <c r="R82" i="43"/>
  <c r="J82" i="43"/>
  <c r="T81" i="43"/>
  <c r="V81" i="43" s="1"/>
  <c r="S81" i="43"/>
  <c r="R81" i="43"/>
  <c r="J81" i="43"/>
  <c r="V80" i="43"/>
  <c r="S80" i="43"/>
  <c r="R80" i="43"/>
  <c r="J80" i="43"/>
  <c r="V79" i="43"/>
  <c r="S79" i="43"/>
  <c r="R79" i="43"/>
  <c r="J79" i="43"/>
  <c r="T78" i="43"/>
  <c r="V78" i="43" s="1"/>
  <c r="S78" i="43"/>
  <c r="R78" i="43"/>
  <c r="J78" i="43"/>
  <c r="T77" i="43"/>
  <c r="V77" i="43" s="1"/>
  <c r="S77" i="43"/>
  <c r="R77" i="43"/>
  <c r="J77" i="43"/>
  <c r="T76" i="43"/>
  <c r="V76" i="43" s="1"/>
  <c r="S76" i="43"/>
  <c r="R76" i="43"/>
  <c r="J76" i="43"/>
  <c r="M76" i="43" s="1"/>
  <c r="T75" i="43"/>
  <c r="V75" i="43" s="1"/>
  <c r="S75" i="43"/>
  <c r="R75" i="43"/>
  <c r="J75" i="43"/>
  <c r="T74" i="43"/>
  <c r="V74" i="43" s="1"/>
  <c r="S74" i="43"/>
  <c r="R74" i="43"/>
  <c r="J74" i="43"/>
  <c r="T73" i="43"/>
  <c r="V73" i="43" s="1"/>
  <c r="S73" i="43"/>
  <c r="R73" i="43"/>
  <c r="J73" i="43"/>
  <c r="T72" i="43"/>
  <c r="R72" i="43"/>
  <c r="J72" i="43"/>
  <c r="T71" i="43"/>
  <c r="R71" i="43"/>
  <c r="H71" i="43"/>
  <c r="T70" i="43"/>
  <c r="R70" i="43"/>
  <c r="J70" i="43"/>
  <c r="T69" i="43"/>
  <c r="R69" i="43"/>
  <c r="N69" i="43"/>
  <c r="M69" i="43"/>
  <c r="T68" i="43"/>
  <c r="R68" i="43"/>
  <c r="N68" i="43"/>
  <c r="M68" i="43"/>
  <c r="T67" i="43"/>
  <c r="R67" i="43"/>
  <c r="N67" i="43"/>
  <c r="M67" i="43"/>
  <c r="T66" i="43"/>
  <c r="R66" i="43"/>
  <c r="N66" i="43"/>
  <c r="M66" i="43"/>
  <c r="T65" i="43"/>
  <c r="R65" i="43"/>
  <c r="N65" i="43"/>
  <c r="M65" i="43"/>
  <c r="T64" i="43"/>
  <c r="R64" i="43"/>
  <c r="N64" i="43"/>
  <c r="M64" i="43"/>
  <c r="T63" i="43"/>
  <c r="R63" i="43"/>
  <c r="N63" i="43"/>
  <c r="M63" i="43"/>
  <c r="T62" i="43"/>
  <c r="V62" i="43" s="1"/>
  <c r="R62" i="43"/>
  <c r="N62" i="43"/>
  <c r="M62" i="43"/>
  <c r="T61" i="43"/>
  <c r="R61" i="43"/>
  <c r="N61" i="43"/>
  <c r="M61" i="43"/>
  <c r="T60" i="43"/>
  <c r="R60" i="43"/>
  <c r="N60" i="43"/>
  <c r="M60" i="43"/>
  <c r="T59" i="43"/>
  <c r="R59" i="43"/>
  <c r="N59" i="43"/>
  <c r="M59" i="43"/>
  <c r="T58" i="43"/>
  <c r="V58" i="43" s="1"/>
  <c r="R58" i="43"/>
  <c r="N58" i="43"/>
  <c r="M58" i="43"/>
  <c r="T57" i="43"/>
  <c r="R57" i="43"/>
  <c r="N57" i="43"/>
  <c r="M57" i="43"/>
  <c r="T56" i="43"/>
  <c r="R56" i="43"/>
  <c r="N56" i="43"/>
  <c r="M56" i="43"/>
  <c r="T55" i="43"/>
  <c r="V55" i="43" s="1"/>
  <c r="R55" i="43"/>
  <c r="N55" i="43"/>
  <c r="M55" i="43"/>
  <c r="T54" i="43"/>
  <c r="R54" i="43"/>
  <c r="N54" i="43"/>
  <c r="M54" i="43"/>
  <c r="T53" i="43"/>
  <c r="P53" i="43" s="1"/>
  <c r="S53" i="43" s="1"/>
  <c r="R53" i="43"/>
  <c r="N53" i="43"/>
  <c r="M53" i="43"/>
  <c r="T52" i="43"/>
  <c r="R52" i="43"/>
  <c r="N52" i="43"/>
  <c r="M52" i="43"/>
  <c r="T51" i="43"/>
  <c r="R51" i="43"/>
  <c r="N51" i="43"/>
  <c r="M51" i="43"/>
  <c r="T50" i="43"/>
  <c r="R50" i="43"/>
  <c r="N50" i="43"/>
  <c r="M50" i="43"/>
  <c r="T49" i="43"/>
  <c r="R49" i="43"/>
  <c r="N49" i="43"/>
  <c r="M49" i="43"/>
  <c r="T48" i="43"/>
  <c r="R48" i="43"/>
  <c r="N48" i="43"/>
  <c r="M48" i="43"/>
  <c r="T47" i="43"/>
  <c r="V47" i="43" s="1"/>
  <c r="R47" i="43"/>
  <c r="N47" i="43"/>
  <c r="M47" i="43"/>
  <c r="T46" i="43"/>
  <c r="R46" i="43"/>
  <c r="N46" i="43"/>
  <c r="M46" i="43"/>
  <c r="T45" i="43"/>
  <c r="V45" i="43" s="1"/>
  <c r="R45" i="43"/>
  <c r="N45" i="43"/>
  <c r="M45" i="43"/>
  <c r="T44" i="43"/>
  <c r="R44" i="43"/>
  <c r="N44" i="43"/>
  <c r="M44" i="43"/>
  <c r="T43" i="43"/>
  <c r="R43" i="43"/>
  <c r="N43" i="43"/>
  <c r="M43" i="43"/>
  <c r="T42" i="43"/>
  <c r="R42" i="43"/>
  <c r="N42" i="43"/>
  <c r="M42" i="43"/>
  <c r="T41" i="43"/>
  <c r="V41" i="43" s="1"/>
  <c r="R41" i="43"/>
  <c r="N41" i="43"/>
  <c r="M41" i="43"/>
  <c r="T40" i="43"/>
  <c r="R40" i="43"/>
  <c r="N40" i="43"/>
  <c r="M40" i="43"/>
  <c r="T39" i="43"/>
  <c r="R39" i="43"/>
  <c r="N39" i="43"/>
  <c r="M39" i="43"/>
  <c r="T38" i="43"/>
  <c r="R38" i="43"/>
  <c r="N38" i="43"/>
  <c r="M38" i="43"/>
  <c r="T37" i="43"/>
  <c r="V37" i="43" s="1"/>
  <c r="R37" i="43"/>
  <c r="N37" i="43"/>
  <c r="M37" i="43"/>
  <c r="T36" i="43"/>
  <c r="R36" i="43"/>
  <c r="N36" i="43"/>
  <c r="M36" i="43"/>
  <c r="T35" i="43"/>
  <c r="R35" i="43"/>
  <c r="N35" i="43"/>
  <c r="M35" i="43"/>
  <c r="T34" i="43"/>
  <c r="R34" i="43"/>
  <c r="N34" i="43"/>
  <c r="M34" i="43"/>
  <c r="T33" i="43"/>
  <c r="R33" i="43"/>
  <c r="N33" i="43"/>
  <c r="M33" i="43"/>
  <c r="T32" i="43"/>
  <c r="R32" i="43"/>
  <c r="N32" i="43"/>
  <c r="M32" i="43"/>
  <c r="T31" i="43"/>
  <c r="R31" i="43"/>
  <c r="N31" i="43"/>
  <c r="M31" i="43"/>
  <c r="T30" i="43"/>
  <c r="R30" i="43"/>
  <c r="N30" i="43"/>
  <c r="M30" i="43"/>
  <c r="T29" i="43"/>
  <c r="V29" i="43" s="1"/>
  <c r="R29" i="43"/>
  <c r="N29" i="43"/>
  <c r="M29" i="43"/>
  <c r="T28" i="43"/>
  <c r="R28" i="43"/>
  <c r="N28" i="43"/>
  <c r="M28" i="43"/>
  <c r="T27" i="43"/>
  <c r="R27" i="43"/>
  <c r="N27" i="43"/>
  <c r="M27" i="43"/>
  <c r="T25" i="43"/>
  <c r="R25" i="43"/>
  <c r="N25" i="43"/>
  <c r="M25" i="43"/>
  <c r="T26" i="43"/>
  <c r="V26" i="43" s="1"/>
  <c r="R26" i="43"/>
  <c r="N26" i="43"/>
  <c r="M26" i="43"/>
  <c r="T21" i="43"/>
  <c r="R21" i="43"/>
  <c r="N21" i="43"/>
  <c r="M21" i="43"/>
  <c r="T22" i="43"/>
  <c r="R22" i="43"/>
  <c r="N22" i="43"/>
  <c r="M22" i="43"/>
  <c r="T23" i="43"/>
  <c r="R23" i="43"/>
  <c r="N23" i="43"/>
  <c r="M23" i="43"/>
  <c r="T24" i="43"/>
  <c r="V24" i="43" s="1"/>
  <c r="N24" i="43"/>
  <c r="M24" i="43"/>
  <c r="R20" i="43"/>
  <c r="P20" i="43"/>
  <c r="T20" i="43" s="1"/>
  <c r="V20" i="43" s="1"/>
  <c r="J20" i="43"/>
  <c r="T19" i="43"/>
  <c r="R19" i="43"/>
  <c r="J19" i="43"/>
  <c r="T18" i="43"/>
  <c r="R18" i="43"/>
  <c r="J18" i="43"/>
  <c r="T17" i="43"/>
  <c r="V17" i="43" s="1"/>
  <c r="S17" i="43"/>
  <c r="R17" i="43"/>
  <c r="J17" i="43"/>
  <c r="M17" i="43" s="1"/>
  <c r="T16" i="43"/>
  <c r="V16" i="43" s="1"/>
  <c r="S16" i="43"/>
  <c r="R16" i="43"/>
  <c r="J16" i="43"/>
  <c r="M16" i="43" s="1"/>
  <c r="V15" i="43"/>
  <c r="S15" i="43"/>
  <c r="R15" i="43"/>
  <c r="J15" i="43"/>
  <c r="T14" i="43"/>
  <c r="R14" i="43"/>
  <c r="J14" i="43"/>
  <c r="T13" i="43"/>
  <c r="V13" i="43" s="1"/>
  <c r="S13" i="43"/>
  <c r="R13" i="43"/>
  <c r="N13" i="43"/>
  <c r="M13" i="43"/>
  <c r="T12" i="43"/>
  <c r="V12" i="43" s="1"/>
  <c r="S12" i="43"/>
  <c r="R12" i="43"/>
  <c r="N12" i="43"/>
  <c r="M12" i="43"/>
  <c r="R11" i="43"/>
  <c r="P11" i="43"/>
  <c r="S11" i="43" s="1"/>
  <c r="N11" i="43"/>
  <c r="M11" i="43"/>
  <c r="R10" i="43"/>
  <c r="P10" i="43"/>
  <c r="S10" i="43" s="1"/>
  <c r="J10" i="43"/>
  <c r="R9" i="43"/>
  <c r="P9" i="43"/>
  <c r="J9" i="43"/>
  <c r="R8" i="43"/>
  <c r="P8" i="43"/>
  <c r="T8" i="43" s="1"/>
  <c r="V8" i="43" s="1"/>
  <c r="N8" i="43"/>
  <c r="M8" i="43"/>
  <c r="R7" i="43"/>
  <c r="P7" i="43"/>
  <c r="T7" i="43" s="1"/>
  <c r="V7" i="43" s="1"/>
  <c r="N7" i="43"/>
  <c r="M7" i="43"/>
  <c r="R6" i="43"/>
  <c r="P6" i="43"/>
  <c r="N6" i="43"/>
  <c r="M6" i="43"/>
  <c r="R5" i="43"/>
  <c r="P5" i="43"/>
  <c r="S5" i="43" s="1"/>
  <c r="R4" i="43"/>
  <c r="P4" i="43"/>
  <c r="R3" i="43"/>
  <c r="P3" i="43"/>
  <c r="T3" i="43" s="1"/>
  <c r="V3" i="43" s="1"/>
  <c r="L290" i="19"/>
  <c r="L282" i="19"/>
  <c r="L234" i="19"/>
  <c r="L222" i="19"/>
  <c r="L209" i="19"/>
  <c r="U27" i="44" l="1"/>
  <c r="V27" i="44"/>
  <c r="U43" i="44"/>
  <c r="V43" i="44"/>
  <c r="U34" i="44"/>
  <c r="V34" i="44"/>
  <c r="U17" i="44"/>
  <c r="V17" i="44"/>
  <c r="U38" i="44"/>
  <c r="V38" i="44"/>
  <c r="U29" i="44"/>
  <c r="V29" i="44"/>
  <c r="U15" i="44"/>
  <c r="V15" i="44"/>
  <c r="U16" i="44"/>
  <c r="V16" i="44"/>
  <c r="U33" i="44"/>
  <c r="V33" i="44"/>
  <c r="U21" i="44"/>
  <c r="V21" i="44"/>
  <c r="J71" i="43"/>
  <c r="L47" i="44"/>
  <c r="K47" i="44"/>
  <c r="K74" i="44"/>
  <c r="L90" i="44"/>
  <c r="K131" i="44"/>
  <c r="L62" i="44"/>
  <c r="K50" i="44"/>
  <c r="K104" i="44"/>
  <c r="L89" i="44"/>
  <c r="K61" i="44"/>
  <c r="K52" i="44"/>
  <c r="K132" i="44"/>
  <c r="L60" i="44"/>
  <c r="L105" i="44"/>
  <c r="U66" i="44"/>
  <c r="O57" i="44"/>
  <c r="R57" i="44" s="1"/>
  <c r="V72" i="44"/>
  <c r="O46" i="44"/>
  <c r="R46" i="44" s="1"/>
  <c r="V54" i="44"/>
  <c r="V66" i="44"/>
  <c r="O95" i="44"/>
  <c r="R95" i="44" s="1"/>
  <c r="V9" i="44"/>
  <c r="V71" i="44"/>
  <c r="O29" i="44"/>
  <c r="R29" i="44" s="1"/>
  <c r="O33" i="44"/>
  <c r="R33" i="44" s="1"/>
  <c r="O63" i="44"/>
  <c r="R63" i="44" s="1"/>
  <c r="U76" i="44"/>
  <c r="U86" i="44"/>
  <c r="V81" i="44"/>
  <c r="O16" i="44"/>
  <c r="R16" i="44" s="1"/>
  <c r="O67" i="44"/>
  <c r="R67" i="44" s="1"/>
  <c r="O76" i="44"/>
  <c r="R76" i="44" s="1"/>
  <c r="O77" i="44"/>
  <c r="R77" i="44" s="1"/>
  <c r="O86" i="44"/>
  <c r="R86" i="44" s="1"/>
  <c r="U77" i="44"/>
  <c r="U99" i="44"/>
  <c r="V78" i="44"/>
  <c r="O15" i="44"/>
  <c r="R15" i="44" s="1"/>
  <c r="V59" i="44"/>
  <c r="V70" i="44"/>
  <c r="V120" i="44"/>
  <c r="V67" i="44"/>
  <c r="U57" i="44"/>
  <c r="U89" i="44"/>
  <c r="V118" i="44"/>
  <c r="U69" i="44"/>
  <c r="U46" i="44"/>
  <c r="O34" i="44"/>
  <c r="R34" i="44" s="1"/>
  <c r="V61" i="44"/>
  <c r="O70" i="44"/>
  <c r="R70" i="44" s="1"/>
  <c r="V80" i="44"/>
  <c r="U107" i="44"/>
  <c r="V96" i="44"/>
  <c r="V100" i="44"/>
  <c r="V7" i="44"/>
  <c r="U63" i="44"/>
  <c r="V79" i="44"/>
  <c r="V95" i="44"/>
  <c r="L11" i="44"/>
  <c r="K11" i="44"/>
  <c r="V47" i="44"/>
  <c r="U47" i="44"/>
  <c r="O58" i="44"/>
  <c r="R58" i="44" s="1"/>
  <c r="U58" i="44"/>
  <c r="U52" i="44"/>
  <c r="V52" i="44"/>
  <c r="U64" i="44"/>
  <c r="V64" i="44"/>
  <c r="V106" i="44"/>
  <c r="O106" i="44"/>
  <c r="R106" i="44" s="1"/>
  <c r="V128" i="44"/>
  <c r="U128" i="44"/>
  <c r="V129" i="44"/>
  <c r="U129" i="44"/>
  <c r="V75" i="44"/>
  <c r="O75" i="44"/>
  <c r="R75" i="44" s="1"/>
  <c r="U19" i="44"/>
  <c r="O19" i="44"/>
  <c r="R19" i="44" s="1"/>
  <c r="U41" i="44"/>
  <c r="O41" i="44"/>
  <c r="R41" i="44" s="1"/>
  <c r="U49" i="44"/>
  <c r="O49" i="44"/>
  <c r="R49" i="44" s="1"/>
  <c r="U106" i="44"/>
  <c r="V121" i="44"/>
  <c r="O121" i="44"/>
  <c r="R121" i="44" s="1"/>
  <c r="V131" i="44"/>
  <c r="O131" i="44"/>
  <c r="R131" i="44" s="1"/>
  <c r="V126" i="44"/>
  <c r="U126" i="44"/>
  <c r="V135" i="44"/>
  <c r="U135" i="44"/>
  <c r="U28" i="44"/>
  <c r="O28" i="44"/>
  <c r="R28" i="44" s="1"/>
  <c r="O53" i="44"/>
  <c r="R53" i="44" s="1"/>
  <c r="V53" i="44"/>
  <c r="U105" i="44"/>
  <c r="O105" i="44"/>
  <c r="R105" i="44" s="1"/>
  <c r="U124" i="44"/>
  <c r="V124" i="44"/>
  <c r="V134" i="44"/>
  <c r="U134" i="44"/>
  <c r="S12" i="44"/>
  <c r="R12" i="44"/>
  <c r="O47" i="44"/>
  <c r="R47" i="44" s="1"/>
  <c r="U20" i="44"/>
  <c r="O20" i="44"/>
  <c r="R20" i="44" s="1"/>
  <c r="U31" i="44"/>
  <c r="O31" i="44"/>
  <c r="R31" i="44" s="1"/>
  <c r="U75" i="44"/>
  <c r="V127" i="44"/>
  <c r="U127" i="44"/>
  <c r="O38" i="44"/>
  <c r="R38" i="44" s="1"/>
  <c r="U37" i="44"/>
  <c r="O37" i="44"/>
  <c r="R37" i="44" s="1"/>
  <c r="U59" i="44"/>
  <c r="V60" i="44"/>
  <c r="V85" i="44"/>
  <c r="O21" i="44"/>
  <c r="R21" i="44" s="1"/>
  <c r="O17" i="44"/>
  <c r="R17" i="44" s="1"/>
  <c r="V65" i="44"/>
  <c r="U82" i="44"/>
  <c r="L45" i="44"/>
  <c r="V62" i="44"/>
  <c r="U83" i="44"/>
  <c r="P29" i="43"/>
  <c r="S29" i="43" s="1"/>
  <c r="P45" i="43"/>
  <c r="S45" i="43" s="1"/>
  <c r="M89" i="43"/>
  <c r="N158" i="43"/>
  <c r="N3" i="43"/>
  <c r="N90" i="43"/>
  <c r="N132" i="43"/>
  <c r="M97" i="43"/>
  <c r="M14" i="43"/>
  <c r="M82" i="43"/>
  <c r="N106" i="43"/>
  <c r="N112" i="43"/>
  <c r="M181" i="43"/>
  <c r="N190" i="43"/>
  <c r="V201" i="43"/>
  <c r="M78" i="43"/>
  <c r="P101" i="43"/>
  <c r="S101" i="43" s="1"/>
  <c r="S193" i="43"/>
  <c r="V193" i="43"/>
  <c r="V221" i="43"/>
  <c r="S221" i="43"/>
  <c r="V43" i="43"/>
  <c r="P43" i="43"/>
  <c r="S43" i="43" s="1"/>
  <c r="M163" i="43"/>
  <c r="M5" i="43"/>
  <c r="P65" i="43"/>
  <c r="S65" i="43" s="1"/>
  <c r="V65" i="43"/>
  <c r="V31" i="43"/>
  <c r="P31" i="43"/>
  <c r="S31" i="43" s="1"/>
  <c r="M4" i="43"/>
  <c r="M173" i="43"/>
  <c r="M179" i="43"/>
  <c r="M105" i="43"/>
  <c r="N110" i="43"/>
  <c r="M132" i="43"/>
  <c r="S218" i="43"/>
  <c r="N82" i="43"/>
  <c r="N137" i="43"/>
  <c r="V194" i="43"/>
  <c r="S194" i="43"/>
  <c r="N156" i="43"/>
  <c r="V71" i="43"/>
  <c r="P71" i="43"/>
  <c r="S71" i="43" s="1"/>
  <c r="V35" i="43"/>
  <c r="P35" i="43"/>
  <c r="S35" i="43" s="1"/>
  <c r="V22" i="43"/>
  <c r="P22" i="43"/>
  <c r="S22" i="43" s="1"/>
  <c r="T10" i="43"/>
  <c r="V10" i="43" s="1"/>
  <c r="M96" i="43"/>
  <c r="N164" i="43"/>
  <c r="M73" i="43"/>
  <c r="M144" i="43"/>
  <c r="M174" i="43"/>
  <c r="N85" i="43"/>
  <c r="N5" i="43"/>
  <c r="V39" i="43"/>
  <c r="P39" i="43"/>
  <c r="S39" i="43" s="1"/>
  <c r="V54" i="43"/>
  <c r="P54" i="43"/>
  <c r="S54" i="43" s="1"/>
  <c r="M88" i="43"/>
  <c r="P127" i="43"/>
  <c r="S127" i="43" s="1"/>
  <c r="S3" i="43"/>
  <c r="V27" i="43"/>
  <c r="P27" i="43"/>
  <c r="S27" i="43" s="1"/>
  <c r="P47" i="43"/>
  <c r="S47" i="43" s="1"/>
  <c r="N108" i="43"/>
  <c r="V135" i="43"/>
  <c r="P135" i="43"/>
  <c r="S135" i="43" s="1"/>
  <c r="V200" i="43"/>
  <c r="P200" i="43"/>
  <c r="S200" i="43" s="1"/>
  <c r="M74" i="43"/>
  <c r="V116" i="43"/>
  <c r="P116" i="43"/>
  <c r="S116" i="43" s="1"/>
  <c r="M117" i="43"/>
  <c r="M172" i="43"/>
  <c r="V63" i="43"/>
  <c r="P63" i="43"/>
  <c r="S63" i="43" s="1"/>
  <c r="N142" i="43"/>
  <c r="P162" i="43"/>
  <c r="S162" i="43" s="1"/>
  <c r="S204" i="43"/>
  <c r="V204" i="43"/>
  <c r="S8" i="43"/>
  <c r="V66" i="43"/>
  <c r="P66" i="43"/>
  <c r="S66" i="43" s="1"/>
  <c r="N77" i="43"/>
  <c r="M77" i="43"/>
  <c r="V142" i="43"/>
  <c r="P142" i="43"/>
  <c r="S142" i="43" s="1"/>
  <c r="N10" i="43"/>
  <c r="V59" i="43"/>
  <c r="P59" i="43"/>
  <c r="S59" i="43" s="1"/>
  <c r="P62" i="43"/>
  <c r="S62" i="43" s="1"/>
  <c r="P69" i="43"/>
  <c r="S69" i="43" s="1"/>
  <c r="V69" i="43"/>
  <c r="M72" i="43"/>
  <c r="V217" i="43"/>
  <c r="N167" i="43"/>
  <c r="P219" i="43"/>
  <c r="S219" i="43" s="1"/>
  <c r="V219" i="43"/>
  <c r="S20" i="43"/>
  <c r="V51" i="43"/>
  <c r="P51" i="43"/>
  <c r="S51" i="43" s="1"/>
  <c r="N109" i="43"/>
  <c r="N165" i="43"/>
  <c r="N188" i="43"/>
  <c r="V53" i="43"/>
  <c r="M92" i="43"/>
  <c r="M99" i="43"/>
  <c r="N113" i="43"/>
  <c r="N119" i="43"/>
  <c r="N148" i="43"/>
  <c r="M159" i="43"/>
  <c r="V72" i="43"/>
  <c r="P72" i="43"/>
  <c r="S72" i="43" s="1"/>
  <c r="N81" i="43"/>
  <c r="P18" i="43"/>
  <c r="S18" i="43" s="1"/>
  <c r="V18" i="43"/>
  <c r="V30" i="43"/>
  <c r="P30" i="43"/>
  <c r="S30" i="43" s="1"/>
  <c r="M178" i="43"/>
  <c r="S6" i="43"/>
  <c r="T6" i="43"/>
  <c r="V6" i="43" s="1"/>
  <c r="V49" i="43"/>
  <c r="P49" i="43"/>
  <c r="S49" i="43" s="1"/>
  <c r="V33" i="43"/>
  <c r="P33" i="43"/>
  <c r="S33" i="43" s="1"/>
  <c r="T5" i="43"/>
  <c r="V5" i="43" s="1"/>
  <c r="V46" i="43"/>
  <c r="P46" i="43"/>
  <c r="S46" i="43" s="1"/>
  <c r="T11" i="43"/>
  <c r="V11" i="43" s="1"/>
  <c r="V34" i="43"/>
  <c r="P34" i="43"/>
  <c r="S34" i="43" s="1"/>
  <c r="V50" i="43"/>
  <c r="P50" i="43"/>
  <c r="S50" i="43" s="1"/>
  <c r="N89" i="43"/>
  <c r="P24" i="43"/>
  <c r="S24" i="43" s="1"/>
  <c r="P37" i="43"/>
  <c r="S37" i="43" s="1"/>
  <c r="P55" i="43"/>
  <c r="S55" i="43" s="1"/>
  <c r="P57" i="43"/>
  <c r="S57" i="43" s="1"/>
  <c r="V57" i="43"/>
  <c r="V105" i="43"/>
  <c r="P105" i="43"/>
  <c r="S105" i="43" s="1"/>
  <c r="V117" i="43"/>
  <c r="P117" i="43"/>
  <c r="S117" i="43" s="1"/>
  <c r="M9" i="43"/>
  <c r="N17" i="43"/>
  <c r="V25" i="43"/>
  <c r="P25" i="43"/>
  <c r="S25" i="43" s="1"/>
  <c r="V42" i="43"/>
  <c r="P42" i="43"/>
  <c r="S42" i="43" s="1"/>
  <c r="V67" i="43"/>
  <c r="P67" i="43"/>
  <c r="S67" i="43" s="1"/>
  <c r="M70" i="43"/>
  <c r="N91" i="43"/>
  <c r="V23" i="43"/>
  <c r="P23" i="43"/>
  <c r="S23" i="43" s="1"/>
  <c r="V38" i="43"/>
  <c r="P38" i="43"/>
  <c r="S38" i="43" s="1"/>
  <c r="P61" i="43"/>
  <c r="S61" i="43" s="1"/>
  <c r="V61" i="43"/>
  <c r="V70" i="43"/>
  <c r="P70" i="43"/>
  <c r="S70" i="43" s="1"/>
  <c r="V139" i="43"/>
  <c r="P139" i="43"/>
  <c r="S139" i="43" s="1"/>
  <c r="P175" i="43"/>
  <c r="S175" i="43" s="1"/>
  <c r="V175" i="43"/>
  <c r="N16" i="43"/>
  <c r="P26" i="43"/>
  <c r="S26" i="43" s="1"/>
  <c r="P41" i="43"/>
  <c r="S41" i="43" s="1"/>
  <c r="N84" i="43"/>
  <c r="N87" i="43"/>
  <c r="N127" i="43"/>
  <c r="M127" i="43"/>
  <c r="S212" i="43"/>
  <c r="V212" i="43"/>
  <c r="M80" i="43"/>
  <c r="V196" i="43"/>
  <c r="S196" i="43"/>
  <c r="M85" i="43"/>
  <c r="N94" i="43"/>
  <c r="V143" i="43"/>
  <c r="P143" i="43"/>
  <c r="S143" i="43" s="1"/>
  <c r="N159" i="43"/>
  <c r="V202" i="43"/>
  <c r="S202" i="43"/>
  <c r="P58" i="43"/>
  <c r="S58" i="43" s="1"/>
  <c r="N72" i="43"/>
  <c r="N73" i="43"/>
  <c r="N88" i="43"/>
  <c r="N126" i="43"/>
  <c r="N140" i="43"/>
  <c r="N97" i="43"/>
  <c r="N105" i="43"/>
  <c r="M95" i="43"/>
  <c r="M98" i="43"/>
  <c r="M103" i="43"/>
  <c r="M104" i="43"/>
  <c r="N118" i="43"/>
  <c r="N121" i="43"/>
  <c r="N123" i="43"/>
  <c r="N128" i="43"/>
  <c r="M142" i="43"/>
  <c r="M147" i="43"/>
  <c r="V163" i="43"/>
  <c r="P163" i="43"/>
  <c r="S163" i="43" s="1"/>
  <c r="S192" i="43"/>
  <c r="V192" i="43"/>
  <c r="V205" i="43"/>
  <c r="S205" i="43"/>
  <c r="P144" i="43"/>
  <c r="S144" i="43" s="1"/>
  <c r="N154" i="43"/>
  <c r="M154" i="43"/>
  <c r="V206" i="43"/>
  <c r="S206" i="43"/>
  <c r="M131" i="43"/>
  <c r="M136" i="43"/>
  <c r="V220" i="43"/>
  <c r="S220" i="43"/>
  <c r="N114" i="43"/>
  <c r="N136" i="43"/>
  <c r="V207" i="43"/>
  <c r="S207" i="43"/>
  <c r="P189" i="43"/>
  <c r="S189" i="43" s="1"/>
  <c r="S203" i="43"/>
  <c r="P152" i="43"/>
  <c r="S152" i="43" s="1"/>
  <c r="M164" i="43"/>
  <c r="M165" i="43"/>
  <c r="N186" i="43"/>
  <c r="S211" i="43"/>
  <c r="N173" i="43"/>
  <c r="N181" i="43"/>
  <c r="M175" i="43"/>
  <c r="M185" i="43"/>
  <c r="V213" i="43"/>
  <c r="V214" i="43"/>
  <c r="V216" i="43"/>
  <c r="M156" i="43"/>
  <c r="M158" i="43"/>
  <c r="N175" i="43"/>
  <c r="N180" i="43"/>
  <c r="N185" i="43"/>
  <c r="V11" i="44"/>
  <c r="U11" i="44"/>
  <c r="U42" i="44"/>
  <c r="O42" i="44"/>
  <c r="R42" i="44" s="1"/>
  <c r="O130" i="44"/>
  <c r="R130" i="44" s="1"/>
  <c r="U130" i="44"/>
  <c r="V130" i="44"/>
  <c r="U103" i="44"/>
  <c r="O103" i="44"/>
  <c r="R103" i="44" s="1"/>
  <c r="V103" i="44"/>
  <c r="U94" i="44"/>
  <c r="V94" i="44"/>
  <c r="L46" i="44"/>
  <c r="K46" i="44"/>
  <c r="K48" i="44"/>
  <c r="L48" i="44"/>
  <c r="U8" i="44"/>
  <c r="V8" i="44"/>
  <c r="U36" i="44"/>
  <c r="O36" i="44"/>
  <c r="R36" i="44" s="1"/>
  <c r="U22" i="44"/>
  <c r="O22" i="44"/>
  <c r="R22" i="44" s="1"/>
  <c r="U84" i="44"/>
  <c r="V84" i="44"/>
  <c r="U97" i="44"/>
  <c r="V97" i="44"/>
  <c r="R10" i="44"/>
  <c r="S10" i="44"/>
  <c r="U3" i="44"/>
  <c r="V3" i="44"/>
  <c r="U30" i="44"/>
  <c r="O30" i="44"/>
  <c r="R30" i="44" s="1"/>
  <c r="U56" i="44"/>
  <c r="V56" i="44"/>
  <c r="U104" i="44"/>
  <c r="V104" i="44"/>
  <c r="O104" i="44"/>
  <c r="R104" i="44" s="1"/>
  <c r="U32" i="44"/>
  <c r="O32" i="44"/>
  <c r="R32" i="44" s="1"/>
  <c r="U5" i="44"/>
  <c r="V5" i="44"/>
  <c r="V48" i="44"/>
  <c r="U48" i="44"/>
  <c r="O48" i="44"/>
  <c r="R48" i="44" s="1"/>
  <c r="U24" i="44"/>
  <c r="O24" i="44"/>
  <c r="R24" i="44" s="1"/>
  <c r="U39" i="44"/>
  <c r="O39" i="44"/>
  <c r="R39" i="44" s="1"/>
  <c r="O50" i="44"/>
  <c r="R50" i="44" s="1"/>
  <c r="V50" i="44"/>
  <c r="U50" i="44"/>
  <c r="K88" i="44"/>
  <c r="L88" i="44"/>
  <c r="U119" i="44"/>
  <c r="O119" i="44"/>
  <c r="R119" i="44" s="1"/>
  <c r="V119" i="44"/>
  <c r="L12" i="44"/>
  <c r="U13" i="44"/>
  <c r="O13" i="44"/>
  <c r="R13" i="44" s="1"/>
  <c r="L51" i="44"/>
  <c r="K51" i="44"/>
  <c r="V6" i="44"/>
  <c r="V45" i="44"/>
  <c r="U45" i="44"/>
  <c r="U18" i="44"/>
  <c r="O18" i="44"/>
  <c r="R18" i="44" s="1"/>
  <c r="O56" i="44"/>
  <c r="R56" i="44" s="1"/>
  <c r="V102" i="44"/>
  <c r="U102" i="44"/>
  <c r="U40" i="44"/>
  <c r="O40" i="44"/>
  <c r="R40" i="44" s="1"/>
  <c r="U51" i="44"/>
  <c r="O51" i="44"/>
  <c r="R51" i="44" s="1"/>
  <c r="O98" i="44"/>
  <c r="R98" i="44" s="1"/>
  <c r="O93" i="44"/>
  <c r="R93" i="44" s="1"/>
  <c r="U93" i="44"/>
  <c r="U25" i="44"/>
  <c r="O25" i="44"/>
  <c r="R25" i="44" s="1"/>
  <c r="O27" i="44"/>
  <c r="R27" i="44" s="1"/>
  <c r="U23" i="44"/>
  <c r="O23" i="44"/>
  <c r="R23" i="44" s="1"/>
  <c r="O43" i="44"/>
  <c r="R43" i="44" s="1"/>
  <c r="V58" i="44"/>
  <c r="O73" i="44"/>
  <c r="R73" i="44" s="1"/>
  <c r="O101" i="44"/>
  <c r="R101" i="44" s="1"/>
  <c r="V101" i="44"/>
  <c r="U92" i="44"/>
  <c r="O92" i="44"/>
  <c r="R92" i="44" s="1"/>
  <c r="U123" i="44"/>
  <c r="V123" i="44"/>
  <c r="O74" i="44"/>
  <c r="R74" i="44" s="1"/>
  <c r="U74" i="44"/>
  <c r="L103" i="44"/>
  <c r="K103" i="44"/>
  <c r="U14" i="44"/>
  <c r="O14" i="44"/>
  <c r="R14" i="44" s="1"/>
  <c r="U35" i="44"/>
  <c r="O35" i="44"/>
  <c r="R35" i="44" s="1"/>
  <c r="V74" i="44"/>
  <c r="U98" i="44"/>
  <c r="U91" i="44"/>
  <c r="V125" i="44"/>
  <c r="U125" i="44"/>
  <c r="L130" i="44"/>
  <c r="V73" i="44"/>
  <c r="V87" i="44"/>
  <c r="O87" i="44"/>
  <c r="R87" i="44" s="1"/>
  <c r="V88" i="44"/>
  <c r="U90" i="44"/>
  <c r="V4" i="44"/>
  <c r="U26" i="44"/>
  <c r="O26" i="44"/>
  <c r="R26" i="44" s="1"/>
  <c r="U44" i="44"/>
  <c r="O44" i="44"/>
  <c r="R44" i="44" s="1"/>
  <c r="O52" i="44"/>
  <c r="R52" i="44" s="1"/>
  <c r="U55" i="44"/>
  <c r="V55" i="44"/>
  <c r="V49" i="44"/>
  <c r="U68" i="44"/>
  <c r="L75" i="44"/>
  <c r="K76" i="44"/>
  <c r="V105" i="44"/>
  <c r="U87" i="44"/>
  <c r="V122" i="44"/>
  <c r="V82" i="44"/>
  <c r="V132" i="44"/>
  <c r="U132" i="44"/>
  <c r="V133" i="44"/>
  <c r="U133" i="44"/>
  <c r="T9" i="43"/>
  <c r="V9" i="43" s="1"/>
  <c r="S9" i="43"/>
  <c r="T4" i="43"/>
  <c r="V4" i="43" s="1"/>
  <c r="S4" i="43"/>
  <c r="N20" i="43"/>
  <c r="M20" i="43"/>
  <c r="P14" i="43"/>
  <c r="S14" i="43" s="1"/>
  <c r="V14" i="43"/>
  <c r="P19" i="43"/>
  <c r="S19" i="43" s="1"/>
  <c r="V19" i="43"/>
  <c r="S7" i="43"/>
  <c r="M10" i="43"/>
  <c r="N15" i="43"/>
  <c r="M15" i="43"/>
  <c r="P68" i="43"/>
  <c r="S68" i="43" s="1"/>
  <c r="V68" i="43"/>
  <c r="N83" i="43"/>
  <c r="M83" i="43"/>
  <c r="M3" i="43"/>
  <c r="N4" i="43"/>
  <c r="N9" i="43"/>
  <c r="N100" i="43"/>
  <c r="M100" i="43"/>
  <c r="P64" i="43"/>
  <c r="S64" i="43" s="1"/>
  <c r="V64" i="43"/>
  <c r="P60" i="43"/>
  <c r="S60" i="43" s="1"/>
  <c r="V60" i="43"/>
  <c r="N93" i="43"/>
  <c r="M93" i="43"/>
  <c r="P21" i="43"/>
  <c r="S21" i="43" s="1"/>
  <c r="V21" i="43"/>
  <c r="P56" i="43"/>
  <c r="S56" i="43" s="1"/>
  <c r="V56" i="43"/>
  <c r="N14" i="43"/>
  <c r="P28" i="43"/>
  <c r="S28" i="43" s="1"/>
  <c r="V28" i="43"/>
  <c r="P32" i="43"/>
  <c r="S32" i="43" s="1"/>
  <c r="V32" i="43"/>
  <c r="P36" i="43"/>
  <c r="S36" i="43" s="1"/>
  <c r="V36" i="43"/>
  <c r="P40" i="43"/>
  <c r="S40" i="43" s="1"/>
  <c r="V40" i="43"/>
  <c r="P44" i="43"/>
  <c r="S44" i="43" s="1"/>
  <c r="V44" i="43"/>
  <c r="P48" i="43"/>
  <c r="S48" i="43" s="1"/>
  <c r="V48" i="43"/>
  <c r="P52" i="43"/>
  <c r="S52" i="43" s="1"/>
  <c r="V52" i="43"/>
  <c r="N125" i="43"/>
  <c r="M125" i="43"/>
  <c r="N19" i="43"/>
  <c r="M19" i="43"/>
  <c r="N18" i="43"/>
  <c r="M90" i="43"/>
  <c r="N96" i="43"/>
  <c r="M108" i="43"/>
  <c r="N70" i="43"/>
  <c r="N76" i="43"/>
  <c r="N80" i="43"/>
  <c r="N115" i="43"/>
  <c r="M115" i="43"/>
  <c r="M169" i="43"/>
  <c r="N169" i="43"/>
  <c r="M75" i="43"/>
  <c r="M79" i="43"/>
  <c r="M86" i="43"/>
  <c r="N75" i="43"/>
  <c r="N79" i="43"/>
  <c r="M81" i="43"/>
  <c r="V82" i="43"/>
  <c r="N86" i="43"/>
  <c r="N102" i="43"/>
  <c r="M102" i="43"/>
  <c r="N111" i="43"/>
  <c r="M111" i="43"/>
  <c r="P124" i="43"/>
  <c r="S124" i="43" s="1"/>
  <c r="V124" i="43"/>
  <c r="M18" i="43"/>
  <c r="N74" i="43"/>
  <c r="N78" i="43"/>
  <c r="M84" i="43"/>
  <c r="M87" i="43"/>
  <c r="M91" i="43"/>
  <c r="N92" i="43"/>
  <c r="N95" i="43"/>
  <c r="P102" i="43"/>
  <c r="S102" i="43" s="1"/>
  <c r="V102" i="43"/>
  <c r="N107" i="43"/>
  <c r="M107" i="43"/>
  <c r="M112" i="43"/>
  <c r="N139" i="43"/>
  <c r="N150" i="43"/>
  <c r="M150" i="43"/>
  <c r="N161" i="43"/>
  <c r="M161" i="43"/>
  <c r="M171" i="43"/>
  <c r="N171" i="43"/>
  <c r="M109" i="43"/>
  <c r="M113" i="43"/>
  <c r="M119" i="43"/>
  <c r="M121" i="43"/>
  <c r="M139" i="43"/>
  <c r="N104" i="43"/>
  <c r="N99" i="43"/>
  <c r="N103" i="43"/>
  <c r="N120" i="43"/>
  <c r="M120" i="43"/>
  <c r="N131" i="43"/>
  <c r="M135" i="43"/>
  <c r="N147" i="43"/>
  <c r="N157" i="43"/>
  <c r="M157" i="43"/>
  <c r="M122" i="43"/>
  <c r="N130" i="43"/>
  <c r="M130" i="43"/>
  <c r="N135" i="43"/>
  <c r="N146" i="43"/>
  <c r="M146" i="43"/>
  <c r="M151" i="43"/>
  <c r="N155" i="43"/>
  <c r="V159" i="43"/>
  <c r="P159" i="43"/>
  <c r="S159" i="43" s="1"/>
  <c r="M94" i="43"/>
  <c r="N98" i="43"/>
  <c r="M106" i="43"/>
  <c r="M110" i="43"/>
  <c r="M114" i="43"/>
  <c r="M118" i="43"/>
  <c r="N122" i="43"/>
  <c r="N124" i="43"/>
  <c r="M124" i="43"/>
  <c r="M126" i="43"/>
  <c r="N134" i="43"/>
  <c r="M134" i="43"/>
  <c r="M140" i="43"/>
  <c r="N151" i="43"/>
  <c r="M155" i="43"/>
  <c r="N163" i="43"/>
  <c r="N172" i="43"/>
  <c r="P169" i="43"/>
  <c r="S169" i="43" s="1"/>
  <c r="V169" i="43"/>
  <c r="M176" i="43"/>
  <c r="N176" i="43"/>
  <c r="M138" i="43"/>
  <c r="M141" i="43"/>
  <c r="N153" i="43"/>
  <c r="M166" i="43"/>
  <c r="N166" i="43"/>
  <c r="M129" i="43"/>
  <c r="M133" i="43"/>
  <c r="N138" i="43"/>
  <c r="N141" i="43"/>
  <c r="M145" i="43"/>
  <c r="M149" i="43"/>
  <c r="M153" i="43"/>
  <c r="M160" i="43"/>
  <c r="S198" i="43"/>
  <c r="V198" i="43"/>
  <c r="N129" i="43"/>
  <c r="N133" i="43"/>
  <c r="M137" i="43"/>
  <c r="N145" i="43"/>
  <c r="N149" i="43"/>
  <c r="M152" i="43"/>
  <c r="N160" i="43"/>
  <c r="N168" i="43"/>
  <c r="M168" i="43"/>
  <c r="N177" i="43"/>
  <c r="M123" i="43"/>
  <c r="M128" i="43"/>
  <c r="N144" i="43"/>
  <c r="M148" i="43"/>
  <c r="N152" i="43"/>
  <c r="M177" i="43"/>
  <c r="M184" i="43"/>
  <c r="N184" i="43"/>
  <c r="N174" i="43"/>
  <c r="N178" i="43"/>
  <c r="M188" i="43"/>
  <c r="N183" i="43"/>
  <c r="M183" i="43"/>
  <c r="N170" i="43"/>
  <c r="M170" i="43"/>
  <c r="N179" i="43"/>
  <c r="M180" i="43"/>
  <c r="N187" i="43"/>
  <c r="M187" i="43"/>
  <c r="V215" i="43"/>
  <c r="S197" i="43"/>
  <c r="M182" i="43"/>
  <c r="M186" i="43"/>
  <c r="M190" i="43"/>
  <c r="N182" i="43"/>
  <c r="P230" i="1"/>
  <c r="P229" i="1"/>
  <c r="P228" i="1"/>
  <c r="P227" i="1"/>
  <c r="P224" i="1"/>
  <c r="P223" i="1"/>
  <c r="P222" i="1"/>
  <c r="P221" i="1"/>
  <c r="L147" i="19"/>
  <c r="N147" i="19" s="1"/>
  <c r="L291" i="19"/>
  <c r="N291" i="19" s="1"/>
  <c r="L278" i="19"/>
  <c r="N278" i="19" s="1"/>
  <c r="L277" i="19"/>
  <c r="N277" i="19" s="1"/>
  <c r="L276" i="19"/>
  <c r="N276" i="19" s="1"/>
  <c r="L275" i="19"/>
  <c r="N275" i="19" s="1"/>
  <c r="L274" i="19"/>
  <c r="N274" i="19" s="1"/>
  <c r="L273" i="19"/>
  <c r="N273" i="19" s="1"/>
  <c r="L272" i="19"/>
  <c r="N272" i="19" s="1"/>
  <c r="L271" i="19"/>
  <c r="N271" i="19" s="1"/>
  <c r="P420" i="1"/>
  <c r="P402" i="1"/>
  <c r="P380" i="1"/>
  <c r="P359" i="1"/>
  <c r="P345" i="1"/>
  <c r="P340" i="1"/>
  <c r="P332" i="1"/>
  <c r="P234" i="1"/>
  <c r="P226" i="1"/>
  <c r="P220" i="1"/>
  <c r="P219" i="1"/>
  <c r="P218" i="1"/>
  <c r="P217" i="1"/>
  <c r="P216" i="1"/>
  <c r="P215" i="1"/>
  <c r="P214" i="1"/>
  <c r="P213" i="1"/>
  <c r="P212" i="1"/>
  <c r="P211" i="1"/>
  <c r="L270" i="19"/>
  <c r="N270" i="19" s="1"/>
  <c r="L269" i="19"/>
  <c r="N269" i="19" s="1"/>
  <c r="L268" i="19"/>
  <c r="N268" i="19" s="1"/>
  <c r="L169" i="19"/>
  <c r="N169" i="19" s="1"/>
  <c r="L158" i="19"/>
  <c r="N158" i="19" s="1"/>
  <c r="L156" i="19"/>
  <c r="N156" i="19" s="1"/>
  <c r="L151" i="19"/>
  <c r="N151" i="19" s="1"/>
  <c r="L142" i="19"/>
  <c r="N142" i="19" s="1"/>
  <c r="K278" i="19"/>
  <c r="K277" i="19"/>
  <c r="K276" i="19"/>
  <c r="K275" i="19"/>
  <c r="K274" i="19"/>
  <c r="K273" i="19"/>
  <c r="K272" i="19"/>
  <c r="K271" i="19"/>
  <c r="K270" i="19"/>
  <c r="K269" i="19"/>
  <c r="K268" i="19"/>
  <c r="H278" i="19"/>
  <c r="H277" i="19"/>
  <c r="H276" i="19"/>
  <c r="H275" i="19"/>
  <c r="H274" i="19"/>
  <c r="H273" i="19"/>
  <c r="H272" i="19"/>
  <c r="H271" i="19"/>
  <c r="H270" i="19"/>
  <c r="H269" i="19"/>
  <c r="H268" i="19"/>
  <c r="H169" i="19"/>
  <c r="L134" i="19"/>
  <c r="N134" i="19" s="1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52" i="19"/>
  <c r="K153" i="19"/>
  <c r="K159" i="19"/>
  <c r="K160" i="19"/>
  <c r="K163" i="19"/>
  <c r="K164" i="19"/>
  <c r="K165" i="19"/>
  <c r="K166" i="19"/>
  <c r="K170" i="19"/>
  <c r="K171" i="19"/>
  <c r="K174" i="19"/>
  <c r="K175" i="19"/>
  <c r="K176" i="19"/>
  <c r="K177" i="19"/>
  <c r="K178" i="19"/>
  <c r="K180" i="19"/>
  <c r="K181" i="19"/>
  <c r="K186" i="19"/>
  <c r="K190" i="19"/>
  <c r="K194" i="19"/>
  <c r="K196" i="19"/>
  <c r="K197" i="19"/>
  <c r="K198" i="19"/>
  <c r="K200" i="19"/>
  <c r="K201" i="19"/>
  <c r="K202" i="19"/>
  <c r="K203" i="19"/>
  <c r="K205" i="19"/>
  <c r="K206" i="19"/>
  <c r="K208" i="19"/>
  <c r="K210" i="19"/>
  <c r="K213" i="19"/>
  <c r="K214" i="19"/>
  <c r="K215" i="19"/>
  <c r="K216" i="19"/>
  <c r="K218" i="19"/>
  <c r="K219" i="19"/>
  <c r="K220" i="19"/>
  <c r="K223" i="19"/>
  <c r="K224" i="19"/>
  <c r="K226" i="19"/>
  <c r="K227" i="19"/>
  <c r="K228" i="19"/>
  <c r="K230" i="19"/>
  <c r="K231" i="19"/>
  <c r="K233" i="19"/>
  <c r="K235" i="19"/>
  <c r="K236" i="19"/>
  <c r="K238" i="19"/>
  <c r="K239" i="19"/>
  <c r="K240" i="19"/>
  <c r="K242" i="19"/>
  <c r="K243" i="19"/>
  <c r="K244" i="19"/>
  <c r="K245" i="19"/>
  <c r="K246" i="19"/>
  <c r="K247" i="19"/>
  <c r="K248" i="19"/>
  <c r="K250" i="19"/>
  <c r="K251" i="19"/>
  <c r="K252" i="19"/>
  <c r="K256" i="19"/>
  <c r="K259" i="19"/>
  <c r="K260" i="19"/>
  <c r="K261" i="19"/>
  <c r="K265" i="19"/>
  <c r="K267" i="19"/>
  <c r="K279" i="19"/>
  <c r="K281" i="19"/>
  <c r="K283" i="19"/>
  <c r="K285" i="19"/>
  <c r="K286" i="19"/>
  <c r="K289" i="19"/>
  <c r="L166" i="19"/>
  <c r="N166" i="19" s="1"/>
  <c r="L165" i="19"/>
  <c r="N165" i="19" s="1"/>
  <c r="L148" i="19"/>
  <c r="N148" i="19" s="1"/>
  <c r="L146" i="19"/>
  <c r="N146" i="19" s="1"/>
  <c r="L145" i="19"/>
  <c r="N145" i="19" s="1"/>
  <c r="L144" i="19"/>
  <c r="N144" i="19" s="1"/>
  <c r="L143" i="19"/>
  <c r="N143" i="19" s="1"/>
  <c r="L141" i="19"/>
  <c r="N141" i="19" s="1"/>
  <c r="L140" i="19"/>
  <c r="N140" i="19" s="1"/>
  <c r="L139" i="19"/>
  <c r="N139" i="19" s="1"/>
  <c r="L138" i="19"/>
  <c r="N138" i="19" s="1"/>
  <c r="L137" i="19"/>
  <c r="N137" i="19" s="1"/>
  <c r="L136" i="19"/>
  <c r="N136" i="19" s="1"/>
  <c r="L135" i="19"/>
  <c r="N135" i="19" s="1"/>
  <c r="L289" i="19"/>
  <c r="N289" i="19" s="1"/>
  <c r="L286" i="19"/>
  <c r="N286" i="19" s="1"/>
  <c r="L285" i="19"/>
  <c r="N285" i="19" s="1"/>
  <c r="L283" i="19"/>
  <c r="N283" i="19" s="1"/>
  <c r="L281" i="19"/>
  <c r="N281" i="19" s="1"/>
  <c r="L279" i="19"/>
  <c r="N279" i="19" s="1"/>
  <c r="L267" i="19"/>
  <c r="N267" i="19" s="1"/>
  <c r="L265" i="19"/>
  <c r="N265" i="19" s="1"/>
  <c r="L261" i="19"/>
  <c r="N261" i="19" s="1"/>
  <c r="L260" i="19"/>
  <c r="N260" i="19" s="1"/>
  <c r="L259" i="19"/>
  <c r="N259" i="19" s="1"/>
  <c r="L256" i="19"/>
  <c r="N256" i="19" s="1"/>
  <c r="L252" i="19"/>
  <c r="N252" i="19" s="1"/>
  <c r="L251" i="19"/>
  <c r="N251" i="19" s="1"/>
  <c r="L248" i="19"/>
  <c r="N248" i="19" s="1"/>
  <c r="L245" i="19"/>
  <c r="N245" i="19" s="1"/>
  <c r="L243" i="19"/>
  <c r="N243" i="19" s="1"/>
  <c r="L240" i="19"/>
  <c r="N240" i="19" s="1"/>
  <c r="L235" i="19"/>
  <c r="N235" i="19" s="1"/>
  <c r="L228" i="19"/>
  <c r="N228" i="19" s="1"/>
  <c r="L226" i="19"/>
  <c r="N226" i="19" s="1"/>
  <c r="L224" i="19"/>
  <c r="N224" i="19" s="1"/>
  <c r="L223" i="19"/>
  <c r="N223" i="19" s="1"/>
  <c r="L220" i="19"/>
  <c r="N220" i="19" s="1"/>
  <c r="L219" i="19"/>
  <c r="N219" i="19" s="1"/>
  <c r="L216" i="19"/>
  <c r="N216" i="19" s="1"/>
  <c r="L210" i="19"/>
  <c r="N210" i="19" s="1"/>
  <c r="L203" i="19"/>
  <c r="N203" i="19" s="1"/>
  <c r="L201" i="19"/>
  <c r="N201" i="19" s="1"/>
  <c r="L198" i="19"/>
  <c r="N198" i="19" s="1"/>
  <c r="L190" i="19"/>
  <c r="N190" i="19" s="1"/>
  <c r="L186" i="19"/>
  <c r="N186" i="19" s="1"/>
  <c r="L181" i="19"/>
  <c r="N181" i="19" s="1"/>
  <c r="L175" i="19"/>
  <c r="N175" i="19" s="1"/>
  <c r="L174" i="19"/>
  <c r="N174" i="19" s="1"/>
  <c r="L171" i="19"/>
  <c r="N171" i="19" s="1"/>
  <c r="L170" i="19"/>
  <c r="N170" i="19" s="1"/>
  <c r="L160" i="19"/>
  <c r="N160" i="19" s="1"/>
  <c r="L159" i="19"/>
  <c r="N159" i="19" s="1"/>
  <c r="L153" i="19"/>
  <c r="N153" i="19" s="1"/>
  <c r="L152" i="19"/>
  <c r="N152" i="19" s="1"/>
  <c r="L246" i="19"/>
  <c r="N246" i="19" s="1"/>
  <c r="L238" i="19"/>
  <c r="N238" i="19" s="1"/>
  <c r="L230" i="19"/>
  <c r="N230" i="19" s="1"/>
  <c r="L214" i="19"/>
  <c r="N214" i="19" s="1"/>
  <c r="L205" i="19"/>
  <c r="N205" i="19" s="1"/>
  <c r="L196" i="19"/>
  <c r="N196" i="19" s="1"/>
  <c r="L177" i="19"/>
  <c r="N177" i="19" s="1"/>
  <c r="L163" i="19"/>
  <c r="N163" i="19" s="1"/>
  <c r="L250" i="19"/>
  <c r="N250" i="19" s="1"/>
  <c r="L247" i="19"/>
  <c r="N247" i="19" s="1"/>
  <c r="L244" i="19"/>
  <c r="N244" i="19" s="1"/>
  <c r="L242" i="19"/>
  <c r="N242" i="19" s="1"/>
  <c r="L239" i="19"/>
  <c r="N239" i="19" s="1"/>
  <c r="L236" i="19"/>
  <c r="N236" i="19" s="1"/>
  <c r="L233" i="19"/>
  <c r="N233" i="19" s="1"/>
  <c r="L231" i="19"/>
  <c r="N231" i="19" s="1"/>
  <c r="L227" i="19"/>
  <c r="N227" i="19" s="1"/>
  <c r="L218" i="19"/>
  <c r="N218" i="19" s="1"/>
  <c r="L215" i="19"/>
  <c r="N215" i="19" s="1"/>
  <c r="L213" i="19"/>
  <c r="N213" i="19" s="1"/>
  <c r="L208" i="19"/>
  <c r="N208" i="19" s="1"/>
  <c r="L206" i="19"/>
  <c r="N206" i="19" s="1"/>
  <c r="L202" i="19"/>
  <c r="N202" i="19" s="1"/>
  <c r="L200" i="19"/>
  <c r="N200" i="19" s="1"/>
  <c r="L197" i="19"/>
  <c r="N197" i="19" s="1"/>
  <c r="L194" i="19"/>
  <c r="N194" i="19" s="1"/>
  <c r="L180" i="19"/>
  <c r="N180" i="19" s="1"/>
  <c r="L178" i="19"/>
  <c r="N178" i="19" s="1"/>
  <c r="L176" i="19"/>
  <c r="N176" i="19" s="1"/>
  <c r="L164" i="19"/>
  <c r="N164" i="19" s="1"/>
  <c r="I149" i="19"/>
  <c r="L149" i="19" s="1"/>
  <c r="N149" i="19" s="1"/>
  <c r="N290" i="19"/>
  <c r="I288" i="19"/>
  <c r="L288" i="19" s="1"/>
  <c r="N288" i="19" s="1"/>
  <c r="I287" i="19"/>
  <c r="L287" i="19" s="1"/>
  <c r="N287" i="19" s="1"/>
  <c r="I284" i="19"/>
  <c r="L284" i="19" s="1"/>
  <c r="N284" i="19" s="1"/>
  <c r="N282" i="19"/>
  <c r="I280" i="19"/>
  <c r="L280" i="19" s="1"/>
  <c r="N280" i="19" s="1"/>
  <c r="I266" i="19"/>
  <c r="L266" i="19" s="1"/>
  <c r="N266" i="19" s="1"/>
  <c r="I264" i="19"/>
  <c r="L264" i="19" s="1"/>
  <c r="N264" i="19" s="1"/>
  <c r="I263" i="19"/>
  <c r="L263" i="19" s="1"/>
  <c r="N263" i="19" s="1"/>
  <c r="I262" i="19"/>
  <c r="L262" i="19" s="1"/>
  <c r="N262" i="19" s="1"/>
  <c r="I258" i="19"/>
  <c r="L258" i="19" s="1"/>
  <c r="N258" i="19" s="1"/>
  <c r="I257" i="19"/>
  <c r="L257" i="19" s="1"/>
  <c r="N257" i="19" s="1"/>
  <c r="I255" i="19"/>
  <c r="L255" i="19" s="1"/>
  <c r="N255" i="19" s="1"/>
  <c r="I254" i="19"/>
  <c r="L254" i="19" s="1"/>
  <c r="N254" i="19" s="1"/>
  <c r="I253" i="19"/>
  <c r="L253" i="19" s="1"/>
  <c r="N253" i="19" s="1"/>
  <c r="I249" i="19"/>
  <c r="L249" i="19" s="1"/>
  <c r="N249" i="19" s="1"/>
  <c r="I241" i="19"/>
  <c r="L241" i="19" s="1"/>
  <c r="N241" i="19" s="1"/>
  <c r="I237" i="19"/>
  <c r="L237" i="19" s="1"/>
  <c r="N237" i="19" s="1"/>
  <c r="N234" i="19"/>
  <c r="I232" i="19"/>
  <c r="L232" i="19" s="1"/>
  <c r="N232" i="19" s="1"/>
  <c r="I229" i="19"/>
  <c r="L229" i="19" s="1"/>
  <c r="N229" i="19" s="1"/>
  <c r="I225" i="19"/>
  <c r="L225" i="19" s="1"/>
  <c r="N225" i="19" s="1"/>
  <c r="N222" i="19"/>
  <c r="I221" i="19"/>
  <c r="L221" i="19" s="1"/>
  <c r="N221" i="19" s="1"/>
  <c r="I217" i="19"/>
  <c r="L217" i="19" s="1"/>
  <c r="N217" i="19" s="1"/>
  <c r="I212" i="19"/>
  <c r="L212" i="19" s="1"/>
  <c r="N212" i="19" s="1"/>
  <c r="I211" i="19"/>
  <c r="L211" i="19" s="1"/>
  <c r="N211" i="19" s="1"/>
  <c r="N209" i="19"/>
  <c r="I207" i="19"/>
  <c r="L207" i="19" s="1"/>
  <c r="N207" i="19" s="1"/>
  <c r="I204" i="19"/>
  <c r="L204" i="19" s="1"/>
  <c r="N204" i="19" s="1"/>
  <c r="I199" i="19"/>
  <c r="L199" i="19" s="1"/>
  <c r="N199" i="19" s="1"/>
  <c r="I195" i="19"/>
  <c r="L195" i="19" s="1"/>
  <c r="N195" i="19" s="1"/>
  <c r="I193" i="19"/>
  <c r="L193" i="19" s="1"/>
  <c r="N193" i="19" s="1"/>
  <c r="I192" i="19"/>
  <c r="L192" i="19" s="1"/>
  <c r="N192" i="19" s="1"/>
  <c r="I191" i="19"/>
  <c r="L191" i="19" s="1"/>
  <c r="N191" i="19" s="1"/>
  <c r="I189" i="19"/>
  <c r="L189" i="19" s="1"/>
  <c r="N189" i="19" s="1"/>
  <c r="I188" i="19"/>
  <c r="L188" i="19" s="1"/>
  <c r="N188" i="19" s="1"/>
  <c r="I187" i="19"/>
  <c r="L187" i="19" s="1"/>
  <c r="N187" i="19" s="1"/>
  <c r="I185" i="19"/>
  <c r="L185" i="19" s="1"/>
  <c r="N185" i="19" s="1"/>
  <c r="I184" i="19"/>
  <c r="L184" i="19" s="1"/>
  <c r="N184" i="19" s="1"/>
  <c r="I183" i="19"/>
  <c r="L183" i="19" s="1"/>
  <c r="N183" i="19" s="1"/>
  <c r="I182" i="19"/>
  <c r="L182" i="19" s="1"/>
  <c r="N182" i="19" s="1"/>
  <c r="I179" i="19"/>
  <c r="L179" i="19" s="1"/>
  <c r="N179" i="19" s="1"/>
  <c r="L173" i="19"/>
  <c r="N173" i="19" s="1"/>
  <c r="L172" i="19"/>
  <c r="N172" i="19" s="1"/>
  <c r="L168" i="19"/>
  <c r="N168" i="19" s="1"/>
  <c r="L167" i="19"/>
  <c r="N167" i="19" s="1"/>
  <c r="I150" i="19"/>
  <c r="L150" i="19" s="1"/>
  <c r="N150" i="19" s="1"/>
  <c r="I154" i="19"/>
  <c r="L154" i="19" s="1"/>
  <c r="N154" i="19" s="1"/>
  <c r="I155" i="19"/>
  <c r="L155" i="19" s="1"/>
  <c r="N155" i="19" s="1"/>
  <c r="I157" i="19"/>
  <c r="L157" i="19" s="1"/>
  <c r="N157" i="19" s="1"/>
  <c r="I161" i="19"/>
  <c r="L161" i="19" s="1"/>
  <c r="N161" i="19" s="1"/>
  <c r="I162" i="19"/>
  <c r="L162" i="19" s="1"/>
  <c r="N162" i="19" s="1"/>
  <c r="N71" i="43" l="1"/>
  <c r="M71" i="43"/>
  <c r="V12" i="44"/>
  <c r="U12" i="44"/>
  <c r="V10" i="44"/>
  <c r="U10" i="44"/>
  <c r="K150" i="19"/>
  <c r="K212" i="19"/>
  <c r="K209" i="19"/>
  <c r="K185" i="19"/>
  <c r="K232" i="19"/>
  <c r="K266" i="19"/>
  <c r="K188" i="19"/>
  <c r="K158" i="19"/>
  <c r="K149" i="19"/>
  <c r="K156" i="19"/>
  <c r="K284" i="19"/>
  <c r="K155" i="19"/>
  <c r="K157" i="19"/>
  <c r="K172" i="19"/>
  <c r="K257" i="19"/>
  <c r="K225" i="19"/>
  <c r="K204" i="19"/>
  <c r="K195" i="19"/>
  <c r="K187" i="19"/>
  <c r="K169" i="19"/>
  <c r="K151" i="19"/>
  <c r="K249" i="19"/>
  <c r="K184" i="19"/>
  <c r="K168" i="19"/>
  <c r="K290" i="19"/>
  <c r="K282" i="19"/>
  <c r="K263" i="19"/>
  <c r="K255" i="19"/>
  <c r="K207" i="19"/>
  <c r="K199" i="19"/>
  <c r="K191" i="19"/>
  <c r="K183" i="19"/>
  <c r="K167" i="19"/>
  <c r="K162" i="19"/>
  <c r="K154" i="19"/>
  <c r="K287" i="19"/>
  <c r="K179" i="19"/>
  <c r="K258" i="19"/>
  <c r="K234" i="19"/>
  <c r="K291" i="19"/>
  <c r="K264" i="19"/>
  <c r="K192" i="19"/>
  <c r="K262" i="19"/>
  <c r="K254" i="19"/>
  <c r="K222" i="19"/>
  <c r="K182" i="19"/>
  <c r="K161" i="19"/>
  <c r="K211" i="19"/>
  <c r="K241" i="19"/>
  <c r="K217" i="19"/>
  <c r="K193" i="19"/>
  <c r="K288" i="19"/>
  <c r="K280" i="19"/>
  <c r="K253" i="19"/>
  <c r="K237" i="19"/>
  <c r="K229" i="19"/>
  <c r="K221" i="19"/>
  <c r="K189" i="19"/>
  <c r="K173" i="19"/>
  <c r="L28" i="19" l="1"/>
  <c r="L31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P424" i="1"/>
  <c r="R424" i="1" s="1"/>
  <c r="O424" i="1"/>
  <c r="P423" i="1"/>
  <c r="R423" i="1" s="1"/>
  <c r="O423" i="1"/>
  <c r="P422" i="1"/>
  <c r="R422" i="1" s="1"/>
  <c r="O422" i="1"/>
  <c r="P421" i="1"/>
  <c r="R421" i="1" s="1"/>
  <c r="O421" i="1"/>
  <c r="R420" i="1"/>
  <c r="O420" i="1"/>
  <c r="P419" i="1"/>
  <c r="R419" i="1" s="1"/>
  <c r="O419" i="1"/>
  <c r="P418" i="1"/>
  <c r="R418" i="1" s="1"/>
  <c r="O418" i="1"/>
  <c r="P417" i="1"/>
  <c r="R417" i="1" s="1"/>
  <c r="O417" i="1"/>
  <c r="P416" i="1"/>
  <c r="R416" i="1" s="1"/>
  <c r="O416" i="1"/>
  <c r="P415" i="1"/>
  <c r="R415" i="1" s="1"/>
  <c r="O415" i="1"/>
  <c r="P414" i="1"/>
  <c r="R414" i="1" s="1"/>
  <c r="O414" i="1"/>
  <c r="P413" i="1"/>
  <c r="R413" i="1" s="1"/>
  <c r="O413" i="1"/>
  <c r="P412" i="1"/>
  <c r="R412" i="1" s="1"/>
  <c r="O412" i="1"/>
  <c r="P411" i="1"/>
  <c r="R411" i="1" s="1"/>
  <c r="O411" i="1"/>
  <c r="P410" i="1"/>
  <c r="R410" i="1" s="1"/>
  <c r="O410" i="1"/>
  <c r="P409" i="1"/>
  <c r="R409" i="1" s="1"/>
  <c r="O409" i="1"/>
  <c r="P408" i="1"/>
  <c r="R408" i="1" s="1"/>
  <c r="O408" i="1"/>
  <c r="P407" i="1"/>
  <c r="R407" i="1" s="1"/>
  <c r="O407" i="1"/>
  <c r="P406" i="1"/>
  <c r="R406" i="1" s="1"/>
  <c r="O406" i="1"/>
  <c r="P405" i="1"/>
  <c r="R405" i="1" s="1"/>
  <c r="O405" i="1"/>
  <c r="P404" i="1"/>
  <c r="R404" i="1" s="1"/>
  <c r="O404" i="1"/>
  <c r="P403" i="1"/>
  <c r="R403" i="1" s="1"/>
  <c r="O403" i="1"/>
  <c r="R402" i="1"/>
  <c r="O402" i="1"/>
  <c r="P401" i="1"/>
  <c r="R401" i="1" s="1"/>
  <c r="O401" i="1"/>
  <c r="P400" i="1"/>
  <c r="R400" i="1" s="1"/>
  <c r="O400" i="1"/>
  <c r="P399" i="1"/>
  <c r="R399" i="1" s="1"/>
  <c r="O399" i="1"/>
  <c r="P398" i="1"/>
  <c r="R398" i="1" s="1"/>
  <c r="O398" i="1"/>
  <c r="P397" i="1"/>
  <c r="R397" i="1" s="1"/>
  <c r="O397" i="1"/>
  <c r="P396" i="1"/>
  <c r="R396" i="1" s="1"/>
  <c r="O396" i="1"/>
  <c r="P395" i="1"/>
  <c r="R395" i="1" s="1"/>
  <c r="O395" i="1"/>
  <c r="P394" i="1"/>
  <c r="R394" i="1" s="1"/>
  <c r="O394" i="1"/>
  <c r="P393" i="1"/>
  <c r="R393" i="1" s="1"/>
  <c r="O393" i="1"/>
  <c r="P392" i="1"/>
  <c r="R392" i="1" s="1"/>
  <c r="O392" i="1"/>
  <c r="P391" i="1"/>
  <c r="R391" i="1" s="1"/>
  <c r="O391" i="1"/>
  <c r="P390" i="1"/>
  <c r="R390" i="1" s="1"/>
  <c r="O390" i="1"/>
  <c r="P389" i="1"/>
  <c r="R389" i="1" s="1"/>
  <c r="O389" i="1"/>
  <c r="P388" i="1"/>
  <c r="R388" i="1" s="1"/>
  <c r="O388" i="1"/>
  <c r="P387" i="1"/>
  <c r="R387" i="1" s="1"/>
  <c r="O387" i="1"/>
  <c r="P386" i="1"/>
  <c r="R386" i="1" s="1"/>
  <c r="O386" i="1"/>
  <c r="P385" i="1"/>
  <c r="R385" i="1" s="1"/>
  <c r="O385" i="1"/>
  <c r="P384" i="1"/>
  <c r="R384" i="1" s="1"/>
  <c r="O384" i="1"/>
  <c r="P383" i="1"/>
  <c r="R383" i="1" s="1"/>
  <c r="O383" i="1"/>
  <c r="P382" i="1"/>
  <c r="R382" i="1" s="1"/>
  <c r="O382" i="1"/>
  <c r="P381" i="1"/>
  <c r="R381" i="1" s="1"/>
  <c r="O381" i="1"/>
  <c r="R380" i="1"/>
  <c r="O380" i="1"/>
  <c r="P379" i="1"/>
  <c r="R379" i="1" s="1"/>
  <c r="O379" i="1"/>
  <c r="P378" i="1"/>
  <c r="R378" i="1" s="1"/>
  <c r="O378" i="1"/>
  <c r="P377" i="1"/>
  <c r="R377" i="1" s="1"/>
  <c r="O377" i="1"/>
  <c r="P376" i="1"/>
  <c r="R376" i="1" s="1"/>
  <c r="O376" i="1"/>
  <c r="P375" i="1"/>
  <c r="R375" i="1" s="1"/>
  <c r="O375" i="1"/>
  <c r="P374" i="1"/>
  <c r="R374" i="1" s="1"/>
  <c r="O374" i="1"/>
  <c r="P373" i="1"/>
  <c r="R373" i="1" s="1"/>
  <c r="O373" i="1"/>
  <c r="P372" i="1"/>
  <c r="R372" i="1" s="1"/>
  <c r="O372" i="1"/>
  <c r="P371" i="1"/>
  <c r="R371" i="1" s="1"/>
  <c r="O371" i="1"/>
  <c r="P370" i="1"/>
  <c r="R370" i="1" s="1"/>
  <c r="O370" i="1"/>
  <c r="P369" i="1"/>
  <c r="R369" i="1" s="1"/>
  <c r="O369" i="1"/>
  <c r="P368" i="1"/>
  <c r="R368" i="1" s="1"/>
  <c r="O368" i="1"/>
  <c r="P367" i="1"/>
  <c r="R367" i="1" s="1"/>
  <c r="O367" i="1"/>
  <c r="P366" i="1"/>
  <c r="R366" i="1" s="1"/>
  <c r="O366" i="1"/>
  <c r="P365" i="1"/>
  <c r="R365" i="1" s="1"/>
  <c r="O365" i="1"/>
  <c r="P364" i="1"/>
  <c r="R364" i="1" s="1"/>
  <c r="O364" i="1"/>
  <c r="P363" i="1"/>
  <c r="R363" i="1" s="1"/>
  <c r="O363" i="1"/>
  <c r="P362" i="1"/>
  <c r="R362" i="1" s="1"/>
  <c r="O362" i="1"/>
  <c r="P361" i="1"/>
  <c r="R361" i="1" s="1"/>
  <c r="O361" i="1"/>
  <c r="P360" i="1"/>
  <c r="R360" i="1" s="1"/>
  <c r="O360" i="1"/>
  <c r="R359" i="1"/>
  <c r="O359" i="1"/>
  <c r="P358" i="1"/>
  <c r="R358" i="1" s="1"/>
  <c r="O358" i="1"/>
  <c r="P357" i="1"/>
  <c r="R357" i="1" s="1"/>
  <c r="O357" i="1"/>
  <c r="P356" i="1"/>
  <c r="R356" i="1" s="1"/>
  <c r="O356" i="1"/>
  <c r="P355" i="1"/>
  <c r="R355" i="1" s="1"/>
  <c r="O355" i="1"/>
  <c r="P354" i="1"/>
  <c r="R354" i="1" s="1"/>
  <c r="O354" i="1"/>
  <c r="P353" i="1"/>
  <c r="R353" i="1" s="1"/>
  <c r="O353" i="1"/>
  <c r="P352" i="1"/>
  <c r="R352" i="1" s="1"/>
  <c r="O352" i="1"/>
  <c r="P351" i="1"/>
  <c r="R351" i="1" s="1"/>
  <c r="O351" i="1"/>
  <c r="P350" i="1"/>
  <c r="R350" i="1" s="1"/>
  <c r="O350" i="1"/>
  <c r="P349" i="1"/>
  <c r="R349" i="1" s="1"/>
  <c r="O349" i="1"/>
  <c r="P348" i="1"/>
  <c r="R348" i="1" s="1"/>
  <c r="O348" i="1"/>
  <c r="P347" i="1"/>
  <c r="R347" i="1" s="1"/>
  <c r="O347" i="1"/>
  <c r="P346" i="1"/>
  <c r="R346" i="1" s="1"/>
  <c r="O346" i="1"/>
  <c r="R345" i="1"/>
  <c r="O345" i="1"/>
  <c r="P344" i="1"/>
  <c r="R344" i="1" s="1"/>
  <c r="O344" i="1"/>
  <c r="P343" i="1"/>
  <c r="R343" i="1" s="1"/>
  <c r="O343" i="1"/>
  <c r="P342" i="1"/>
  <c r="R342" i="1" s="1"/>
  <c r="O342" i="1"/>
  <c r="P341" i="1"/>
  <c r="R341" i="1" s="1"/>
  <c r="O341" i="1"/>
  <c r="R340" i="1"/>
  <c r="O340" i="1"/>
  <c r="P339" i="1"/>
  <c r="R339" i="1" s="1"/>
  <c r="O339" i="1"/>
  <c r="P338" i="1"/>
  <c r="R338" i="1" s="1"/>
  <c r="O338" i="1"/>
  <c r="P337" i="1"/>
  <c r="R337" i="1" s="1"/>
  <c r="O337" i="1"/>
  <c r="P336" i="1"/>
  <c r="R336" i="1" s="1"/>
  <c r="O336" i="1"/>
  <c r="P335" i="1"/>
  <c r="R335" i="1" s="1"/>
  <c r="O335" i="1"/>
  <c r="P334" i="1"/>
  <c r="R334" i="1" s="1"/>
  <c r="O334" i="1"/>
  <c r="P333" i="1"/>
  <c r="R333" i="1" s="1"/>
  <c r="O333" i="1"/>
  <c r="R332" i="1"/>
  <c r="O332" i="1"/>
  <c r="P331" i="1"/>
  <c r="R331" i="1" s="1"/>
  <c r="O331" i="1"/>
  <c r="P330" i="1"/>
  <c r="R330" i="1" s="1"/>
  <c r="O330" i="1"/>
  <c r="P329" i="1"/>
  <c r="R329" i="1" s="1"/>
  <c r="O329" i="1"/>
  <c r="P328" i="1"/>
  <c r="R328" i="1" s="1"/>
  <c r="O328" i="1"/>
  <c r="P327" i="1"/>
  <c r="R327" i="1" s="1"/>
  <c r="O327" i="1"/>
  <c r="P326" i="1"/>
  <c r="R326" i="1" s="1"/>
  <c r="O326" i="1"/>
  <c r="P325" i="1"/>
  <c r="R325" i="1" s="1"/>
  <c r="O325" i="1"/>
  <c r="P324" i="1"/>
  <c r="R324" i="1" s="1"/>
  <c r="O324" i="1"/>
  <c r="P323" i="1"/>
  <c r="R323" i="1" s="1"/>
  <c r="O323" i="1"/>
  <c r="P322" i="1"/>
  <c r="R322" i="1" s="1"/>
  <c r="O322" i="1"/>
  <c r="P321" i="1"/>
  <c r="R321" i="1" s="1"/>
  <c r="O321" i="1"/>
  <c r="P320" i="1"/>
  <c r="R320" i="1" s="1"/>
  <c r="O320" i="1"/>
  <c r="P319" i="1"/>
  <c r="R319" i="1" s="1"/>
  <c r="O319" i="1"/>
  <c r="P318" i="1"/>
  <c r="R318" i="1" s="1"/>
  <c r="O318" i="1"/>
  <c r="P317" i="1"/>
  <c r="R317" i="1" s="1"/>
  <c r="O317" i="1"/>
  <c r="P316" i="1"/>
  <c r="R316" i="1" s="1"/>
  <c r="O316" i="1"/>
  <c r="P315" i="1"/>
  <c r="R315" i="1" s="1"/>
  <c r="O315" i="1"/>
  <c r="P314" i="1"/>
  <c r="R314" i="1" s="1"/>
  <c r="O314" i="1"/>
  <c r="P313" i="1"/>
  <c r="R313" i="1" s="1"/>
  <c r="O313" i="1"/>
  <c r="P312" i="1"/>
  <c r="R312" i="1" s="1"/>
  <c r="O312" i="1"/>
  <c r="P311" i="1"/>
  <c r="R311" i="1" s="1"/>
  <c r="O311" i="1"/>
  <c r="P310" i="1"/>
  <c r="R310" i="1" s="1"/>
  <c r="O310" i="1"/>
  <c r="P309" i="1"/>
  <c r="R309" i="1" s="1"/>
  <c r="O309" i="1"/>
  <c r="P308" i="1"/>
  <c r="R308" i="1" s="1"/>
  <c r="O308" i="1"/>
  <c r="P307" i="1"/>
  <c r="R307" i="1" s="1"/>
  <c r="O307" i="1"/>
  <c r="P306" i="1"/>
  <c r="R306" i="1" s="1"/>
  <c r="O306" i="1"/>
  <c r="P305" i="1"/>
  <c r="R305" i="1" s="1"/>
  <c r="O305" i="1"/>
  <c r="P304" i="1"/>
  <c r="R304" i="1" s="1"/>
  <c r="O304" i="1"/>
  <c r="P303" i="1"/>
  <c r="R303" i="1" s="1"/>
  <c r="O303" i="1"/>
  <c r="P302" i="1"/>
  <c r="R302" i="1" s="1"/>
  <c r="O302" i="1"/>
  <c r="P301" i="1"/>
  <c r="R301" i="1" s="1"/>
  <c r="O301" i="1"/>
  <c r="P300" i="1"/>
  <c r="R300" i="1" s="1"/>
  <c r="O300" i="1"/>
  <c r="P299" i="1"/>
  <c r="R299" i="1" s="1"/>
  <c r="O299" i="1"/>
  <c r="P298" i="1"/>
  <c r="R298" i="1" s="1"/>
  <c r="O298" i="1"/>
  <c r="P297" i="1"/>
  <c r="R297" i="1" s="1"/>
  <c r="O297" i="1"/>
  <c r="P296" i="1"/>
  <c r="R296" i="1" s="1"/>
  <c r="O296" i="1"/>
  <c r="P295" i="1"/>
  <c r="R295" i="1" s="1"/>
  <c r="O295" i="1"/>
  <c r="P294" i="1"/>
  <c r="R294" i="1" s="1"/>
  <c r="O294" i="1"/>
  <c r="P293" i="1"/>
  <c r="R293" i="1" s="1"/>
  <c r="O293" i="1"/>
  <c r="P292" i="1"/>
  <c r="R292" i="1" s="1"/>
  <c r="O292" i="1"/>
  <c r="P291" i="1"/>
  <c r="R291" i="1" s="1"/>
  <c r="O291" i="1"/>
  <c r="P290" i="1"/>
  <c r="R290" i="1" s="1"/>
  <c r="O290" i="1"/>
  <c r="P289" i="1"/>
  <c r="R289" i="1" s="1"/>
  <c r="O289" i="1"/>
  <c r="P288" i="1"/>
  <c r="R288" i="1" s="1"/>
  <c r="O288" i="1"/>
  <c r="P287" i="1"/>
  <c r="R287" i="1" s="1"/>
  <c r="O287" i="1"/>
  <c r="P286" i="1"/>
  <c r="R286" i="1" s="1"/>
  <c r="O286" i="1"/>
  <c r="P285" i="1"/>
  <c r="R285" i="1" s="1"/>
  <c r="O285" i="1"/>
  <c r="P284" i="1"/>
  <c r="R284" i="1" s="1"/>
  <c r="P283" i="1"/>
  <c r="R283" i="1" s="1"/>
  <c r="O283" i="1"/>
  <c r="P282" i="1"/>
  <c r="R282" i="1" s="1"/>
  <c r="O282" i="1"/>
  <c r="P281" i="1"/>
  <c r="R281" i="1" s="1"/>
  <c r="O281" i="1"/>
  <c r="P280" i="1"/>
  <c r="R280" i="1" s="1"/>
  <c r="O280" i="1"/>
  <c r="P279" i="1"/>
  <c r="R279" i="1" s="1"/>
  <c r="O279" i="1"/>
  <c r="P278" i="1"/>
  <c r="R278" i="1" s="1"/>
  <c r="O278" i="1"/>
  <c r="P277" i="1"/>
  <c r="R277" i="1" s="1"/>
  <c r="O277" i="1"/>
  <c r="P276" i="1"/>
  <c r="R276" i="1" s="1"/>
  <c r="O276" i="1"/>
  <c r="P275" i="1"/>
  <c r="R275" i="1" s="1"/>
  <c r="O275" i="1"/>
  <c r="P274" i="1"/>
  <c r="R274" i="1" s="1"/>
  <c r="O274" i="1"/>
  <c r="P273" i="1"/>
  <c r="R273" i="1" s="1"/>
  <c r="O273" i="1"/>
  <c r="P272" i="1"/>
  <c r="R272" i="1" s="1"/>
  <c r="O272" i="1"/>
  <c r="P271" i="1"/>
  <c r="R271" i="1" s="1"/>
  <c r="O271" i="1"/>
  <c r="P270" i="1"/>
  <c r="R270" i="1" s="1"/>
  <c r="O270" i="1"/>
  <c r="P269" i="1"/>
  <c r="R269" i="1" s="1"/>
  <c r="O269" i="1"/>
  <c r="P268" i="1"/>
  <c r="R268" i="1" s="1"/>
  <c r="O268" i="1"/>
  <c r="P267" i="1"/>
  <c r="R267" i="1" s="1"/>
  <c r="O267" i="1"/>
  <c r="P266" i="1"/>
  <c r="R266" i="1" s="1"/>
  <c r="O266" i="1"/>
  <c r="P265" i="1"/>
  <c r="R265" i="1" s="1"/>
  <c r="O265" i="1"/>
  <c r="P264" i="1"/>
  <c r="R264" i="1" s="1"/>
  <c r="O264" i="1"/>
  <c r="P263" i="1"/>
  <c r="R263" i="1" s="1"/>
  <c r="O263" i="1"/>
  <c r="P262" i="1"/>
  <c r="R262" i="1" s="1"/>
  <c r="O262" i="1"/>
  <c r="P261" i="1"/>
  <c r="R261" i="1" s="1"/>
  <c r="O261" i="1"/>
  <c r="P260" i="1"/>
  <c r="R260" i="1" s="1"/>
  <c r="O260" i="1"/>
  <c r="P259" i="1"/>
  <c r="R259" i="1" s="1"/>
  <c r="O259" i="1"/>
  <c r="P258" i="1"/>
  <c r="R258" i="1" s="1"/>
  <c r="O258" i="1"/>
  <c r="P257" i="1"/>
  <c r="R257" i="1" s="1"/>
  <c r="O257" i="1"/>
  <c r="P256" i="1"/>
  <c r="R256" i="1" s="1"/>
  <c r="O256" i="1"/>
  <c r="P255" i="1"/>
  <c r="R255" i="1" s="1"/>
  <c r="O255" i="1"/>
  <c r="P254" i="1"/>
  <c r="R254" i="1" s="1"/>
  <c r="O254" i="1"/>
  <c r="P253" i="1"/>
  <c r="R253" i="1" s="1"/>
  <c r="O253" i="1"/>
  <c r="P252" i="1"/>
  <c r="R252" i="1" s="1"/>
  <c r="O252" i="1"/>
  <c r="P251" i="1"/>
  <c r="R251" i="1" s="1"/>
  <c r="O251" i="1"/>
  <c r="P250" i="1"/>
  <c r="R250" i="1" s="1"/>
  <c r="O250" i="1"/>
  <c r="P249" i="1"/>
  <c r="R249" i="1" s="1"/>
  <c r="O249" i="1"/>
  <c r="P248" i="1"/>
  <c r="R248" i="1" s="1"/>
  <c r="O248" i="1"/>
  <c r="P247" i="1"/>
  <c r="R247" i="1" s="1"/>
  <c r="O247" i="1"/>
  <c r="P246" i="1"/>
  <c r="R246" i="1" s="1"/>
  <c r="O246" i="1"/>
  <c r="P245" i="1"/>
  <c r="R245" i="1" s="1"/>
  <c r="O245" i="1"/>
  <c r="P244" i="1"/>
  <c r="R244" i="1" s="1"/>
  <c r="O244" i="1"/>
  <c r="P243" i="1"/>
  <c r="R243" i="1" s="1"/>
  <c r="O243" i="1"/>
  <c r="P242" i="1"/>
  <c r="R242" i="1" s="1"/>
  <c r="O242" i="1"/>
  <c r="P241" i="1"/>
  <c r="R241" i="1" s="1"/>
  <c r="O241" i="1"/>
  <c r="P240" i="1"/>
  <c r="R240" i="1" s="1"/>
  <c r="O240" i="1"/>
  <c r="P239" i="1"/>
  <c r="R239" i="1" s="1"/>
  <c r="O239" i="1"/>
  <c r="P238" i="1"/>
  <c r="R238" i="1" s="1"/>
  <c r="O238" i="1"/>
  <c r="P237" i="1"/>
  <c r="R237" i="1" s="1"/>
  <c r="O237" i="1"/>
  <c r="P236" i="1"/>
  <c r="R236" i="1" s="1"/>
  <c r="O236" i="1"/>
  <c r="P235" i="1"/>
  <c r="R235" i="1" s="1"/>
  <c r="O235" i="1"/>
  <c r="R234" i="1"/>
  <c r="O234" i="1"/>
  <c r="P233" i="1"/>
  <c r="R233" i="1" s="1"/>
  <c r="O233" i="1"/>
  <c r="P232" i="1"/>
  <c r="R232" i="1" s="1"/>
  <c r="O232" i="1"/>
  <c r="P231" i="1"/>
  <c r="R231" i="1" s="1"/>
  <c r="O231" i="1"/>
  <c r="R230" i="1"/>
  <c r="O230" i="1"/>
  <c r="R229" i="1"/>
  <c r="O229" i="1"/>
  <c r="R228" i="1"/>
  <c r="O228" i="1"/>
  <c r="R227" i="1"/>
  <c r="O227" i="1"/>
  <c r="R226" i="1"/>
  <c r="O226" i="1"/>
  <c r="P225" i="1"/>
  <c r="R225" i="1" s="1"/>
  <c r="O225" i="1"/>
  <c r="R224" i="1"/>
  <c r="O224" i="1"/>
  <c r="R223" i="1"/>
  <c r="O223" i="1"/>
  <c r="R222" i="1"/>
  <c r="O222" i="1"/>
  <c r="R221" i="1"/>
  <c r="O221" i="1"/>
  <c r="R220" i="1"/>
  <c r="O220" i="1"/>
  <c r="R219" i="1"/>
  <c r="O219" i="1"/>
  <c r="R218" i="1"/>
  <c r="O218" i="1"/>
  <c r="R217" i="1"/>
  <c r="O217" i="1"/>
  <c r="R216" i="1"/>
  <c r="O216" i="1"/>
  <c r="R215" i="1"/>
  <c r="O215" i="1"/>
  <c r="R214" i="1"/>
  <c r="O214" i="1"/>
  <c r="R213" i="1"/>
  <c r="O213" i="1"/>
  <c r="R212" i="1"/>
  <c r="O212" i="1"/>
  <c r="R211" i="1"/>
  <c r="O211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L29" i="19" l="1"/>
  <c r="P204" i="1" l="1"/>
  <c r="R204" i="1" s="1"/>
  <c r="P203" i="1"/>
  <c r="R203" i="1" s="1"/>
  <c r="P148" i="1"/>
  <c r="R148" i="1" s="1"/>
  <c r="P147" i="1"/>
  <c r="R147" i="1" s="1"/>
  <c r="P119" i="1"/>
  <c r="R119" i="1" s="1"/>
  <c r="P118" i="1"/>
  <c r="R118" i="1" s="1"/>
  <c r="P97" i="1"/>
  <c r="R97" i="1" s="1"/>
  <c r="P96" i="1"/>
  <c r="R96" i="1" s="1"/>
  <c r="P89" i="1"/>
  <c r="R89" i="1" s="1"/>
  <c r="P88" i="1"/>
  <c r="R88" i="1" s="1"/>
  <c r="P47" i="1"/>
  <c r="R47" i="1" s="1"/>
  <c r="P46" i="1"/>
  <c r="R46" i="1" s="1"/>
  <c r="P202" i="1"/>
  <c r="R202" i="1" s="1"/>
  <c r="P201" i="1"/>
  <c r="R201" i="1" s="1"/>
  <c r="P200" i="1"/>
  <c r="R200" i="1" s="1"/>
  <c r="P199" i="1"/>
  <c r="R199" i="1" s="1"/>
  <c r="P198" i="1"/>
  <c r="R198" i="1" s="1"/>
  <c r="P197" i="1"/>
  <c r="R197" i="1" s="1"/>
  <c r="P196" i="1"/>
  <c r="R196" i="1" s="1"/>
  <c r="P195" i="1"/>
  <c r="R195" i="1" s="1"/>
  <c r="P184" i="1"/>
  <c r="R184" i="1" s="1"/>
  <c r="P183" i="1"/>
  <c r="R183" i="1" s="1"/>
  <c r="P182" i="1"/>
  <c r="R182" i="1" s="1"/>
  <c r="P181" i="1"/>
  <c r="R181" i="1" s="1"/>
  <c r="P179" i="1"/>
  <c r="R179" i="1" s="1"/>
  <c r="P178" i="1"/>
  <c r="R178" i="1" s="1"/>
  <c r="P177" i="1"/>
  <c r="R177" i="1" s="1"/>
  <c r="P176" i="1"/>
  <c r="R176" i="1" s="1"/>
  <c r="P167" i="1"/>
  <c r="R167" i="1" s="1"/>
  <c r="P166" i="1"/>
  <c r="R166" i="1" s="1"/>
  <c r="P165" i="1"/>
  <c r="R165" i="1" s="1"/>
  <c r="P164" i="1"/>
  <c r="R164" i="1" s="1"/>
  <c r="P155" i="1"/>
  <c r="R155" i="1" s="1"/>
  <c r="P154" i="1"/>
  <c r="R154" i="1" s="1"/>
  <c r="P153" i="1"/>
  <c r="R153" i="1" s="1"/>
  <c r="P152" i="1"/>
  <c r="R152" i="1" s="1"/>
  <c r="P146" i="1"/>
  <c r="R146" i="1" s="1"/>
  <c r="P145" i="1"/>
  <c r="R145" i="1" s="1"/>
  <c r="P144" i="1"/>
  <c r="R144" i="1" s="1"/>
  <c r="P143" i="1"/>
  <c r="R143" i="1" s="1"/>
  <c r="P138" i="1"/>
  <c r="R138" i="1" s="1"/>
  <c r="P137" i="1"/>
  <c r="R137" i="1" s="1"/>
  <c r="P136" i="1"/>
  <c r="R136" i="1" s="1"/>
  <c r="P135" i="1"/>
  <c r="R135" i="1" s="1"/>
  <c r="P134" i="1"/>
  <c r="R134" i="1" s="1"/>
  <c r="P133" i="1"/>
  <c r="R133" i="1" s="1"/>
  <c r="P132" i="1"/>
  <c r="R132" i="1" s="1"/>
  <c r="P131" i="1"/>
  <c r="R131" i="1" s="1"/>
  <c r="P130" i="1"/>
  <c r="R130" i="1" s="1"/>
  <c r="P129" i="1"/>
  <c r="R129" i="1" s="1"/>
  <c r="P128" i="1"/>
  <c r="R128" i="1" s="1"/>
  <c r="P127" i="1"/>
  <c r="R127" i="1" s="1"/>
  <c r="P126" i="1"/>
  <c r="R126" i="1" s="1"/>
  <c r="P125" i="1"/>
  <c r="R125" i="1" s="1"/>
  <c r="P124" i="1"/>
  <c r="R124" i="1" s="1"/>
  <c r="P123" i="1"/>
  <c r="R123" i="1" s="1"/>
  <c r="P117" i="1"/>
  <c r="R117" i="1" s="1"/>
  <c r="P116" i="1"/>
  <c r="R116" i="1" s="1"/>
  <c r="P115" i="1"/>
  <c r="R115" i="1" s="1"/>
  <c r="P114" i="1"/>
  <c r="R114" i="1" s="1"/>
  <c r="P111" i="1"/>
  <c r="R111" i="1" s="1"/>
  <c r="P110" i="1"/>
  <c r="R110" i="1" s="1"/>
  <c r="P109" i="1"/>
  <c r="R109" i="1" s="1"/>
  <c r="P108" i="1"/>
  <c r="R108" i="1" s="1"/>
  <c r="P95" i="1"/>
  <c r="R95" i="1" s="1"/>
  <c r="P94" i="1"/>
  <c r="R94" i="1" s="1"/>
  <c r="P93" i="1"/>
  <c r="R93" i="1" s="1"/>
  <c r="P92" i="1"/>
  <c r="R92" i="1" s="1"/>
  <c r="P87" i="1"/>
  <c r="R87" i="1" s="1"/>
  <c r="P86" i="1"/>
  <c r="R86" i="1" s="1"/>
  <c r="P85" i="1"/>
  <c r="R85" i="1" s="1"/>
  <c r="P84" i="1"/>
  <c r="R84" i="1" s="1"/>
  <c r="P66" i="1"/>
  <c r="R66" i="1" s="1"/>
  <c r="P65" i="1"/>
  <c r="R65" i="1" s="1"/>
  <c r="P64" i="1"/>
  <c r="R64" i="1" s="1"/>
  <c r="P63" i="1"/>
  <c r="R63" i="1" s="1"/>
  <c r="P55" i="1"/>
  <c r="R55" i="1" s="1"/>
  <c r="P54" i="1"/>
  <c r="R54" i="1" s="1"/>
  <c r="P53" i="1"/>
  <c r="R53" i="1" s="1"/>
  <c r="P52" i="1"/>
  <c r="R52" i="1" s="1"/>
  <c r="P45" i="1"/>
  <c r="R45" i="1" s="1"/>
  <c r="P44" i="1"/>
  <c r="R44" i="1" s="1"/>
  <c r="P43" i="1"/>
  <c r="R43" i="1" s="1"/>
  <c r="P42" i="1"/>
  <c r="R42" i="1" s="1"/>
  <c r="P36" i="1"/>
  <c r="R36" i="1" s="1"/>
  <c r="P35" i="1"/>
  <c r="R35" i="1" s="1"/>
  <c r="P34" i="1"/>
  <c r="R34" i="1" s="1"/>
  <c r="P33" i="1"/>
  <c r="R33" i="1" s="1"/>
  <c r="P29" i="1"/>
  <c r="R29" i="1" s="1"/>
  <c r="P28" i="1"/>
  <c r="R28" i="1" s="1"/>
  <c r="P27" i="1"/>
  <c r="R27" i="1" s="1"/>
  <c r="P26" i="1"/>
  <c r="R26" i="1" s="1"/>
  <c r="P23" i="1"/>
  <c r="R23" i="1" s="1"/>
  <c r="P22" i="1"/>
  <c r="R22" i="1" s="1"/>
  <c r="P21" i="1"/>
  <c r="R21" i="1" s="1"/>
  <c r="P20" i="1"/>
  <c r="R20" i="1" s="1"/>
  <c r="P194" i="1"/>
  <c r="R194" i="1" s="1"/>
  <c r="P180" i="1"/>
  <c r="R180" i="1" s="1"/>
  <c r="P175" i="1"/>
  <c r="R175" i="1" s="1"/>
  <c r="P122" i="1"/>
  <c r="R122" i="1" s="1"/>
  <c r="P113" i="1"/>
  <c r="R113" i="1" s="1"/>
  <c r="P107" i="1"/>
  <c r="R107" i="1" s="1"/>
  <c r="P106" i="1"/>
  <c r="R106" i="1" s="1"/>
  <c r="P91" i="1"/>
  <c r="R91" i="1" s="1"/>
  <c r="P25" i="1"/>
  <c r="R25" i="1" s="1"/>
  <c r="P51" i="1"/>
  <c r="R51" i="1" s="1"/>
  <c r="P50" i="1"/>
  <c r="R50" i="1" s="1"/>
  <c r="P49" i="1"/>
  <c r="R49" i="1" s="1"/>
  <c r="P48" i="1"/>
  <c r="R48" i="1" s="1"/>
  <c r="P41" i="1"/>
  <c r="R41" i="1" s="1"/>
  <c r="P40" i="1"/>
  <c r="R40" i="1" s="1"/>
  <c r="P39" i="1"/>
  <c r="R39" i="1" s="1"/>
  <c r="P38" i="1"/>
  <c r="R38" i="1" s="1"/>
  <c r="P32" i="1"/>
  <c r="R32" i="1" s="1"/>
  <c r="P31" i="1"/>
  <c r="R31" i="1" s="1"/>
  <c r="P30" i="1"/>
  <c r="R30" i="1" s="1"/>
  <c r="P24" i="1"/>
  <c r="R24" i="1" s="1"/>
  <c r="P210" i="1"/>
  <c r="R210" i="1" s="1"/>
  <c r="P209" i="1"/>
  <c r="R209" i="1" s="1"/>
  <c r="P208" i="1"/>
  <c r="R208" i="1" s="1"/>
  <c r="P207" i="1"/>
  <c r="R207" i="1" s="1"/>
  <c r="P206" i="1"/>
  <c r="R206" i="1" s="1"/>
  <c r="P205" i="1"/>
  <c r="R205" i="1" s="1"/>
  <c r="P163" i="1"/>
  <c r="R163" i="1" s="1"/>
  <c r="P162" i="1"/>
  <c r="R162" i="1" s="1"/>
  <c r="P161" i="1"/>
  <c r="R161" i="1" s="1"/>
  <c r="P190" i="1"/>
  <c r="R190" i="1" s="1"/>
  <c r="P160" i="1"/>
  <c r="R160" i="1" s="1"/>
  <c r="P159" i="1"/>
  <c r="R159" i="1" s="1"/>
  <c r="P158" i="1"/>
  <c r="R158" i="1" s="1"/>
  <c r="P157" i="1"/>
  <c r="R157" i="1" s="1"/>
  <c r="P156" i="1"/>
  <c r="R156" i="1" s="1"/>
  <c r="P174" i="1"/>
  <c r="R174" i="1" s="1"/>
  <c r="P173" i="1"/>
  <c r="R173" i="1" s="1"/>
  <c r="P172" i="1"/>
  <c r="R172" i="1" s="1"/>
  <c r="P171" i="1"/>
  <c r="R171" i="1" s="1"/>
  <c r="P170" i="1"/>
  <c r="R170" i="1" s="1"/>
  <c r="P169" i="1"/>
  <c r="R169" i="1" s="1"/>
  <c r="P168" i="1"/>
  <c r="R168" i="1" s="1"/>
  <c r="P105" i="1"/>
  <c r="R105" i="1" s="1"/>
  <c r="P104" i="1"/>
  <c r="R104" i="1" s="1"/>
  <c r="P103" i="1"/>
  <c r="R103" i="1" s="1"/>
  <c r="P102" i="1"/>
  <c r="R102" i="1" s="1"/>
  <c r="P101" i="1"/>
  <c r="R101" i="1" s="1"/>
  <c r="P100" i="1"/>
  <c r="R100" i="1" s="1"/>
  <c r="P99" i="1"/>
  <c r="R99" i="1" s="1"/>
  <c r="P98" i="1"/>
  <c r="R98" i="1" s="1"/>
  <c r="P151" i="1"/>
  <c r="R151" i="1" s="1"/>
  <c r="P150" i="1"/>
  <c r="R150" i="1" s="1"/>
  <c r="P149" i="1"/>
  <c r="R149" i="1" s="1"/>
  <c r="P142" i="1"/>
  <c r="R142" i="1" s="1"/>
  <c r="P141" i="1"/>
  <c r="R141" i="1" s="1"/>
  <c r="P140" i="1"/>
  <c r="R140" i="1" s="1"/>
  <c r="P139" i="1"/>
  <c r="R139" i="1" s="1"/>
  <c r="P121" i="1"/>
  <c r="R121" i="1" s="1"/>
  <c r="P120" i="1"/>
  <c r="R120" i="1" s="1"/>
  <c r="P112" i="1"/>
  <c r="R112" i="1" s="1"/>
  <c r="P80" i="1"/>
  <c r="R80" i="1" s="1"/>
  <c r="P79" i="1"/>
  <c r="R79" i="1" s="1"/>
  <c r="P78" i="1"/>
  <c r="R78" i="1" s="1"/>
  <c r="P73" i="1"/>
  <c r="R73" i="1" s="1"/>
  <c r="P71" i="1"/>
  <c r="R71" i="1" s="1"/>
  <c r="P70" i="1"/>
  <c r="R70" i="1" s="1"/>
  <c r="P69" i="1"/>
  <c r="R69" i="1" s="1"/>
  <c r="P68" i="1"/>
  <c r="R68" i="1" s="1"/>
  <c r="P90" i="1"/>
  <c r="R90" i="1" s="1"/>
  <c r="P83" i="1"/>
  <c r="R83" i="1" s="1"/>
  <c r="P82" i="1"/>
  <c r="R82" i="1" s="1"/>
  <c r="P81" i="1"/>
  <c r="R81" i="1" s="1"/>
  <c r="P193" i="1"/>
  <c r="R193" i="1" s="1"/>
  <c r="P192" i="1"/>
  <c r="R192" i="1" s="1"/>
  <c r="P191" i="1"/>
  <c r="R191" i="1" s="1"/>
  <c r="P77" i="1"/>
  <c r="R77" i="1" s="1"/>
  <c r="P76" i="1"/>
  <c r="R76" i="1" s="1"/>
  <c r="P75" i="1"/>
  <c r="R75" i="1" s="1"/>
  <c r="P74" i="1"/>
  <c r="R74" i="1" s="1"/>
  <c r="P189" i="1"/>
  <c r="R189" i="1" s="1"/>
  <c r="P72" i="1"/>
  <c r="R72" i="1" s="1"/>
  <c r="P188" i="1"/>
  <c r="R188" i="1" s="1"/>
  <c r="P187" i="1"/>
  <c r="R187" i="1" s="1"/>
  <c r="P186" i="1"/>
  <c r="R186" i="1" s="1"/>
  <c r="P185" i="1"/>
  <c r="R185" i="1" s="1"/>
  <c r="P67" i="1"/>
  <c r="R67" i="1" s="1"/>
  <c r="P62" i="1"/>
  <c r="R62" i="1" s="1"/>
  <c r="P61" i="1"/>
  <c r="R61" i="1" s="1"/>
  <c r="P60" i="1"/>
  <c r="R60" i="1" s="1"/>
  <c r="P59" i="1"/>
  <c r="R59" i="1" s="1"/>
  <c r="L27" i="19"/>
  <c r="N27" i="19" s="1"/>
  <c r="L67" i="19"/>
  <c r="N67" i="19" s="1"/>
  <c r="L80" i="19"/>
  <c r="N80" i="19" s="1"/>
  <c r="L107" i="19"/>
  <c r="N107" i="19" s="1"/>
  <c r="L131" i="19"/>
  <c r="N131" i="19" s="1"/>
  <c r="L130" i="19"/>
  <c r="N130" i="19" s="1"/>
  <c r="L106" i="19"/>
  <c r="N106" i="19" s="1"/>
  <c r="L81" i="19"/>
  <c r="N81" i="19" s="1"/>
  <c r="L68" i="19"/>
  <c r="N68" i="19" s="1"/>
  <c r="L26" i="19"/>
  <c r="N26" i="19" s="1"/>
  <c r="L25" i="19"/>
  <c r="N25" i="19" s="1"/>
  <c r="L24" i="19"/>
  <c r="N24" i="19" s="1"/>
  <c r="L23" i="19"/>
  <c r="N23" i="19" s="1"/>
  <c r="L22" i="19"/>
  <c r="N22" i="19" s="1"/>
  <c r="L32" i="19"/>
  <c r="N32" i="19" s="1"/>
  <c r="N31" i="19"/>
  <c r="N29" i="19"/>
  <c r="L30" i="19"/>
  <c r="N30" i="19" s="1"/>
  <c r="N28" i="19"/>
  <c r="L132" i="19"/>
  <c r="N132" i="19" s="1"/>
  <c r="L100" i="19"/>
  <c r="N100" i="19" s="1"/>
  <c r="L82" i="19"/>
  <c r="N82" i="19" s="1"/>
  <c r="L59" i="19"/>
  <c r="N59" i="19" s="1"/>
  <c r="L50" i="19"/>
  <c r="N50" i="19" s="1"/>
  <c r="L129" i="19"/>
  <c r="N129" i="19" s="1"/>
  <c r="L128" i="19"/>
  <c r="N128" i="19" s="1"/>
  <c r="L124" i="19"/>
  <c r="N124" i="19" s="1"/>
  <c r="L123" i="19"/>
  <c r="N123" i="19" s="1"/>
  <c r="L120" i="19"/>
  <c r="N120" i="19" s="1"/>
  <c r="L119" i="19"/>
  <c r="N119" i="19" s="1"/>
  <c r="L111" i="19"/>
  <c r="N111" i="19" s="1"/>
  <c r="L110" i="19"/>
  <c r="N110" i="19" s="1"/>
  <c r="L105" i="19"/>
  <c r="N105" i="19" s="1"/>
  <c r="L104" i="19"/>
  <c r="N104" i="19" s="1"/>
  <c r="L99" i="19"/>
  <c r="N99" i="19" s="1"/>
  <c r="L98" i="19"/>
  <c r="N98" i="19" s="1"/>
  <c r="L94" i="19"/>
  <c r="N94" i="19" s="1"/>
  <c r="L93" i="19"/>
  <c r="N93" i="19" s="1"/>
  <c r="L90" i="19"/>
  <c r="N90" i="19" s="1"/>
  <c r="L89" i="19"/>
  <c r="N89" i="19" s="1"/>
  <c r="L79" i="19"/>
  <c r="N79" i="19" s="1"/>
  <c r="L78" i="19"/>
  <c r="N78" i="19" s="1"/>
  <c r="L73" i="19"/>
  <c r="N73" i="19" s="1"/>
  <c r="L72" i="19"/>
  <c r="N72" i="19" s="1"/>
  <c r="L66" i="19"/>
  <c r="N66" i="19" s="1"/>
  <c r="L65" i="19"/>
  <c r="N65" i="19" s="1"/>
  <c r="L58" i="19"/>
  <c r="N58" i="19" s="1"/>
  <c r="L57" i="19"/>
  <c r="N57" i="19" s="1"/>
  <c r="L56" i="19"/>
  <c r="N56" i="19" s="1"/>
  <c r="L55" i="19"/>
  <c r="N55" i="19" s="1"/>
  <c r="L49" i="19"/>
  <c r="N49" i="19" s="1"/>
  <c r="L48" i="19"/>
  <c r="N48" i="19" s="1"/>
  <c r="L42" i="19"/>
  <c r="N42" i="19" s="1"/>
  <c r="L41" i="19"/>
  <c r="N41" i="19" s="1"/>
  <c r="L40" i="19"/>
  <c r="N40" i="19" s="1"/>
  <c r="L39" i="19"/>
  <c r="N39" i="19" s="1"/>
  <c r="L127" i="19"/>
  <c r="N127" i="19" s="1"/>
  <c r="L122" i="19"/>
  <c r="N122" i="19" s="1"/>
  <c r="L118" i="19"/>
  <c r="N118" i="19" s="1"/>
  <c r="L88" i="19"/>
  <c r="N88" i="19" s="1"/>
  <c r="L77" i="19"/>
  <c r="N77" i="19" s="1"/>
  <c r="L71" i="19"/>
  <c r="N71" i="19" s="1"/>
  <c r="L64" i="19"/>
  <c r="N64" i="19" s="1"/>
  <c r="L54" i="19"/>
  <c r="N54" i="19" s="1"/>
  <c r="L133" i="19"/>
  <c r="N133" i="19" s="1"/>
  <c r="K133" i="19"/>
  <c r="K132" i="19"/>
  <c r="K131" i="19"/>
  <c r="K130" i="19"/>
  <c r="K129" i="19"/>
  <c r="K128" i="19"/>
  <c r="K127" i="19"/>
  <c r="N126" i="19"/>
  <c r="K126" i="19"/>
  <c r="N125" i="19"/>
  <c r="K125" i="19"/>
  <c r="K124" i="19"/>
  <c r="K123" i="19"/>
  <c r="K122" i="19"/>
  <c r="N121" i="19"/>
  <c r="K121" i="19"/>
  <c r="K120" i="19"/>
  <c r="K119" i="19"/>
  <c r="K118" i="19"/>
  <c r="N117" i="19"/>
  <c r="K117" i="19"/>
  <c r="N116" i="19"/>
  <c r="K116" i="19"/>
  <c r="L115" i="19"/>
  <c r="N115" i="19" s="1"/>
  <c r="K115" i="19"/>
  <c r="N114" i="19"/>
  <c r="K114" i="19"/>
  <c r="N113" i="19"/>
  <c r="K113" i="19"/>
  <c r="N112" i="19"/>
  <c r="K112" i="19"/>
  <c r="K111" i="19"/>
  <c r="K110" i="19"/>
  <c r="N109" i="19"/>
  <c r="K109" i="19"/>
  <c r="N108" i="19"/>
  <c r="K108" i="19"/>
  <c r="K107" i="19"/>
  <c r="K106" i="19"/>
  <c r="K105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70" i="19"/>
  <c r="H171" i="19"/>
  <c r="H172" i="19"/>
  <c r="H173" i="19"/>
  <c r="H174" i="19"/>
  <c r="H175" i="19"/>
  <c r="H67" i="19"/>
  <c r="K67" i="19"/>
  <c r="H68" i="19"/>
  <c r="K68" i="19"/>
  <c r="H69" i="19"/>
  <c r="K69" i="19"/>
  <c r="N69" i="19"/>
  <c r="H70" i="19"/>
  <c r="K70" i="19"/>
  <c r="N70" i="19"/>
  <c r="H71" i="19"/>
  <c r="K71" i="19"/>
  <c r="H72" i="19"/>
  <c r="K72" i="19"/>
  <c r="H73" i="19"/>
  <c r="K73" i="19"/>
  <c r="H74" i="19"/>
  <c r="K74" i="19"/>
  <c r="N74" i="19"/>
  <c r="H75" i="19"/>
  <c r="K75" i="19"/>
  <c r="N75" i="19"/>
  <c r="H76" i="19"/>
  <c r="K76" i="19"/>
  <c r="N76" i="19"/>
  <c r="H77" i="19"/>
  <c r="K77" i="19"/>
  <c r="H78" i="19"/>
  <c r="K78" i="19"/>
  <c r="H79" i="19"/>
  <c r="K79" i="19"/>
  <c r="H80" i="19"/>
  <c r="K80" i="19"/>
  <c r="H81" i="19"/>
  <c r="K81" i="19"/>
  <c r="H82" i="19"/>
  <c r="K82" i="19"/>
  <c r="H83" i="19"/>
  <c r="K83" i="19"/>
  <c r="L83" i="19"/>
  <c r="N83" i="19" s="1"/>
  <c r="H84" i="19"/>
  <c r="K84" i="19"/>
  <c r="N84" i="19"/>
  <c r="H85" i="19"/>
  <c r="K85" i="19"/>
  <c r="N85" i="19"/>
  <c r="H86" i="19"/>
  <c r="K86" i="19"/>
  <c r="N86" i="19"/>
  <c r="H87" i="19"/>
  <c r="K87" i="19"/>
  <c r="N87" i="19"/>
  <c r="H88" i="19"/>
  <c r="K88" i="19"/>
  <c r="H89" i="19"/>
  <c r="K89" i="19"/>
  <c r="H90" i="19"/>
  <c r="K90" i="19"/>
  <c r="H91" i="19"/>
  <c r="K91" i="19"/>
  <c r="N91" i="19"/>
  <c r="H92" i="19"/>
  <c r="K92" i="19"/>
  <c r="N92" i="19"/>
  <c r="H93" i="19"/>
  <c r="K93" i="19"/>
  <c r="H94" i="19"/>
  <c r="K94" i="19"/>
  <c r="H95" i="19"/>
  <c r="K95" i="19"/>
  <c r="N95" i="19"/>
  <c r="H96" i="19"/>
  <c r="K96" i="19"/>
  <c r="L96" i="19"/>
  <c r="N96" i="19" s="1"/>
  <c r="H97" i="19"/>
  <c r="K97" i="19"/>
  <c r="N97" i="19"/>
  <c r="H98" i="19"/>
  <c r="K98" i="19"/>
  <c r="H99" i="19"/>
  <c r="K99" i="19"/>
  <c r="H100" i="19"/>
  <c r="K100" i="19"/>
  <c r="H101" i="19"/>
  <c r="K101" i="19"/>
  <c r="L101" i="19"/>
  <c r="N101" i="19" s="1"/>
  <c r="H102" i="19"/>
  <c r="K102" i="19"/>
  <c r="N102" i="19"/>
  <c r="H103" i="19"/>
  <c r="K103" i="19"/>
  <c r="N103" i="19"/>
  <c r="H104" i="19"/>
  <c r="K104" i="19"/>
  <c r="H23" i="19"/>
  <c r="K23" i="19"/>
  <c r="H24" i="19"/>
  <c r="K24" i="19"/>
  <c r="H25" i="19"/>
  <c r="K25" i="19"/>
  <c r="H26" i="19"/>
  <c r="K26" i="19"/>
  <c r="H27" i="19"/>
  <c r="K27" i="19"/>
  <c r="H28" i="19"/>
  <c r="K28" i="19"/>
  <c r="H29" i="19"/>
  <c r="K29" i="19"/>
  <c r="H30" i="19"/>
  <c r="K30" i="19"/>
  <c r="H31" i="19"/>
  <c r="K31" i="19"/>
  <c r="H32" i="19"/>
  <c r="K32" i="19"/>
  <c r="H33" i="19"/>
  <c r="K33" i="19"/>
  <c r="L33" i="19"/>
  <c r="N33" i="19" s="1"/>
  <c r="H34" i="19"/>
  <c r="K34" i="19"/>
  <c r="N34" i="19"/>
  <c r="H35" i="19"/>
  <c r="K35" i="19"/>
  <c r="N35" i="19"/>
  <c r="H36" i="19"/>
  <c r="K36" i="19"/>
  <c r="N36" i="19"/>
  <c r="H37" i="19"/>
  <c r="K37" i="19"/>
  <c r="L37" i="19"/>
  <c r="N37" i="19" s="1"/>
  <c r="H38" i="19"/>
  <c r="K38" i="19"/>
  <c r="N38" i="19"/>
  <c r="H39" i="19"/>
  <c r="K39" i="19"/>
  <c r="H40" i="19"/>
  <c r="K40" i="19"/>
  <c r="H41" i="19"/>
  <c r="K41" i="19"/>
  <c r="H42" i="19"/>
  <c r="K42" i="19"/>
  <c r="H43" i="19"/>
  <c r="K43" i="19"/>
  <c r="N43" i="19"/>
  <c r="H44" i="19"/>
  <c r="K44" i="19"/>
  <c r="L44" i="19"/>
  <c r="N44" i="19" s="1"/>
  <c r="H45" i="19"/>
  <c r="K45" i="19"/>
  <c r="L45" i="19"/>
  <c r="N45" i="19" s="1"/>
  <c r="H46" i="19"/>
  <c r="K46" i="19"/>
  <c r="N46" i="19"/>
  <c r="H47" i="19"/>
  <c r="K47" i="19"/>
  <c r="N47" i="19"/>
  <c r="H48" i="19"/>
  <c r="K48" i="19"/>
  <c r="H49" i="19"/>
  <c r="K49" i="19"/>
  <c r="H50" i="19"/>
  <c r="K50" i="19"/>
  <c r="H51" i="19"/>
  <c r="K51" i="19"/>
  <c r="L51" i="19"/>
  <c r="N51" i="19" s="1"/>
  <c r="H52" i="19"/>
  <c r="K52" i="19"/>
  <c r="N52" i="19"/>
  <c r="H53" i="19"/>
  <c r="K53" i="19"/>
  <c r="N53" i="19"/>
  <c r="H54" i="19"/>
  <c r="K54" i="19"/>
  <c r="H55" i="19"/>
  <c r="K55" i="19"/>
  <c r="H56" i="19"/>
  <c r="K56" i="19"/>
  <c r="H57" i="19"/>
  <c r="K57" i="19"/>
  <c r="H58" i="19"/>
  <c r="K58" i="19"/>
  <c r="H59" i="19"/>
  <c r="K59" i="19"/>
  <c r="H60" i="19"/>
  <c r="K60" i="19"/>
  <c r="L60" i="19"/>
  <c r="N60" i="19" s="1"/>
  <c r="H61" i="19"/>
  <c r="K61" i="19"/>
  <c r="N61" i="19"/>
  <c r="H62" i="19"/>
  <c r="K62" i="19"/>
  <c r="N62" i="19"/>
  <c r="H63" i="19"/>
  <c r="K63" i="19"/>
  <c r="N63" i="19"/>
  <c r="H64" i="19"/>
  <c r="K64" i="19"/>
  <c r="H65" i="19"/>
  <c r="K65" i="19"/>
  <c r="H66" i="19"/>
  <c r="K66" i="19"/>
  <c r="H22" i="19"/>
  <c r="K22" i="19"/>
  <c r="L21" i="19"/>
  <c r="N21" i="19" s="1"/>
  <c r="L20" i="19"/>
  <c r="N20" i="19" s="1"/>
  <c r="L19" i="19"/>
  <c r="N19" i="19" s="1"/>
  <c r="L18" i="19"/>
  <c r="N18" i="19" s="1"/>
  <c r="L17" i="19"/>
  <c r="N17" i="19" s="1"/>
  <c r="L16" i="19"/>
  <c r="N16" i="19" s="1"/>
  <c r="L15" i="19"/>
  <c r="N15" i="19" s="1"/>
  <c r="L14" i="19"/>
  <c r="N14" i="19" s="1"/>
  <c r="L13" i="19"/>
  <c r="N13" i="19" s="1"/>
  <c r="L12" i="19"/>
  <c r="N12" i="19" s="1"/>
  <c r="L11" i="19"/>
  <c r="N11" i="19" s="1"/>
  <c r="L10" i="19"/>
  <c r="N10" i="19" s="1"/>
  <c r="L9" i="19"/>
  <c r="N9" i="19" s="1"/>
  <c r="L8" i="19"/>
  <c r="N8" i="19" s="1"/>
  <c r="L7" i="19"/>
  <c r="N7" i="19" s="1"/>
  <c r="L6" i="19"/>
  <c r="N6" i="19" s="1"/>
  <c r="L5" i="19"/>
  <c r="N5" i="19" s="1"/>
  <c r="L58" i="1"/>
  <c r="L57" i="1"/>
  <c r="L56" i="1"/>
  <c r="H6" i="19"/>
  <c r="K6" i="19"/>
  <c r="H7" i="19"/>
  <c r="H8" i="19"/>
  <c r="K8" i="19"/>
  <c r="H9" i="19"/>
  <c r="K9" i="19"/>
  <c r="H10" i="19"/>
  <c r="H11" i="19"/>
  <c r="K11" i="19"/>
  <c r="H12" i="19"/>
  <c r="K12" i="19"/>
  <c r="H13" i="19"/>
  <c r="K13" i="19"/>
  <c r="H14" i="19"/>
  <c r="K14" i="19"/>
  <c r="H15" i="19"/>
  <c r="K15" i="19"/>
  <c r="H16" i="19"/>
  <c r="K16" i="19"/>
  <c r="H17" i="19"/>
  <c r="K17" i="19"/>
  <c r="H18" i="19"/>
  <c r="H19" i="19"/>
  <c r="K19" i="19"/>
  <c r="H20" i="19"/>
  <c r="K20" i="19"/>
  <c r="H21" i="19"/>
  <c r="K21" i="19"/>
  <c r="H5" i="19"/>
  <c r="K5" i="19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185" i="1"/>
  <c r="J185" i="1"/>
  <c r="I186" i="1"/>
  <c r="J186" i="1"/>
  <c r="I187" i="1"/>
  <c r="J187" i="1"/>
  <c r="I188" i="1"/>
  <c r="J188" i="1"/>
  <c r="I72" i="1"/>
  <c r="J72" i="1"/>
  <c r="I189" i="1"/>
  <c r="J189" i="1"/>
  <c r="I74" i="1"/>
  <c r="J74" i="1"/>
  <c r="I75" i="1"/>
  <c r="J75" i="1"/>
  <c r="I76" i="1"/>
  <c r="J76" i="1"/>
  <c r="I77" i="1"/>
  <c r="J77" i="1"/>
  <c r="I191" i="1"/>
  <c r="J191" i="1"/>
  <c r="I192" i="1"/>
  <c r="J192" i="1"/>
  <c r="I193" i="1"/>
  <c r="J193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68" i="1"/>
  <c r="J68" i="1"/>
  <c r="I69" i="1"/>
  <c r="J69" i="1"/>
  <c r="I70" i="1"/>
  <c r="J70" i="1"/>
  <c r="I71" i="1"/>
  <c r="J71" i="1"/>
  <c r="I73" i="1"/>
  <c r="J73" i="1"/>
  <c r="I78" i="1"/>
  <c r="J78" i="1"/>
  <c r="I79" i="1"/>
  <c r="J79" i="1"/>
  <c r="I80" i="1"/>
  <c r="J80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56" i="1"/>
  <c r="J156" i="1"/>
  <c r="I157" i="1"/>
  <c r="J157" i="1"/>
  <c r="I158" i="1"/>
  <c r="J158" i="1"/>
  <c r="I159" i="1"/>
  <c r="J159" i="1"/>
  <c r="I160" i="1"/>
  <c r="J160" i="1"/>
  <c r="I190" i="1"/>
  <c r="J190" i="1"/>
  <c r="I161" i="1"/>
  <c r="J161" i="1"/>
  <c r="I162" i="1"/>
  <c r="J162" i="1"/>
  <c r="I163" i="1"/>
  <c r="J16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N21" i="1"/>
  <c r="O22" i="1"/>
  <c r="N22" i="1"/>
  <c r="O23" i="1"/>
  <c r="N23" i="1"/>
  <c r="O24" i="1"/>
  <c r="N24" i="1"/>
  <c r="N25" i="1"/>
  <c r="N26" i="1"/>
  <c r="N27" i="1"/>
  <c r="O28" i="1"/>
  <c r="N28" i="1"/>
  <c r="N29" i="1"/>
  <c r="N30" i="1"/>
  <c r="O31" i="1"/>
  <c r="N31" i="1"/>
  <c r="O32" i="1"/>
  <c r="N32" i="1"/>
  <c r="N33" i="1"/>
  <c r="N34" i="1"/>
  <c r="N35" i="1"/>
  <c r="O36" i="1"/>
  <c r="N36" i="1"/>
  <c r="L37" i="1"/>
  <c r="N37" i="1"/>
  <c r="R37" i="1"/>
  <c r="N38" i="1"/>
  <c r="O39" i="1"/>
  <c r="N39" i="1"/>
  <c r="N40" i="1"/>
  <c r="N41" i="1"/>
  <c r="O42" i="1"/>
  <c r="N42" i="1"/>
  <c r="O43" i="1"/>
  <c r="N43" i="1"/>
  <c r="N44" i="1"/>
  <c r="N45" i="1"/>
  <c r="N46" i="1"/>
  <c r="N47" i="1"/>
  <c r="O48" i="1"/>
  <c r="N48" i="1"/>
  <c r="N49" i="1"/>
  <c r="N50" i="1"/>
  <c r="O51" i="1"/>
  <c r="N51" i="1"/>
  <c r="O52" i="1"/>
  <c r="N52" i="1"/>
  <c r="N53" i="1"/>
  <c r="N54" i="1"/>
  <c r="O55" i="1"/>
  <c r="N55" i="1"/>
  <c r="N56" i="1"/>
  <c r="N57" i="1"/>
  <c r="N58" i="1"/>
  <c r="N59" i="1"/>
  <c r="N60" i="1"/>
  <c r="O61" i="1"/>
  <c r="N61" i="1"/>
  <c r="N62" i="1"/>
  <c r="N63" i="1"/>
  <c r="N64" i="1"/>
  <c r="N65" i="1"/>
  <c r="O66" i="1"/>
  <c r="N66" i="1"/>
  <c r="O67" i="1"/>
  <c r="N67" i="1"/>
  <c r="O185" i="1"/>
  <c r="N185" i="1"/>
  <c r="N186" i="1"/>
  <c r="N187" i="1"/>
  <c r="O188" i="1"/>
  <c r="N188" i="1"/>
  <c r="N72" i="1"/>
  <c r="N189" i="1"/>
  <c r="O74" i="1"/>
  <c r="N74" i="1"/>
  <c r="O75" i="1"/>
  <c r="N75" i="1"/>
  <c r="O76" i="1"/>
  <c r="N76" i="1"/>
  <c r="N77" i="1"/>
  <c r="N191" i="1"/>
  <c r="N192" i="1"/>
  <c r="N193" i="1"/>
  <c r="O81" i="1"/>
  <c r="N81" i="1"/>
  <c r="N82" i="1"/>
  <c r="O83" i="1"/>
  <c r="N83" i="1"/>
  <c r="N84" i="1"/>
  <c r="O85" i="1"/>
  <c r="N85" i="1"/>
  <c r="O86" i="1"/>
  <c r="N86" i="1"/>
  <c r="O87" i="1"/>
  <c r="N87" i="1"/>
  <c r="N88" i="1"/>
  <c r="O89" i="1"/>
  <c r="N89" i="1"/>
  <c r="O90" i="1"/>
  <c r="N90" i="1"/>
  <c r="O91" i="1"/>
  <c r="N91" i="1"/>
  <c r="N92" i="1"/>
  <c r="N93" i="1"/>
  <c r="N94" i="1"/>
  <c r="O95" i="1"/>
  <c r="N95" i="1"/>
  <c r="O96" i="1"/>
  <c r="N96" i="1"/>
  <c r="O97" i="1"/>
  <c r="N97" i="1"/>
  <c r="N68" i="1"/>
  <c r="O69" i="1"/>
  <c r="N69" i="1"/>
  <c r="N70" i="1"/>
  <c r="N71" i="1"/>
  <c r="O73" i="1"/>
  <c r="N73" i="1"/>
  <c r="O78" i="1"/>
  <c r="N78" i="1"/>
  <c r="N79" i="1"/>
  <c r="N80" i="1"/>
  <c r="O106" i="1"/>
  <c r="N106" i="1"/>
  <c r="N107" i="1"/>
  <c r="N108" i="1"/>
  <c r="O109" i="1"/>
  <c r="N109" i="1"/>
  <c r="N110" i="1"/>
  <c r="O111" i="1"/>
  <c r="N111" i="1"/>
  <c r="N112" i="1"/>
  <c r="N113" i="1"/>
  <c r="N114" i="1"/>
  <c r="N115" i="1"/>
  <c r="N116" i="1"/>
  <c r="N117" i="1"/>
  <c r="N118" i="1"/>
  <c r="O119" i="1"/>
  <c r="N119" i="1"/>
  <c r="O120" i="1"/>
  <c r="N120" i="1"/>
  <c r="O121" i="1"/>
  <c r="N121" i="1"/>
  <c r="O122" i="1"/>
  <c r="N122" i="1"/>
  <c r="N123" i="1"/>
  <c r="N124" i="1"/>
  <c r="N125" i="1"/>
  <c r="O126" i="1"/>
  <c r="N126" i="1"/>
  <c r="O127" i="1"/>
  <c r="N127" i="1"/>
  <c r="N128" i="1"/>
  <c r="N129" i="1"/>
  <c r="O130" i="1"/>
  <c r="N130" i="1"/>
  <c r="O131" i="1"/>
  <c r="N131" i="1"/>
  <c r="O132" i="1"/>
  <c r="N132" i="1"/>
  <c r="N133" i="1"/>
  <c r="O134" i="1"/>
  <c r="N134" i="1"/>
  <c r="O135" i="1"/>
  <c r="N135" i="1"/>
  <c r="N136" i="1"/>
  <c r="O137" i="1"/>
  <c r="N137" i="1"/>
  <c r="N138" i="1"/>
  <c r="N139" i="1"/>
  <c r="O140" i="1"/>
  <c r="N140" i="1"/>
  <c r="N141" i="1"/>
  <c r="N142" i="1"/>
  <c r="N143" i="1"/>
  <c r="O144" i="1"/>
  <c r="N144" i="1"/>
  <c r="N145" i="1"/>
  <c r="O146" i="1"/>
  <c r="N146" i="1"/>
  <c r="N147" i="1"/>
  <c r="N148" i="1"/>
  <c r="O149" i="1"/>
  <c r="N149" i="1"/>
  <c r="N150" i="1"/>
  <c r="O151" i="1"/>
  <c r="N151" i="1"/>
  <c r="N152" i="1"/>
  <c r="N153" i="1"/>
  <c r="O154" i="1"/>
  <c r="N154" i="1"/>
  <c r="N155" i="1"/>
  <c r="N98" i="1"/>
  <c r="O99" i="1"/>
  <c r="N99" i="1"/>
  <c r="N100" i="1"/>
  <c r="N101" i="1"/>
  <c r="N102" i="1"/>
  <c r="N103" i="1"/>
  <c r="O104" i="1"/>
  <c r="N104" i="1"/>
  <c r="N105" i="1"/>
  <c r="O164" i="1"/>
  <c r="N164" i="1"/>
  <c r="N165" i="1"/>
  <c r="N166" i="1"/>
  <c r="N167" i="1"/>
  <c r="N168" i="1"/>
  <c r="N169" i="1"/>
  <c r="N170" i="1"/>
  <c r="O171" i="1"/>
  <c r="N171" i="1"/>
  <c r="O172" i="1"/>
  <c r="N172" i="1"/>
  <c r="O173" i="1"/>
  <c r="N173" i="1"/>
  <c r="N174" i="1"/>
  <c r="O175" i="1"/>
  <c r="N175" i="1"/>
  <c r="N176" i="1"/>
  <c r="N177" i="1"/>
  <c r="O178" i="1"/>
  <c r="N178" i="1"/>
  <c r="O179" i="1"/>
  <c r="N179" i="1"/>
  <c r="N180" i="1"/>
  <c r="N181" i="1"/>
  <c r="N182" i="1"/>
  <c r="O183" i="1"/>
  <c r="N183" i="1"/>
  <c r="N184" i="1"/>
  <c r="O156" i="1"/>
  <c r="N156" i="1"/>
  <c r="O157" i="1"/>
  <c r="N157" i="1"/>
  <c r="N158" i="1"/>
  <c r="N159" i="1"/>
  <c r="O160" i="1"/>
  <c r="N160" i="1"/>
  <c r="N190" i="1"/>
  <c r="O161" i="1"/>
  <c r="N161" i="1"/>
  <c r="N162" i="1"/>
  <c r="O163" i="1"/>
  <c r="N163" i="1"/>
  <c r="N194" i="1"/>
  <c r="N195" i="1"/>
  <c r="N196" i="1"/>
  <c r="N197" i="1"/>
  <c r="O198" i="1"/>
  <c r="N198" i="1"/>
  <c r="O199" i="1"/>
  <c r="N199" i="1"/>
  <c r="O200" i="1"/>
  <c r="N200" i="1"/>
  <c r="O201" i="1"/>
  <c r="N201" i="1"/>
  <c r="N202" i="1"/>
  <c r="N203" i="1"/>
  <c r="N204" i="1"/>
  <c r="O205" i="1"/>
  <c r="N205" i="1"/>
  <c r="N206" i="1"/>
  <c r="O207" i="1"/>
  <c r="N207" i="1"/>
  <c r="N208" i="1"/>
  <c r="N209" i="1"/>
  <c r="O210" i="1"/>
  <c r="N210" i="1"/>
  <c r="O20" i="1"/>
  <c r="N20" i="1"/>
  <c r="O174" i="1"/>
  <c r="O60" i="1"/>
  <c r="O98" i="1"/>
  <c r="K7" i="19"/>
  <c r="K10" i="19"/>
  <c r="K18" i="19"/>
  <c r="O112" i="1"/>
  <c r="O72" i="1"/>
  <c r="O44" i="1"/>
  <c r="O195" i="1"/>
  <c r="O150" i="1"/>
  <c r="O30" i="1"/>
  <c r="I8" i="1"/>
  <c r="J8" i="1"/>
  <c r="N8" i="1"/>
  <c r="L8" i="1"/>
  <c r="R8" i="1"/>
  <c r="I9" i="1"/>
  <c r="J9" i="1"/>
  <c r="N9" i="1"/>
  <c r="L9" i="1"/>
  <c r="R9" i="1"/>
  <c r="I10" i="1"/>
  <c r="J10" i="1"/>
  <c r="N10" i="1"/>
  <c r="L10" i="1"/>
  <c r="R10" i="1"/>
  <c r="I11" i="1"/>
  <c r="J11" i="1"/>
  <c r="N11" i="1"/>
  <c r="L11" i="1"/>
  <c r="R11" i="1"/>
  <c r="I12" i="1"/>
  <c r="J12" i="1"/>
  <c r="N12" i="1"/>
  <c r="L12" i="1"/>
  <c r="R12" i="1"/>
  <c r="I13" i="1"/>
  <c r="J13" i="1"/>
  <c r="N13" i="1"/>
  <c r="L13" i="1"/>
  <c r="R13" i="1"/>
  <c r="I14" i="1"/>
  <c r="J14" i="1"/>
  <c r="N14" i="1"/>
  <c r="L14" i="1"/>
  <c r="I15" i="1"/>
  <c r="J15" i="1"/>
  <c r="N15" i="1"/>
  <c r="L15" i="1"/>
  <c r="I16" i="1"/>
  <c r="J16" i="1"/>
  <c r="N16" i="1"/>
  <c r="L16" i="1"/>
  <c r="R16" i="1"/>
  <c r="I17" i="1"/>
  <c r="J17" i="1"/>
  <c r="N17" i="1"/>
  <c r="L17" i="1"/>
  <c r="R17" i="1"/>
  <c r="I18" i="1"/>
  <c r="J18" i="1"/>
  <c r="N18" i="1"/>
  <c r="L18" i="1"/>
  <c r="R18" i="1"/>
  <c r="I19" i="1"/>
  <c r="J19" i="1"/>
  <c r="N19" i="1"/>
  <c r="L19" i="1"/>
  <c r="R19" i="1"/>
  <c r="I7" i="1"/>
  <c r="J7" i="1"/>
  <c r="N7" i="1"/>
  <c r="L7" i="1"/>
  <c r="R7" i="1"/>
  <c r="I6" i="1"/>
  <c r="J6" i="1"/>
  <c r="N6" i="1"/>
  <c r="L6" i="1"/>
  <c r="R6" i="1"/>
  <c r="R14" i="1"/>
  <c r="R15" i="1"/>
  <c r="L5" i="1"/>
  <c r="L4" i="1"/>
  <c r="I5" i="1"/>
  <c r="J5" i="1"/>
  <c r="N5" i="1"/>
  <c r="I4" i="1"/>
  <c r="J4" i="1"/>
  <c r="N4" i="1"/>
  <c r="I3" i="1"/>
  <c r="J3" i="1"/>
  <c r="N3" i="1"/>
  <c r="L4" i="19"/>
  <c r="I4" i="19" s="1"/>
  <c r="K4" i="19" s="1"/>
  <c r="L3" i="19"/>
  <c r="I3" i="19" s="1"/>
  <c r="K3" i="19" s="1"/>
  <c r="R5" i="1"/>
  <c r="R4" i="1"/>
  <c r="O3" i="1"/>
  <c r="R3" i="1"/>
  <c r="H4" i="19"/>
  <c r="H3" i="19"/>
  <c r="M3" i="18"/>
  <c r="K3" i="18"/>
  <c r="L3" i="18"/>
  <c r="H3" i="18"/>
  <c r="L2" i="42"/>
  <c r="K2" i="42"/>
  <c r="J2" i="42"/>
  <c r="Q18" i="38"/>
  <c r="S18" i="38" s="1"/>
  <c r="Q19" i="38"/>
  <c r="S19" i="38" s="1"/>
  <c r="Q20" i="38"/>
  <c r="S20" i="38" s="1"/>
  <c r="Q21" i="38"/>
  <c r="S21" i="38" s="1"/>
  <c r="Q22" i="38"/>
  <c r="S22" i="38" s="1"/>
  <c r="Q23" i="38"/>
  <c r="S23" i="38" s="1"/>
  <c r="Q24" i="38"/>
  <c r="S24" i="38" s="1"/>
  <c r="Q25" i="38"/>
  <c r="S25" i="38" s="1"/>
  <c r="Q26" i="38"/>
  <c r="S26" i="38" s="1"/>
  <c r="Q27" i="38"/>
  <c r="S27" i="38" s="1"/>
  <c r="Q28" i="38"/>
  <c r="S28" i="38" s="1"/>
  <c r="Q29" i="38"/>
  <c r="S29" i="38" s="1"/>
  <c r="Q30" i="38"/>
  <c r="S30" i="38" s="1"/>
  <c r="Q31" i="38"/>
  <c r="S31" i="38" s="1"/>
  <c r="Q32" i="38"/>
  <c r="S32" i="38" s="1"/>
  <c r="Q33" i="38"/>
  <c r="S33" i="38" s="1"/>
  <c r="Q34" i="38"/>
  <c r="S34" i="38" s="1"/>
  <c r="Q35" i="38"/>
  <c r="S35" i="38" s="1"/>
  <c r="Q36" i="38"/>
  <c r="S36" i="38" s="1"/>
  <c r="Q37" i="38"/>
  <c r="S37" i="38" s="1"/>
  <c r="Q38" i="38"/>
  <c r="S38" i="38" s="1"/>
  <c r="Q39" i="38"/>
  <c r="S39" i="38" s="1"/>
  <c r="Q40" i="38"/>
  <c r="S40" i="38" s="1"/>
  <c r="Q41" i="38"/>
  <c r="S41" i="38" s="1"/>
  <c r="Q42" i="38"/>
  <c r="S42" i="38" s="1"/>
  <c r="Q43" i="38"/>
  <c r="S43" i="38" s="1"/>
  <c r="Q44" i="38"/>
  <c r="S44" i="38" s="1"/>
  <c r="Q45" i="38"/>
  <c r="S45" i="38" s="1"/>
  <c r="Q46" i="38"/>
  <c r="S46" i="38" s="1"/>
  <c r="Q47" i="38"/>
  <c r="S47" i="38" s="1"/>
  <c r="Q48" i="38"/>
  <c r="S48" i="38" s="1"/>
  <c r="Q49" i="38"/>
  <c r="S49" i="38" s="1"/>
  <c r="Q50" i="38"/>
  <c r="S50" i="38" s="1"/>
  <c r="Q51" i="38"/>
  <c r="S51" i="38" s="1"/>
  <c r="Q52" i="38"/>
  <c r="S52" i="38" s="1"/>
  <c r="Q53" i="38"/>
  <c r="S53" i="38" s="1"/>
  <c r="Q54" i="38"/>
  <c r="S54" i="38" s="1"/>
  <c r="Q55" i="38"/>
  <c r="S55" i="38" s="1"/>
  <c r="Q56" i="38"/>
  <c r="S56" i="38" s="1"/>
  <c r="Q17" i="38"/>
  <c r="S17" i="38" s="1"/>
  <c r="K17" i="38"/>
  <c r="K56" i="38"/>
  <c r="L56" i="38"/>
  <c r="P56" i="38"/>
  <c r="K52" i="38"/>
  <c r="L52" i="38"/>
  <c r="P52" i="38"/>
  <c r="K53" i="38"/>
  <c r="L53" i="38"/>
  <c r="P53" i="38"/>
  <c r="K54" i="38"/>
  <c r="L54" i="38"/>
  <c r="P54" i="38"/>
  <c r="K55" i="38"/>
  <c r="L55" i="38"/>
  <c r="P55" i="38"/>
  <c r="K39" i="38"/>
  <c r="L39" i="38"/>
  <c r="P39" i="38"/>
  <c r="K40" i="38"/>
  <c r="L40" i="38"/>
  <c r="P40" i="38"/>
  <c r="K41" i="38"/>
  <c r="L41" i="38"/>
  <c r="P41" i="38"/>
  <c r="K42" i="38"/>
  <c r="L42" i="38"/>
  <c r="P42" i="38"/>
  <c r="K43" i="38"/>
  <c r="L43" i="38"/>
  <c r="P43" i="38"/>
  <c r="K44" i="38"/>
  <c r="L44" i="38"/>
  <c r="P44" i="38"/>
  <c r="K45" i="38"/>
  <c r="L45" i="38"/>
  <c r="P45" i="38"/>
  <c r="K46" i="38"/>
  <c r="L46" i="38"/>
  <c r="P46" i="38"/>
  <c r="K47" i="38"/>
  <c r="L47" i="38"/>
  <c r="P47" i="38"/>
  <c r="K48" i="38"/>
  <c r="L48" i="38"/>
  <c r="P48" i="38"/>
  <c r="K49" i="38"/>
  <c r="L49" i="38"/>
  <c r="P49" i="38"/>
  <c r="K50" i="38"/>
  <c r="L50" i="38"/>
  <c r="P50" i="38"/>
  <c r="K51" i="38"/>
  <c r="L51" i="38"/>
  <c r="P51" i="38"/>
  <c r="K38" i="38"/>
  <c r="L38" i="38"/>
  <c r="P38" i="38"/>
  <c r="K37" i="38"/>
  <c r="L37" i="38"/>
  <c r="P37" i="38"/>
  <c r="K36" i="38"/>
  <c r="L36" i="38"/>
  <c r="P36" i="38"/>
  <c r="K35" i="38"/>
  <c r="L35" i="38"/>
  <c r="P35" i="38"/>
  <c r="K34" i="38"/>
  <c r="L34" i="38"/>
  <c r="P34" i="38"/>
  <c r="K33" i="38"/>
  <c r="L33" i="38"/>
  <c r="P33" i="38"/>
  <c r="K32" i="38"/>
  <c r="L32" i="38"/>
  <c r="P32" i="38"/>
  <c r="K31" i="38"/>
  <c r="L31" i="38"/>
  <c r="P31" i="38"/>
  <c r="K30" i="38"/>
  <c r="L30" i="38"/>
  <c r="P30" i="38"/>
  <c r="K29" i="38"/>
  <c r="L29" i="38"/>
  <c r="P29" i="38"/>
  <c r="K28" i="38"/>
  <c r="L28" i="38"/>
  <c r="P28" i="38"/>
  <c r="K27" i="38"/>
  <c r="L27" i="38"/>
  <c r="P27" i="38"/>
  <c r="K26" i="38"/>
  <c r="L26" i="38"/>
  <c r="P26" i="38"/>
  <c r="K25" i="38"/>
  <c r="L25" i="38"/>
  <c r="P25" i="38"/>
  <c r="K24" i="38"/>
  <c r="L24" i="38"/>
  <c r="P24" i="38"/>
  <c r="K23" i="38"/>
  <c r="L23" i="38"/>
  <c r="P23" i="38"/>
  <c r="K22" i="38"/>
  <c r="L22" i="38"/>
  <c r="P22" i="38"/>
  <c r="K21" i="38"/>
  <c r="L21" i="38"/>
  <c r="P21" i="38"/>
  <c r="K20" i="38"/>
  <c r="L20" i="38"/>
  <c r="P20" i="38"/>
  <c r="K19" i="38"/>
  <c r="L19" i="38"/>
  <c r="P19" i="38"/>
  <c r="K18" i="38"/>
  <c r="L18" i="38"/>
  <c r="P18" i="38"/>
  <c r="L7" i="38"/>
  <c r="L8" i="38"/>
  <c r="L9" i="38"/>
  <c r="L10" i="38"/>
  <c r="L11" i="38"/>
  <c r="L12" i="38"/>
  <c r="L13" i="38"/>
  <c r="L14" i="38"/>
  <c r="L15" i="38"/>
  <c r="L16" i="38"/>
  <c r="L17" i="38"/>
  <c r="L6" i="38"/>
  <c r="K7" i="38"/>
  <c r="K8" i="38"/>
  <c r="K9" i="38"/>
  <c r="K10" i="38"/>
  <c r="K11" i="38"/>
  <c r="K12" i="38"/>
  <c r="K13" i="38"/>
  <c r="K14" i="38"/>
  <c r="K15" i="38"/>
  <c r="K16" i="38"/>
  <c r="K6" i="38"/>
  <c r="P17" i="38"/>
  <c r="H2" i="38"/>
  <c r="AW33" i="40"/>
  <c r="BK10" i="40"/>
  <c r="BG6" i="40"/>
  <c r="BE6" i="40"/>
  <c r="BA6" i="40"/>
  <c r="AY6" i="40"/>
  <c r="AU6" i="40"/>
  <c r="AS6" i="40"/>
  <c r="BG114" i="40"/>
  <c r="BE114" i="40"/>
  <c r="BA114" i="40"/>
  <c r="AY114" i="40"/>
  <c r="AU114" i="40"/>
  <c r="AS114" i="40"/>
  <c r="AN114" i="40"/>
  <c r="AM114" i="40"/>
  <c r="AJ114" i="40"/>
  <c r="AI114" i="40"/>
  <c r="AH114" i="40"/>
  <c r="AG114" i="40"/>
  <c r="AF114" i="40"/>
  <c r="AE114" i="40"/>
  <c r="AD114" i="40"/>
  <c r="AC114" i="40"/>
  <c r="AB114" i="40"/>
  <c r="AA114" i="40"/>
  <c r="Z114" i="40"/>
  <c r="Y114" i="40"/>
  <c r="X114" i="40"/>
  <c r="W114" i="40"/>
  <c r="V114" i="40"/>
  <c r="U114" i="40"/>
  <c r="T114" i="40"/>
  <c r="S114" i="40"/>
  <c r="R114" i="40"/>
  <c r="Q114" i="40"/>
  <c r="N114" i="40"/>
  <c r="M114" i="40"/>
  <c r="J114" i="40"/>
  <c r="I114" i="40"/>
  <c r="H114" i="40"/>
  <c r="F114" i="40"/>
  <c r="E114" i="40"/>
  <c r="D114" i="40"/>
  <c r="C114" i="40"/>
  <c r="B114" i="40"/>
  <c r="BI113" i="40"/>
  <c r="BC113" i="40"/>
  <c r="AW113" i="40"/>
  <c r="AQ113" i="40"/>
  <c r="AO113" i="40"/>
  <c r="O113" i="40"/>
  <c r="BI112" i="40"/>
  <c r="BC112" i="40"/>
  <c r="AW112" i="40"/>
  <c r="AQ112" i="40"/>
  <c r="AO112" i="40"/>
  <c r="O112" i="40"/>
  <c r="BI111" i="40"/>
  <c r="BC111" i="40"/>
  <c r="AW111" i="40"/>
  <c r="AQ111" i="40"/>
  <c r="AO111" i="40"/>
  <c r="O111" i="40"/>
  <c r="BI110" i="40"/>
  <c r="BC110" i="40"/>
  <c r="AW110" i="40"/>
  <c r="AO110" i="40"/>
  <c r="AK110" i="40"/>
  <c r="AQ110" i="40" s="1"/>
  <c r="O110" i="40"/>
  <c r="BI109" i="40"/>
  <c r="BC109" i="40"/>
  <c r="AW109" i="40"/>
  <c r="AO109" i="40"/>
  <c r="AK109" i="40"/>
  <c r="AQ109" i="40" s="1"/>
  <c r="O109" i="40"/>
  <c r="BI108" i="40"/>
  <c r="BC108" i="40"/>
  <c r="AW108" i="40"/>
  <c r="AO108" i="40"/>
  <c r="AK108" i="40"/>
  <c r="AQ108" i="40" s="1"/>
  <c r="O108" i="40"/>
  <c r="BI107" i="40"/>
  <c r="BC107" i="40"/>
  <c r="AW107" i="40"/>
  <c r="AO107" i="40"/>
  <c r="AK107" i="40"/>
  <c r="AQ107" i="40" s="1"/>
  <c r="O107" i="40"/>
  <c r="BI106" i="40"/>
  <c r="BC106" i="40"/>
  <c r="AW106" i="40"/>
  <c r="AO106" i="40"/>
  <c r="AK106" i="40"/>
  <c r="AQ106" i="40" s="1"/>
  <c r="O106" i="40"/>
  <c r="BI105" i="40"/>
  <c r="BC105" i="40"/>
  <c r="AW105" i="40"/>
  <c r="AO105" i="40"/>
  <c r="AK105" i="40"/>
  <c r="AQ105" i="40" s="1"/>
  <c r="O105" i="40"/>
  <c r="BI104" i="40"/>
  <c r="BC104" i="40"/>
  <c r="AW104" i="40"/>
  <c r="AO104" i="40"/>
  <c r="AK104" i="40"/>
  <c r="AQ104" i="40" s="1"/>
  <c r="O104" i="40"/>
  <c r="BI103" i="40"/>
  <c r="BC103" i="40"/>
  <c r="AW103" i="40"/>
  <c r="AO103" i="40"/>
  <c r="AK103" i="40"/>
  <c r="AQ103" i="40" s="1"/>
  <c r="O103" i="40"/>
  <c r="BI102" i="40"/>
  <c r="BC102" i="40"/>
  <c r="AW102" i="40"/>
  <c r="AO102" i="40"/>
  <c r="AK102" i="40"/>
  <c r="AQ102" i="40" s="1"/>
  <c r="O102" i="40"/>
  <c r="BI101" i="40"/>
  <c r="BC101" i="40"/>
  <c r="AW101" i="40"/>
  <c r="AO101" i="40"/>
  <c r="AK101" i="40"/>
  <c r="AQ101" i="40" s="1"/>
  <c r="O101" i="40"/>
  <c r="BI100" i="40"/>
  <c r="BC100" i="40"/>
  <c r="AW100" i="40"/>
  <c r="AO100" i="40"/>
  <c r="AK100" i="40"/>
  <c r="AQ100" i="40" s="1"/>
  <c r="O100" i="40"/>
  <c r="BI99" i="40"/>
  <c r="BC99" i="40"/>
  <c r="AZ99" i="40"/>
  <c r="BD99" i="40" s="1"/>
  <c r="AW99" i="40"/>
  <c r="AO99" i="40"/>
  <c r="AK99" i="40"/>
  <c r="AQ99" i="40" s="1"/>
  <c r="O99" i="40"/>
  <c r="BI98" i="40"/>
  <c r="BC98" i="40"/>
  <c r="AW98" i="40"/>
  <c r="AO98" i="40"/>
  <c r="AK98" i="40"/>
  <c r="AQ98" i="40" s="1"/>
  <c r="O98" i="40"/>
  <c r="BI97" i="40"/>
  <c r="BC97" i="40"/>
  <c r="AW97" i="40"/>
  <c r="AO97" i="40"/>
  <c r="AK97" i="40"/>
  <c r="AQ97" i="40" s="1"/>
  <c r="O97" i="40"/>
  <c r="BI96" i="40"/>
  <c r="BC96" i="40"/>
  <c r="AW96" i="40"/>
  <c r="AO96" i="40"/>
  <c r="AK96" i="40"/>
  <c r="AQ96" i="40" s="1"/>
  <c r="O96" i="40"/>
  <c r="BI95" i="40"/>
  <c r="BH95" i="40"/>
  <c r="BJ95" i="40" s="1"/>
  <c r="BC95" i="40"/>
  <c r="AW95" i="40"/>
  <c r="AO95" i="40"/>
  <c r="AK95" i="40"/>
  <c r="AQ95" i="40" s="1"/>
  <c r="O95" i="40"/>
  <c r="BI94" i="40"/>
  <c r="BC94" i="40"/>
  <c r="AW94" i="40"/>
  <c r="AO94" i="40"/>
  <c r="AK94" i="40"/>
  <c r="AQ94" i="40" s="1"/>
  <c r="O94" i="40"/>
  <c r="BI93" i="40"/>
  <c r="BC93" i="40"/>
  <c r="AW93" i="40"/>
  <c r="AO93" i="40"/>
  <c r="AK93" i="40"/>
  <c r="AQ93" i="40" s="1"/>
  <c r="O93" i="40"/>
  <c r="BI92" i="40"/>
  <c r="BC92" i="40"/>
  <c r="AW92" i="40"/>
  <c r="AO92" i="40"/>
  <c r="AK92" i="40"/>
  <c r="AQ92" i="40" s="1"/>
  <c r="O92" i="40"/>
  <c r="BI91" i="40"/>
  <c r="BC91" i="40"/>
  <c r="AW91" i="40"/>
  <c r="AV91" i="40"/>
  <c r="AX91" i="40" s="1"/>
  <c r="AO91" i="40"/>
  <c r="AK91" i="40"/>
  <c r="AQ91" i="40" s="1"/>
  <c r="O91" i="40"/>
  <c r="BI90" i="40"/>
  <c r="BC90" i="40"/>
  <c r="AW90" i="40"/>
  <c r="AO90" i="40"/>
  <c r="AK90" i="40"/>
  <c r="O90" i="40"/>
  <c r="K90" i="40"/>
  <c r="BI89" i="40"/>
  <c r="BF89" i="40"/>
  <c r="BJ89" i="40" s="1"/>
  <c r="BC89" i="40"/>
  <c r="BB89" i="40"/>
  <c r="BD89" i="40" s="1"/>
  <c r="AW89" i="40"/>
  <c r="AO89" i="40"/>
  <c r="AK89" i="40"/>
  <c r="O89" i="40"/>
  <c r="K89" i="40"/>
  <c r="G89" i="40"/>
  <c r="BI88" i="40"/>
  <c r="BC88" i="40"/>
  <c r="AW88" i="40"/>
  <c r="AO88" i="40"/>
  <c r="AK88" i="40"/>
  <c r="O88" i="40"/>
  <c r="K88" i="40"/>
  <c r="BI87" i="40"/>
  <c r="BC87" i="40"/>
  <c r="AW87" i="40"/>
  <c r="AO87" i="40"/>
  <c r="AK87" i="40"/>
  <c r="O87" i="40"/>
  <c r="K87" i="40"/>
  <c r="BI86" i="40"/>
  <c r="BC86" i="40"/>
  <c r="AW86" i="40"/>
  <c r="AO86" i="40"/>
  <c r="AK86" i="40"/>
  <c r="O86" i="40"/>
  <c r="K86" i="40"/>
  <c r="BI85" i="40"/>
  <c r="BC85" i="40"/>
  <c r="AW85" i="40"/>
  <c r="AO85" i="40"/>
  <c r="AK85" i="40"/>
  <c r="O85" i="40"/>
  <c r="K85" i="40"/>
  <c r="BI84" i="40"/>
  <c r="BC84" i="40"/>
  <c r="AW84" i="40"/>
  <c r="AO84" i="40"/>
  <c r="AK84" i="40"/>
  <c r="O84" i="40"/>
  <c r="K84" i="40"/>
  <c r="BI83" i="40"/>
  <c r="BC83" i="40"/>
  <c r="AW83" i="40"/>
  <c r="AT83" i="40"/>
  <c r="AX83" i="40" s="1"/>
  <c r="AO83" i="40"/>
  <c r="AK83" i="40"/>
  <c r="O83" i="40"/>
  <c r="K83" i="40"/>
  <c r="BI82" i="40"/>
  <c r="BC82" i="40"/>
  <c r="AW82" i="40"/>
  <c r="AO82" i="40"/>
  <c r="AK82" i="40"/>
  <c r="O82" i="40"/>
  <c r="K82" i="40"/>
  <c r="BI81" i="40"/>
  <c r="BC81" i="40"/>
  <c r="AZ81" i="40"/>
  <c r="BD81" i="40" s="1"/>
  <c r="AW81" i="40"/>
  <c r="AO81" i="40"/>
  <c r="AK81" i="40"/>
  <c r="O81" i="40"/>
  <c r="K81" i="40"/>
  <c r="G81" i="40"/>
  <c r="BI80" i="40"/>
  <c r="BC80" i="40"/>
  <c r="AW80" i="40"/>
  <c r="AV80" i="40"/>
  <c r="AX80" i="40" s="1"/>
  <c r="AO80" i="40"/>
  <c r="AK80" i="40"/>
  <c r="O80" i="40"/>
  <c r="K80" i="40"/>
  <c r="G80" i="40"/>
  <c r="BI79" i="40"/>
  <c r="BC79" i="40"/>
  <c r="AW79" i="40"/>
  <c r="AO79" i="40"/>
  <c r="AK79" i="40"/>
  <c r="O79" i="40"/>
  <c r="K79" i="40"/>
  <c r="G79" i="40"/>
  <c r="BI78" i="40"/>
  <c r="BC78" i="40"/>
  <c r="AW78" i="40"/>
  <c r="AO78" i="40"/>
  <c r="AK78" i="40"/>
  <c r="O78" i="40"/>
  <c r="K78" i="40"/>
  <c r="G78" i="40"/>
  <c r="BI77" i="40"/>
  <c r="BH77" i="40"/>
  <c r="BJ77" i="40" s="1"/>
  <c r="BC77" i="40"/>
  <c r="AW77" i="40"/>
  <c r="AO77" i="40"/>
  <c r="AK77" i="40"/>
  <c r="O77" i="40"/>
  <c r="K77" i="40"/>
  <c r="G77" i="40"/>
  <c r="BI76" i="40"/>
  <c r="BC76" i="40"/>
  <c r="AW76" i="40"/>
  <c r="AT76" i="40"/>
  <c r="AX76" i="40" s="1"/>
  <c r="AO76" i="40"/>
  <c r="AK76" i="40"/>
  <c r="O76" i="40"/>
  <c r="K76" i="40"/>
  <c r="G76" i="40"/>
  <c r="BI75" i="40"/>
  <c r="BC75" i="40"/>
  <c r="AW75" i="40"/>
  <c r="AO75" i="40"/>
  <c r="AK75" i="40"/>
  <c r="O75" i="40"/>
  <c r="K75" i="40"/>
  <c r="G75" i="40"/>
  <c r="BI74" i="40"/>
  <c r="BC74" i="40"/>
  <c r="BB74" i="40"/>
  <c r="BD74" i="40" s="1"/>
  <c r="AW74" i="40"/>
  <c r="AO74" i="40"/>
  <c r="AK74" i="40"/>
  <c r="O74" i="40"/>
  <c r="K74" i="40"/>
  <c r="G74" i="40"/>
  <c r="BI73" i="40"/>
  <c r="BC73" i="40"/>
  <c r="AW73" i="40"/>
  <c r="AV73" i="40"/>
  <c r="AX73" i="40" s="1"/>
  <c r="AO73" i="40"/>
  <c r="AK73" i="40"/>
  <c r="O73" i="40"/>
  <c r="K73" i="40"/>
  <c r="G73" i="40"/>
  <c r="BI72" i="40"/>
  <c r="BC72" i="40"/>
  <c r="AW72" i="40"/>
  <c r="AO72" i="40"/>
  <c r="AK72" i="40"/>
  <c r="O72" i="40"/>
  <c r="K72" i="40"/>
  <c r="G72" i="40"/>
  <c r="BI71" i="40"/>
  <c r="BC71" i="40"/>
  <c r="AW71" i="40"/>
  <c r="AO71" i="40"/>
  <c r="AK71" i="40"/>
  <c r="O71" i="40"/>
  <c r="K71" i="40"/>
  <c r="G71" i="40"/>
  <c r="BI70" i="40"/>
  <c r="BC70" i="40"/>
  <c r="AW70" i="40"/>
  <c r="AO70" i="40"/>
  <c r="AK70" i="40"/>
  <c r="O70" i="40"/>
  <c r="K70" i="40"/>
  <c r="G70" i="40"/>
  <c r="BI69" i="40"/>
  <c r="BC69" i="40"/>
  <c r="AW69" i="40"/>
  <c r="AT69" i="40"/>
  <c r="AX69" i="40" s="1"/>
  <c r="AO69" i="40"/>
  <c r="AK69" i="40"/>
  <c r="O69" i="40"/>
  <c r="K69" i="40"/>
  <c r="G69" i="40"/>
  <c r="BI68" i="40"/>
  <c r="BC68" i="40"/>
  <c r="AW68" i="40"/>
  <c r="AO68" i="40"/>
  <c r="AK68" i="40"/>
  <c r="O68" i="40"/>
  <c r="K68" i="40"/>
  <c r="G68" i="40"/>
  <c r="BI67" i="40"/>
  <c r="BC67" i="40"/>
  <c r="AW67" i="40"/>
  <c r="AO67" i="40"/>
  <c r="AK67" i="40"/>
  <c r="O67" i="40"/>
  <c r="K67" i="40"/>
  <c r="G67" i="40"/>
  <c r="BI66" i="40"/>
  <c r="BC66" i="40"/>
  <c r="AW66" i="40"/>
  <c r="AV66" i="40"/>
  <c r="AX66" i="40" s="1"/>
  <c r="AO66" i="40"/>
  <c r="AK66" i="40"/>
  <c r="O66" i="40"/>
  <c r="K66" i="40"/>
  <c r="G66" i="40"/>
  <c r="BI65" i="40"/>
  <c r="BF65" i="40"/>
  <c r="BJ65" i="40" s="1"/>
  <c r="BC65" i="40"/>
  <c r="AW65" i="40"/>
  <c r="AO65" i="40"/>
  <c r="AK65" i="40"/>
  <c r="O65" i="40"/>
  <c r="K65" i="40"/>
  <c r="G65" i="40"/>
  <c r="BI64" i="40"/>
  <c r="BC64" i="40"/>
  <c r="AW64" i="40"/>
  <c r="AO64" i="40"/>
  <c r="AK64" i="40"/>
  <c r="O64" i="40"/>
  <c r="K64" i="40"/>
  <c r="G64" i="40"/>
  <c r="BI63" i="40"/>
  <c r="BC63" i="40"/>
  <c r="AZ63" i="40"/>
  <c r="AW63" i="40"/>
  <c r="AT63" i="40"/>
  <c r="AX63" i="40" s="1"/>
  <c r="AO63" i="40"/>
  <c r="AK63" i="40"/>
  <c r="O63" i="40"/>
  <c r="K63" i="40"/>
  <c r="G63" i="40"/>
  <c r="BI62" i="40"/>
  <c r="BC62" i="40"/>
  <c r="AW62" i="40"/>
  <c r="AO62" i="40"/>
  <c r="AK62" i="40"/>
  <c r="O62" i="40"/>
  <c r="K62" i="40"/>
  <c r="G62" i="40"/>
  <c r="BI61" i="40"/>
  <c r="BC61" i="40"/>
  <c r="AW61" i="40"/>
  <c r="AO61" i="40"/>
  <c r="AK61" i="40"/>
  <c r="O61" i="40"/>
  <c r="K61" i="40"/>
  <c r="G61" i="40"/>
  <c r="BI60" i="40"/>
  <c r="BC60" i="40"/>
  <c r="AW60" i="40"/>
  <c r="AO60" i="40"/>
  <c r="AK60" i="40"/>
  <c r="O60" i="40"/>
  <c r="K60" i="40"/>
  <c r="G60" i="40"/>
  <c r="BI59" i="40"/>
  <c r="BC59" i="40"/>
  <c r="AW59" i="40"/>
  <c r="AO59" i="40"/>
  <c r="AK59" i="40"/>
  <c r="O59" i="40"/>
  <c r="K59" i="40"/>
  <c r="G59" i="40"/>
  <c r="BI58" i="40"/>
  <c r="BC58" i="40"/>
  <c r="AW58" i="40"/>
  <c r="AV58" i="40"/>
  <c r="AX58" i="40" s="1"/>
  <c r="AO58" i="40"/>
  <c r="AK58" i="40"/>
  <c r="O58" i="40"/>
  <c r="K58" i="40"/>
  <c r="G58" i="40"/>
  <c r="BI57" i="40"/>
  <c r="BC57" i="40"/>
  <c r="AW57" i="40"/>
  <c r="AO57" i="40"/>
  <c r="AK57" i="40"/>
  <c r="O57" i="40"/>
  <c r="K57" i="40"/>
  <c r="G57" i="40"/>
  <c r="BI56" i="40"/>
  <c r="BC56" i="40"/>
  <c r="AW56" i="40"/>
  <c r="AO56" i="40"/>
  <c r="AK56" i="40"/>
  <c r="O56" i="40"/>
  <c r="K56" i="40"/>
  <c r="G56" i="40"/>
  <c r="BI55" i="40"/>
  <c r="BC55" i="40"/>
  <c r="AW55" i="40"/>
  <c r="AT55" i="40"/>
  <c r="AX55" i="40" s="1"/>
  <c r="AO55" i="40"/>
  <c r="AK55" i="40"/>
  <c r="O55" i="40"/>
  <c r="K55" i="40"/>
  <c r="G55" i="40"/>
  <c r="BI54" i="40"/>
  <c r="BC54" i="40"/>
  <c r="AW54" i="40"/>
  <c r="AO54" i="40"/>
  <c r="AK54" i="40"/>
  <c r="O54" i="40"/>
  <c r="K54" i="40"/>
  <c r="G54" i="40"/>
  <c r="BI53" i="40"/>
  <c r="BH53" i="40"/>
  <c r="BJ53" i="40" s="1"/>
  <c r="BC53" i="40"/>
  <c r="AW53" i="40"/>
  <c r="AO53" i="40"/>
  <c r="AK53" i="40"/>
  <c r="O53" i="40"/>
  <c r="K53" i="40"/>
  <c r="G53" i="40"/>
  <c r="BI52" i="40"/>
  <c r="BC52" i="40"/>
  <c r="BB52" i="40"/>
  <c r="BD52" i="40" s="1"/>
  <c r="AW52" i="40"/>
  <c r="AO52" i="40"/>
  <c r="AK52" i="40"/>
  <c r="O52" i="40"/>
  <c r="K52" i="40"/>
  <c r="G52" i="40"/>
  <c r="BI51" i="40"/>
  <c r="BC51" i="40"/>
  <c r="AW51" i="40"/>
  <c r="AV51" i="40"/>
  <c r="AX51" i="40" s="1"/>
  <c r="AO51" i="40"/>
  <c r="AK51" i="40"/>
  <c r="O51" i="40"/>
  <c r="K51" i="40"/>
  <c r="G51" i="40"/>
  <c r="BI50" i="40"/>
  <c r="BC50" i="40"/>
  <c r="AW50" i="40"/>
  <c r="AO50" i="40"/>
  <c r="AK50" i="40"/>
  <c r="O50" i="40"/>
  <c r="K50" i="40"/>
  <c r="G50" i="40"/>
  <c r="BI49" i="40"/>
  <c r="BC49" i="40"/>
  <c r="AW49" i="40"/>
  <c r="AO49" i="40"/>
  <c r="AK49" i="40"/>
  <c r="O49" i="40"/>
  <c r="K49" i="40"/>
  <c r="G49" i="40"/>
  <c r="BI48" i="40"/>
  <c r="BC48" i="40"/>
  <c r="AW48" i="40"/>
  <c r="AO48" i="40"/>
  <c r="AK48" i="40"/>
  <c r="O48" i="40"/>
  <c r="K48" i="40"/>
  <c r="G48" i="40"/>
  <c r="BI47" i="40"/>
  <c r="BC47" i="40"/>
  <c r="AW47" i="40"/>
  <c r="AT47" i="40"/>
  <c r="AX47" i="40" s="1"/>
  <c r="AO47" i="40"/>
  <c r="AK47" i="40"/>
  <c r="O47" i="40"/>
  <c r="K47" i="40"/>
  <c r="G47" i="40"/>
  <c r="BI46" i="40"/>
  <c r="BC46" i="40"/>
  <c r="AW46" i="40"/>
  <c r="AO46" i="40"/>
  <c r="AK46" i="40"/>
  <c r="O46" i="40"/>
  <c r="K46" i="40"/>
  <c r="G46" i="40"/>
  <c r="BI45" i="40"/>
  <c r="BC45" i="40"/>
  <c r="AW45" i="40"/>
  <c r="AO45" i="40"/>
  <c r="AK45" i="40"/>
  <c r="O45" i="40"/>
  <c r="K45" i="40"/>
  <c r="G45" i="40"/>
  <c r="BI44" i="40"/>
  <c r="BC44" i="40"/>
  <c r="AW44" i="40"/>
  <c r="AO44" i="40"/>
  <c r="AK44" i="40"/>
  <c r="O44" i="40"/>
  <c r="K44" i="40"/>
  <c r="G44" i="40"/>
  <c r="BI43" i="40"/>
  <c r="BC43" i="40"/>
  <c r="AW43" i="40"/>
  <c r="AV43" i="40"/>
  <c r="AX43" i="40" s="1"/>
  <c r="AO43" i="40"/>
  <c r="AK43" i="40"/>
  <c r="O43" i="40"/>
  <c r="K43" i="40"/>
  <c r="G43" i="40"/>
  <c r="BI42" i="40"/>
  <c r="BC42" i="40"/>
  <c r="AW42" i="40"/>
  <c r="AO42" i="40"/>
  <c r="AK42" i="40"/>
  <c r="O42" i="40"/>
  <c r="K42" i="40"/>
  <c r="G42" i="40"/>
  <c r="BI41" i="40"/>
  <c r="BC41" i="40"/>
  <c r="AW41" i="40"/>
  <c r="AO41" i="40"/>
  <c r="AK41" i="40"/>
  <c r="O41" i="40"/>
  <c r="K41" i="40"/>
  <c r="G41" i="40"/>
  <c r="BI40" i="40"/>
  <c r="BF40" i="40"/>
  <c r="BJ40" i="40" s="1"/>
  <c r="BC40" i="40"/>
  <c r="AW40" i="40"/>
  <c r="AO40" i="40"/>
  <c r="AK40" i="40"/>
  <c r="O40" i="40"/>
  <c r="K40" i="40"/>
  <c r="G40" i="40"/>
  <c r="BI39" i="40"/>
  <c r="BC39" i="40"/>
  <c r="AZ39" i="40"/>
  <c r="BD39" i="40" s="1"/>
  <c r="AW39" i="40"/>
  <c r="AT39" i="40"/>
  <c r="AX39" i="40" s="1"/>
  <c r="AO39" i="40"/>
  <c r="AK39" i="40"/>
  <c r="O39" i="40"/>
  <c r="K39" i="40"/>
  <c r="G39" i="40"/>
  <c r="BI38" i="40"/>
  <c r="BC38" i="40"/>
  <c r="AW38" i="40"/>
  <c r="AO38" i="40"/>
  <c r="AK38" i="40"/>
  <c r="O38" i="40"/>
  <c r="K38" i="40"/>
  <c r="G38" i="40"/>
  <c r="BI37" i="40"/>
  <c r="BC37" i="40"/>
  <c r="AW37" i="40"/>
  <c r="AO37" i="40"/>
  <c r="AK37" i="40"/>
  <c r="O37" i="40"/>
  <c r="K37" i="40"/>
  <c r="G37" i="40"/>
  <c r="BI36" i="40"/>
  <c r="BC36" i="40"/>
  <c r="AW36" i="40"/>
  <c r="AO36" i="40"/>
  <c r="AK36" i="40"/>
  <c r="O36" i="40"/>
  <c r="K36" i="40"/>
  <c r="G36" i="40"/>
  <c r="BI35" i="40"/>
  <c r="BC35" i="40"/>
  <c r="AW35" i="40"/>
  <c r="AO35" i="40"/>
  <c r="AK35" i="40"/>
  <c r="O35" i="40"/>
  <c r="K35" i="40"/>
  <c r="G35" i="40"/>
  <c r="BI34" i="40"/>
  <c r="BC34" i="40"/>
  <c r="AW34" i="40"/>
  <c r="AO34" i="40"/>
  <c r="AK34" i="40"/>
  <c r="O34" i="40"/>
  <c r="K34" i="40"/>
  <c r="G34" i="40"/>
  <c r="BI33" i="40"/>
  <c r="BC33" i="40"/>
  <c r="AT33" i="40"/>
  <c r="AO33" i="40"/>
  <c r="AK33" i="40"/>
  <c r="O33" i="40"/>
  <c r="K33" i="40"/>
  <c r="G33" i="40"/>
  <c r="BI32" i="40"/>
  <c r="BC32" i="40"/>
  <c r="AW32" i="40"/>
  <c r="AO32" i="40"/>
  <c r="AK32" i="40"/>
  <c r="O32" i="40"/>
  <c r="K32" i="40"/>
  <c r="G32" i="40"/>
  <c r="BI31" i="40"/>
  <c r="BC31" i="40"/>
  <c r="AW31" i="40"/>
  <c r="AO31" i="40"/>
  <c r="AK31" i="40"/>
  <c r="O31" i="40"/>
  <c r="K31" i="40"/>
  <c r="G31" i="40"/>
  <c r="BI30" i="40"/>
  <c r="BC30" i="40"/>
  <c r="AW30" i="40"/>
  <c r="AO30" i="40"/>
  <c r="AK30" i="40"/>
  <c r="O30" i="40"/>
  <c r="K30" i="40"/>
  <c r="G30" i="40"/>
  <c r="BI29" i="40"/>
  <c r="BC29" i="40"/>
  <c r="AW29" i="40"/>
  <c r="AO29" i="40"/>
  <c r="AK29" i="40"/>
  <c r="O29" i="40"/>
  <c r="K29" i="40"/>
  <c r="G29" i="40"/>
  <c r="BI28" i="40"/>
  <c r="BC28" i="40"/>
  <c r="AW28" i="40"/>
  <c r="AO28" i="40"/>
  <c r="O28" i="40"/>
  <c r="P28" i="40" s="1"/>
  <c r="K28" i="40"/>
  <c r="AQ28" i="40" s="1"/>
  <c r="G28" i="40"/>
  <c r="BI27" i="40"/>
  <c r="BC27" i="40"/>
  <c r="AW27" i="40"/>
  <c r="AO27" i="40"/>
  <c r="O27" i="40"/>
  <c r="K27" i="40"/>
  <c r="AQ27" i="40" s="1"/>
  <c r="G27" i="40"/>
  <c r="BI26" i="40"/>
  <c r="BC26" i="40"/>
  <c r="AW26" i="40"/>
  <c r="AO26" i="40"/>
  <c r="AP26" i="40" s="1"/>
  <c r="O26" i="40"/>
  <c r="K26" i="40"/>
  <c r="AQ26" i="40" s="1"/>
  <c r="G26" i="40"/>
  <c r="BI25" i="40"/>
  <c r="BC25" i="40"/>
  <c r="AW25" i="40"/>
  <c r="AO25" i="40"/>
  <c r="O25" i="40"/>
  <c r="P25" i="40" s="1"/>
  <c r="K25" i="40"/>
  <c r="G25" i="40"/>
  <c r="BI24" i="40"/>
  <c r="BC24" i="40"/>
  <c r="AW24" i="40"/>
  <c r="AQ24" i="40"/>
  <c r="G24" i="40"/>
  <c r="BI23" i="40"/>
  <c r="BC23" i="40"/>
  <c r="AW23" i="40"/>
  <c r="AQ23" i="40"/>
  <c r="G23" i="40"/>
  <c r="BI22" i="40"/>
  <c r="BC22" i="40"/>
  <c r="AW22" i="40"/>
  <c r="AQ22" i="40"/>
  <c r="G22" i="40"/>
  <c r="BI21" i="40"/>
  <c r="BC21" i="40"/>
  <c r="AW21" i="40"/>
  <c r="AQ21" i="40"/>
  <c r="G21" i="40"/>
  <c r="BI20" i="40"/>
  <c r="BC20" i="40"/>
  <c r="AW20" i="40"/>
  <c r="AQ20" i="40"/>
  <c r="G20" i="40"/>
  <c r="BI19" i="40"/>
  <c r="BC19" i="40"/>
  <c r="AW19" i="40"/>
  <c r="AQ19" i="40"/>
  <c r="G19" i="40"/>
  <c r="BI18" i="40"/>
  <c r="BC18" i="40"/>
  <c r="AW18" i="40"/>
  <c r="AQ18" i="40"/>
  <c r="G18" i="40"/>
  <c r="BI17" i="40"/>
  <c r="BC17" i="40"/>
  <c r="AW17" i="40"/>
  <c r="AQ17" i="40"/>
  <c r="G17" i="40"/>
  <c r="BI16" i="40"/>
  <c r="BC16" i="40"/>
  <c r="AW16" i="40"/>
  <c r="AQ16" i="40"/>
  <c r="G16" i="40"/>
  <c r="BI15" i="40"/>
  <c r="BC15" i="40"/>
  <c r="AW15" i="40"/>
  <c r="AQ15" i="40"/>
  <c r="G15" i="40"/>
  <c r="BI14" i="40"/>
  <c r="BC14" i="40"/>
  <c r="AW14" i="40"/>
  <c r="AQ14" i="40"/>
  <c r="G14" i="40"/>
  <c r="BI13" i="40"/>
  <c r="BC13" i="40"/>
  <c r="AW13" i="40"/>
  <c r="AQ13" i="40"/>
  <c r="G13" i="40"/>
  <c r="BI12" i="40"/>
  <c r="BC12" i="40"/>
  <c r="AW12" i="40"/>
  <c r="AQ12" i="40"/>
  <c r="G12" i="40"/>
  <c r="BI11" i="40"/>
  <c r="BC11" i="40"/>
  <c r="AW11" i="40"/>
  <c r="AR11" i="40"/>
  <c r="AQ11" i="40"/>
  <c r="G11" i="40"/>
  <c r="B5" i="40"/>
  <c r="BF89" i="39"/>
  <c r="BJ89" i="39" s="1"/>
  <c r="BF65" i="39"/>
  <c r="BJ65" i="39" s="1"/>
  <c r="BH95" i="39"/>
  <c r="BJ95" i="39" s="1"/>
  <c r="BH77" i="39"/>
  <c r="BJ77" i="39" s="1"/>
  <c r="BF40" i="39"/>
  <c r="BJ40" i="39" s="1"/>
  <c r="BH53" i="39"/>
  <c r="BJ53" i="39" s="1"/>
  <c r="AZ81" i="39"/>
  <c r="BD81" i="39" s="1"/>
  <c r="AZ63" i="39"/>
  <c r="BD63" i="39" s="1"/>
  <c r="BB74" i="39"/>
  <c r="BD74" i="39" s="1"/>
  <c r="BB52" i="39"/>
  <c r="BD52" i="39" s="1"/>
  <c r="AZ39" i="39"/>
  <c r="BD39" i="39" s="1"/>
  <c r="AV91" i="39"/>
  <c r="AX91" i="39" s="1"/>
  <c r="AT83" i="39"/>
  <c r="AX83" i="39" s="1"/>
  <c r="AV80" i="39"/>
  <c r="AX80" i="39" s="1"/>
  <c r="AT76" i="39"/>
  <c r="AX76" i="39" s="1"/>
  <c r="AV73" i="39"/>
  <c r="AX73" i="39" s="1"/>
  <c r="AT69" i="39"/>
  <c r="AX69" i="39" s="1"/>
  <c r="AV66" i="39"/>
  <c r="AX66" i="39" s="1"/>
  <c r="AJ114" i="39"/>
  <c r="AI114" i="39"/>
  <c r="AH114" i="39"/>
  <c r="AQ111" i="39"/>
  <c r="AQ112" i="39"/>
  <c r="AQ113" i="39"/>
  <c r="AQ12" i="39"/>
  <c r="AQ13" i="39"/>
  <c r="AQ14" i="39"/>
  <c r="AQ15" i="39"/>
  <c r="AQ16" i="39"/>
  <c r="AQ17" i="39"/>
  <c r="AQ18" i="39"/>
  <c r="AQ19" i="39"/>
  <c r="AQ20" i="39"/>
  <c r="AQ21" i="39"/>
  <c r="AQ22" i="39"/>
  <c r="AQ23" i="39"/>
  <c r="AQ24" i="39"/>
  <c r="AQ11" i="39"/>
  <c r="AR11" i="39"/>
  <c r="BG114" i="39"/>
  <c r="BE114" i="39"/>
  <c r="BI113" i="39"/>
  <c r="BI112" i="39"/>
  <c r="BI111" i="39"/>
  <c r="BI110" i="39"/>
  <c r="BI109" i="39"/>
  <c r="BI108" i="39"/>
  <c r="BI107" i="39"/>
  <c r="BI106" i="39"/>
  <c r="BI105" i="39"/>
  <c r="BI104" i="39"/>
  <c r="BI103" i="39"/>
  <c r="BI102" i="39"/>
  <c r="BI101" i="39"/>
  <c r="BI100" i="39"/>
  <c r="BI99" i="39"/>
  <c r="BI98" i="39"/>
  <c r="BI97" i="39"/>
  <c r="BI96" i="39"/>
  <c r="BI95" i="39"/>
  <c r="BI94" i="39"/>
  <c r="BI93" i="39"/>
  <c r="BI92" i="39"/>
  <c r="BI91" i="39"/>
  <c r="BI90" i="39"/>
  <c r="BI89" i="39"/>
  <c r="BI88" i="39"/>
  <c r="BI87" i="39"/>
  <c r="BI86" i="39"/>
  <c r="BI85" i="39"/>
  <c r="BI84" i="39"/>
  <c r="BI83" i="39"/>
  <c r="BI82" i="39"/>
  <c r="BI81" i="39"/>
  <c r="BI80" i="39"/>
  <c r="BI79" i="39"/>
  <c r="BI78" i="39"/>
  <c r="BI77" i="39"/>
  <c r="BI76" i="39"/>
  <c r="BI75" i="39"/>
  <c r="BI74" i="39"/>
  <c r="BI73" i="39"/>
  <c r="BI72" i="39"/>
  <c r="BI71" i="39"/>
  <c r="BI70" i="39"/>
  <c r="BI69" i="39"/>
  <c r="BI68" i="39"/>
  <c r="BI67" i="39"/>
  <c r="BI66" i="39"/>
  <c r="BI65" i="39"/>
  <c r="BI64" i="39"/>
  <c r="BI63" i="39"/>
  <c r="BI62" i="39"/>
  <c r="BI61" i="39"/>
  <c r="BI60" i="39"/>
  <c r="BI59" i="39"/>
  <c r="BI58" i="39"/>
  <c r="BI57" i="39"/>
  <c r="BI56" i="39"/>
  <c r="BI55" i="39"/>
  <c r="BI54" i="39"/>
  <c r="BI53" i="39"/>
  <c r="BI52" i="39"/>
  <c r="BI51" i="39"/>
  <c r="BI50" i="39"/>
  <c r="BI49" i="39"/>
  <c r="BI48" i="39"/>
  <c r="BI47" i="39"/>
  <c r="BI46" i="39"/>
  <c r="BI45" i="39"/>
  <c r="BI44" i="39"/>
  <c r="BI43" i="39"/>
  <c r="BI42" i="39"/>
  <c r="BI41" i="39"/>
  <c r="BI40" i="39"/>
  <c r="BI39" i="39"/>
  <c r="BI38" i="39"/>
  <c r="BI37" i="39"/>
  <c r="BI36" i="39"/>
  <c r="BI35" i="39"/>
  <c r="BI34" i="39"/>
  <c r="BI33" i="39"/>
  <c r="BI32" i="39"/>
  <c r="BI31" i="39"/>
  <c r="BI30" i="39"/>
  <c r="BI29" i="39"/>
  <c r="BI28" i="39"/>
  <c r="BI27" i="39"/>
  <c r="BI26" i="39"/>
  <c r="BI25" i="39"/>
  <c r="BI24" i="39"/>
  <c r="BI23" i="39"/>
  <c r="BI22" i="39"/>
  <c r="BI21" i="39"/>
  <c r="BI20" i="39"/>
  <c r="BI19" i="39"/>
  <c r="BI18" i="39"/>
  <c r="BI17" i="39"/>
  <c r="BI16" i="39"/>
  <c r="BI15" i="39"/>
  <c r="BI14" i="39"/>
  <c r="BI13" i="39"/>
  <c r="BI12" i="39"/>
  <c r="BI11" i="39"/>
  <c r="B5" i="39"/>
  <c r="AO63" i="39"/>
  <c r="AO64" i="39"/>
  <c r="AO65" i="39"/>
  <c r="AO66" i="39"/>
  <c r="AO67" i="39"/>
  <c r="AO68" i="39"/>
  <c r="AO69" i="39"/>
  <c r="AO70" i="39"/>
  <c r="AO71" i="39"/>
  <c r="AO72" i="39"/>
  <c r="AO73" i="39"/>
  <c r="AO74" i="39"/>
  <c r="AO75" i="39"/>
  <c r="AO76" i="39"/>
  <c r="AO77" i="39"/>
  <c r="AO78" i="39"/>
  <c r="AO79" i="39"/>
  <c r="AO80" i="39"/>
  <c r="AO81" i="39"/>
  <c r="AO82" i="39"/>
  <c r="AO83" i="39"/>
  <c r="AO84" i="39"/>
  <c r="AO85" i="39"/>
  <c r="AO86" i="39"/>
  <c r="AO87" i="39"/>
  <c r="AO88" i="39"/>
  <c r="AO89" i="39"/>
  <c r="AO90" i="39"/>
  <c r="AO91" i="39"/>
  <c r="AO92" i="39"/>
  <c r="AO93" i="39"/>
  <c r="AO94" i="39"/>
  <c r="AO95" i="39"/>
  <c r="AO96" i="39"/>
  <c r="AO97" i="39"/>
  <c r="AO98" i="39"/>
  <c r="AO99" i="39"/>
  <c r="AO100" i="39"/>
  <c r="AO101" i="39"/>
  <c r="AO102" i="39"/>
  <c r="AO103" i="39"/>
  <c r="AO104" i="39"/>
  <c r="AO105" i="39"/>
  <c r="AO106" i="39"/>
  <c r="AO107" i="39"/>
  <c r="AO108" i="39"/>
  <c r="AO109" i="39"/>
  <c r="AO110" i="39"/>
  <c r="AO111" i="39"/>
  <c r="AO112" i="39"/>
  <c r="AO113" i="39"/>
  <c r="AO62" i="39"/>
  <c r="AO26" i="39"/>
  <c r="AP26" i="39" s="1"/>
  <c r="AO27" i="39"/>
  <c r="AO28" i="39"/>
  <c r="AO29" i="39"/>
  <c r="AO30" i="39"/>
  <c r="AO31" i="39"/>
  <c r="AO32" i="39"/>
  <c r="AO33" i="39"/>
  <c r="AO34" i="39"/>
  <c r="AO35" i="39"/>
  <c r="AO36" i="39"/>
  <c r="AO37" i="39"/>
  <c r="AO38" i="39"/>
  <c r="AO39" i="39"/>
  <c r="AO40" i="39"/>
  <c r="AO41" i="39"/>
  <c r="AO42" i="39"/>
  <c r="AO43" i="39"/>
  <c r="AO44" i="39"/>
  <c r="AO45" i="39"/>
  <c r="AO46" i="39"/>
  <c r="AO47" i="39"/>
  <c r="AO48" i="39"/>
  <c r="AO49" i="39"/>
  <c r="AO50" i="39"/>
  <c r="AO51" i="39"/>
  <c r="AO52" i="39"/>
  <c r="AO53" i="39"/>
  <c r="AO54" i="39"/>
  <c r="AO55" i="39"/>
  <c r="AO56" i="39"/>
  <c r="AO57" i="39"/>
  <c r="AO58" i="39"/>
  <c r="AO59" i="39"/>
  <c r="AO60" i="39"/>
  <c r="AO61" i="39"/>
  <c r="AO25" i="39"/>
  <c r="AK30" i="39"/>
  <c r="AK31" i="39"/>
  <c r="AK32" i="39"/>
  <c r="AK33" i="39"/>
  <c r="AK34" i="39"/>
  <c r="AK35" i="39"/>
  <c r="AK36" i="39"/>
  <c r="AK37" i="39"/>
  <c r="AK38" i="39"/>
  <c r="AK39" i="39"/>
  <c r="AK40" i="39"/>
  <c r="AK41" i="39"/>
  <c r="AK42" i="39"/>
  <c r="AK43" i="39"/>
  <c r="AK44" i="39"/>
  <c r="AK45" i="39"/>
  <c r="AK46" i="39"/>
  <c r="AK47" i="39"/>
  <c r="AK48" i="39"/>
  <c r="AK49" i="39"/>
  <c r="AK50" i="39"/>
  <c r="AK51" i="39"/>
  <c r="AK52" i="39"/>
  <c r="AK53" i="39"/>
  <c r="AK54" i="39"/>
  <c r="AK55" i="39"/>
  <c r="AK56" i="39"/>
  <c r="AK57" i="39"/>
  <c r="AK58" i="39"/>
  <c r="AK59" i="39"/>
  <c r="AK60" i="39"/>
  <c r="AK61" i="39"/>
  <c r="AK62" i="39"/>
  <c r="AK63" i="39"/>
  <c r="AK64" i="39"/>
  <c r="AK65" i="39"/>
  <c r="AK66" i="39"/>
  <c r="AK67" i="39"/>
  <c r="AK68" i="39"/>
  <c r="AK69" i="39"/>
  <c r="AK70" i="39"/>
  <c r="AK71" i="39"/>
  <c r="AK72" i="39"/>
  <c r="AK73" i="39"/>
  <c r="AK74" i="39"/>
  <c r="AK75" i="39"/>
  <c r="AK76" i="39"/>
  <c r="AK77" i="39"/>
  <c r="AK78" i="39"/>
  <c r="AK79" i="39"/>
  <c r="AK80" i="39"/>
  <c r="AK81" i="39"/>
  <c r="AK82" i="39"/>
  <c r="AK83" i="39"/>
  <c r="AK84" i="39"/>
  <c r="AK85" i="39"/>
  <c r="AK86" i="39"/>
  <c r="AK87" i="39"/>
  <c r="AK88" i="39"/>
  <c r="AK89" i="39"/>
  <c r="AK90" i="39"/>
  <c r="AK91" i="39"/>
  <c r="AQ91" i="39" s="1"/>
  <c r="AK92" i="39"/>
  <c r="AQ92" i="39" s="1"/>
  <c r="AK93" i="39"/>
  <c r="AQ93" i="39" s="1"/>
  <c r="AK94" i="39"/>
  <c r="AQ94" i="39" s="1"/>
  <c r="AK95" i="39"/>
  <c r="AQ95" i="39" s="1"/>
  <c r="AK96" i="39"/>
  <c r="AQ96" i="39" s="1"/>
  <c r="AK97" i="39"/>
  <c r="AQ97" i="39" s="1"/>
  <c r="AK98" i="39"/>
  <c r="AQ98" i="39" s="1"/>
  <c r="AK99" i="39"/>
  <c r="AQ99" i="39" s="1"/>
  <c r="AK100" i="39"/>
  <c r="AQ100" i="39" s="1"/>
  <c r="AK101" i="39"/>
  <c r="AQ101" i="39" s="1"/>
  <c r="AK102" i="39"/>
  <c r="AQ102" i="39" s="1"/>
  <c r="AK103" i="39"/>
  <c r="AQ103" i="39" s="1"/>
  <c r="AK104" i="39"/>
  <c r="AQ104" i="39" s="1"/>
  <c r="AK105" i="39"/>
  <c r="AQ105" i="39" s="1"/>
  <c r="AK106" i="39"/>
  <c r="AQ106" i="39" s="1"/>
  <c r="AK107" i="39"/>
  <c r="AK108" i="39"/>
  <c r="AQ108" i="39" s="1"/>
  <c r="AK109" i="39"/>
  <c r="AQ109" i="39" s="1"/>
  <c r="AK110" i="39"/>
  <c r="AQ110" i="39" s="1"/>
  <c r="AK29" i="39"/>
  <c r="O28" i="39"/>
  <c r="P28" i="39" s="1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O102" i="39"/>
  <c r="O103" i="39"/>
  <c r="O104" i="39"/>
  <c r="O105" i="39"/>
  <c r="O106" i="39"/>
  <c r="O107" i="39"/>
  <c r="O108" i="39"/>
  <c r="O109" i="39"/>
  <c r="O110" i="39"/>
  <c r="O111" i="39"/>
  <c r="O112" i="39"/>
  <c r="O113" i="39"/>
  <c r="O27" i="39"/>
  <c r="K26" i="39"/>
  <c r="AQ26" i="39" s="1"/>
  <c r="K27" i="39"/>
  <c r="AQ27" i="39" s="1"/>
  <c r="K28" i="39"/>
  <c r="AQ28" i="39" s="1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25" i="39"/>
  <c r="AQ25" i="39" s="1"/>
  <c r="O26" i="39"/>
  <c r="O25" i="39"/>
  <c r="P25" i="39" s="1"/>
  <c r="AZ99" i="39"/>
  <c r="BD99" i="39" s="1"/>
  <c r="BB89" i="39"/>
  <c r="BD89" i="39" s="1"/>
  <c r="BC48" i="39"/>
  <c r="BA114" i="39"/>
  <c r="AY114" i="39"/>
  <c r="N114" i="39"/>
  <c r="M114" i="39"/>
  <c r="J114" i="39"/>
  <c r="I114" i="39"/>
  <c r="BC113" i="39"/>
  <c r="BC112" i="39"/>
  <c r="BC111" i="39"/>
  <c r="BC110" i="39"/>
  <c r="BC109" i="39"/>
  <c r="BC108" i="39"/>
  <c r="BC107" i="39"/>
  <c r="BC106" i="39"/>
  <c r="BC105" i="39"/>
  <c r="BC104" i="39"/>
  <c r="BC103" i="39"/>
  <c r="BC102" i="39"/>
  <c r="BC101" i="39"/>
  <c r="BC100" i="39"/>
  <c r="BC99" i="39"/>
  <c r="BC98" i="39"/>
  <c r="BC97" i="39"/>
  <c r="BC96" i="39"/>
  <c r="BC95" i="39"/>
  <c r="BC94" i="39"/>
  <c r="BC93" i="39"/>
  <c r="BC92" i="39"/>
  <c r="BC91" i="39"/>
  <c r="BC90" i="39"/>
  <c r="BC89" i="39"/>
  <c r="BC88" i="39"/>
  <c r="BC87" i="39"/>
  <c r="BC86" i="39"/>
  <c r="BC85" i="39"/>
  <c r="BC84" i="39"/>
  <c r="BC83" i="39"/>
  <c r="BC82" i="39"/>
  <c r="BC81" i="39"/>
  <c r="BC80" i="39"/>
  <c r="BC79" i="39"/>
  <c r="BC78" i="39"/>
  <c r="BC77" i="39"/>
  <c r="BC76" i="39"/>
  <c r="BC75" i="39"/>
  <c r="BC74" i="39"/>
  <c r="BC73" i="39"/>
  <c r="BC72" i="39"/>
  <c r="BC71" i="39"/>
  <c r="BC70" i="39"/>
  <c r="BC69" i="39"/>
  <c r="BC68" i="39"/>
  <c r="BC67" i="39"/>
  <c r="BC66" i="39"/>
  <c r="BC65" i="39"/>
  <c r="BC64" i="39"/>
  <c r="BC63" i="39"/>
  <c r="BC62" i="39"/>
  <c r="BC61" i="39"/>
  <c r="BC60" i="39"/>
  <c r="BC59" i="39"/>
  <c r="BC58" i="39"/>
  <c r="BC57" i="39"/>
  <c r="BC56" i="39"/>
  <c r="BC55" i="39"/>
  <c r="BC54" i="39"/>
  <c r="BC53" i="39"/>
  <c r="BC52" i="39"/>
  <c r="BC51" i="39"/>
  <c r="BC50" i="39"/>
  <c r="BC49" i="39"/>
  <c r="BC47" i="39"/>
  <c r="BC46" i="39"/>
  <c r="BC45" i="39"/>
  <c r="BC44" i="39"/>
  <c r="BC43" i="39"/>
  <c r="BC42" i="39"/>
  <c r="BC41" i="39"/>
  <c r="BC40" i="39"/>
  <c r="BC39" i="39"/>
  <c r="BC38" i="39"/>
  <c r="BC37" i="39"/>
  <c r="BC36" i="39"/>
  <c r="BC35" i="39"/>
  <c r="BC34" i="39"/>
  <c r="BC33" i="39"/>
  <c r="BC32" i="39"/>
  <c r="BC31" i="39"/>
  <c r="BC30" i="39"/>
  <c r="BC29" i="39"/>
  <c r="BC28" i="39"/>
  <c r="BC27" i="39"/>
  <c r="BC26" i="39"/>
  <c r="BC25" i="39"/>
  <c r="BC24" i="39"/>
  <c r="BC23" i="39"/>
  <c r="BC22" i="39"/>
  <c r="BC21" i="39"/>
  <c r="BC20" i="39"/>
  <c r="BC19" i="39"/>
  <c r="BC18" i="39"/>
  <c r="BC17" i="39"/>
  <c r="BC16" i="39"/>
  <c r="BC15" i="39"/>
  <c r="BC14" i="39"/>
  <c r="BC13" i="39"/>
  <c r="BC12" i="39"/>
  <c r="BC11" i="39"/>
  <c r="AN114" i="39"/>
  <c r="AM114" i="39"/>
  <c r="AG114" i="39"/>
  <c r="AF114" i="39"/>
  <c r="AE114" i="39"/>
  <c r="AD114" i="39"/>
  <c r="AC114" i="39"/>
  <c r="AB114" i="39"/>
  <c r="AA114" i="39"/>
  <c r="Z114" i="39"/>
  <c r="Y114" i="39"/>
  <c r="X114" i="39"/>
  <c r="W114" i="39"/>
  <c r="V114" i="39"/>
  <c r="U114" i="39"/>
  <c r="T114" i="39"/>
  <c r="S114" i="39"/>
  <c r="R114" i="39"/>
  <c r="Q114" i="39"/>
  <c r="AW110" i="39"/>
  <c r="AW111" i="39"/>
  <c r="AW112" i="39"/>
  <c r="AW113" i="39"/>
  <c r="AW90" i="39"/>
  <c r="AW91" i="39"/>
  <c r="AW92" i="39"/>
  <c r="AW93" i="39"/>
  <c r="AW94" i="39"/>
  <c r="AW95" i="39"/>
  <c r="AW96" i="39"/>
  <c r="AW97" i="39"/>
  <c r="AW98" i="39"/>
  <c r="AW99" i="39"/>
  <c r="AW100" i="39"/>
  <c r="AW101" i="39"/>
  <c r="AW102" i="39"/>
  <c r="AW103" i="39"/>
  <c r="AW104" i="39"/>
  <c r="AW105" i="39"/>
  <c r="AW106" i="39"/>
  <c r="AW107" i="39"/>
  <c r="AW108" i="39"/>
  <c r="AW109" i="39"/>
  <c r="AW34" i="39"/>
  <c r="AW35" i="39"/>
  <c r="AW36" i="39"/>
  <c r="AW37" i="39"/>
  <c r="AW38" i="39"/>
  <c r="AW39" i="39"/>
  <c r="AW40" i="39"/>
  <c r="AW41" i="39"/>
  <c r="AW42" i="39"/>
  <c r="AW43" i="39"/>
  <c r="AW44" i="39"/>
  <c r="AW45" i="39"/>
  <c r="AW46" i="39"/>
  <c r="AW47" i="39"/>
  <c r="AW48" i="39"/>
  <c r="AW49" i="39"/>
  <c r="AW50" i="39"/>
  <c r="AW51" i="39"/>
  <c r="AW52" i="39"/>
  <c r="AW53" i="39"/>
  <c r="AW54" i="39"/>
  <c r="AW55" i="39"/>
  <c r="AW56" i="39"/>
  <c r="AW57" i="39"/>
  <c r="AW58" i="39"/>
  <c r="AW59" i="39"/>
  <c r="AW60" i="39"/>
  <c r="AW61" i="39"/>
  <c r="AW62" i="39"/>
  <c r="AW63" i="39"/>
  <c r="AW64" i="39"/>
  <c r="AW65" i="39"/>
  <c r="AW66" i="39"/>
  <c r="AW67" i="39"/>
  <c r="AW68" i="39"/>
  <c r="AW69" i="39"/>
  <c r="AW70" i="39"/>
  <c r="AW71" i="39"/>
  <c r="AW72" i="39"/>
  <c r="AW73" i="39"/>
  <c r="AW74" i="39"/>
  <c r="AW75" i="39"/>
  <c r="AW76" i="39"/>
  <c r="AW77" i="39"/>
  <c r="AW78" i="39"/>
  <c r="AW79" i="39"/>
  <c r="AW80" i="39"/>
  <c r="AW81" i="39"/>
  <c r="AW82" i="39"/>
  <c r="AW83" i="39"/>
  <c r="AW84" i="39"/>
  <c r="AW85" i="39"/>
  <c r="AW86" i="39"/>
  <c r="AW87" i="39"/>
  <c r="AW88" i="39"/>
  <c r="AW89" i="39"/>
  <c r="AW33" i="39"/>
  <c r="AV58" i="39"/>
  <c r="AX58" i="39" s="1"/>
  <c r="AV51" i="39"/>
  <c r="AX51" i="39" s="1"/>
  <c r="AV43" i="39"/>
  <c r="AX43" i="39" s="1"/>
  <c r="AT63" i="39"/>
  <c r="AX63" i="39" s="1"/>
  <c r="AT55" i="39"/>
  <c r="AX55" i="39" s="1"/>
  <c r="AT47" i="39"/>
  <c r="AX47" i="39" s="1"/>
  <c r="AT39" i="39"/>
  <c r="AX39" i="39" s="1"/>
  <c r="B114" i="39"/>
  <c r="AU114" i="39"/>
  <c r="AS114" i="39"/>
  <c r="H114" i="39"/>
  <c r="F114" i="39"/>
  <c r="E114" i="39"/>
  <c r="D114" i="39"/>
  <c r="C114" i="39"/>
  <c r="G81" i="39"/>
  <c r="G80" i="39"/>
  <c r="G79" i="39"/>
  <c r="G78" i="39"/>
  <c r="G77" i="39"/>
  <c r="G76" i="39"/>
  <c r="G75" i="39"/>
  <c r="G74" i="39"/>
  <c r="G73" i="39"/>
  <c r="G72" i="39"/>
  <c r="G71" i="39"/>
  <c r="G70" i="39"/>
  <c r="G69" i="39"/>
  <c r="G68" i="39"/>
  <c r="G67" i="39"/>
  <c r="G66" i="39"/>
  <c r="G65" i="39"/>
  <c r="G64" i="39"/>
  <c r="G63" i="39"/>
  <c r="G62" i="39"/>
  <c r="G61" i="39"/>
  <c r="G60" i="39"/>
  <c r="G59" i="39"/>
  <c r="G58" i="39"/>
  <c r="G57" i="39"/>
  <c r="G56" i="39"/>
  <c r="G55" i="39"/>
  <c r="G54" i="39"/>
  <c r="G53" i="39"/>
  <c r="G52" i="39"/>
  <c r="G51" i="39"/>
  <c r="G50" i="39"/>
  <c r="G49" i="39"/>
  <c r="G48" i="39"/>
  <c r="G47" i="39"/>
  <c r="G46" i="39"/>
  <c r="G45" i="39"/>
  <c r="G44" i="39"/>
  <c r="G43" i="39"/>
  <c r="G42" i="39"/>
  <c r="G41" i="39"/>
  <c r="G40" i="39"/>
  <c r="G39" i="39"/>
  <c r="G38" i="39"/>
  <c r="G37" i="39"/>
  <c r="G36" i="39"/>
  <c r="G35" i="39"/>
  <c r="G34" i="39"/>
  <c r="AT33" i="39"/>
  <c r="AX33" i="39" s="1"/>
  <c r="G33" i="39"/>
  <c r="AW32" i="39"/>
  <c r="G32" i="39"/>
  <c r="AW31" i="39"/>
  <c r="G31" i="39"/>
  <c r="AW30" i="39"/>
  <c r="G30" i="39"/>
  <c r="AW29" i="39"/>
  <c r="G29" i="39"/>
  <c r="AW28" i="39"/>
  <c r="G28" i="39"/>
  <c r="AW27" i="39"/>
  <c r="G27" i="39"/>
  <c r="AW26" i="39"/>
  <c r="G26" i="39"/>
  <c r="AW25" i="39"/>
  <c r="G25" i="39"/>
  <c r="AW24" i="39"/>
  <c r="G24" i="39"/>
  <c r="AW23" i="39"/>
  <c r="G23" i="39"/>
  <c r="AW22" i="39"/>
  <c r="G22" i="39"/>
  <c r="AW21" i="39"/>
  <c r="G21" i="39"/>
  <c r="AW20" i="39"/>
  <c r="G20" i="39"/>
  <c r="AW19" i="39"/>
  <c r="G19" i="39"/>
  <c r="AW18" i="39"/>
  <c r="G18" i="39"/>
  <c r="AW17" i="39"/>
  <c r="G17" i="39"/>
  <c r="AW16" i="39"/>
  <c r="G16" i="39"/>
  <c r="AW15" i="39"/>
  <c r="G15" i="39"/>
  <c r="AW14" i="39"/>
  <c r="G14" i="39"/>
  <c r="AW13" i="39"/>
  <c r="G13" i="39"/>
  <c r="AW12" i="39"/>
  <c r="G12" i="39"/>
  <c r="AW11" i="39"/>
  <c r="G11" i="39"/>
  <c r="AN80" i="37"/>
  <c r="AO80" i="37" s="1"/>
  <c r="AN71" i="37"/>
  <c r="AO71" i="37" s="1"/>
  <c r="AN64" i="37"/>
  <c r="AO64" i="37" s="1"/>
  <c r="AN58" i="37"/>
  <c r="AO58" i="37" s="1"/>
  <c r="AN52" i="37"/>
  <c r="AO52" i="37" s="1"/>
  <c r="AN47" i="37"/>
  <c r="AO47" i="37" s="1"/>
  <c r="AN42" i="37"/>
  <c r="AO42" i="37" s="1"/>
  <c r="AN36" i="37"/>
  <c r="AO36" i="37" s="1"/>
  <c r="AL75" i="37"/>
  <c r="AO75" i="37" s="1"/>
  <c r="AL86" i="37"/>
  <c r="AL68" i="37"/>
  <c r="AO68" i="37" s="1"/>
  <c r="AL61" i="37"/>
  <c r="AO61" i="37" s="1"/>
  <c r="AL55" i="37"/>
  <c r="AO55" i="37" s="1"/>
  <c r="AL49" i="37"/>
  <c r="AO49" i="37" s="1"/>
  <c r="AL44" i="37"/>
  <c r="AO44" i="37" s="1"/>
  <c r="AL39" i="37"/>
  <c r="AO39" i="37" s="1"/>
  <c r="AN29" i="37"/>
  <c r="AL29" i="37"/>
  <c r="AL33" i="37"/>
  <c r="AO33" i="37" s="1"/>
  <c r="AM110" i="37"/>
  <c r="AK110" i="37"/>
  <c r="AI22" i="37"/>
  <c r="AI23" i="37"/>
  <c r="AI24" i="37"/>
  <c r="AI25" i="37"/>
  <c r="AI26" i="37"/>
  <c r="AI27" i="37"/>
  <c r="AI28" i="37"/>
  <c r="AI29" i="37"/>
  <c r="AI30" i="37"/>
  <c r="AI31" i="37"/>
  <c r="AI32" i="37"/>
  <c r="AI33" i="37"/>
  <c r="AI34" i="37"/>
  <c r="AI35" i="37"/>
  <c r="AI36" i="37"/>
  <c r="AI37" i="37"/>
  <c r="AI38" i="37"/>
  <c r="AI39" i="37"/>
  <c r="AI40" i="37"/>
  <c r="AI41" i="37"/>
  <c r="AI42" i="37"/>
  <c r="AI43" i="37"/>
  <c r="AI44" i="37"/>
  <c r="AI45" i="37"/>
  <c r="AI46" i="37"/>
  <c r="AI47" i="37"/>
  <c r="AI48" i="37"/>
  <c r="AI49" i="37"/>
  <c r="AI50" i="37"/>
  <c r="AI51" i="37"/>
  <c r="AI52" i="37"/>
  <c r="AI53" i="37"/>
  <c r="AI54" i="37"/>
  <c r="AI55" i="37"/>
  <c r="AI56" i="37"/>
  <c r="AI57" i="37"/>
  <c r="AI58" i="37"/>
  <c r="AI59" i="37"/>
  <c r="AI60" i="37"/>
  <c r="AI61" i="37"/>
  <c r="AI62" i="37"/>
  <c r="AI63" i="37"/>
  <c r="AI64" i="37"/>
  <c r="AI65" i="37"/>
  <c r="AI66" i="37"/>
  <c r="AI67" i="37"/>
  <c r="AI68" i="37"/>
  <c r="AI69" i="37"/>
  <c r="AI70" i="37"/>
  <c r="AI71" i="37"/>
  <c r="AI72" i="37"/>
  <c r="AI73" i="37"/>
  <c r="AI74" i="37"/>
  <c r="AI75" i="37"/>
  <c r="AI76" i="37"/>
  <c r="AI77" i="37"/>
  <c r="AI78" i="37"/>
  <c r="AI79" i="37"/>
  <c r="AI80" i="37"/>
  <c r="AI81" i="37"/>
  <c r="AI82" i="37"/>
  <c r="AI83" i="37"/>
  <c r="AI84" i="37"/>
  <c r="AI85" i="37"/>
  <c r="AI21" i="37"/>
  <c r="AJ21" i="37" s="1"/>
  <c r="BB6" i="40"/>
  <c r="BF6" i="40"/>
  <c r="BH6" i="40"/>
  <c r="G89" i="39"/>
  <c r="P7" i="38"/>
  <c r="P8" i="38"/>
  <c r="P9" i="38"/>
  <c r="P10" i="38"/>
  <c r="P11" i="38"/>
  <c r="P12" i="38"/>
  <c r="P13" i="38"/>
  <c r="P14" i="38"/>
  <c r="P15" i="38"/>
  <c r="P16" i="38"/>
  <c r="P6" i="38"/>
  <c r="Q7" i="38"/>
  <c r="S7" i="38" s="1"/>
  <c r="Q8" i="38"/>
  <c r="S8" i="38" s="1"/>
  <c r="Q9" i="38"/>
  <c r="S9" i="38" s="1"/>
  <c r="Q10" i="38"/>
  <c r="S10" i="38" s="1"/>
  <c r="Q11" i="38"/>
  <c r="S11" i="38" s="1"/>
  <c r="Q12" i="38"/>
  <c r="S12" i="38" s="1"/>
  <c r="Q13" i="38"/>
  <c r="S13" i="38" s="1"/>
  <c r="Q14" i="38"/>
  <c r="S14" i="38" s="1"/>
  <c r="Q15" i="38"/>
  <c r="S15" i="38" s="1"/>
  <c r="Q16" i="38"/>
  <c r="S16" i="38" s="1"/>
  <c r="Q6" i="38"/>
  <c r="S6" i="38" s="1"/>
  <c r="C110" i="37"/>
  <c r="B110" i="37"/>
  <c r="AO78" i="37"/>
  <c r="AO79" i="37"/>
  <c r="AO81" i="37"/>
  <c r="AO82" i="37"/>
  <c r="AO83" i="37"/>
  <c r="AO84" i="37"/>
  <c r="AO85" i="37"/>
  <c r="S110" i="37"/>
  <c r="AG110" i="37"/>
  <c r="AH110" i="37"/>
  <c r="AO77" i="37"/>
  <c r="AO76" i="37"/>
  <c r="AO74" i="37"/>
  <c r="AO73" i="37"/>
  <c r="AO72" i="37"/>
  <c r="AO70" i="37"/>
  <c r="AO69" i="37"/>
  <c r="AO67" i="37"/>
  <c r="AO66" i="37"/>
  <c r="AO65" i="37"/>
  <c r="AO63" i="37"/>
  <c r="AO62" i="37"/>
  <c r="AO60" i="37"/>
  <c r="AO59" i="37"/>
  <c r="AO57" i="37"/>
  <c r="AO56" i="37"/>
  <c r="AO54" i="37"/>
  <c r="AO53" i="37"/>
  <c r="AO51" i="37"/>
  <c r="AO50" i="37"/>
  <c r="AO48" i="37"/>
  <c r="AO46" i="37"/>
  <c r="AO45" i="37"/>
  <c r="AO43" i="37"/>
  <c r="AO41" i="37"/>
  <c r="AO40" i="37"/>
  <c r="AO38" i="37"/>
  <c r="AO37" i="37"/>
  <c r="AO35" i="37"/>
  <c r="AO34" i="37"/>
  <c r="AO32" i="37"/>
  <c r="AO31" i="37"/>
  <c r="AO30" i="37"/>
  <c r="AO28" i="37"/>
  <c r="AO27" i="37"/>
  <c r="AO26" i="37"/>
  <c r="AO25" i="37"/>
  <c r="AO24" i="37"/>
  <c r="AO23" i="37"/>
  <c r="AO22" i="37"/>
  <c r="AO21" i="37"/>
  <c r="AO20" i="37"/>
  <c r="AO19" i="37"/>
  <c r="AO18" i="37"/>
  <c r="AO17" i="37"/>
  <c r="AO16" i="37"/>
  <c r="AO15" i="37"/>
  <c r="AO14" i="37"/>
  <c r="AO13" i="37"/>
  <c r="AO12" i="37"/>
  <c r="AO11" i="37"/>
  <c r="AO10" i="37"/>
  <c r="AO9" i="37"/>
  <c r="AO8" i="37"/>
  <c r="AO7" i="37"/>
  <c r="AI8" i="37"/>
  <c r="AI9" i="37"/>
  <c r="AI10" i="37"/>
  <c r="AI11" i="37"/>
  <c r="AI12" i="37"/>
  <c r="AI13" i="37"/>
  <c r="AI14" i="37"/>
  <c r="AI15" i="37"/>
  <c r="AI16" i="37"/>
  <c r="AI17" i="37"/>
  <c r="AI18" i="37"/>
  <c r="AI19" i="37"/>
  <c r="AI20" i="37"/>
  <c r="AI7" i="37"/>
  <c r="AF110" i="37"/>
  <c r="AD110" i="37"/>
  <c r="G73" i="37"/>
  <c r="G74" i="37"/>
  <c r="G75" i="37"/>
  <c r="G76" i="37"/>
  <c r="G77" i="37"/>
  <c r="G85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AC110" i="37"/>
  <c r="AB110" i="37"/>
  <c r="AA110" i="37"/>
  <c r="Z110" i="37"/>
  <c r="Y110" i="37"/>
  <c r="X110" i="37"/>
  <c r="W110" i="37"/>
  <c r="V110" i="37"/>
  <c r="U110" i="37"/>
  <c r="T110" i="37"/>
  <c r="R110" i="37"/>
  <c r="Q110" i="37"/>
  <c r="P110" i="37"/>
  <c r="O110" i="37"/>
  <c r="N110" i="37"/>
  <c r="M110" i="37"/>
  <c r="L110" i="37"/>
  <c r="K110" i="37"/>
  <c r="J110" i="37"/>
  <c r="I110" i="37"/>
  <c r="H110" i="37"/>
  <c r="F110" i="37"/>
  <c r="E110" i="37"/>
  <c r="D110" i="37"/>
  <c r="AE110" i="37"/>
  <c r="G7" i="37"/>
  <c r="H8" i="34"/>
  <c r="H9" i="34"/>
  <c r="H7" i="34"/>
  <c r="C10" i="34"/>
  <c r="E10" i="34"/>
  <c r="D10" i="34"/>
  <c r="F8" i="34"/>
  <c r="G8" i="34" s="1"/>
  <c r="K8" i="34" s="1"/>
  <c r="F9" i="34"/>
  <c r="G9" i="34" s="1"/>
  <c r="K9" i="34" s="1"/>
  <c r="F7" i="34"/>
  <c r="G7" i="34" s="1"/>
  <c r="W531" i="35"/>
  <c r="T531" i="35"/>
  <c r="P531" i="35"/>
  <c r="O531" i="35"/>
  <c r="D531" i="35"/>
  <c r="W530" i="35"/>
  <c r="AG530" i="35" s="1"/>
  <c r="T530" i="35"/>
  <c r="P530" i="35"/>
  <c r="O530" i="35"/>
  <c r="D530" i="35"/>
  <c r="W529" i="35"/>
  <c r="AE529" i="35" s="1"/>
  <c r="T529" i="35"/>
  <c r="P529" i="35"/>
  <c r="O529" i="35"/>
  <c r="D529" i="35"/>
  <c r="W528" i="35"/>
  <c r="T528" i="35"/>
  <c r="P528" i="35"/>
  <c r="O528" i="35"/>
  <c r="D528" i="35"/>
  <c r="W527" i="35"/>
  <c r="AQ527" i="35" s="1"/>
  <c r="T527" i="35"/>
  <c r="P527" i="35"/>
  <c r="O527" i="35"/>
  <c r="D527" i="35"/>
  <c r="W526" i="35"/>
  <c r="T526" i="35"/>
  <c r="P526" i="35"/>
  <c r="O526" i="35"/>
  <c r="D526" i="35"/>
  <c r="W525" i="35"/>
  <c r="Y525" i="35" s="1"/>
  <c r="T525" i="35"/>
  <c r="P525" i="35"/>
  <c r="O525" i="35"/>
  <c r="D525" i="35"/>
  <c r="W524" i="35"/>
  <c r="T524" i="35"/>
  <c r="P524" i="35"/>
  <c r="O524" i="35"/>
  <c r="D524" i="35"/>
  <c r="W523" i="35"/>
  <c r="BC523" i="35" s="1"/>
  <c r="T523" i="35"/>
  <c r="P523" i="35"/>
  <c r="O523" i="35"/>
  <c r="D523" i="35"/>
  <c r="W522" i="35"/>
  <c r="AG522" i="35" s="1"/>
  <c r="T522" i="35"/>
  <c r="P522" i="35"/>
  <c r="O522" i="35"/>
  <c r="D522" i="35"/>
  <c r="W521" i="35"/>
  <c r="T521" i="35"/>
  <c r="P521" i="35"/>
  <c r="O521" i="35"/>
  <c r="D521" i="35"/>
  <c r="W520" i="35"/>
  <c r="T520" i="35"/>
  <c r="P520" i="35"/>
  <c r="O520" i="35"/>
  <c r="D520" i="35"/>
  <c r="W519" i="35"/>
  <c r="T519" i="35"/>
  <c r="P519" i="35"/>
  <c r="O519" i="35"/>
  <c r="D519" i="35"/>
  <c r="W518" i="35"/>
  <c r="AQ518" i="35" s="1"/>
  <c r="T518" i="35"/>
  <c r="P518" i="35"/>
  <c r="O518" i="35"/>
  <c r="D518" i="35"/>
  <c r="W517" i="35"/>
  <c r="T517" i="35"/>
  <c r="P517" i="35"/>
  <c r="O517" i="35"/>
  <c r="D517" i="35"/>
  <c r="W516" i="35"/>
  <c r="T516" i="35"/>
  <c r="P516" i="35"/>
  <c r="O516" i="35"/>
  <c r="D516" i="35"/>
  <c r="W515" i="35"/>
  <c r="AM515" i="35" s="1"/>
  <c r="T515" i="35"/>
  <c r="P515" i="35"/>
  <c r="O515" i="35"/>
  <c r="D515" i="35"/>
  <c r="W514" i="35"/>
  <c r="T514" i="35"/>
  <c r="P514" i="35"/>
  <c r="O514" i="35"/>
  <c r="D514" i="35"/>
  <c r="W513" i="35"/>
  <c r="T513" i="35"/>
  <c r="P513" i="35"/>
  <c r="O513" i="35"/>
  <c r="D513" i="35"/>
  <c r="W512" i="35"/>
  <c r="T512" i="35"/>
  <c r="P512" i="35"/>
  <c r="O512" i="35"/>
  <c r="D512" i="35"/>
  <c r="W511" i="35"/>
  <c r="Y511" i="35" s="1"/>
  <c r="T511" i="35"/>
  <c r="P511" i="35"/>
  <c r="O511" i="35"/>
  <c r="D511" i="35"/>
  <c r="W510" i="35"/>
  <c r="AG510" i="35" s="1"/>
  <c r="T510" i="35"/>
  <c r="P510" i="35"/>
  <c r="O510" i="35"/>
  <c r="D510" i="35"/>
  <c r="W509" i="35"/>
  <c r="T509" i="35"/>
  <c r="P509" i="35"/>
  <c r="O509" i="35"/>
  <c r="D509" i="35"/>
  <c r="W508" i="35"/>
  <c r="T508" i="35"/>
  <c r="P508" i="35"/>
  <c r="O508" i="35"/>
  <c r="D508" i="35"/>
  <c r="W507" i="35"/>
  <c r="AI507" i="35" s="1"/>
  <c r="T507" i="35"/>
  <c r="P507" i="35"/>
  <c r="O507" i="35"/>
  <c r="D507" i="35"/>
  <c r="W506" i="35"/>
  <c r="T506" i="35"/>
  <c r="P506" i="35"/>
  <c r="O506" i="35"/>
  <c r="D506" i="35"/>
  <c r="W505" i="35"/>
  <c r="Y505" i="35" s="1"/>
  <c r="T505" i="35"/>
  <c r="P505" i="35"/>
  <c r="O505" i="35"/>
  <c r="D505" i="35"/>
  <c r="W504" i="35"/>
  <c r="T504" i="35"/>
  <c r="P504" i="35"/>
  <c r="O504" i="35"/>
  <c r="D504" i="35"/>
  <c r="W503" i="35"/>
  <c r="Z503" i="35" s="1"/>
  <c r="AB503" i="35" s="1"/>
  <c r="T503" i="35"/>
  <c r="P503" i="35"/>
  <c r="O503" i="35"/>
  <c r="D503" i="35"/>
  <c r="W502" i="35"/>
  <c r="AQ502" i="35" s="1"/>
  <c r="T502" i="35"/>
  <c r="P502" i="35"/>
  <c r="O502" i="35"/>
  <c r="D502" i="35"/>
  <c r="W501" i="35"/>
  <c r="BC501" i="35" s="1"/>
  <c r="T501" i="35"/>
  <c r="P501" i="35"/>
  <c r="O501" i="35"/>
  <c r="D501" i="35"/>
  <c r="W500" i="35"/>
  <c r="T500" i="35"/>
  <c r="P500" i="35"/>
  <c r="O500" i="35"/>
  <c r="D500" i="35"/>
  <c r="W499" i="35"/>
  <c r="T499" i="35"/>
  <c r="P499" i="35"/>
  <c r="O499" i="35"/>
  <c r="D499" i="35"/>
  <c r="W498" i="35"/>
  <c r="BC498" i="35" s="1"/>
  <c r="T498" i="35"/>
  <c r="P498" i="35"/>
  <c r="O498" i="35"/>
  <c r="D498" i="35"/>
  <c r="W497" i="35"/>
  <c r="T497" i="35"/>
  <c r="P497" i="35"/>
  <c r="O497" i="35"/>
  <c r="D497" i="35"/>
  <c r="W496" i="35"/>
  <c r="T496" i="35"/>
  <c r="P496" i="35"/>
  <c r="O496" i="35"/>
  <c r="D496" i="35"/>
  <c r="W495" i="35"/>
  <c r="T495" i="35"/>
  <c r="P495" i="35"/>
  <c r="O495" i="35"/>
  <c r="D495" i="35"/>
  <c r="W494" i="35"/>
  <c r="Y494" i="35" s="1"/>
  <c r="T494" i="35"/>
  <c r="P494" i="35"/>
  <c r="O494" i="35"/>
  <c r="D494" i="35"/>
  <c r="W493" i="35"/>
  <c r="AK493" i="35" s="1"/>
  <c r="T493" i="35"/>
  <c r="P493" i="35"/>
  <c r="O493" i="35"/>
  <c r="D493" i="35"/>
  <c r="W492" i="35"/>
  <c r="AO492" i="35" s="1"/>
  <c r="T492" i="35"/>
  <c r="P492" i="35"/>
  <c r="O492" i="35"/>
  <c r="D492" i="35"/>
  <c r="W491" i="35"/>
  <c r="T491" i="35"/>
  <c r="P491" i="35"/>
  <c r="O491" i="35"/>
  <c r="D491" i="35"/>
  <c r="W490" i="35"/>
  <c r="AQ490" i="35" s="1"/>
  <c r="T490" i="35"/>
  <c r="P490" i="35"/>
  <c r="O490" i="35"/>
  <c r="D490" i="35"/>
  <c r="W489" i="35"/>
  <c r="AO489" i="35" s="1"/>
  <c r="T489" i="35"/>
  <c r="P489" i="35"/>
  <c r="O489" i="35"/>
  <c r="D489" i="35"/>
  <c r="W488" i="35"/>
  <c r="AQ488" i="35" s="1"/>
  <c r="T488" i="35"/>
  <c r="P488" i="35"/>
  <c r="O488" i="35"/>
  <c r="D488" i="35"/>
  <c r="W487" i="35"/>
  <c r="T487" i="35"/>
  <c r="P487" i="35"/>
  <c r="O487" i="35"/>
  <c r="D487" i="35"/>
  <c r="W486" i="35"/>
  <c r="AQ486" i="35" s="1"/>
  <c r="T486" i="35"/>
  <c r="P486" i="35"/>
  <c r="O486" i="35"/>
  <c r="D486" i="35"/>
  <c r="W485" i="35"/>
  <c r="T485" i="35"/>
  <c r="P485" i="35"/>
  <c r="O485" i="35"/>
  <c r="D485" i="35"/>
  <c r="W484" i="35"/>
  <c r="T484" i="35"/>
  <c r="P484" i="35"/>
  <c r="O484" i="35"/>
  <c r="D484" i="35"/>
  <c r="W483" i="35"/>
  <c r="AO483" i="35" s="1"/>
  <c r="T483" i="35"/>
  <c r="P483" i="35"/>
  <c r="O483" i="35"/>
  <c r="D483" i="35"/>
  <c r="W482" i="35"/>
  <c r="T482" i="35"/>
  <c r="P482" i="35"/>
  <c r="O482" i="35"/>
  <c r="D482" i="35"/>
  <c r="W481" i="35"/>
  <c r="AQ481" i="35" s="1"/>
  <c r="T481" i="35"/>
  <c r="P481" i="35"/>
  <c r="O481" i="35"/>
  <c r="D481" i="35"/>
  <c r="W480" i="35"/>
  <c r="Y480" i="35" s="1"/>
  <c r="T480" i="35"/>
  <c r="P480" i="35"/>
  <c r="O480" i="35"/>
  <c r="D480" i="35"/>
  <c r="W479" i="35"/>
  <c r="AI479" i="35" s="1"/>
  <c r="T479" i="35"/>
  <c r="P479" i="35"/>
  <c r="O479" i="35"/>
  <c r="D479" i="35"/>
  <c r="W478" i="35"/>
  <c r="AQ478" i="35" s="1"/>
  <c r="T478" i="35"/>
  <c r="P478" i="35"/>
  <c r="O478" i="35"/>
  <c r="D478" i="35"/>
  <c r="W477" i="35"/>
  <c r="AM477" i="35" s="1"/>
  <c r="T477" i="35"/>
  <c r="P477" i="35"/>
  <c r="O477" i="35"/>
  <c r="D477" i="35"/>
  <c r="W476" i="35"/>
  <c r="AE476" i="35" s="1"/>
  <c r="T476" i="35"/>
  <c r="P476" i="35"/>
  <c r="O476" i="35"/>
  <c r="D476" i="35"/>
  <c r="W475" i="35"/>
  <c r="T475" i="35"/>
  <c r="P475" i="35"/>
  <c r="O475" i="35"/>
  <c r="D475" i="35"/>
  <c r="W474" i="35"/>
  <c r="AQ474" i="35" s="1"/>
  <c r="T474" i="35"/>
  <c r="P474" i="35"/>
  <c r="O474" i="35"/>
  <c r="D474" i="35"/>
  <c r="W473" i="35"/>
  <c r="T473" i="35"/>
  <c r="P473" i="35"/>
  <c r="O473" i="35"/>
  <c r="D473" i="35"/>
  <c r="W472" i="35"/>
  <c r="AE472" i="35" s="1"/>
  <c r="T472" i="35"/>
  <c r="P472" i="35"/>
  <c r="O472" i="35"/>
  <c r="D472" i="35"/>
  <c r="W471" i="35"/>
  <c r="T471" i="35"/>
  <c r="P471" i="35"/>
  <c r="O471" i="35"/>
  <c r="D471" i="35"/>
  <c r="W470" i="35"/>
  <c r="L470" i="35"/>
  <c r="P470" i="35" s="1"/>
  <c r="D470" i="35"/>
  <c r="W469" i="35"/>
  <c r="T469" i="35"/>
  <c r="P469" i="35"/>
  <c r="O469" i="35"/>
  <c r="D469" i="35"/>
  <c r="W468" i="35"/>
  <c r="Z468" i="35" s="1"/>
  <c r="AB468" i="35" s="1"/>
  <c r="T468" i="35"/>
  <c r="P468" i="35"/>
  <c r="O468" i="35"/>
  <c r="D468" i="35"/>
  <c r="W467" i="35"/>
  <c r="T467" i="35"/>
  <c r="P467" i="35"/>
  <c r="O467" i="35"/>
  <c r="D467" i="35"/>
  <c r="W466" i="35"/>
  <c r="T466" i="35"/>
  <c r="P466" i="35"/>
  <c r="O466" i="35"/>
  <c r="D466" i="35"/>
  <c r="W465" i="35"/>
  <c r="AQ465" i="35" s="1"/>
  <c r="T465" i="35"/>
  <c r="P465" i="35"/>
  <c r="O465" i="35"/>
  <c r="D465" i="35"/>
  <c r="W464" i="35"/>
  <c r="AE464" i="35" s="1"/>
  <c r="T464" i="35"/>
  <c r="P464" i="35"/>
  <c r="O464" i="35"/>
  <c r="D464" i="35"/>
  <c r="W463" i="35"/>
  <c r="AO463" i="35" s="1"/>
  <c r="T463" i="35"/>
  <c r="P463" i="35"/>
  <c r="O463" i="35"/>
  <c r="D463" i="35"/>
  <c r="W462" i="35"/>
  <c r="T462" i="35"/>
  <c r="P462" i="35"/>
  <c r="O462" i="35"/>
  <c r="D462" i="35"/>
  <c r="W461" i="35"/>
  <c r="Z461" i="35" s="1"/>
  <c r="AB461" i="35" s="1"/>
  <c r="T461" i="35"/>
  <c r="P461" i="35"/>
  <c r="O461" i="35"/>
  <c r="D461" i="35"/>
  <c r="W460" i="35"/>
  <c r="T460" i="35"/>
  <c r="P460" i="35"/>
  <c r="O460" i="35"/>
  <c r="D460" i="35"/>
  <c r="W459" i="35"/>
  <c r="T459" i="35"/>
  <c r="P459" i="35"/>
  <c r="O459" i="35"/>
  <c r="D459" i="35"/>
  <c r="W458" i="35"/>
  <c r="T458" i="35"/>
  <c r="P458" i="35"/>
  <c r="O458" i="35"/>
  <c r="D458" i="35"/>
  <c r="W457" i="35"/>
  <c r="AE457" i="35" s="1"/>
  <c r="T457" i="35"/>
  <c r="P457" i="35"/>
  <c r="O457" i="35"/>
  <c r="D457" i="35"/>
  <c r="W456" i="35"/>
  <c r="AI456" i="35" s="1"/>
  <c r="T456" i="35"/>
  <c r="P456" i="35"/>
  <c r="O456" i="35"/>
  <c r="D456" i="35"/>
  <c r="W455" i="35"/>
  <c r="Z455" i="35" s="1"/>
  <c r="AB455" i="35" s="1"/>
  <c r="T455" i="35"/>
  <c r="P455" i="35"/>
  <c r="O455" i="35"/>
  <c r="D455" i="35"/>
  <c r="W454" i="35"/>
  <c r="AI454" i="35" s="1"/>
  <c r="T454" i="35"/>
  <c r="P454" i="35"/>
  <c r="O454" i="35"/>
  <c r="D454" i="35"/>
  <c r="W453" i="35"/>
  <c r="T453" i="35"/>
  <c r="P453" i="35"/>
  <c r="O453" i="35"/>
  <c r="D453" i="35"/>
  <c r="W452" i="35"/>
  <c r="T452" i="35"/>
  <c r="P452" i="35"/>
  <c r="O452" i="35"/>
  <c r="D452" i="35"/>
  <c r="W451" i="35"/>
  <c r="AM451" i="35" s="1"/>
  <c r="L451" i="35"/>
  <c r="D451" i="35"/>
  <c r="W450" i="35"/>
  <c r="T450" i="35"/>
  <c r="P450" i="35"/>
  <c r="O450" i="35"/>
  <c r="D450" i="35"/>
  <c r="W449" i="35"/>
  <c r="Y449" i="35" s="1"/>
  <c r="T449" i="35"/>
  <c r="P449" i="35"/>
  <c r="O449" i="35"/>
  <c r="D449" i="35"/>
  <c r="W448" i="35"/>
  <c r="T448" i="35"/>
  <c r="P448" i="35"/>
  <c r="O448" i="35"/>
  <c r="D448" i="35"/>
  <c r="W447" i="35"/>
  <c r="T447" i="35"/>
  <c r="P447" i="35"/>
  <c r="O447" i="35"/>
  <c r="D447" i="35"/>
  <c r="W446" i="35"/>
  <c r="T446" i="35"/>
  <c r="P446" i="35"/>
  <c r="O446" i="35"/>
  <c r="D446" i="35"/>
  <c r="W445" i="35"/>
  <c r="T445" i="35"/>
  <c r="P445" i="35"/>
  <c r="O445" i="35"/>
  <c r="D445" i="35"/>
  <c r="W444" i="35"/>
  <c r="T444" i="35"/>
  <c r="P444" i="35"/>
  <c r="O444" i="35"/>
  <c r="D444" i="35"/>
  <c r="W443" i="35"/>
  <c r="T443" i="35"/>
  <c r="P443" i="35"/>
  <c r="O443" i="35"/>
  <c r="D443" i="35"/>
  <c r="W442" i="35"/>
  <c r="Z442" i="35" s="1"/>
  <c r="BW442" i="35" s="1"/>
  <c r="T442" i="35"/>
  <c r="P442" i="35"/>
  <c r="O442" i="35"/>
  <c r="D442" i="35"/>
  <c r="W441" i="35"/>
  <c r="T441" i="35"/>
  <c r="P441" i="35"/>
  <c r="O441" i="35"/>
  <c r="D441" i="35"/>
  <c r="W440" i="35"/>
  <c r="Z440" i="35" s="1"/>
  <c r="T440" i="35"/>
  <c r="P440" i="35"/>
  <c r="O440" i="35"/>
  <c r="D440" i="35"/>
  <c r="W439" i="35"/>
  <c r="T439" i="35"/>
  <c r="P439" i="35"/>
  <c r="O439" i="35"/>
  <c r="D439" i="35"/>
  <c r="W438" i="35"/>
  <c r="Y438" i="35" s="1"/>
  <c r="T438" i="35"/>
  <c r="P438" i="35"/>
  <c r="O438" i="35"/>
  <c r="D438" i="35"/>
  <c r="W437" i="35"/>
  <c r="T437" i="35"/>
  <c r="P437" i="35"/>
  <c r="O437" i="35"/>
  <c r="D437" i="35"/>
  <c r="W436" i="35"/>
  <c r="T436" i="35"/>
  <c r="P436" i="35"/>
  <c r="O436" i="35"/>
  <c r="D436" i="35"/>
  <c r="W435" i="35"/>
  <c r="T435" i="35"/>
  <c r="P435" i="35"/>
  <c r="O435" i="35"/>
  <c r="D435" i="35"/>
  <c r="W434" i="35"/>
  <c r="Z434" i="35" s="1"/>
  <c r="AW434" i="35" s="1"/>
  <c r="T434" i="35"/>
  <c r="P434" i="35"/>
  <c r="O434" i="35"/>
  <c r="D434" i="35"/>
  <c r="W433" i="35"/>
  <c r="T433" i="35"/>
  <c r="P433" i="35"/>
  <c r="O433" i="35"/>
  <c r="D433" i="35"/>
  <c r="W432" i="35"/>
  <c r="T432" i="35"/>
  <c r="P432" i="35"/>
  <c r="O432" i="35"/>
  <c r="D432" i="35"/>
  <c r="W431" i="35"/>
  <c r="Z431" i="35" s="1"/>
  <c r="T431" i="35"/>
  <c r="P431" i="35"/>
  <c r="O431" i="35"/>
  <c r="D431" i="35"/>
  <c r="W430" i="35"/>
  <c r="T430" i="35"/>
  <c r="P430" i="35"/>
  <c r="O430" i="35"/>
  <c r="D430" i="35"/>
  <c r="W429" i="35"/>
  <c r="T429" i="35"/>
  <c r="P429" i="35"/>
  <c r="O429" i="35"/>
  <c r="D429" i="35"/>
  <c r="W428" i="35"/>
  <c r="Z428" i="35" s="1"/>
  <c r="AI428" i="35" s="1"/>
  <c r="T428" i="35"/>
  <c r="P428" i="35"/>
  <c r="O428" i="35"/>
  <c r="D428" i="35"/>
  <c r="W427" i="35"/>
  <c r="T427" i="35"/>
  <c r="P427" i="35"/>
  <c r="O427" i="35"/>
  <c r="D427" i="35"/>
  <c r="W426" i="35"/>
  <c r="T426" i="35"/>
  <c r="P426" i="35"/>
  <c r="O426" i="35"/>
  <c r="D426" i="35"/>
  <c r="W425" i="35"/>
  <c r="Z425" i="35" s="1"/>
  <c r="BW425" i="35" s="1"/>
  <c r="T425" i="35"/>
  <c r="P425" i="35"/>
  <c r="O425" i="35"/>
  <c r="D425" i="35"/>
  <c r="W424" i="35"/>
  <c r="T424" i="35"/>
  <c r="P424" i="35"/>
  <c r="O424" i="35"/>
  <c r="D424" i="35"/>
  <c r="W423" i="35"/>
  <c r="AQ423" i="35" s="1"/>
  <c r="T423" i="35"/>
  <c r="P423" i="35"/>
  <c r="O423" i="35"/>
  <c r="D423" i="35"/>
  <c r="W422" i="35"/>
  <c r="AI422" i="35" s="1"/>
  <c r="T422" i="35"/>
  <c r="P422" i="35"/>
  <c r="O422" i="35"/>
  <c r="D422" i="35"/>
  <c r="W421" i="35"/>
  <c r="AI421" i="35" s="1"/>
  <c r="T421" i="35"/>
  <c r="P421" i="35"/>
  <c r="O421" i="35"/>
  <c r="D421" i="35"/>
  <c r="W420" i="35"/>
  <c r="Z420" i="35" s="1"/>
  <c r="AB420" i="35" s="1"/>
  <c r="T420" i="35"/>
  <c r="P420" i="35"/>
  <c r="O420" i="35"/>
  <c r="D420" i="35"/>
  <c r="W419" i="35"/>
  <c r="BC419" i="35" s="1"/>
  <c r="T419" i="35"/>
  <c r="P419" i="35"/>
  <c r="O419" i="35"/>
  <c r="D419" i="35"/>
  <c r="W418" i="35"/>
  <c r="AK418" i="35" s="1"/>
  <c r="T418" i="35"/>
  <c r="P418" i="35"/>
  <c r="O418" i="35"/>
  <c r="D418" i="35"/>
  <c r="W417" i="35"/>
  <c r="T417" i="35"/>
  <c r="P417" i="35"/>
  <c r="O417" i="35"/>
  <c r="D417" i="35"/>
  <c r="W416" i="35"/>
  <c r="T416" i="35"/>
  <c r="P416" i="35"/>
  <c r="O416" i="35"/>
  <c r="D416" i="35"/>
  <c r="W415" i="35"/>
  <c r="T415" i="35"/>
  <c r="P415" i="35"/>
  <c r="O415" i="35"/>
  <c r="D415" i="35"/>
  <c r="W414" i="35"/>
  <c r="AM414" i="35" s="1"/>
  <c r="T414" i="35"/>
  <c r="P414" i="35"/>
  <c r="O414" i="35"/>
  <c r="D414" i="35"/>
  <c r="W413" i="35"/>
  <c r="T413" i="35"/>
  <c r="P413" i="35"/>
  <c r="O413" i="35"/>
  <c r="D413" i="35"/>
  <c r="W412" i="35"/>
  <c r="AM412" i="35" s="1"/>
  <c r="T412" i="35"/>
  <c r="P412" i="35"/>
  <c r="O412" i="35"/>
  <c r="D412" i="35"/>
  <c r="W411" i="35"/>
  <c r="T411" i="35"/>
  <c r="P411" i="35"/>
  <c r="O411" i="35"/>
  <c r="D411" i="35"/>
  <c r="W410" i="35"/>
  <c r="AQ410" i="35" s="1"/>
  <c r="T410" i="35"/>
  <c r="P410" i="35"/>
  <c r="O410" i="35"/>
  <c r="D410" i="35"/>
  <c r="W409" i="35"/>
  <c r="AO409" i="35" s="1"/>
  <c r="T409" i="35"/>
  <c r="P409" i="35"/>
  <c r="O409" i="35"/>
  <c r="D409" i="35"/>
  <c r="W408" i="35"/>
  <c r="T408" i="35"/>
  <c r="P408" i="35"/>
  <c r="O408" i="35"/>
  <c r="D408" i="35"/>
  <c r="W407" i="35"/>
  <c r="Z407" i="35" s="1"/>
  <c r="AG407" i="35" s="1"/>
  <c r="T407" i="35"/>
  <c r="P407" i="35"/>
  <c r="O407" i="35"/>
  <c r="D407" i="35"/>
  <c r="W406" i="35"/>
  <c r="T406" i="35"/>
  <c r="P406" i="35"/>
  <c r="O406" i="35"/>
  <c r="D406" i="35"/>
  <c r="W405" i="35"/>
  <c r="Z405" i="35" s="1"/>
  <c r="AK405" i="35" s="1"/>
  <c r="T405" i="35"/>
  <c r="P405" i="35"/>
  <c r="O405" i="35"/>
  <c r="D405" i="35"/>
  <c r="W404" i="35"/>
  <c r="T404" i="35"/>
  <c r="P404" i="35"/>
  <c r="O404" i="35"/>
  <c r="D404" i="35"/>
  <c r="W403" i="35"/>
  <c r="Z403" i="35" s="1"/>
  <c r="T403" i="35"/>
  <c r="P403" i="35"/>
  <c r="O403" i="35"/>
  <c r="D403" i="35"/>
  <c r="W402" i="35"/>
  <c r="Z402" i="35" s="1"/>
  <c r="AB402" i="35" s="1"/>
  <c r="T402" i="35"/>
  <c r="P402" i="35"/>
  <c r="O402" i="35"/>
  <c r="D402" i="35"/>
  <c r="W401" i="35"/>
  <c r="T401" i="35"/>
  <c r="P401" i="35"/>
  <c r="O401" i="35"/>
  <c r="D401" i="35"/>
  <c r="W400" i="35"/>
  <c r="T400" i="35"/>
  <c r="P400" i="35"/>
  <c r="O400" i="35"/>
  <c r="D400" i="35"/>
  <c r="W399" i="35"/>
  <c r="Z399" i="35" s="1"/>
  <c r="AQ399" i="35" s="1"/>
  <c r="T399" i="35"/>
  <c r="P399" i="35"/>
  <c r="O399" i="35"/>
  <c r="D399" i="35"/>
  <c r="W398" i="35"/>
  <c r="T398" i="35"/>
  <c r="P398" i="35"/>
  <c r="O398" i="35"/>
  <c r="D398" i="35"/>
  <c r="W397" i="35"/>
  <c r="Z397" i="35" s="1"/>
  <c r="T397" i="35"/>
  <c r="P397" i="35"/>
  <c r="O397" i="35"/>
  <c r="D397" i="35"/>
  <c r="W396" i="35"/>
  <c r="T396" i="35"/>
  <c r="P396" i="35"/>
  <c r="O396" i="35"/>
  <c r="D396" i="35"/>
  <c r="W395" i="35"/>
  <c r="T395" i="35"/>
  <c r="P395" i="35"/>
  <c r="O395" i="35"/>
  <c r="D395" i="35"/>
  <c r="W394" i="35"/>
  <c r="T394" i="35"/>
  <c r="P394" i="35"/>
  <c r="O394" i="35"/>
  <c r="D394" i="35"/>
  <c r="W393" i="35"/>
  <c r="AM393" i="35" s="1"/>
  <c r="T393" i="35"/>
  <c r="P393" i="35"/>
  <c r="O393" i="35"/>
  <c r="D393" i="35"/>
  <c r="W392" i="35"/>
  <c r="T392" i="35"/>
  <c r="P392" i="35"/>
  <c r="O392" i="35"/>
  <c r="D392" i="35"/>
  <c r="W391" i="35"/>
  <c r="AI391" i="35" s="1"/>
  <c r="T391" i="35"/>
  <c r="P391" i="35"/>
  <c r="O391" i="35"/>
  <c r="D391" i="35"/>
  <c r="W390" i="35"/>
  <c r="BC390" i="35" s="1"/>
  <c r="T390" i="35"/>
  <c r="P390" i="35"/>
  <c r="O390" i="35"/>
  <c r="D390" i="35"/>
  <c r="W389" i="35"/>
  <c r="Y389" i="35" s="1"/>
  <c r="T389" i="35"/>
  <c r="P389" i="35"/>
  <c r="O389" i="35"/>
  <c r="D389" i="35"/>
  <c r="W388" i="35"/>
  <c r="T388" i="35"/>
  <c r="P388" i="35"/>
  <c r="O388" i="35"/>
  <c r="D388" i="35"/>
  <c r="W387" i="35"/>
  <c r="AQ387" i="35" s="1"/>
  <c r="T387" i="35"/>
  <c r="P387" i="35"/>
  <c r="O387" i="35"/>
  <c r="D387" i="35"/>
  <c r="W386" i="35"/>
  <c r="T386" i="35"/>
  <c r="P386" i="35"/>
  <c r="O386" i="35"/>
  <c r="D386" i="35"/>
  <c r="W385" i="35"/>
  <c r="Z385" i="35" s="1"/>
  <c r="AB385" i="35" s="1"/>
  <c r="T385" i="35"/>
  <c r="P385" i="35"/>
  <c r="O385" i="35"/>
  <c r="D385" i="35"/>
  <c r="W384" i="35"/>
  <c r="BC384" i="35" s="1"/>
  <c r="T384" i="35"/>
  <c r="P384" i="35"/>
  <c r="O384" i="35"/>
  <c r="D384" i="35"/>
  <c r="W383" i="35"/>
  <c r="T383" i="35"/>
  <c r="P383" i="35"/>
  <c r="O383" i="35"/>
  <c r="D383" i="35"/>
  <c r="W382" i="35"/>
  <c r="T382" i="35"/>
  <c r="P382" i="35"/>
  <c r="O382" i="35"/>
  <c r="D382" i="35"/>
  <c r="W381" i="35"/>
  <c r="T381" i="35"/>
  <c r="P381" i="35"/>
  <c r="O381" i="35"/>
  <c r="D381" i="35"/>
  <c r="W380" i="35"/>
  <c r="T380" i="35"/>
  <c r="P380" i="35"/>
  <c r="O380" i="35"/>
  <c r="D380" i="35"/>
  <c r="W379" i="35"/>
  <c r="T379" i="35"/>
  <c r="P379" i="35"/>
  <c r="O379" i="35"/>
  <c r="D379" i="35"/>
  <c r="W378" i="35"/>
  <c r="AG378" i="35" s="1"/>
  <c r="T378" i="35"/>
  <c r="P378" i="35"/>
  <c r="O378" i="35"/>
  <c r="D378" i="35"/>
  <c r="W377" i="35"/>
  <c r="BC377" i="35" s="1"/>
  <c r="T377" i="35"/>
  <c r="P377" i="35"/>
  <c r="O377" i="35"/>
  <c r="D377" i="35"/>
  <c r="W376" i="35"/>
  <c r="T376" i="35"/>
  <c r="P376" i="35"/>
  <c r="O376" i="35"/>
  <c r="D376" i="35"/>
  <c r="W375" i="35"/>
  <c r="BC375" i="35" s="1"/>
  <c r="T375" i="35"/>
  <c r="P375" i="35"/>
  <c r="O375" i="35"/>
  <c r="D375" i="35"/>
  <c r="W374" i="35"/>
  <c r="T374" i="35"/>
  <c r="P374" i="35"/>
  <c r="O374" i="35"/>
  <c r="D374" i="35"/>
  <c r="W373" i="35"/>
  <c r="T373" i="35"/>
  <c r="P373" i="35"/>
  <c r="O373" i="35"/>
  <c r="D373" i="35"/>
  <c r="W372" i="35"/>
  <c r="AM372" i="35" s="1"/>
  <c r="T372" i="35"/>
  <c r="P372" i="35"/>
  <c r="O372" i="35"/>
  <c r="D372" i="35"/>
  <c r="W371" i="35"/>
  <c r="T371" i="35"/>
  <c r="P371" i="35"/>
  <c r="O371" i="35"/>
  <c r="D371" i="35"/>
  <c r="W370" i="35"/>
  <c r="BC370" i="35" s="1"/>
  <c r="T370" i="35"/>
  <c r="P370" i="35"/>
  <c r="O370" i="35"/>
  <c r="D370" i="35"/>
  <c r="W369" i="35"/>
  <c r="T369" i="35"/>
  <c r="P369" i="35"/>
  <c r="O369" i="35"/>
  <c r="D369" i="35"/>
  <c r="W368" i="35"/>
  <c r="AE368" i="35" s="1"/>
  <c r="T368" i="35"/>
  <c r="P368" i="35"/>
  <c r="O368" i="35"/>
  <c r="D368" i="35"/>
  <c r="W367" i="35"/>
  <c r="BC367" i="35" s="1"/>
  <c r="T367" i="35"/>
  <c r="P367" i="35"/>
  <c r="O367" i="35"/>
  <c r="D367" i="35"/>
  <c r="W366" i="35"/>
  <c r="T366" i="35"/>
  <c r="P366" i="35"/>
  <c r="O366" i="35"/>
  <c r="D366" i="35"/>
  <c r="W365" i="35"/>
  <c r="BC365" i="35" s="1"/>
  <c r="T365" i="35"/>
  <c r="P365" i="35"/>
  <c r="O365" i="35"/>
  <c r="D365" i="35"/>
  <c r="W364" i="35"/>
  <c r="T364" i="35"/>
  <c r="P364" i="35"/>
  <c r="O364" i="35"/>
  <c r="D364" i="35"/>
  <c r="W363" i="35"/>
  <c r="T363" i="35"/>
  <c r="P363" i="35"/>
  <c r="O363" i="35"/>
  <c r="D363" i="35"/>
  <c r="W362" i="35"/>
  <c r="T362" i="35"/>
  <c r="P362" i="35"/>
  <c r="O362" i="35"/>
  <c r="D362" i="35"/>
  <c r="W361" i="35"/>
  <c r="T361" i="35"/>
  <c r="P361" i="35"/>
  <c r="O361" i="35"/>
  <c r="D361" i="35"/>
  <c r="W360" i="35"/>
  <c r="AK360" i="35" s="1"/>
  <c r="T360" i="35"/>
  <c r="P360" i="35"/>
  <c r="O360" i="35"/>
  <c r="D360" i="35"/>
  <c r="W359" i="35"/>
  <c r="T359" i="35"/>
  <c r="P359" i="35"/>
  <c r="O359" i="35"/>
  <c r="D359" i="35"/>
  <c r="W358" i="35"/>
  <c r="Z358" i="35" s="1"/>
  <c r="AB358" i="35" s="1"/>
  <c r="T358" i="35"/>
  <c r="P358" i="35"/>
  <c r="O358" i="35"/>
  <c r="D358" i="35"/>
  <c r="W357" i="35"/>
  <c r="T357" i="35"/>
  <c r="P357" i="35"/>
  <c r="O357" i="35"/>
  <c r="D357" i="35"/>
  <c r="W356" i="35"/>
  <c r="T356" i="35"/>
  <c r="P356" i="35"/>
  <c r="O356" i="35"/>
  <c r="D356" i="35"/>
  <c r="W355" i="35"/>
  <c r="Z355" i="35" s="1"/>
  <c r="AB355" i="35" s="1"/>
  <c r="T355" i="35"/>
  <c r="P355" i="35"/>
  <c r="O355" i="35"/>
  <c r="D355" i="35"/>
  <c r="W354" i="35"/>
  <c r="T354" i="35"/>
  <c r="P354" i="35"/>
  <c r="O354" i="35"/>
  <c r="D354" i="35"/>
  <c r="W353" i="35"/>
  <c r="AM353" i="35" s="1"/>
  <c r="T353" i="35"/>
  <c r="P353" i="35"/>
  <c r="O353" i="35"/>
  <c r="D353" i="35"/>
  <c r="W352" i="35"/>
  <c r="T352" i="35"/>
  <c r="P352" i="35"/>
  <c r="O352" i="35"/>
  <c r="D352" i="35"/>
  <c r="W351" i="35"/>
  <c r="AE351" i="35" s="1"/>
  <c r="T351" i="35"/>
  <c r="P351" i="35"/>
  <c r="O351" i="35"/>
  <c r="D351" i="35"/>
  <c r="W350" i="35"/>
  <c r="AE350" i="35" s="1"/>
  <c r="T350" i="35"/>
  <c r="P350" i="35"/>
  <c r="O350" i="35"/>
  <c r="D350" i="35"/>
  <c r="W349" i="35"/>
  <c r="T349" i="35"/>
  <c r="P349" i="35"/>
  <c r="O349" i="35"/>
  <c r="D349" i="35"/>
  <c r="W348" i="35"/>
  <c r="AE348" i="35" s="1"/>
  <c r="T348" i="35"/>
  <c r="P348" i="35"/>
  <c r="O348" i="35"/>
  <c r="D348" i="35"/>
  <c r="W347" i="35"/>
  <c r="BC347" i="35" s="1"/>
  <c r="T347" i="35"/>
  <c r="P347" i="35"/>
  <c r="O347" i="35"/>
  <c r="D347" i="35"/>
  <c r="W346" i="35"/>
  <c r="BC346" i="35" s="1"/>
  <c r="T346" i="35"/>
  <c r="P346" i="35"/>
  <c r="O346" i="35"/>
  <c r="D346" i="35"/>
  <c r="W345" i="35"/>
  <c r="T345" i="35"/>
  <c r="P345" i="35"/>
  <c r="O345" i="35"/>
  <c r="D345" i="35"/>
  <c r="W344" i="35"/>
  <c r="Z344" i="35" s="1"/>
  <c r="AB344" i="35" s="1"/>
  <c r="T344" i="35"/>
  <c r="P344" i="35"/>
  <c r="O344" i="35"/>
  <c r="D344" i="35"/>
  <c r="W343" i="35"/>
  <c r="T343" i="35"/>
  <c r="P343" i="35"/>
  <c r="O343" i="35"/>
  <c r="D343" i="35"/>
  <c r="W342" i="35"/>
  <c r="AM342" i="35" s="1"/>
  <c r="T342" i="35"/>
  <c r="P342" i="35"/>
  <c r="O342" i="35"/>
  <c r="D342" i="35"/>
  <c r="W341" i="35"/>
  <c r="AK341" i="35" s="1"/>
  <c r="T341" i="35"/>
  <c r="P341" i="35"/>
  <c r="O341" i="35"/>
  <c r="D341" i="35"/>
  <c r="W340" i="35"/>
  <c r="T340" i="35"/>
  <c r="P340" i="35"/>
  <c r="O340" i="35"/>
  <c r="D340" i="35"/>
  <c r="W339" i="35"/>
  <c r="BC339" i="35" s="1"/>
  <c r="T339" i="35"/>
  <c r="P339" i="35"/>
  <c r="O339" i="35"/>
  <c r="D339" i="35"/>
  <c r="W338" i="35"/>
  <c r="T338" i="35"/>
  <c r="P338" i="35"/>
  <c r="O338" i="35"/>
  <c r="D338" i="35"/>
  <c r="W337" i="35"/>
  <c r="T337" i="35"/>
  <c r="P337" i="35"/>
  <c r="O337" i="35"/>
  <c r="D337" i="35"/>
  <c r="W336" i="35"/>
  <c r="BC336" i="35" s="1"/>
  <c r="T336" i="35"/>
  <c r="P336" i="35"/>
  <c r="O336" i="35"/>
  <c r="D336" i="35"/>
  <c r="W335" i="35"/>
  <c r="AM335" i="35" s="1"/>
  <c r="T335" i="35"/>
  <c r="P335" i="35"/>
  <c r="O335" i="35"/>
  <c r="D335" i="35"/>
  <c r="W334" i="35"/>
  <c r="T334" i="35"/>
  <c r="P334" i="35"/>
  <c r="O334" i="35"/>
  <c r="D334" i="35"/>
  <c r="W333" i="35"/>
  <c r="BC333" i="35" s="1"/>
  <c r="T333" i="35"/>
  <c r="P333" i="35"/>
  <c r="O333" i="35"/>
  <c r="D333" i="35"/>
  <c r="W332" i="35"/>
  <c r="V332" i="35"/>
  <c r="T332" i="35" s="1"/>
  <c r="P332" i="35"/>
  <c r="O332" i="35"/>
  <c r="D332" i="35"/>
  <c r="W331" i="35"/>
  <c r="AM331" i="35" s="1"/>
  <c r="V331" i="35"/>
  <c r="T331" i="35" s="1"/>
  <c r="P331" i="35"/>
  <c r="O331" i="35"/>
  <c r="D331" i="35"/>
  <c r="W330" i="35"/>
  <c r="Z330" i="35" s="1"/>
  <c r="AB330" i="35" s="1"/>
  <c r="V330" i="35"/>
  <c r="T330" i="35" s="1"/>
  <c r="P330" i="35"/>
  <c r="O330" i="35"/>
  <c r="D330" i="35"/>
  <c r="W329" i="35"/>
  <c r="AK329" i="35" s="1"/>
  <c r="T329" i="35"/>
  <c r="P329" i="35"/>
  <c r="O329" i="35"/>
  <c r="D329" i="35"/>
  <c r="W328" i="35"/>
  <c r="AQ328" i="35" s="1"/>
  <c r="T328" i="35"/>
  <c r="P328" i="35"/>
  <c r="O328" i="35"/>
  <c r="D328" i="35"/>
  <c r="W327" i="35"/>
  <c r="AQ327" i="35" s="1"/>
  <c r="T327" i="35"/>
  <c r="P327" i="35"/>
  <c r="O327" i="35"/>
  <c r="D327" i="35"/>
  <c r="W326" i="35"/>
  <c r="AG326" i="35" s="1"/>
  <c r="T326" i="35"/>
  <c r="P326" i="35"/>
  <c r="O326" i="35"/>
  <c r="D326" i="35"/>
  <c r="W325" i="35"/>
  <c r="T325" i="35"/>
  <c r="P325" i="35"/>
  <c r="O325" i="35"/>
  <c r="D325" i="35"/>
  <c r="W324" i="35"/>
  <c r="AM324" i="35" s="1"/>
  <c r="V324" i="35"/>
  <c r="T324" i="35" s="1"/>
  <c r="P324" i="35"/>
  <c r="O324" i="35"/>
  <c r="D324" i="35"/>
  <c r="W323" i="35"/>
  <c r="AO323" i="35" s="1"/>
  <c r="V323" i="35"/>
  <c r="T323" i="35" s="1"/>
  <c r="P323" i="35"/>
  <c r="O323" i="35"/>
  <c r="D323" i="35"/>
  <c r="W322" i="35"/>
  <c r="AK322" i="35" s="1"/>
  <c r="V322" i="35"/>
  <c r="T322" i="35" s="1"/>
  <c r="P322" i="35"/>
  <c r="O322" i="35"/>
  <c r="D322" i="35"/>
  <c r="W321" i="35"/>
  <c r="T321" i="35"/>
  <c r="P321" i="35"/>
  <c r="O321" i="35"/>
  <c r="D321" i="35"/>
  <c r="W320" i="35"/>
  <c r="T320" i="35"/>
  <c r="P320" i="35"/>
  <c r="O320" i="35"/>
  <c r="D320" i="35"/>
  <c r="W319" i="35"/>
  <c r="AM319" i="35" s="1"/>
  <c r="T319" i="35"/>
  <c r="P319" i="35"/>
  <c r="O319" i="35"/>
  <c r="D319" i="35"/>
  <c r="W318" i="35"/>
  <c r="AM318" i="35" s="1"/>
  <c r="V318" i="35"/>
  <c r="T318" i="35" s="1"/>
  <c r="P318" i="35"/>
  <c r="O318" i="35"/>
  <c r="D318" i="35"/>
  <c r="W317" i="35"/>
  <c r="AE317" i="35" s="1"/>
  <c r="V317" i="35"/>
  <c r="T317" i="35" s="1"/>
  <c r="P317" i="35"/>
  <c r="O317" i="35"/>
  <c r="D317" i="35"/>
  <c r="W316" i="35"/>
  <c r="V316" i="35"/>
  <c r="T316" i="35" s="1"/>
  <c r="P316" i="35"/>
  <c r="O316" i="35"/>
  <c r="D316" i="35"/>
  <c r="W315" i="35"/>
  <c r="AK315" i="35" s="1"/>
  <c r="T315" i="35"/>
  <c r="P315" i="35"/>
  <c r="O315" i="35"/>
  <c r="D315" i="35"/>
  <c r="W314" i="35"/>
  <c r="T314" i="35"/>
  <c r="P314" i="35"/>
  <c r="O314" i="35"/>
  <c r="D314" i="35"/>
  <c r="W313" i="35"/>
  <c r="AG313" i="35" s="1"/>
  <c r="T313" i="35"/>
  <c r="P313" i="35"/>
  <c r="O313" i="35"/>
  <c r="D313" i="35"/>
  <c r="W312" i="35"/>
  <c r="T312" i="35"/>
  <c r="P312" i="35"/>
  <c r="O312" i="35"/>
  <c r="D312" i="35"/>
  <c r="W311" i="35"/>
  <c r="AM311" i="35" s="1"/>
  <c r="T311" i="35"/>
  <c r="P311" i="35"/>
  <c r="O311" i="35"/>
  <c r="D311" i="35"/>
  <c r="W310" i="35"/>
  <c r="Y310" i="35" s="1"/>
  <c r="T310" i="35"/>
  <c r="P310" i="35"/>
  <c r="O310" i="35"/>
  <c r="D310" i="35"/>
  <c r="W309" i="35"/>
  <c r="AG309" i="35" s="1"/>
  <c r="T309" i="35"/>
  <c r="P309" i="35"/>
  <c r="O309" i="35"/>
  <c r="D309" i="35"/>
  <c r="W308" i="35"/>
  <c r="T308" i="35"/>
  <c r="P308" i="35"/>
  <c r="O308" i="35"/>
  <c r="D308" i="35"/>
  <c r="W307" i="35"/>
  <c r="AE307" i="35" s="1"/>
  <c r="T307" i="35"/>
  <c r="P307" i="35"/>
  <c r="O307" i="35"/>
  <c r="D307" i="35"/>
  <c r="W306" i="35"/>
  <c r="Y306" i="35" s="1"/>
  <c r="V306" i="35"/>
  <c r="T306" i="35" s="1"/>
  <c r="P306" i="35"/>
  <c r="O306" i="35"/>
  <c r="D306" i="35"/>
  <c r="W305" i="35"/>
  <c r="V305" i="35"/>
  <c r="T305" i="35" s="1"/>
  <c r="P305" i="35"/>
  <c r="O305" i="35"/>
  <c r="D305" i="35"/>
  <c r="W304" i="35"/>
  <c r="V304" i="35"/>
  <c r="T304" i="35" s="1"/>
  <c r="P304" i="35"/>
  <c r="O304" i="35"/>
  <c r="D304" i="35"/>
  <c r="W303" i="35"/>
  <c r="AG303" i="35" s="1"/>
  <c r="T303" i="35"/>
  <c r="P303" i="35"/>
  <c r="O303" i="35"/>
  <c r="D303" i="35"/>
  <c r="W302" i="35"/>
  <c r="BC302" i="35" s="1"/>
  <c r="T302" i="35"/>
  <c r="P302" i="35"/>
  <c r="O302" i="35"/>
  <c r="D302" i="35"/>
  <c r="W301" i="35"/>
  <c r="AK301" i="35" s="1"/>
  <c r="T301" i="35"/>
  <c r="P301" i="35"/>
  <c r="O301" i="35"/>
  <c r="D301" i="35"/>
  <c r="W300" i="35"/>
  <c r="T300" i="35"/>
  <c r="P300" i="35"/>
  <c r="O300" i="35"/>
  <c r="D300" i="35"/>
  <c r="W299" i="35"/>
  <c r="AK299" i="35" s="1"/>
  <c r="T299" i="35"/>
  <c r="P299" i="35"/>
  <c r="O299" i="35"/>
  <c r="D299" i="35"/>
  <c r="W298" i="35"/>
  <c r="Z298" i="35" s="1"/>
  <c r="AB298" i="35" s="1"/>
  <c r="T298" i="35"/>
  <c r="P298" i="35"/>
  <c r="O298" i="35"/>
  <c r="D298" i="35"/>
  <c r="W297" i="35"/>
  <c r="T297" i="35"/>
  <c r="P297" i="35"/>
  <c r="O297" i="35"/>
  <c r="D297" i="35"/>
  <c r="W296" i="35"/>
  <c r="T296" i="35"/>
  <c r="P296" i="35"/>
  <c r="O296" i="35"/>
  <c r="D296" i="35"/>
  <c r="W295" i="35"/>
  <c r="T295" i="35"/>
  <c r="P295" i="35"/>
  <c r="O295" i="35"/>
  <c r="D295" i="35"/>
  <c r="W294" i="35"/>
  <c r="T294" i="35"/>
  <c r="P294" i="35"/>
  <c r="O294" i="35"/>
  <c r="D294" i="35"/>
  <c r="W293" i="35"/>
  <c r="T293" i="35"/>
  <c r="P293" i="35"/>
  <c r="O293" i="35"/>
  <c r="D293" i="35"/>
  <c r="W292" i="35"/>
  <c r="Y292" i="35" s="1"/>
  <c r="T292" i="35"/>
  <c r="P292" i="35"/>
  <c r="O292" i="35"/>
  <c r="D292" i="35"/>
  <c r="W291" i="35"/>
  <c r="T291" i="35"/>
  <c r="P291" i="35"/>
  <c r="O291" i="35"/>
  <c r="D291" i="35"/>
  <c r="W290" i="35"/>
  <c r="Y290" i="35" s="1"/>
  <c r="T290" i="35"/>
  <c r="P290" i="35"/>
  <c r="O290" i="35"/>
  <c r="D290" i="35"/>
  <c r="W289" i="35"/>
  <c r="AQ289" i="35" s="1"/>
  <c r="T289" i="35"/>
  <c r="P289" i="35"/>
  <c r="O289" i="35"/>
  <c r="D289" i="35"/>
  <c r="W288" i="35"/>
  <c r="L288" i="35"/>
  <c r="D288" i="35"/>
  <c r="W287" i="35"/>
  <c r="AM287" i="35" s="1"/>
  <c r="T287" i="35"/>
  <c r="P287" i="35"/>
  <c r="O287" i="35"/>
  <c r="D287" i="35"/>
  <c r="W286" i="35"/>
  <c r="T286" i="35"/>
  <c r="P286" i="35"/>
  <c r="O286" i="35"/>
  <c r="D286" i="35"/>
  <c r="W285" i="35"/>
  <c r="T285" i="35"/>
  <c r="P285" i="35"/>
  <c r="O285" i="35"/>
  <c r="D285" i="35"/>
  <c r="W284" i="35"/>
  <c r="Y284" i="35" s="1"/>
  <c r="V284" i="35"/>
  <c r="T284" i="35" s="1"/>
  <c r="P284" i="35"/>
  <c r="O284" i="35"/>
  <c r="D284" i="35"/>
  <c r="W283" i="35"/>
  <c r="AG283" i="35" s="1"/>
  <c r="V283" i="35"/>
  <c r="T283" i="35" s="1"/>
  <c r="P283" i="35"/>
  <c r="O283" i="35"/>
  <c r="D283" i="35"/>
  <c r="W282" i="35"/>
  <c r="Z282" i="35" s="1"/>
  <c r="AB282" i="35" s="1"/>
  <c r="V282" i="35"/>
  <c r="T282" i="35" s="1"/>
  <c r="P282" i="35"/>
  <c r="O282" i="35"/>
  <c r="D282" i="35"/>
  <c r="W281" i="35"/>
  <c r="T281" i="35"/>
  <c r="P281" i="35"/>
  <c r="O281" i="35"/>
  <c r="D281" i="35"/>
  <c r="W280" i="35"/>
  <c r="T280" i="35"/>
  <c r="P280" i="35"/>
  <c r="O280" i="35"/>
  <c r="D280" i="35"/>
  <c r="W279" i="35"/>
  <c r="T279" i="35"/>
  <c r="P279" i="35"/>
  <c r="O279" i="35"/>
  <c r="D279" i="35"/>
  <c r="W278" i="35"/>
  <c r="Z278" i="35" s="1"/>
  <c r="AB278" i="35" s="1"/>
  <c r="T278" i="35"/>
  <c r="P278" i="35"/>
  <c r="O278" i="35"/>
  <c r="D278" i="35"/>
  <c r="W277" i="35"/>
  <c r="T277" i="35"/>
  <c r="P277" i="35"/>
  <c r="O277" i="35"/>
  <c r="D277" i="35"/>
  <c r="W276" i="35"/>
  <c r="Z276" i="35" s="1"/>
  <c r="AB276" i="35" s="1"/>
  <c r="T276" i="35"/>
  <c r="P276" i="35"/>
  <c r="O276" i="35"/>
  <c r="D276" i="35"/>
  <c r="W275" i="35"/>
  <c r="T275" i="35"/>
  <c r="P275" i="35"/>
  <c r="O275" i="35"/>
  <c r="D275" i="35"/>
  <c r="W274" i="35"/>
  <c r="T274" i="35"/>
  <c r="P274" i="35"/>
  <c r="O274" i="35"/>
  <c r="D274" i="35"/>
  <c r="W273" i="35"/>
  <c r="T273" i="35"/>
  <c r="P273" i="35"/>
  <c r="O273" i="35"/>
  <c r="D273" i="35"/>
  <c r="W272" i="35"/>
  <c r="T272" i="35"/>
  <c r="P272" i="35"/>
  <c r="O272" i="35"/>
  <c r="D272" i="35"/>
  <c r="A272" i="35"/>
  <c r="W271" i="35"/>
  <c r="T271" i="35"/>
  <c r="P271" i="35"/>
  <c r="O271" i="35"/>
  <c r="D271" i="35"/>
  <c r="W270" i="35"/>
  <c r="AI270" i="35" s="1"/>
  <c r="T270" i="35"/>
  <c r="P270" i="35"/>
  <c r="O270" i="35"/>
  <c r="D270" i="35"/>
  <c r="W269" i="35"/>
  <c r="T269" i="35"/>
  <c r="P269" i="35"/>
  <c r="O269" i="35"/>
  <c r="D269" i="35"/>
  <c r="W268" i="35"/>
  <c r="T268" i="35"/>
  <c r="P268" i="35"/>
  <c r="O268" i="35"/>
  <c r="D268" i="35"/>
  <c r="W267" i="35"/>
  <c r="T267" i="35"/>
  <c r="P267" i="35"/>
  <c r="O267" i="35"/>
  <c r="D267" i="35"/>
  <c r="W266" i="35"/>
  <c r="AK266" i="35" s="1"/>
  <c r="L266" i="35"/>
  <c r="O266" i="35" s="1"/>
  <c r="D266" i="35"/>
  <c r="W265" i="35"/>
  <c r="T265" i="35"/>
  <c r="P265" i="35"/>
  <c r="O265" i="35"/>
  <c r="D265" i="35"/>
  <c r="W264" i="35"/>
  <c r="AO264" i="35" s="1"/>
  <c r="T264" i="35"/>
  <c r="P264" i="35"/>
  <c r="O264" i="35"/>
  <c r="D264" i="35"/>
  <c r="A264" i="35"/>
  <c r="W263" i="35"/>
  <c r="AO263" i="35" s="1"/>
  <c r="T263" i="35"/>
  <c r="P263" i="35"/>
  <c r="O263" i="35"/>
  <c r="D263" i="35"/>
  <c r="W262" i="35"/>
  <c r="T262" i="35"/>
  <c r="P262" i="35"/>
  <c r="O262" i="35"/>
  <c r="D262" i="35"/>
  <c r="W261" i="35"/>
  <c r="AG261" i="35" s="1"/>
  <c r="T261" i="35"/>
  <c r="P261" i="35"/>
  <c r="O261" i="35"/>
  <c r="D261" i="35"/>
  <c r="W260" i="35"/>
  <c r="BC260" i="35" s="1"/>
  <c r="T260" i="35"/>
  <c r="P260" i="35"/>
  <c r="O260" i="35"/>
  <c r="D260" i="35"/>
  <c r="W259" i="35"/>
  <c r="AE259" i="35" s="1"/>
  <c r="T259" i="35"/>
  <c r="P259" i="35"/>
  <c r="O259" i="35"/>
  <c r="D259" i="35"/>
  <c r="W258" i="35"/>
  <c r="T258" i="35"/>
  <c r="P258" i="35"/>
  <c r="O258" i="35"/>
  <c r="D258" i="35"/>
  <c r="W257" i="35"/>
  <c r="T257" i="35"/>
  <c r="P257" i="35"/>
  <c r="O257" i="35"/>
  <c r="D257" i="35"/>
  <c r="W256" i="35"/>
  <c r="AI256" i="35" s="1"/>
  <c r="T256" i="35"/>
  <c r="P256" i="35"/>
  <c r="O256" i="35"/>
  <c r="D256" i="35"/>
  <c r="W255" i="35"/>
  <c r="AG255" i="35" s="1"/>
  <c r="T255" i="35"/>
  <c r="P255" i="35"/>
  <c r="O255" i="35"/>
  <c r="D255" i="35"/>
  <c r="W254" i="35"/>
  <c r="T254" i="35"/>
  <c r="P254" i="35"/>
  <c r="O254" i="35"/>
  <c r="D254" i="35"/>
  <c r="W253" i="35"/>
  <c r="T253" i="35"/>
  <c r="P253" i="35"/>
  <c r="O253" i="35"/>
  <c r="D253" i="35"/>
  <c r="W252" i="35"/>
  <c r="T252" i="35"/>
  <c r="P252" i="35"/>
  <c r="O252" i="35"/>
  <c r="D252" i="35"/>
  <c r="W251" i="35"/>
  <c r="AM251" i="35" s="1"/>
  <c r="T251" i="35"/>
  <c r="P251" i="35"/>
  <c r="O251" i="35"/>
  <c r="D251" i="35"/>
  <c r="W250" i="35"/>
  <c r="AM250" i="35" s="1"/>
  <c r="L250" i="35"/>
  <c r="D250" i="35"/>
  <c r="W249" i="35"/>
  <c r="T249" i="35"/>
  <c r="P249" i="35"/>
  <c r="O249" i="35"/>
  <c r="D249" i="35"/>
  <c r="W248" i="35"/>
  <c r="AK248" i="35" s="1"/>
  <c r="T248" i="35"/>
  <c r="P248" i="35"/>
  <c r="O248" i="35"/>
  <c r="D248" i="35"/>
  <c r="W247" i="35"/>
  <c r="V247" i="35"/>
  <c r="T247" i="35" s="1"/>
  <c r="P247" i="35"/>
  <c r="O247" i="35"/>
  <c r="D247" i="35"/>
  <c r="W246" i="35"/>
  <c r="AG246" i="35" s="1"/>
  <c r="V246" i="35"/>
  <c r="T246" i="35" s="1"/>
  <c r="P246" i="35"/>
  <c r="O246" i="35"/>
  <c r="D246" i="35"/>
  <c r="W245" i="35"/>
  <c r="V245" i="35"/>
  <c r="T245" i="35" s="1"/>
  <c r="P245" i="35"/>
  <c r="O245" i="35"/>
  <c r="D245" i="35"/>
  <c r="W244" i="35"/>
  <c r="T244" i="35"/>
  <c r="P244" i="35"/>
  <c r="O244" i="35"/>
  <c r="D244" i="35"/>
  <c r="W243" i="35"/>
  <c r="T243" i="35"/>
  <c r="P243" i="35"/>
  <c r="O243" i="35"/>
  <c r="D243" i="35"/>
  <c r="W242" i="35"/>
  <c r="T242" i="35"/>
  <c r="P242" i="35"/>
  <c r="O242" i="35"/>
  <c r="D242" i="35"/>
  <c r="W241" i="35"/>
  <c r="AG241" i="35" s="1"/>
  <c r="T241" i="35"/>
  <c r="P241" i="35"/>
  <c r="O241" i="35"/>
  <c r="D241" i="35"/>
  <c r="W240" i="35"/>
  <c r="T240" i="35"/>
  <c r="P240" i="35"/>
  <c r="O240" i="35"/>
  <c r="D240" i="35"/>
  <c r="W239" i="35"/>
  <c r="T239" i="35"/>
  <c r="P239" i="35"/>
  <c r="O239" i="35"/>
  <c r="D239" i="35"/>
  <c r="W238" i="35"/>
  <c r="T238" i="35"/>
  <c r="P238" i="35"/>
  <c r="O238" i="35"/>
  <c r="D238" i="35"/>
  <c r="W237" i="35"/>
  <c r="AQ237" i="35" s="1"/>
  <c r="V237" i="35"/>
  <c r="T237" i="35" s="1"/>
  <c r="P237" i="35"/>
  <c r="O237" i="35"/>
  <c r="D237" i="35"/>
  <c r="W236" i="35"/>
  <c r="T236" i="35"/>
  <c r="P236" i="35"/>
  <c r="O236" i="35"/>
  <c r="D236" i="35"/>
  <c r="W235" i="35"/>
  <c r="AE235" i="35" s="1"/>
  <c r="T235" i="35"/>
  <c r="P235" i="35"/>
  <c r="O235" i="35"/>
  <c r="D235" i="35"/>
  <c r="W234" i="35"/>
  <c r="AG234" i="35" s="1"/>
  <c r="T234" i="35"/>
  <c r="P234" i="35"/>
  <c r="O234" i="35"/>
  <c r="D234" i="35"/>
  <c r="W233" i="35"/>
  <c r="AO233" i="35" s="1"/>
  <c r="V233" i="35"/>
  <c r="T233" i="35" s="1"/>
  <c r="P233" i="35"/>
  <c r="O233" i="35"/>
  <c r="D233" i="35"/>
  <c r="W232" i="35"/>
  <c r="V232" i="35"/>
  <c r="T232" i="35" s="1"/>
  <c r="P232" i="35"/>
  <c r="O232" i="35"/>
  <c r="D232" i="35"/>
  <c r="W231" i="35"/>
  <c r="AO231" i="35" s="1"/>
  <c r="T231" i="35"/>
  <c r="P231" i="35"/>
  <c r="O231" i="35"/>
  <c r="D231" i="35"/>
  <c r="W230" i="35"/>
  <c r="T230" i="35"/>
  <c r="P230" i="35"/>
  <c r="O230" i="35"/>
  <c r="D230" i="35"/>
  <c r="W229" i="35"/>
  <c r="T229" i="35"/>
  <c r="P229" i="35"/>
  <c r="O229" i="35"/>
  <c r="D229" i="35"/>
  <c r="W228" i="35"/>
  <c r="T228" i="35"/>
  <c r="P228" i="35"/>
  <c r="O228" i="35"/>
  <c r="D228" i="35"/>
  <c r="W227" i="35"/>
  <c r="BC227" i="35" s="1"/>
  <c r="T227" i="35"/>
  <c r="P227" i="35"/>
  <c r="O227" i="35"/>
  <c r="D227" i="35"/>
  <c r="W226" i="35"/>
  <c r="Z226" i="35" s="1"/>
  <c r="AB226" i="35" s="1"/>
  <c r="T226" i="35"/>
  <c r="P226" i="35"/>
  <c r="O226" i="35"/>
  <c r="D226" i="35"/>
  <c r="W225" i="35"/>
  <c r="T225" i="35"/>
  <c r="P225" i="35"/>
  <c r="O225" i="35"/>
  <c r="D225" i="35"/>
  <c r="W224" i="35"/>
  <c r="Y224" i="35" s="1"/>
  <c r="T224" i="35"/>
  <c r="P224" i="35"/>
  <c r="O224" i="35"/>
  <c r="D224" i="35"/>
  <c r="W223" i="35"/>
  <c r="T223" i="35"/>
  <c r="P223" i="35"/>
  <c r="O223" i="35"/>
  <c r="D223" i="35"/>
  <c r="W222" i="35"/>
  <c r="BC222" i="35" s="1"/>
  <c r="T222" i="35"/>
  <c r="P222" i="35"/>
  <c r="O222" i="35"/>
  <c r="D222" i="35"/>
  <c r="W221" i="35"/>
  <c r="AQ221" i="35" s="1"/>
  <c r="T221" i="35"/>
  <c r="P221" i="35"/>
  <c r="O221" i="35"/>
  <c r="D221" i="35"/>
  <c r="W220" i="35"/>
  <c r="Z220" i="35" s="1"/>
  <c r="AB220" i="35" s="1"/>
  <c r="T220" i="35"/>
  <c r="P220" i="35"/>
  <c r="O220" i="35"/>
  <c r="D220" i="35"/>
  <c r="W219" i="35"/>
  <c r="T219" i="35"/>
  <c r="P219" i="35"/>
  <c r="O219" i="35"/>
  <c r="D219" i="35"/>
  <c r="W218" i="35"/>
  <c r="T218" i="35"/>
  <c r="P218" i="35"/>
  <c r="O218" i="35"/>
  <c r="D218" i="35"/>
  <c r="W217" i="35"/>
  <c r="T217" i="35"/>
  <c r="P217" i="35"/>
  <c r="O217" i="35"/>
  <c r="D217" i="35"/>
  <c r="W216" i="35"/>
  <c r="T216" i="35"/>
  <c r="P216" i="35"/>
  <c r="O216" i="35"/>
  <c r="D216" i="35"/>
  <c r="W215" i="35"/>
  <c r="AI215" i="35" s="1"/>
  <c r="T215" i="35"/>
  <c r="P215" i="35"/>
  <c r="O215" i="35"/>
  <c r="D215" i="35"/>
  <c r="W214" i="35"/>
  <c r="T214" i="35"/>
  <c r="P214" i="35"/>
  <c r="O214" i="35"/>
  <c r="D214" i="35"/>
  <c r="W213" i="35"/>
  <c r="T213" i="35"/>
  <c r="P213" i="35"/>
  <c r="O213" i="35"/>
  <c r="D213" i="35"/>
  <c r="W212" i="35"/>
  <c r="Z212" i="35" s="1"/>
  <c r="AB212" i="35" s="1"/>
  <c r="T212" i="35"/>
  <c r="P212" i="35"/>
  <c r="O212" i="35"/>
  <c r="D212" i="35"/>
  <c r="W211" i="35"/>
  <c r="T211" i="35"/>
  <c r="P211" i="35"/>
  <c r="O211" i="35"/>
  <c r="D211" i="35"/>
  <c r="W210" i="35"/>
  <c r="AI210" i="35" s="1"/>
  <c r="T210" i="35"/>
  <c r="P210" i="35"/>
  <c r="O210" i="35"/>
  <c r="D210" i="35"/>
  <c r="W209" i="35"/>
  <c r="Z209" i="35" s="1"/>
  <c r="AB209" i="35" s="1"/>
  <c r="T209" i="35"/>
  <c r="P209" i="35"/>
  <c r="O209" i="35"/>
  <c r="D209" i="35"/>
  <c r="W208" i="35"/>
  <c r="AE208" i="35" s="1"/>
  <c r="T208" i="35"/>
  <c r="P208" i="35"/>
  <c r="O208" i="35"/>
  <c r="D208" i="35"/>
  <c r="W207" i="35"/>
  <c r="Z207" i="35" s="1"/>
  <c r="AB207" i="35" s="1"/>
  <c r="T207" i="35"/>
  <c r="P207" i="35"/>
  <c r="O207" i="35"/>
  <c r="D207" i="35"/>
  <c r="W206" i="35"/>
  <c r="T206" i="35"/>
  <c r="P206" i="35"/>
  <c r="O206" i="35"/>
  <c r="D206" i="35"/>
  <c r="W205" i="35"/>
  <c r="AO205" i="35" s="1"/>
  <c r="T205" i="35"/>
  <c r="P205" i="35"/>
  <c r="O205" i="35"/>
  <c r="D205" i="35"/>
  <c r="W204" i="35"/>
  <c r="T204" i="35"/>
  <c r="P204" i="35"/>
  <c r="O204" i="35"/>
  <c r="D204" i="35"/>
  <c r="W203" i="35"/>
  <c r="AI203" i="35" s="1"/>
  <c r="T203" i="35"/>
  <c r="P203" i="35"/>
  <c r="O203" i="35"/>
  <c r="D203" i="35"/>
  <c r="W202" i="35"/>
  <c r="AO202" i="35" s="1"/>
  <c r="T202" i="35"/>
  <c r="P202" i="35"/>
  <c r="O202" i="35"/>
  <c r="D202" i="35"/>
  <c r="W201" i="35"/>
  <c r="BC201" i="35" s="1"/>
  <c r="T201" i="35"/>
  <c r="P201" i="35"/>
  <c r="O201" i="35"/>
  <c r="D201" i="35"/>
  <c r="W200" i="35"/>
  <c r="Z200" i="35" s="1"/>
  <c r="AB200" i="35" s="1"/>
  <c r="T200" i="35"/>
  <c r="P200" i="35"/>
  <c r="O200" i="35"/>
  <c r="D200" i="35"/>
  <c r="W199" i="35"/>
  <c r="AI199" i="35" s="1"/>
  <c r="T199" i="35"/>
  <c r="P199" i="35"/>
  <c r="O199" i="35"/>
  <c r="D199" i="35"/>
  <c r="W198" i="35"/>
  <c r="BC198" i="35" s="1"/>
  <c r="T198" i="35"/>
  <c r="P198" i="35"/>
  <c r="O198" i="35"/>
  <c r="D198" i="35"/>
  <c r="W197" i="35"/>
  <c r="V197" i="35"/>
  <c r="T197" i="35" s="1"/>
  <c r="P197" i="35"/>
  <c r="O197" i="35"/>
  <c r="D197" i="35"/>
  <c r="W196" i="35"/>
  <c r="AG196" i="35" s="1"/>
  <c r="V196" i="35"/>
  <c r="T196" i="35" s="1"/>
  <c r="P196" i="35"/>
  <c r="O196" i="35"/>
  <c r="D196" i="35"/>
  <c r="W195" i="35"/>
  <c r="Y195" i="35" s="1"/>
  <c r="V195" i="35"/>
  <c r="T195" i="35" s="1"/>
  <c r="P195" i="35"/>
  <c r="O195" i="35"/>
  <c r="D195" i="35"/>
  <c r="W194" i="35"/>
  <c r="AI194" i="35" s="1"/>
  <c r="T194" i="35"/>
  <c r="P194" i="35"/>
  <c r="O194" i="35"/>
  <c r="D194" i="35"/>
  <c r="W193" i="35"/>
  <c r="T193" i="35"/>
  <c r="P193" i="35"/>
  <c r="O193" i="35"/>
  <c r="D193" i="35"/>
  <c r="W192" i="35"/>
  <c r="AQ192" i="35" s="1"/>
  <c r="T192" i="35"/>
  <c r="P192" i="35"/>
  <c r="O192" i="35"/>
  <c r="D192" i="35"/>
  <c r="W191" i="35"/>
  <c r="T191" i="35"/>
  <c r="P191" i="35"/>
  <c r="O191" i="35"/>
  <c r="D191" i="35"/>
  <c r="W190" i="35"/>
  <c r="T190" i="35"/>
  <c r="P190" i="35"/>
  <c r="O190" i="35"/>
  <c r="D190" i="35"/>
  <c r="W189" i="35"/>
  <c r="T189" i="35"/>
  <c r="P189" i="35"/>
  <c r="O189" i="35"/>
  <c r="D189" i="35"/>
  <c r="W188" i="35"/>
  <c r="T188" i="35"/>
  <c r="P188" i="35"/>
  <c r="O188" i="35"/>
  <c r="D188" i="35"/>
  <c r="W187" i="35"/>
  <c r="T187" i="35"/>
  <c r="P187" i="35"/>
  <c r="O187" i="35"/>
  <c r="D187" i="35"/>
  <c r="W186" i="35"/>
  <c r="T186" i="35"/>
  <c r="P186" i="35"/>
  <c r="O186" i="35"/>
  <c r="D186" i="35"/>
  <c r="W185" i="35"/>
  <c r="T185" i="35"/>
  <c r="P185" i="35"/>
  <c r="O185" i="35"/>
  <c r="D185" i="35"/>
  <c r="W184" i="35"/>
  <c r="AO184" i="35" s="1"/>
  <c r="T184" i="35"/>
  <c r="P184" i="35"/>
  <c r="O184" i="35"/>
  <c r="D184" i="35"/>
  <c r="W183" i="35"/>
  <c r="AM183" i="35" s="1"/>
  <c r="T183" i="35"/>
  <c r="P183" i="35"/>
  <c r="O183" i="35"/>
  <c r="D183" i="35"/>
  <c r="W182" i="35"/>
  <c r="T182" i="35"/>
  <c r="P182" i="35"/>
  <c r="O182" i="35"/>
  <c r="D182" i="35"/>
  <c r="W181" i="35"/>
  <c r="T181" i="35"/>
  <c r="P181" i="35"/>
  <c r="O181" i="35"/>
  <c r="D181" i="35"/>
  <c r="W180" i="35"/>
  <c r="T180" i="35"/>
  <c r="P180" i="35"/>
  <c r="O180" i="35"/>
  <c r="D180" i="35"/>
  <c r="W179" i="35"/>
  <c r="AI179" i="35" s="1"/>
  <c r="T179" i="35"/>
  <c r="P179" i="35"/>
  <c r="O179" i="35"/>
  <c r="D179" i="35"/>
  <c r="W178" i="35"/>
  <c r="V178" i="35"/>
  <c r="T178" i="35" s="1"/>
  <c r="P178" i="35"/>
  <c r="O178" i="35"/>
  <c r="D178" i="35"/>
  <c r="W177" i="35"/>
  <c r="V177" i="35"/>
  <c r="T177" i="35" s="1"/>
  <c r="P177" i="35"/>
  <c r="O177" i="35"/>
  <c r="D177" i="35"/>
  <c r="W176" i="35"/>
  <c r="V176" i="35"/>
  <c r="T176" i="35" s="1"/>
  <c r="P176" i="35"/>
  <c r="O176" i="35"/>
  <c r="D176" i="35"/>
  <c r="W175" i="35"/>
  <c r="AG175" i="35" s="1"/>
  <c r="L175" i="35"/>
  <c r="O175" i="35" s="1"/>
  <c r="D175" i="35"/>
  <c r="W174" i="35"/>
  <c r="T174" i="35"/>
  <c r="P174" i="35"/>
  <c r="O174" i="35"/>
  <c r="D174" i="35"/>
  <c r="W173" i="35"/>
  <c r="Y173" i="35" s="1"/>
  <c r="T173" i="35"/>
  <c r="P173" i="35"/>
  <c r="O173" i="35"/>
  <c r="D173" i="35"/>
  <c r="W172" i="35"/>
  <c r="T172" i="35"/>
  <c r="P172" i="35"/>
  <c r="O172" i="35"/>
  <c r="D172" i="35"/>
  <c r="W171" i="35"/>
  <c r="AO171" i="35" s="1"/>
  <c r="T171" i="35"/>
  <c r="P171" i="35"/>
  <c r="O171" i="35"/>
  <c r="D171" i="35"/>
  <c r="W170" i="35"/>
  <c r="T170" i="35"/>
  <c r="P170" i="35"/>
  <c r="O170" i="35"/>
  <c r="D170" i="35"/>
  <c r="W169" i="35"/>
  <c r="T169" i="35"/>
  <c r="P169" i="35"/>
  <c r="O169" i="35"/>
  <c r="D169" i="35"/>
  <c r="W168" i="35"/>
  <c r="AO168" i="35" s="1"/>
  <c r="T168" i="35"/>
  <c r="P168" i="35"/>
  <c r="O168" i="35"/>
  <c r="D168" i="35"/>
  <c r="W167" i="35"/>
  <c r="T167" i="35"/>
  <c r="P167" i="35"/>
  <c r="O167" i="35"/>
  <c r="D167" i="35"/>
  <c r="W166" i="35"/>
  <c r="AM166" i="35" s="1"/>
  <c r="T166" i="35"/>
  <c r="P166" i="35"/>
  <c r="O166" i="35"/>
  <c r="D166" i="35"/>
  <c r="W165" i="35"/>
  <c r="AO165" i="35" s="1"/>
  <c r="T165" i="35"/>
  <c r="P165" i="35"/>
  <c r="O165" i="35"/>
  <c r="D165" i="35"/>
  <c r="W164" i="35"/>
  <c r="T164" i="35"/>
  <c r="P164" i="35"/>
  <c r="O164" i="35"/>
  <c r="D164" i="35"/>
  <c r="W163" i="35"/>
  <c r="T163" i="35"/>
  <c r="P163" i="35"/>
  <c r="O163" i="35"/>
  <c r="D163" i="35"/>
  <c r="W162" i="35"/>
  <c r="T162" i="35"/>
  <c r="P162" i="35"/>
  <c r="O162" i="35"/>
  <c r="D162" i="35"/>
  <c r="W161" i="35"/>
  <c r="AM161" i="35" s="1"/>
  <c r="T161" i="35"/>
  <c r="P161" i="35"/>
  <c r="O161" i="35"/>
  <c r="D161" i="35"/>
  <c r="W160" i="35"/>
  <c r="AO160" i="35" s="1"/>
  <c r="T160" i="35"/>
  <c r="P160" i="35"/>
  <c r="O160" i="35"/>
  <c r="D160" i="35"/>
  <c r="W159" i="35"/>
  <c r="BC159" i="35" s="1"/>
  <c r="T159" i="35"/>
  <c r="P159" i="35"/>
  <c r="O159" i="35"/>
  <c r="D159" i="35"/>
  <c r="W158" i="35"/>
  <c r="L158" i="35"/>
  <c r="D158" i="35"/>
  <c r="W157" i="35"/>
  <c r="AI157" i="35" s="1"/>
  <c r="T157" i="35"/>
  <c r="P157" i="35"/>
  <c r="O157" i="35"/>
  <c r="D157" i="35"/>
  <c r="W156" i="35"/>
  <c r="AI156" i="35" s="1"/>
  <c r="T156" i="35"/>
  <c r="P156" i="35"/>
  <c r="O156" i="35"/>
  <c r="D156" i="35"/>
  <c r="W155" i="35"/>
  <c r="AG155" i="35" s="1"/>
  <c r="T155" i="35"/>
  <c r="P155" i="35"/>
  <c r="O155" i="35"/>
  <c r="D155" i="35"/>
  <c r="W154" i="35"/>
  <c r="AG154" i="35" s="1"/>
  <c r="T154" i="35"/>
  <c r="P154" i="35"/>
  <c r="O154" i="35"/>
  <c r="D154" i="35"/>
  <c r="W153" i="35"/>
  <c r="T153" i="35"/>
  <c r="P153" i="35"/>
  <c r="O153" i="35"/>
  <c r="D153" i="35"/>
  <c r="W152" i="35"/>
  <c r="AO152" i="35" s="1"/>
  <c r="T152" i="35"/>
  <c r="P152" i="35"/>
  <c r="O152" i="35"/>
  <c r="D152" i="35"/>
  <c r="W151" i="35"/>
  <c r="AM151" i="35" s="1"/>
  <c r="T151" i="35"/>
  <c r="P151" i="35"/>
  <c r="O151" i="35"/>
  <c r="D151" i="35"/>
  <c r="W150" i="35"/>
  <c r="T150" i="35"/>
  <c r="P150" i="35"/>
  <c r="O150" i="35"/>
  <c r="D150" i="35"/>
  <c r="W149" i="35"/>
  <c r="AE149" i="35" s="1"/>
  <c r="T149" i="35"/>
  <c r="P149" i="35"/>
  <c r="O149" i="35"/>
  <c r="D149" i="35"/>
  <c r="W148" i="35"/>
  <c r="T148" i="35"/>
  <c r="P148" i="35"/>
  <c r="O148" i="35"/>
  <c r="D148" i="35"/>
  <c r="W147" i="35"/>
  <c r="T147" i="35"/>
  <c r="P147" i="35"/>
  <c r="O147" i="35"/>
  <c r="D147" i="35"/>
  <c r="W146" i="35"/>
  <c r="T146" i="35"/>
  <c r="P146" i="35"/>
  <c r="O146" i="35"/>
  <c r="D146" i="35"/>
  <c r="W145" i="35"/>
  <c r="AE145" i="35" s="1"/>
  <c r="T145" i="35"/>
  <c r="P145" i="35"/>
  <c r="O145" i="35"/>
  <c r="D145" i="35"/>
  <c r="W144" i="35"/>
  <c r="AQ144" i="35" s="1"/>
  <c r="V144" i="35"/>
  <c r="T144" i="35" s="1"/>
  <c r="P144" i="35"/>
  <c r="O144" i="35"/>
  <c r="D144" i="35"/>
  <c r="W143" i="35"/>
  <c r="V143" i="35"/>
  <c r="T143" i="35" s="1"/>
  <c r="P143" i="35"/>
  <c r="O143" i="35"/>
  <c r="D143" i="35"/>
  <c r="W142" i="35"/>
  <c r="V142" i="35"/>
  <c r="T142" i="35" s="1"/>
  <c r="P142" i="35"/>
  <c r="O142" i="35"/>
  <c r="D142" i="35"/>
  <c r="W141" i="35"/>
  <c r="Z141" i="35" s="1"/>
  <c r="AB141" i="35" s="1"/>
  <c r="T141" i="35"/>
  <c r="P141" i="35"/>
  <c r="O141" i="35"/>
  <c r="D141" i="35"/>
  <c r="W140" i="35"/>
  <c r="BC140" i="35" s="1"/>
  <c r="T140" i="35"/>
  <c r="P140" i="35"/>
  <c r="O140" i="35"/>
  <c r="D140" i="35"/>
  <c r="W139" i="35"/>
  <c r="AM139" i="35" s="1"/>
  <c r="T139" i="35"/>
  <c r="P139" i="35"/>
  <c r="O139" i="35"/>
  <c r="D139" i="35"/>
  <c r="W138" i="35"/>
  <c r="T138" i="35"/>
  <c r="P138" i="35"/>
  <c r="O138" i="35"/>
  <c r="D138" i="35"/>
  <c r="W137" i="35"/>
  <c r="Y137" i="35" s="1"/>
  <c r="T137" i="35"/>
  <c r="P137" i="35"/>
  <c r="O137" i="35"/>
  <c r="D137" i="35"/>
  <c r="W136" i="35"/>
  <c r="T136" i="35"/>
  <c r="P136" i="35"/>
  <c r="O136" i="35"/>
  <c r="D136" i="35"/>
  <c r="W135" i="35"/>
  <c r="AG135" i="35" s="1"/>
  <c r="T135" i="35"/>
  <c r="P135" i="35"/>
  <c r="O135" i="35"/>
  <c r="D135" i="35"/>
  <c r="W134" i="35"/>
  <c r="T134" i="35"/>
  <c r="P134" i="35"/>
  <c r="O134" i="35"/>
  <c r="D134" i="35"/>
  <c r="W133" i="35"/>
  <c r="AM133" i="35" s="1"/>
  <c r="T133" i="35"/>
  <c r="P133" i="35"/>
  <c r="O133" i="35"/>
  <c r="D133" i="35"/>
  <c r="W132" i="35"/>
  <c r="AM132" i="35" s="1"/>
  <c r="L132" i="35"/>
  <c r="D132" i="35"/>
  <c r="W131" i="35"/>
  <c r="BC131" i="35" s="1"/>
  <c r="T131" i="35"/>
  <c r="P131" i="35"/>
  <c r="O131" i="35"/>
  <c r="D131" i="35"/>
  <c r="W130" i="35"/>
  <c r="AO130" i="35" s="1"/>
  <c r="T130" i="35"/>
  <c r="P130" i="35"/>
  <c r="O130" i="35"/>
  <c r="D130" i="35"/>
  <c r="W129" i="35"/>
  <c r="AK129" i="35" s="1"/>
  <c r="T129" i="35"/>
  <c r="P129" i="35"/>
  <c r="O129" i="35"/>
  <c r="D129" i="35"/>
  <c r="W128" i="35"/>
  <c r="T128" i="35"/>
  <c r="P128" i="35"/>
  <c r="O128" i="35"/>
  <c r="D128" i="35"/>
  <c r="W127" i="35"/>
  <c r="AM127" i="35" s="1"/>
  <c r="T127" i="35"/>
  <c r="P127" i="35"/>
  <c r="O127" i="35"/>
  <c r="D127" i="35"/>
  <c r="W126" i="35"/>
  <c r="Y126" i="35" s="1"/>
  <c r="V126" i="35"/>
  <c r="T126" i="35" s="1"/>
  <c r="P126" i="35"/>
  <c r="O126" i="35"/>
  <c r="D126" i="35"/>
  <c r="W125" i="35"/>
  <c r="AI125" i="35" s="1"/>
  <c r="V125" i="35"/>
  <c r="T125" i="35" s="1"/>
  <c r="P125" i="35"/>
  <c r="O125" i="35"/>
  <c r="D125" i="35"/>
  <c r="W124" i="35"/>
  <c r="AE124" i="35" s="1"/>
  <c r="V124" i="35"/>
  <c r="T124" i="35" s="1"/>
  <c r="P124" i="35"/>
  <c r="O124" i="35"/>
  <c r="D124" i="35"/>
  <c r="W123" i="35"/>
  <c r="AO123" i="35" s="1"/>
  <c r="T123" i="35"/>
  <c r="P123" i="35"/>
  <c r="O123" i="35"/>
  <c r="D123" i="35"/>
  <c r="W122" i="35"/>
  <c r="AG122" i="35" s="1"/>
  <c r="T122" i="35"/>
  <c r="P122" i="35"/>
  <c r="O122" i="35"/>
  <c r="D122" i="35"/>
  <c r="W121" i="35"/>
  <c r="T121" i="35"/>
  <c r="P121" i="35"/>
  <c r="O121" i="35"/>
  <c r="D121" i="35"/>
  <c r="W120" i="35"/>
  <c r="AM120" i="35" s="1"/>
  <c r="T120" i="35"/>
  <c r="P120" i="35"/>
  <c r="O120" i="35"/>
  <c r="D120" i="35"/>
  <c r="W119" i="35"/>
  <c r="Z119" i="35" s="1"/>
  <c r="AB119" i="35" s="1"/>
  <c r="T119" i="35"/>
  <c r="P119" i="35"/>
  <c r="O119" i="35"/>
  <c r="D119" i="35"/>
  <c r="W118" i="35"/>
  <c r="AO118" i="35" s="1"/>
  <c r="T118" i="35"/>
  <c r="P118" i="35"/>
  <c r="O118" i="35"/>
  <c r="D118" i="35"/>
  <c r="W117" i="35"/>
  <c r="AM117" i="35" s="1"/>
  <c r="T117" i="35"/>
  <c r="P117" i="35"/>
  <c r="O117" i="35"/>
  <c r="D117" i="35"/>
  <c r="W116" i="35"/>
  <c r="T116" i="35"/>
  <c r="P116" i="35"/>
  <c r="O116" i="35"/>
  <c r="D116" i="35"/>
  <c r="W115" i="35"/>
  <c r="T115" i="35"/>
  <c r="P115" i="35"/>
  <c r="O115" i="35"/>
  <c r="D115" i="35"/>
  <c r="W114" i="35"/>
  <c r="AQ114" i="35" s="1"/>
  <c r="T114" i="35"/>
  <c r="P114" i="35"/>
  <c r="O114" i="35"/>
  <c r="D114" i="35"/>
  <c r="W113" i="35"/>
  <c r="AI113" i="35" s="1"/>
  <c r="T113" i="35"/>
  <c r="P113" i="35"/>
  <c r="O113" i="35"/>
  <c r="D113" i="35"/>
  <c r="W112" i="35"/>
  <c r="AG112" i="35" s="1"/>
  <c r="T112" i="35"/>
  <c r="P112" i="35"/>
  <c r="O112" i="35"/>
  <c r="D112" i="35"/>
  <c r="W111" i="35"/>
  <c r="T111" i="35"/>
  <c r="P111" i="35"/>
  <c r="O111" i="35"/>
  <c r="D111" i="35"/>
  <c r="W110" i="35"/>
  <c r="T110" i="35"/>
  <c r="P110" i="35"/>
  <c r="O110" i="35"/>
  <c r="D110" i="35"/>
  <c r="W109" i="35"/>
  <c r="T109" i="35"/>
  <c r="P109" i="35"/>
  <c r="O109" i="35"/>
  <c r="D109" i="35"/>
  <c r="W108" i="35"/>
  <c r="T108" i="35"/>
  <c r="P108" i="35"/>
  <c r="O108" i="35"/>
  <c r="D108" i="35"/>
  <c r="W107" i="35"/>
  <c r="AI107" i="35" s="1"/>
  <c r="T107" i="35"/>
  <c r="P107" i="35"/>
  <c r="O107" i="35"/>
  <c r="D107" i="35"/>
  <c r="W106" i="35"/>
  <c r="T106" i="35"/>
  <c r="P106" i="35"/>
  <c r="O106" i="35"/>
  <c r="D106" i="35"/>
  <c r="W105" i="35"/>
  <c r="AK105" i="35" s="1"/>
  <c r="T105" i="35"/>
  <c r="P105" i="35"/>
  <c r="O105" i="35"/>
  <c r="D105" i="35"/>
  <c r="W104" i="35"/>
  <c r="AO104" i="35" s="1"/>
  <c r="T104" i="35"/>
  <c r="P104" i="35"/>
  <c r="O104" i="35"/>
  <c r="D104" i="35"/>
  <c r="W103" i="35"/>
  <c r="AE103" i="35" s="1"/>
  <c r="T103" i="35"/>
  <c r="P103" i="35"/>
  <c r="O103" i="35"/>
  <c r="D103" i="35"/>
  <c r="W102" i="35"/>
  <c r="T102" i="35"/>
  <c r="P102" i="35"/>
  <c r="O102" i="35"/>
  <c r="D102" i="35"/>
  <c r="W101" i="35"/>
  <c r="T101" i="35"/>
  <c r="P101" i="35"/>
  <c r="O101" i="35"/>
  <c r="D101" i="35"/>
  <c r="W100" i="35"/>
  <c r="T100" i="35"/>
  <c r="P100" i="35"/>
  <c r="O100" i="35"/>
  <c r="D100" i="35"/>
  <c r="W99" i="35"/>
  <c r="T99" i="35"/>
  <c r="P99" i="35"/>
  <c r="O99" i="35"/>
  <c r="D99" i="35"/>
  <c r="W98" i="35"/>
  <c r="T98" i="35"/>
  <c r="P98" i="35"/>
  <c r="O98" i="35"/>
  <c r="D98" i="35"/>
  <c r="W97" i="35"/>
  <c r="T97" i="35"/>
  <c r="P97" i="35"/>
  <c r="O97" i="35"/>
  <c r="D97" i="35"/>
  <c r="W96" i="35"/>
  <c r="AQ96" i="35" s="1"/>
  <c r="T96" i="35"/>
  <c r="P96" i="35"/>
  <c r="O96" i="35"/>
  <c r="D96" i="35"/>
  <c r="W95" i="35"/>
  <c r="T95" i="35"/>
  <c r="P95" i="35"/>
  <c r="O95" i="35"/>
  <c r="D95" i="35"/>
  <c r="W94" i="35"/>
  <c r="AQ94" i="35" s="1"/>
  <c r="T94" i="35"/>
  <c r="P94" i="35"/>
  <c r="O94" i="35"/>
  <c r="D94" i="35"/>
  <c r="W93" i="35"/>
  <c r="V93" i="35"/>
  <c r="T93" i="35" s="1"/>
  <c r="P93" i="35"/>
  <c r="O93" i="35"/>
  <c r="D93" i="35"/>
  <c r="W92" i="35"/>
  <c r="AI92" i="35" s="1"/>
  <c r="V92" i="35"/>
  <c r="T92" i="35" s="1"/>
  <c r="P92" i="35"/>
  <c r="O92" i="35"/>
  <c r="D92" i="35"/>
  <c r="W91" i="35"/>
  <c r="AO91" i="35" s="1"/>
  <c r="V91" i="35"/>
  <c r="T91" i="35" s="1"/>
  <c r="P91" i="35"/>
  <c r="O91" i="35"/>
  <c r="D91" i="35"/>
  <c r="W90" i="35"/>
  <c r="AI90" i="35" s="1"/>
  <c r="T90" i="35"/>
  <c r="P90" i="35"/>
  <c r="O90" i="35"/>
  <c r="D90" i="35"/>
  <c r="W89" i="35"/>
  <c r="AO89" i="35" s="1"/>
  <c r="T89" i="35"/>
  <c r="P89" i="35"/>
  <c r="O89" i="35"/>
  <c r="D89" i="35"/>
  <c r="W88" i="35"/>
  <c r="AG88" i="35" s="1"/>
  <c r="T88" i="35"/>
  <c r="P88" i="35"/>
  <c r="O88" i="35"/>
  <c r="D88" i="35"/>
  <c r="W87" i="35"/>
  <c r="AG87" i="35" s="1"/>
  <c r="T87" i="35"/>
  <c r="P87" i="35"/>
  <c r="O87" i="35"/>
  <c r="D87" i="35"/>
  <c r="W86" i="35"/>
  <c r="T86" i="35"/>
  <c r="P86" i="35"/>
  <c r="O86" i="35"/>
  <c r="D86" i="35"/>
  <c r="W85" i="35"/>
  <c r="T85" i="35"/>
  <c r="P85" i="35"/>
  <c r="O85" i="35"/>
  <c r="D85" i="35"/>
  <c r="W84" i="35"/>
  <c r="AK84" i="35" s="1"/>
  <c r="L84" i="35"/>
  <c r="T84" i="35" s="1"/>
  <c r="D84" i="35"/>
  <c r="W83" i="35"/>
  <c r="T83" i="35"/>
  <c r="P83" i="35"/>
  <c r="O83" i="35"/>
  <c r="D83" i="35"/>
  <c r="W82" i="35"/>
  <c r="AI82" i="35" s="1"/>
  <c r="T82" i="35"/>
  <c r="P82" i="35"/>
  <c r="O82" i="35"/>
  <c r="D82" i="35"/>
  <c r="W81" i="35"/>
  <c r="AQ81" i="35" s="1"/>
  <c r="T81" i="35"/>
  <c r="P81" i="35"/>
  <c r="O81" i="35"/>
  <c r="D81" i="35"/>
  <c r="W80" i="35"/>
  <c r="T80" i="35"/>
  <c r="P80" i="35"/>
  <c r="O80" i="35"/>
  <c r="D80" i="35"/>
  <c r="W79" i="35"/>
  <c r="AE79" i="35" s="1"/>
  <c r="T79" i="35"/>
  <c r="P79" i="35"/>
  <c r="O79" i="35"/>
  <c r="D79" i="35"/>
  <c r="W78" i="35"/>
  <c r="AG78" i="35" s="1"/>
  <c r="V78" i="35"/>
  <c r="T78" i="35" s="1"/>
  <c r="P78" i="35"/>
  <c r="O78" i="35"/>
  <c r="D78" i="35"/>
  <c r="W77" i="35"/>
  <c r="AK77" i="35" s="1"/>
  <c r="V77" i="35"/>
  <c r="T77" i="35" s="1"/>
  <c r="P77" i="35"/>
  <c r="O77" i="35"/>
  <c r="D77" i="35"/>
  <c r="W76" i="35"/>
  <c r="V76" i="35"/>
  <c r="T76" i="35" s="1"/>
  <c r="P76" i="35"/>
  <c r="O76" i="35"/>
  <c r="D76" i="35"/>
  <c r="W75" i="35"/>
  <c r="T75" i="35"/>
  <c r="P75" i="35"/>
  <c r="O75" i="35"/>
  <c r="D75" i="35"/>
  <c r="W74" i="35"/>
  <c r="AG74" i="35" s="1"/>
  <c r="T74" i="35"/>
  <c r="P74" i="35"/>
  <c r="O74" i="35"/>
  <c r="D74" i="35"/>
  <c r="W73" i="35"/>
  <c r="T73" i="35"/>
  <c r="P73" i="35"/>
  <c r="O73" i="35"/>
  <c r="D73" i="35"/>
  <c r="W72" i="35"/>
  <c r="T72" i="35"/>
  <c r="P72" i="35"/>
  <c r="O72" i="35"/>
  <c r="D72" i="35"/>
  <c r="W71" i="35"/>
  <c r="AK71" i="35" s="1"/>
  <c r="T71" i="35"/>
  <c r="P71" i="35"/>
  <c r="O71" i="35"/>
  <c r="D71" i="35"/>
  <c r="W70" i="35"/>
  <c r="T70" i="35"/>
  <c r="P70" i="35"/>
  <c r="O70" i="35"/>
  <c r="D70" i="35"/>
  <c r="W69" i="35"/>
  <c r="AG69" i="35" s="1"/>
  <c r="T69" i="35"/>
  <c r="P69" i="35"/>
  <c r="O69" i="35"/>
  <c r="D69" i="35"/>
  <c r="W68" i="35"/>
  <c r="AG68" i="35" s="1"/>
  <c r="T68" i="35"/>
  <c r="P68" i="35"/>
  <c r="O68" i="35"/>
  <c r="D68" i="35"/>
  <c r="W67" i="35"/>
  <c r="T67" i="35"/>
  <c r="P67" i="35"/>
  <c r="O67" i="35"/>
  <c r="D67" i="35"/>
  <c r="W66" i="35"/>
  <c r="T66" i="35"/>
  <c r="P66" i="35"/>
  <c r="O66" i="35"/>
  <c r="D66" i="35"/>
  <c r="W65" i="35"/>
  <c r="Y65" i="35" s="1"/>
  <c r="T65" i="35"/>
  <c r="P65" i="35"/>
  <c r="O65" i="35"/>
  <c r="D65" i="35"/>
  <c r="W64" i="35"/>
  <c r="T64" i="35"/>
  <c r="P64" i="35"/>
  <c r="O64" i="35"/>
  <c r="D64" i="35"/>
  <c r="W63" i="35"/>
  <c r="T63" i="35"/>
  <c r="P63" i="35"/>
  <c r="O63" i="35"/>
  <c r="D63" i="35"/>
  <c r="W62" i="35"/>
  <c r="Y62" i="35" s="1"/>
  <c r="T62" i="35"/>
  <c r="P62" i="35"/>
  <c r="O62" i="35"/>
  <c r="D62" i="35"/>
  <c r="W61" i="35"/>
  <c r="BC61" i="35" s="1"/>
  <c r="T61" i="35"/>
  <c r="P61" i="35"/>
  <c r="O61" i="35"/>
  <c r="D61" i="35"/>
  <c r="W60" i="35"/>
  <c r="Z60" i="35" s="1"/>
  <c r="AB60" i="35" s="1"/>
  <c r="T60" i="35"/>
  <c r="P60" i="35"/>
  <c r="O60" i="35"/>
  <c r="D60" i="35"/>
  <c r="W59" i="35"/>
  <c r="T59" i="35"/>
  <c r="P59" i="35"/>
  <c r="O59" i="35"/>
  <c r="D59" i="35"/>
  <c r="W58" i="35"/>
  <c r="T58" i="35"/>
  <c r="P58" i="35"/>
  <c r="O58" i="35"/>
  <c r="D58" i="35"/>
  <c r="W57" i="35"/>
  <c r="T57" i="35"/>
  <c r="P57" i="35"/>
  <c r="O57" i="35"/>
  <c r="D57" i="35"/>
  <c r="W56" i="35"/>
  <c r="BC56" i="35" s="1"/>
  <c r="T56" i="35"/>
  <c r="P56" i="35"/>
  <c r="O56" i="35"/>
  <c r="D56" i="35"/>
  <c r="W55" i="35"/>
  <c r="T55" i="35"/>
  <c r="P55" i="35"/>
  <c r="O55" i="35"/>
  <c r="D55" i="35"/>
  <c r="W54" i="35"/>
  <c r="T54" i="35"/>
  <c r="P54" i="35"/>
  <c r="O54" i="35"/>
  <c r="D54" i="35"/>
  <c r="W53" i="35"/>
  <c r="AE53" i="35" s="1"/>
  <c r="T53" i="35"/>
  <c r="P53" i="35"/>
  <c r="O53" i="35"/>
  <c r="D53" i="35"/>
  <c r="W52" i="35"/>
  <c r="T52" i="35"/>
  <c r="P52" i="35"/>
  <c r="O52" i="35"/>
  <c r="D52" i="35"/>
  <c r="W51" i="35"/>
  <c r="T51" i="35"/>
  <c r="P51" i="35"/>
  <c r="O51" i="35"/>
  <c r="D51" i="35"/>
  <c r="W50" i="35"/>
  <c r="T50" i="35"/>
  <c r="P50" i="35"/>
  <c r="O50" i="35"/>
  <c r="D50" i="35"/>
  <c r="W49" i="35"/>
  <c r="T49" i="35"/>
  <c r="P49" i="35"/>
  <c r="O49" i="35"/>
  <c r="D49" i="35"/>
  <c r="W48" i="35"/>
  <c r="AK48" i="35" s="1"/>
  <c r="T48" i="35"/>
  <c r="P48" i="35"/>
  <c r="O48" i="35"/>
  <c r="D48" i="35"/>
  <c r="W47" i="35"/>
  <c r="V47" i="35"/>
  <c r="T47" i="35" s="1"/>
  <c r="P47" i="35"/>
  <c r="O47" i="35"/>
  <c r="D47" i="35"/>
  <c r="W46" i="35"/>
  <c r="V46" i="35"/>
  <c r="T46" i="35" s="1"/>
  <c r="P46" i="35"/>
  <c r="O46" i="35"/>
  <c r="D46" i="35"/>
  <c r="W45" i="35"/>
  <c r="V45" i="35"/>
  <c r="T45" i="35" s="1"/>
  <c r="P45" i="35"/>
  <c r="O45" i="35"/>
  <c r="D45" i="35"/>
  <c r="W44" i="35"/>
  <c r="AI44" i="35" s="1"/>
  <c r="T44" i="35"/>
  <c r="P44" i="35"/>
  <c r="O44" i="35"/>
  <c r="D44" i="35"/>
  <c r="W43" i="35"/>
  <c r="AE43" i="35" s="1"/>
  <c r="T43" i="35"/>
  <c r="P43" i="35"/>
  <c r="O43" i="35"/>
  <c r="D43" i="35"/>
  <c r="W42" i="35"/>
  <c r="Z42" i="35" s="1"/>
  <c r="AB42" i="35" s="1"/>
  <c r="T42" i="35"/>
  <c r="P42" i="35"/>
  <c r="O42" i="35"/>
  <c r="D42" i="35"/>
  <c r="W41" i="35"/>
  <c r="T41" i="35"/>
  <c r="P41" i="35"/>
  <c r="O41" i="35"/>
  <c r="D41" i="35"/>
  <c r="W40" i="35"/>
  <c r="AG40" i="35" s="1"/>
  <c r="T40" i="35"/>
  <c r="P40" i="35"/>
  <c r="O40" i="35"/>
  <c r="D40" i="35"/>
  <c r="W39" i="35"/>
  <c r="T39" i="35"/>
  <c r="P39" i="35"/>
  <c r="O39" i="35"/>
  <c r="D39" i="35"/>
  <c r="W38" i="35"/>
  <c r="T38" i="35"/>
  <c r="P38" i="35"/>
  <c r="O38" i="35"/>
  <c r="D38" i="35"/>
  <c r="W37" i="35"/>
  <c r="T37" i="35"/>
  <c r="P37" i="35"/>
  <c r="O37" i="35"/>
  <c r="D37" i="35"/>
  <c r="W36" i="35"/>
  <c r="AQ36" i="35" s="1"/>
  <c r="T36" i="35"/>
  <c r="P36" i="35"/>
  <c r="O36" i="35"/>
  <c r="D36" i="35"/>
  <c r="W35" i="35"/>
  <c r="T35" i="35"/>
  <c r="P35" i="35"/>
  <c r="O35" i="35"/>
  <c r="D35" i="35"/>
  <c r="W34" i="35"/>
  <c r="V34" i="35"/>
  <c r="T34" i="35" s="1"/>
  <c r="P34" i="35"/>
  <c r="O34" i="35"/>
  <c r="D34" i="35"/>
  <c r="W33" i="35"/>
  <c r="V33" i="35"/>
  <c r="T33" i="35" s="1"/>
  <c r="P33" i="35"/>
  <c r="O33" i="35"/>
  <c r="D33" i="35"/>
  <c r="W32" i="35"/>
  <c r="AM32" i="35" s="1"/>
  <c r="V32" i="35"/>
  <c r="T32" i="35" s="1"/>
  <c r="P32" i="35"/>
  <c r="O32" i="35"/>
  <c r="D32" i="35"/>
  <c r="W31" i="35"/>
  <c r="T31" i="35"/>
  <c r="P31" i="35"/>
  <c r="O31" i="35"/>
  <c r="D31" i="35"/>
  <c r="A31" i="35"/>
  <c r="W30" i="35"/>
  <c r="T30" i="35"/>
  <c r="P30" i="35"/>
  <c r="O30" i="35"/>
  <c r="D30" i="35"/>
  <c r="W29" i="35"/>
  <c r="Y29" i="35" s="1"/>
  <c r="T29" i="35"/>
  <c r="P29" i="35"/>
  <c r="O29" i="35"/>
  <c r="D29" i="35"/>
  <c r="W28" i="35"/>
  <c r="T28" i="35"/>
  <c r="P28" i="35"/>
  <c r="O28" i="35"/>
  <c r="D28" i="35"/>
  <c r="A28" i="35"/>
  <c r="W27" i="35"/>
  <c r="AK27" i="35" s="1"/>
  <c r="T27" i="35"/>
  <c r="P27" i="35"/>
  <c r="O27" i="35"/>
  <c r="D27" i="35"/>
  <c r="W26" i="35"/>
  <c r="T26" i="35"/>
  <c r="P26" i="35"/>
  <c r="O26" i="35"/>
  <c r="D26" i="35"/>
  <c r="W25" i="35"/>
  <c r="T25" i="35"/>
  <c r="P25" i="35"/>
  <c r="O25" i="35"/>
  <c r="D25" i="35"/>
  <c r="W24" i="35"/>
  <c r="AM24" i="35" s="1"/>
  <c r="T24" i="35"/>
  <c r="P24" i="35"/>
  <c r="O24" i="35"/>
  <c r="D24" i="35"/>
  <c r="W23" i="35"/>
  <c r="Z23" i="35" s="1"/>
  <c r="AB23" i="35" s="1"/>
  <c r="T23" i="35"/>
  <c r="P23" i="35"/>
  <c r="O23" i="35"/>
  <c r="D23" i="35"/>
  <c r="W22" i="35"/>
  <c r="T22" i="35"/>
  <c r="P22" i="35"/>
  <c r="O22" i="35"/>
  <c r="D22" i="35"/>
  <c r="W21" i="35"/>
  <c r="T21" i="35"/>
  <c r="P21" i="35"/>
  <c r="O21" i="35"/>
  <c r="D21" i="35"/>
  <c r="A21" i="35"/>
  <c r="W20" i="35"/>
  <c r="AM20" i="35" s="1"/>
  <c r="T20" i="35"/>
  <c r="P20" i="35"/>
  <c r="O20" i="35"/>
  <c r="D20" i="35"/>
  <c r="W19" i="35"/>
  <c r="AE19" i="35" s="1"/>
  <c r="T19" i="35"/>
  <c r="P19" i="35"/>
  <c r="O19" i="35"/>
  <c r="D19" i="35"/>
  <c r="W18" i="35"/>
  <c r="Y18" i="35" s="1"/>
  <c r="T18" i="35"/>
  <c r="P18" i="35"/>
  <c r="O18" i="35"/>
  <c r="D18" i="35"/>
  <c r="W17" i="35"/>
  <c r="AQ17" i="35" s="1"/>
  <c r="L17" i="35"/>
  <c r="P17" i="35" s="1"/>
  <c r="D17" i="35"/>
  <c r="W16" i="35"/>
  <c r="T16" i="35"/>
  <c r="P16" i="35"/>
  <c r="O16" i="35"/>
  <c r="D16" i="35"/>
  <c r="W15" i="35"/>
  <c r="AK15" i="35" s="1"/>
  <c r="T15" i="35"/>
  <c r="P15" i="35"/>
  <c r="O15" i="35"/>
  <c r="D15" i="35"/>
  <c r="W14" i="35"/>
  <c r="Z14" i="35" s="1"/>
  <c r="AB14" i="35" s="1"/>
  <c r="T14" i="35"/>
  <c r="P14" i="35"/>
  <c r="O14" i="35"/>
  <c r="D14" i="35"/>
  <c r="W13" i="35"/>
  <c r="T13" i="35"/>
  <c r="P13" i="35"/>
  <c r="O13" i="35"/>
  <c r="D13" i="35"/>
  <c r="W12" i="35"/>
  <c r="V12" i="35"/>
  <c r="T12" i="35" s="1"/>
  <c r="P12" i="35"/>
  <c r="O12" i="35"/>
  <c r="D12" i="35"/>
  <c r="W11" i="35"/>
  <c r="V11" i="35"/>
  <c r="T11" i="35" s="1"/>
  <c r="P11" i="35"/>
  <c r="O11" i="35"/>
  <c r="D11" i="35"/>
  <c r="W10" i="35"/>
  <c r="AG10" i="35" s="1"/>
  <c r="V10" i="35"/>
  <c r="T10" i="35" s="1"/>
  <c r="P10" i="35"/>
  <c r="O10" i="35"/>
  <c r="D10" i="35"/>
  <c r="W9" i="35"/>
  <c r="T9" i="35"/>
  <c r="P9" i="35"/>
  <c r="O9" i="35"/>
  <c r="D9" i="35"/>
  <c r="W8" i="35"/>
  <c r="AI8" i="35" s="1"/>
  <c r="T8" i="35"/>
  <c r="P8" i="35"/>
  <c r="O8" i="35"/>
  <c r="D8" i="35"/>
  <c r="W7" i="35"/>
  <c r="AG7" i="35" s="1"/>
  <c r="T7" i="35"/>
  <c r="P7" i="35"/>
  <c r="O7" i="35"/>
  <c r="D7" i="35"/>
  <c r="BE4" i="35"/>
  <c r="AS4" i="35"/>
  <c r="BZ3" i="35"/>
  <c r="BX3" i="35"/>
  <c r="BV3" i="35"/>
  <c r="BT3" i="35"/>
  <c r="BR3" i="35"/>
  <c r="BP3" i="35"/>
  <c r="BN3" i="35"/>
  <c r="BL3" i="35"/>
  <c r="BJ3" i="35"/>
  <c r="BH3" i="35"/>
  <c r="BF3" i="35"/>
  <c r="BD3" i="35"/>
  <c r="BB3" i="35"/>
  <c r="AZ3" i="35"/>
  <c r="AX3" i="35"/>
  <c r="AV3" i="35"/>
  <c r="AT3" i="35"/>
  <c r="AR3" i="35"/>
  <c r="AP3" i="35"/>
  <c r="AN3" i="35"/>
  <c r="AL3" i="35"/>
  <c r="AJ3" i="35"/>
  <c r="AH3" i="35"/>
  <c r="AF3" i="35"/>
  <c r="U3" i="35"/>
  <c r="N3" i="35"/>
  <c r="M3" i="35"/>
  <c r="L3" i="35"/>
  <c r="Q66" i="23"/>
  <c r="R66" i="23" s="1"/>
  <c r="O66" i="23"/>
  <c r="N66" i="23"/>
  <c r="Q65" i="23"/>
  <c r="R65" i="23" s="1"/>
  <c r="O65" i="23"/>
  <c r="N65" i="23"/>
  <c r="Q64" i="23"/>
  <c r="R64" i="23" s="1"/>
  <c r="O64" i="23"/>
  <c r="N64" i="23"/>
  <c r="Q63" i="23"/>
  <c r="R63" i="23" s="1"/>
  <c r="O63" i="23"/>
  <c r="N63" i="23"/>
  <c r="Q62" i="23"/>
  <c r="R62" i="23" s="1"/>
  <c r="O62" i="23"/>
  <c r="N62" i="23"/>
  <c r="Q61" i="23"/>
  <c r="R61" i="23" s="1"/>
  <c r="O61" i="23"/>
  <c r="N61" i="23"/>
  <c r="Q60" i="23"/>
  <c r="R60" i="23" s="1"/>
  <c r="O60" i="23"/>
  <c r="N60" i="23"/>
  <c r="Q59" i="23"/>
  <c r="R59" i="23" s="1"/>
  <c r="O59" i="23"/>
  <c r="N59" i="23"/>
  <c r="Q58" i="23"/>
  <c r="R58" i="23" s="1"/>
  <c r="O58" i="23"/>
  <c r="N58" i="23"/>
  <c r="Q57" i="23"/>
  <c r="R57" i="23" s="1"/>
  <c r="O57" i="23"/>
  <c r="N57" i="23"/>
  <c r="Q56" i="23"/>
  <c r="R56" i="23" s="1"/>
  <c r="O56" i="23"/>
  <c r="N56" i="23"/>
  <c r="Q55" i="23"/>
  <c r="R55" i="23" s="1"/>
  <c r="O55" i="23"/>
  <c r="N55" i="23"/>
  <c r="Q54" i="23"/>
  <c r="R54" i="23" s="1"/>
  <c r="O54" i="23"/>
  <c r="N54" i="23"/>
  <c r="Q53" i="23"/>
  <c r="R53" i="23" s="1"/>
  <c r="O53" i="23"/>
  <c r="N53" i="23"/>
  <c r="Q52" i="23"/>
  <c r="R52" i="23" s="1"/>
  <c r="O52" i="23"/>
  <c r="N52" i="23"/>
  <c r="Q51" i="23"/>
  <c r="R51" i="23" s="1"/>
  <c r="O51" i="23"/>
  <c r="N51" i="23"/>
  <c r="Q50" i="23"/>
  <c r="R50" i="23" s="1"/>
  <c r="O50" i="23"/>
  <c r="N50" i="23"/>
  <c r="Q49" i="23"/>
  <c r="R49" i="23" s="1"/>
  <c r="O49" i="23"/>
  <c r="N49" i="23"/>
  <c r="S305" i="20"/>
  <c r="S304" i="20"/>
  <c r="J410" i="20"/>
  <c r="J289" i="20"/>
  <c r="N289" i="20" s="1"/>
  <c r="J144" i="20"/>
  <c r="P144" i="20" s="1"/>
  <c r="G24" i="24"/>
  <c r="H24" i="24" s="1"/>
  <c r="G18" i="24"/>
  <c r="H18" i="24" s="1"/>
  <c r="G17" i="24"/>
  <c r="H17" i="24" s="1"/>
  <c r="G16" i="24"/>
  <c r="H16" i="24" s="1"/>
  <c r="G15" i="24"/>
  <c r="H15" i="24" s="1"/>
  <c r="G14" i="24"/>
  <c r="H14" i="24" s="1"/>
  <c r="G25" i="24"/>
  <c r="H25" i="24" s="1"/>
  <c r="G26" i="24"/>
  <c r="H26" i="24" s="1"/>
  <c r="G27" i="24"/>
  <c r="H27" i="24" s="1"/>
  <c r="G23" i="24"/>
  <c r="H23" i="24" s="1"/>
  <c r="H6" i="24"/>
  <c r="H36" i="24"/>
  <c r="H35" i="24"/>
  <c r="H34" i="24"/>
  <c r="H33" i="24"/>
  <c r="G9" i="24"/>
  <c r="H9" i="24" s="1"/>
  <c r="G8" i="24"/>
  <c r="H8" i="24" s="1"/>
  <c r="G7" i="24"/>
  <c r="H7" i="24" s="1"/>
  <c r="S652" i="20"/>
  <c r="P652" i="20"/>
  <c r="N652" i="20"/>
  <c r="M652" i="20"/>
  <c r="D652" i="20"/>
  <c r="S651" i="20"/>
  <c r="AM651" i="20" s="1"/>
  <c r="P651" i="20"/>
  <c r="N651" i="20"/>
  <c r="M651" i="20"/>
  <c r="D651" i="20"/>
  <c r="S637" i="20"/>
  <c r="AK637" i="20" s="1"/>
  <c r="P637" i="20"/>
  <c r="N637" i="20"/>
  <c r="M637" i="20"/>
  <c r="D637" i="20"/>
  <c r="S636" i="20"/>
  <c r="AY636" i="20" s="1"/>
  <c r="P636" i="20"/>
  <c r="N636" i="20"/>
  <c r="M636" i="20"/>
  <c r="D636" i="20"/>
  <c r="Q3" i="20"/>
  <c r="K3" i="20"/>
  <c r="L3" i="20"/>
  <c r="D574" i="20"/>
  <c r="M574" i="20"/>
  <c r="N574" i="20"/>
  <c r="P574" i="20"/>
  <c r="S574" i="20"/>
  <c r="D575" i="20"/>
  <c r="M575" i="20"/>
  <c r="N575" i="20"/>
  <c r="P575" i="20"/>
  <c r="S575" i="20"/>
  <c r="D576" i="20"/>
  <c r="M576" i="20"/>
  <c r="N576" i="20"/>
  <c r="P576" i="20"/>
  <c r="S576" i="20"/>
  <c r="AE576" i="20" s="1"/>
  <c r="D577" i="20"/>
  <c r="M577" i="20"/>
  <c r="N577" i="20"/>
  <c r="P577" i="20"/>
  <c r="S577" i="20"/>
  <c r="AA577" i="20" s="1"/>
  <c r="D578" i="20"/>
  <c r="M578" i="20"/>
  <c r="N578" i="20"/>
  <c r="P578" i="20"/>
  <c r="S578" i="20"/>
  <c r="AC578" i="20" s="1"/>
  <c r="D579" i="20"/>
  <c r="M579" i="20"/>
  <c r="N579" i="20"/>
  <c r="P579" i="20"/>
  <c r="S579" i="20"/>
  <c r="AY579" i="20" s="1"/>
  <c r="D589" i="20"/>
  <c r="M589" i="20"/>
  <c r="N589" i="20"/>
  <c r="P589" i="20"/>
  <c r="S589" i="20"/>
  <c r="AY589" i="20" s="1"/>
  <c r="D590" i="20"/>
  <c r="M590" i="20"/>
  <c r="N590" i="20"/>
  <c r="P590" i="20"/>
  <c r="S590" i="20"/>
  <c r="AY590" i="20" s="1"/>
  <c r="D591" i="20"/>
  <c r="M591" i="20"/>
  <c r="N591" i="20"/>
  <c r="P591" i="20"/>
  <c r="S591" i="20"/>
  <c r="U591" i="20" s="1"/>
  <c r="D592" i="20"/>
  <c r="M592" i="20"/>
  <c r="N592" i="20"/>
  <c r="P592" i="20"/>
  <c r="S592" i="20"/>
  <c r="AG592" i="20" s="1"/>
  <c r="D593" i="20"/>
  <c r="M593" i="20"/>
  <c r="N593" i="20"/>
  <c r="P593" i="20"/>
  <c r="S593" i="20"/>
  <c r="AM593" i="20" s="1"/>
  <c r="D594" i="20"/>
  <c r="M594" i="20"/>
  <c r="N594" i="20"/>
  <c r="P594" i="20"/>
  <c r="S594" i="20"/>
  <c r="AC594" i="20" s="1"/>
  <c r="D595" i="20"/>
  <c r="M595" i="20"/>
  <c r="N595" i="20"/>
  <c r="P595" i="20"/>
  <c r="S595" i="20"/>
  <c r="D596" i="20"/>
  <c r="M596" i="20"/>
  <c r="N596" i="20"/>
  <c r="P596" i="20"/>
  <c r="S596" i="20"/>
  <c r="AC596" i="20" s="1"/>
  <c r="D597" i="20"/>
  <c r="M597" i="20"/>
  <c r="N597" i="20"/>
  <c r="P597" i="20"/>
  <c r="S597" i="20"/>
  <c r="D598" i="20"/>
  <c r="M598" i="20"/>
  <c r="N598" i="20"/>
  <c r="P598" i="20"/>
  <c r="S598" i="20"/>
  <c r="AC598" i="20" s="1"/>
  <c r="D599" i="20"/>
  <c r="M599" i="20"/>
  <c r="N599" i="20"/>
  <c r="P599" i="20"/>
  <c r="S599" i="20"/>
  <c r="V599" i="20" s="1"/>
  <c r="X599" i="20" s="1"/>
  <c r="D600" i="20"/>
  <c r="M600" i="20"/>
  <c r="N600" i="20"/>
  <c r="P600" i="20"/>
  <c r="S600" i="20"/>
  <c r="D601" i="20"/>
  <c r="M601" i="20"/>
  <c r="N601" i="20"/>
  <c r="P601" i="20"/>
  <c r="S601" i="20"/>
  <c r="AA601" i="20" s="1"/>
  <c r="D602" i="20"/>
  <c r="M602" i="20"/>
  <c r="N602" i="20"/>
  <c r="P602" i="20"/>
  <c r="S602" i="20"/>
  <c r="AC602" i="20" s="1"/>
  <c r="D603" i="20"/>
  <c r="M603" i="20"/>
  <c r="N603" i="20"/>
  <c r="P603" i="20"/>
  <c r="S603" i="20"/>
  <c r="AM603" i="20" s="1"/>
  <c r="D604" i="20"/>
  <c r="M604" i="20"/>
  <c r="N604" i="20"/>
  <c r="P604" i="20"/>
  <c r="S604" i="20"/>
  <c r="D605" i="20"/>
  <c r="M605" i="20"/>
  <c r="N605" i="20"/>
  <c r="P605" i="20"/>
  <c r="S605" i="20"/>
  <c r="AG605" i="20" s="1"/>
  <c r="D606" i="20"/>
  <c r="M606" i="20"/>
  <c r="N606" i="20"/>
  <c r="P606" i="20"/>
  <c r="S606" i="20"/>
  <c r="AK606" i="20" s="1"/>
  <c r="D607" i="20"/>
  <c r="M607" i="20"/>
  <c r="N607" i="20"/>
  <c r="P607" i="20"/>
  <c r="S607" i="20"/>
  <c r="AA607" i="20" s="1"/>
  <c r="D608" i="20"/>
  <c r="M608" i="20"/>
  <c r="N608" i="20"/>
  <c r="P608" i="20"/>
  <c r="S608" i="20"/>
  <c r="D615" i="20"/>
  <c r="M615" i="20"/>
  <c r="N615" i="20"/>
  <c r="P615" i="20"/>
  <c r="S615" i="20"/>
  <c r="D616" i="20"/>
  <c r="M616" i="20"/>
  <c r="N616" i="20"/>
  <c r="P616" i="20"/>
  <c r="S616" i="20"/>
  <c r="AA616" i="20" s="1"/>
  <c r="D617" i="20"/>
  <c r="M617" i="20"/>
  <c r="N617" i="20"/>
  <c r="P617" i="20"/>
  <c r="S617" i="20"/>
  <c r="AC617" i="20" s="1"/>
  <c r="D618" i="20"/>
  <c r="M618" i="20"/>
  <c r="N618" i="20"/>
  <c r="P618" i="20"/>
  <c r="S618" i="20"/>
  <c r="D619" i="20"/>
  <c r="M619" i="20"/>
  <c r="N619" i="20"/>
  <c r="P619" i="20"/>
  <c r="S619" i="20"/>
  <c r="AK619" i="20" s="1"/>
  <c r="D629" i="20"/>
  <c r="M629" i="20"/>
  <c r="N629" i="20"/>
  <c r="P629" i="20"/>
  <c r="S629" i="20"/>
  <c r="AI629" i="20" s="1"/>
  <c r="D630" i="20"/>
  <c r="M630" i="20"/>
  <c r="N630" i="20"/>
  <c r="P630" i="20"/>
  <c r="S630" i="20"/>
  <c r="AG630" i="20" s="1"/>
  <c r="D631" i="20"/>
  <c r="M631" i="20"/>
  <c r="N631" i="20"/>
  <c r="P631" i="20"/>
  <c r="S631" i="20"/>
  <c r="D632" i="20"/>
  <c r="M632" i="20"/>
  <c r="N632" i="20"/>
  <c r="P632" i="20"/>
  <c r="S632" i="20"/>
  <c r="AA632" i="20" s="1"/>
  <c r="D633" i="20"/>
  <c r="M633" i="20"/>
  <c r="N633" i="20"/>
  <c r="P633" i="20"/>
  <c r="S633" i="20"/>
  <c r="AY633" i="20" s="1"/>
  <c r="D634" i="20"/>
  <c r="M634" i="20"/>
  <c r="N634" i="20"/>
  <c r="P634" i="20"/>
  <c r="S634" i="20"/>
  <c r="D635" i="20"/>
  <c r="M635" i="20"/>
  <c r="N635" i="20"/>
  <c r="P635" i="20"/>
  <c r="S635" i="20"/>
  <c r="AY635" i="20" s="1"/>
  <c r="D573" i="20"/>
  <c r="M573" i="20"/>
  <c r="N573" i="20"/>
  <c r="P573" i="20"/>
  <c r="S573" i="20"/>
  <c r="I88" i="23"/>
  <c r="I87" i="23"/>
  <c r="I86" i="23"/>
  <c r="I85" i="23"/>
  <c r="I84" i="23"/>
  <c r="I83" i="23"/>
  <c r="J83" i="23" s="1"/>
  <c r="Q69" i="23"/>
  <c r="R69" i="23" s="1"/>
  <c r="O69" i="23"/>
  <c r="N69" i="23"/>
  <c r="Q68" i="23"/>
  <c r="R68" i="23" s="1"/>
  <c r="O68" i="23"/>
  <c r="N68" i="23"/>
  <c r="Q67" i="23"/>
  <c r="R67" i="23" s="1"/>
  <c r="O67" i="23"/>
  <c r="N67" i="23"/>
  <c r="Q48" i="23"/>
  <c r="R48" i="23" s="1"/>
  <c r="O48" i="23"/>
  <c r="N48" i="23"/>
  <c r="Q47" i="23"/>
  <c r="R47" i="23" s="1"/>
  <c r="O47" i="23"/>
  <c r="N47" i="23"/>
  <c r="Q46" i="23"/>
  <c r="R46" i="23" s="1"/>
  <c r="O46" i="23"/>
  <c r="N46" i="23"/>
  <c r="Q45" i="23"/>
  <c r="R45" i="23" s="1"/>
  <c r="O45" i="23"/>
  <c r="N45" i="23"/>
  <c r="Q44" i="23"/>
  <c r="R44" i="23" s="1"/>
  <c r="O44" i="23"/>
  <c r="N44" i="23"/>
  <c r="Q43" i="23"/>
  <c r="R43" i="23" s="1"/>
  <c r="O43" i="23"/>
  <c r="N43" i="23"/>
  <c r="Q42" i="23"/>
  <c r="R42" i="23" s="1"/>
  <c r="O42" i="23"/>
  <c r="N42" i="23"/>
  <c r="Q41" i="23"/>
  <c r="R41" i="23" s="1"/>
  <c r="O41" i="23"/>
  <c r="N41" i="23"/>
  <c r="Q40" i="23"/>
  <c r="R40" i="23" s="1"/>
  <c r="O40" i="23"/>
  <c r="N40" i="23"/>
  <c r="Q39" i="23"/>
  <c r="R39" i="23" s="1"/>
  <c r="O39" i="23"/>
  <c r="N39" i="23"/>
  <c r="Q38" i="23"/>
  <c r="R38" i="23" s="1"/>
  <c r="O38" i="23"/>
  <c r="N38" i="23"/>
  <c r="Q37" i="23"/>
  <c r="R37" i="23" s="1"/>
  <c r="O37" i="23"/>
  <c r="N37" i="23"/>
  <c r="Q36" i="23"/>
  <c r="R36" i="23" s="1"/>
  <c r="O36" i="23"/>
  <c r="N36" i="23"/>
  <c r="Q35" i="23"/>
  <c r="R35" i="23" s="1"/>
  <c r="O35" i="23"/>
  <c r="N35" i="23"/>
  <c r="Q34" i="23"/>
  <c r="R34" i="23" s="1"/>
  <c r="O34" i="23"/>
  <c r="N34" i="23"/>
  <c r="Q33" i="23"/>
  <c r="R33" i="23" s="1"/>
  <c r="O33" i="23"/>
  <c r="N33" i="23"/>
  <c r="Q32" i="23"/>
  <c r="R32" i="23" s="1"/>
  <c r="O32" i="23"/>
  <c r="N32" i="23"/>
  <c r="Q31" i="23"/>
  <c r="R31" i="23" s="1"/>
  <c r="O31" i="23"/>
  <c r="N31" i="23"/>
  <c r="Q30" i="23"/>
  <c r="R30" i="23" s="1"/>
  <c r="O30" i="23"/>
  <c r="N30" i="23"/>
  <c r="Q29" i="23"/>
  <c r="R29" i="23" s="1"/>
  <c r="O29" i="23"/>
  <c r="N29" i="23"/>
  <c r="Q28" i="23"/>
  <c r="R28" i="23" s="1"/>
  <c r="O28" i="23"/>
  <c r="N28" i="23"/>
  <c r="Q27" i="23"/>
  <c r="R27" i="23" s="1"/>
  <c r="O27" i="23"/>
  <c r="N27" i="23"/>
  <c r="Q26" i="23"/>
  <c r="R26" i="23" s="1"/>
  <c r="O26" i="23"/>
  <c r="N26" i="23"/>
  <c r="Q25" i="23"/>
  <c r="R25" i="23" s="1"/>
  <c r="O25" i="23"/>
  <c r="N25" i="23"/>
  <c r="Q24" i="23"/>
  <c r="R24" i="23" s="1"/>
  <c r="O24" i="23"/>
  <c r="N24" i="23"/>
  <c r="Q23" i="23"/>
  <c r="R23" i="23" s="1"/>
  <c r="O23" i="23"/>
  <c r="N23" i="23"/>
  <c r="Q22" i="23"/>
  <c r="R22" i="23" s="1"/>
  <c r="O22" i="23"/>
  <c r="N22" i="23"/>
  <c r="Q21" i="23"/>
  <c r="R21" i="23" s="1"/>
  <c r="O21" i="23"/>
  <c r="N21" i="23"/>
  <c r="Q20" i="23"/>
  <c r="R20" i="23" s="1"/>
  <c r="O20" i="23"/>
  <c r="N20" i="23"/>
  <c r="Q19" i="23"/>
  <c r="R19" i="23" s="1"/>
  <c r="O19" i="23"/>
  <c r="N19" i="23"/>
  <c r="Q18" i="23"/>
  <c r="R18" i="23" s="1"/>
  <c r="O18" i="23"/>
  <c r="N18" i="23"/>
  <c r="Q17" i="23"/>
  <c r="O17" i="23"/>
  <c r="N17" i="23"/>
  <c r="Q16" i="23"/>
  <c r="R16" i="23" s="1"/>
  <c r="O16" i="23"/>
  <c r="N16" i="23"/>
  <c r="Q15" i="23"/>
  <c r="R15" i="23" s="1"/>
  <c r="O15" i="23"/>
  <c r="N15" i="23"/>
  <c r="Q14" i="23"/>
  <c r="R14" i="23" s="1"/>
  <c r="O14" i="23"/>
  <c r="N14" i="23"/>
  <c r="Q13" i="23"/>
  <c r="R13" i="23" s="1"/>
  <c r="O13" i="23"/>
  <c r="N13" i="23"/>
  <c r="Q12" i="23"/>
  <c r="R12" i="23" s="1"/>
  <c r="O12" i="23"/>
  <c r="N12" i="23"/>
  <c r="Q11" i="23"/>
  <c r="R11" i="23" s="1"/>
  <c r="O11" i="23"/>
  <c r="N11" i="23"/>
  <c r="AZ10" i="23"/>
  <c r="AN10" i="23"/>
  <c r="AL10" i="23"/>
  <c r="AJ10" i="23"/>
  <c r="AH10" i="23"/>
  <c r="AF10" i="23"/>
  <c r="AD10" i="23"/>
  <c r="AB10" i="23"/>
  <c r="V10" i="23"/>
  <c r="Q10" i="23"/>
  <c r="O10" i="23"/>
  <c r="N10" i="23"/>
  <c r="BB7" i="23"/>
  <c r="BB10" i="23" s="1"/>
  <c r="AP7" i="23"/>
  <c r="BW6" i="23"/>
  <c r="BU6" i="23"/>
  <c r="BS6" i="23"/>
  <c r="BQ6" i="23"/>
  <c r="BO6" i="23"/>
  <c r="BM6" i="23"/>
  <c r="BK6" i="23"/>
  <c r="BI6" i="23"/>
  <c r="BG6" i="23"/>
  <c r="BE6" i="23"/>
  <c r="BC6" i="23"/>
  <c r="BA6" i="23"/>
  <c r="AY6" i="23"/>
  <c r="AW6" i="23"/>
  <c r="AU6" i="23"/>
  <c r="AS6" i="23"/>
  <c r="AQ6" i="23"/>
  <c r="AO6" i="23"/>
  <c r="AM6" i="23"/>
  <c r="AK6" i="23"/>
  <c r="AI6" i="23"/>
  <c r="AG6" i="23"/>
  <c r="AE6" i="23"/>
  <c r="AC6" i="23"/>
  <c r="M6" i="23"/>
  <c r="L6" i="23"/>
  <c r="K6" i="23"/>
  <c r="H2" i="23"/>
  <c r="F2" i="23"/>
  <c r="P431" i="20"/>
  <c r="S431" i="20"/>
  <c r="U431" i="20" s="1"/>
  <c r="P59" i="20"/>
  <c r="P60" i="20"/>
  <c r="P650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62" i="20"/>
  <c r="P563" i="20"/>
  <c r="P564" i="20"/>
  <c r="P565" i="20"/>
  <c r="P566" i="20"/>
  <c r="P567" i="20"/>
  <c r="P568" i="20"/>
  <c r="P569" i="20"/>
  <c r="P570" i="20"/>
  <c r="P571" i="20"/>
  <c r="P572" i="20"/>
  <c r="P580" i="20"/>
  <c r="P581" i="20"/>
  <c r="P585" i="20"/>
  <c r="P586" i="20"/>
  <c r="P587" i="20"/>
  <c r="P588" i="20"/>
  <c r="P612" i="20"/>
  <c r="P613" i="20"/>
  <c r="P614" i="20"/>
  <c r="P623" i="20"/>
  <c r="P624" i="20"/>
  <c r="P625" i="20"/>
  <c r="P626" i="20"/>
  <c r="P627" i="20"/>
  <c r="P628" i="20"/>
  <c r="P641" i="20"/>
  <c r="P642" i="20"/>
  <c r="P646" i="20"/>
  <c r="P647" i="20"/>
  <c r="P648" i="20"/>
  <c r="P649" i="20"/>
  <c r="P56" i="20"/>
  <c r="P57" i="20"/>
  <c r="P550" i="20"/>
  <c r="P551" i="20"/>
  <c r="P552" i="20"/>
  <c r="P553" i="20"/>
  <c r="P554" i="20"/>
  <c r="P555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645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489" i="20"/>
  <c r="P490" i="20"/>
  <c r="P491" i="20"/>
  <c r="P492" i="20"/>
  <c r="P493" i="20"/>
  <c r="P494" i="20"/>
  <c r="P495" i="20"/>
  <c r="P423" i="20"/>
  <c r="P424" i="20"/>
  <c r="P425" i="20"/>
  <c r="P429" i="20"/>
  <c r="P430" i="20"/>
  <c r="P643" i="20"/>
  <c r="P435" i="20"/>
  <c r="P436" i="20"/>
  <c r="P437" i="20"/>
  <c r="P438" i="20"/>
  <c r="P442" i="20"/>
  <c r="P443" i="20"/>
  <c r="P444" i="20"/>
  <c r="P445" i="20"/>
  <c r="P449" i="20"/>
  <c r="P450" i="20"/>
  <c r="P451" i="20"/>
  <c r="P452" i="20"/>
  <c r="P453" i="20"/>
  <c r="P454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644" i="20"/>
  <c r="P482" i="20"/>
  <c r="P483" i="20"/>
  <c r="P484" i="20"/>
  <c r="P485" i="20"/>
  <c r="P486" i="20"/>
  <c r="P487" i="20"/>
  <c r="P415" i="20"/>
  <c r="P416" i="20"/>
  <c r="P417" i="20"/>
  <c r="P418" i="20"/>
  <c r="P419" i="20"/>
  <c r="P420" i="20"/>
  <c r="P421" i="20"/>
  <c r="P403" i="20"/>
  <c r="P407" i="20"/>
  <c r="P408" i="20"/>
  <c r="P409" i="20"/>
  <c r="P398" i="20"/>
  <c r="P399" i="20"/>
  <c r="P400" i="20"/>
  <c r="P401" i="20"/>
  <c r="P367" i="20"/>
  <c r="P368" i="20"/>
  <c r="P369" i="20"/>
  <c r="P332" i="20"/>
  <c r="P375" i="20"/>
  <c r="P376" i="20"/>
  <c r="P377" i="20"/>
  <c r="P61" i="20"/>
  <c r="P62" i="20"/>
  <c r="P63" i="20"/>
  <c r="P388" i="20"/>
  <c r="P389" i="20"/>
  <c r="P390" i="20"/>
  <c r="P319" i="20"/>
  <c r="P320" i="20"/>
  <c r="P321" i="20"/>
  <c r="P371" i="20"/>
  <c r="P372" i="20"/>
  <c r="P373" i="20"/>
  <c r="P374" i="20"/>
  <c r="P322" i="20"/>
  <c r="P323" i="20"/>
  <c r="P324" i="20"/>
  <c r="P325" i="20"/>
  <c r="P326" i="20"/>
  <c r="P327" i="20"/>
  <c r="P328" i="20"/>
  <c r="P329" i="20"/>
  <c r="P330" i="20"/>
  <c r="P331" i="20"/>
  <c r="P364" i="20"/>
  <c r="P365" i="20"/>
  <c r="P360" i="20"/>
  <c r="P361" i="20"/>
  <c r="P362" i="20"/>
  <c r="P363" i="20"/>
  <c r="P370" i="20"/>
  <c r="P350" i="20"/>
  <c r="P351" i="20"/>
  <c r="P352" i="20"/>
  <c r="P353" i="20"/>
  <c r="P354" i="20"/>
  <c r="P355" i="20"/>
  <c r="P304" i="20"/>
  <c r="P305" i="20"/>
  <c r="P306" i="20"/>
  <c r="P307" i="20"/>
  <c r="P308" i="20"/>
  <c r="P309" i="20"/>
  <c r="P310" i="20"/>
  <c r="P314" i="20"/>
  <c r="P315" i="20"/>
  <c r="P316" i="20"/>
  <c r="P317" i="20"/>
  <c r="P301" i="20"/>
  <c r="P302" i="20"/>
  <c r="P303" i="20"/>
  <c r="P359" i="20"/>
  <c r="P290" i="20"/>
  <c r="P291" i="20"/>
  <c r="P292" i="20"/>
  <c r="P293" i="20"/>
  <c r="P294" i="20"/>
  <c r="P295" i="20"/>
  <c r="P296" i="20"/>
  <c r="P297" i="20"/>
  <c r="P148" i="20"/>
  <c r="P149" i="20"/>
  <c r="P150" i="20"/>
  <c r="P349" i="20"/>
  <c r="P234" i="20"/>
  <c r="P235" i="20"/>
  <c r="P236" i="20"/>
  <c r="P237" i="20"/>
  <c r="P238" i="20"/>
  <c r="P239" i="20"/>
  <c r="P240" i="20"/>
  <c r="P241" i="20"/>
  <c r="P280" i="20"/>
  <c r="P281" i="20"/>
  <c r="P282" i="20"/>
  <c r="P283" i="20"/>
  <c r="P284" i="20"/>
  <c r="P285" i="20"/>
  <c r="P286" i="20"/>
  <c r="P287" i="20"/>
  <c r="P288" i="20"/>
  <c r="P187" i="20"/>
  <c r="P188" i="20"/>
  <c r="P203" i="20"/>
  <c r="P204" i="20"/>
  <c r="P205" i="20"/>
  <c r="P206" i="20"/>
  <c r="P178" i="20"/>
  <c r="P179" i="20"/>
  <c r="P180" i="20"/>
  <c r="P345" i="20"/>
  <c r="P346" i="20"/>
  <c r="P347" i="20"/>
  <c r="P348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75" i="20"/>
  <c r="P176" i="20"/>
  <c r="P177" i="20"/>
  <c r="P378" i="20"/>
  <c r="P379" i="20"/>
  <c r="P380" i="20"/>
  <c r="P381" i="20"/>
  <c r="P382" i="20"/>
  <c r="P383" i="20"/>
  <c r="P384" i="20"/>
  <c r="P230" i="20"/>
  <c r="P231" i="20"/>
  <c r="P232" i="20"/>
  <c r="P233" i="20"/>
  <c r="P215" i="20"/>
  <c r="P216" i="20"/>
  <c r="P217" i="20"/>
  <c r="P218" i="20"/>
  <c r="P140" i="20"/>
  <c r="P141" i="20"/>
  <c r="P142" i="20"/>
  <c r="P143" i="20"/>
  <c r="P117" i="20"/>
  <c r="P118" i="20"/>
  <c r="P119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73" i="20"/>
  <c r="P174" i="20"/>
  <c r="P214" i="20"/>
  <c r="P227" i="20"/>
  <c r="P228" i="20"/>
  <c r="P229" i="20"/>
  <c r="P73" i="20"/>
  <c r="P74" i="20"/>
  <c r="P75" i="20"/>
  <c r="P76" i="20"/>
  <c r="P77" i="20"/>
  <c r="P78" i="20"/>
  <c r="P277" i="20"/>
  <c r="P278" i="20"/>
  <c r="P279" i="20"/>
  <c r="P137" i="20"/>
  <c r="P138" i="20"/>
  <c r="P139" i="20"/>
  <c r="P26" i="20"/>
  <c r="P27" i="20"/>
  <c r="P28" i="20"/>
  <c r="P29" i="20"/>
  <c r="P53" i="20"/>
  <c r="P54" i="20"/>
  <c r="P55" i="20"/>
  <c r="P21" i="20"/>
  <c r="P22" i="20"/>
  <c r="P23" i="20"/>
  <c r="P24" i="20"/>
  <c r="P211" i="20"/>
  <c r="P212" i="20"/>
  <c r="P213" i="20"/>
  <c r="P14" i="20"/>
  <c r="P15" i="20"/>
  <c r="P16" i="20"/>
  <c r="P17" i="20"/>
  <c r="P18" i="20"/>
  <c r="P19" i="20"/>
  <c r="P20" i="20"/>
  <c r="P333" i="20"/>
  <c r="P337" i="20"/>
  <c r="P338" i="20"/>
  <c r="P339" i="20"/>
  <c r="P340" i="20"/>
  <c r="P341" i="20"/>
  <c r="P48" i="20"/>
  <c r="P49" i="20"/>
  <c r="P220" i="20"/>
  <c r="P221" i="20"/>
  <c r="P222" i="20"/>
  <c r="P223" i="20"/>
  <c r="P224" i="20"/>
  <c r="P225" i="20"/>
  <c r="P226" i="20"/>
  <c r="P269" i="20"/>
  <c r="P270" i="20"/>
  <c r="P271" i="20"/>
  <c r="P272" i="20"/>
  <c r="P262" i="20"/>
  <c r="P263" i="20"/>
  <c r="P264" i="20"/>
  <c r="P268" i="20"/>
  <c r="P45" i="20"/>
  <c r="P46" i="20"/>
  <c r="P47" i="20"/>
  <c r="P257" i="20"/>
  <c r="P39" i="20"/>
  <c r="P40" i="20"/>
  <c r="P41" i="20"/>
  <c r="P42" i="20"/>
  <c r="P43" i="20"/>
  <c r="P7" i="20"/>
  <c r="P8" i="20"/>
  <c r="P9" i="20"/>
  <c r="P10" i="20"/>
  <c r="P162" i="20"/>
  <c r="P163" i="20"/>
  <c r="P164" i="20"/>
  <c r="P165" i="20"/>
  <c r="P166" i="20"/>
  <c r="P167" i="20"/>
  <c r="P168" i="20"/>
  <c r="P209" i="20"/>
  <c r="P157" i="20"/>
  <c r="P158" i="20"/>
  <c r="P219" i="20"/>
  <c r="P30" i="20"/>
  <c r="P31" i="20"/>
  <c r="P32" i="20"/>
  <c r="P189" i="20"/>
  <c r="P190" i="20"/>
  <c r="P191" i="20"/>
  <c r="P356" i="20"/>
  <c r="P357" i="20"/>
  <c r="P358" i="20"/>
  <c r="P432" i="20"/>
  <c r="P433" i="20"/>
  <c r="P434" i="20"/>
  <c r="P479" i="20"/>
  <c r="P480" i="20"/>
  <c r="P481" i="20"/>
  <c r="P510" i="20"/>
  <c r="P511" i="20"/>
  <c r="P512" i="20"/>
  <c r="P556" i="20"/>
  <c r="P557" i="20"/>
  <c r="P558" i="20"/>
  <c r="P582" i="20"/>
  <c r="P583" i="20"/>
  <c r="P584" i="20"/>
  <c r="P609" i="20"/>
  <c r="P610" i="20"/>
  <c r="P611" i="20"/>
  <c r="P620" i="20"/>
  <c r="P621" i="20"/>
  <c r="P622" i="20"/>
  <c r="P638" i="20"/>
  <c r="P639" i="20"/>
  <c r="P640" i="20"/>
  <c r="P182" i="20"/>
  <c r="P183" i="20"/>
  <c r="P184" i="20"/>
  <c r="P185" i="20"/>
  <c r="P251" i="20"/>
  <c r="P252" i="20"/>
  <c r="P253" i="20"/>
  <c r="P254" i="20"/>
  <c r="P255" i="20"/>
  <c r="P246" i="20"/>
  <c r="P247" i="20"/>
  <c r="P248" i="20"/>
  <c r="P249" i="20"/>
  <c r="P250" i="20"/>
  <c r="P181" i="20"/>
  <c r="P207" i="20"/>
  <c r="P208" i="20"/>
  <c r="P33" i="20"/>
  <c r="P34" i="20"/>
  <c r="P35" i="20"/>
  <c r="P154" i="20"/>
  <c r="P155" i="20"/>
  <c r="P156" i="20"/>
  <c r="P11" i="20"/>
  <c r="P12" i="20"/>
  <c r="P192" i="20"/>
  <c r="P193" i="20"/>
  <c r="P194" i="20"/>
  <c r="P195" i="20"/>
  <c r="P199" i="20"/>
  <c r="P200" i="20"/>
  <c r="P201" i="20"/>
  <c r="P256" i="20"/>
  <c r="P58" i="20"/>
  <c r="P169" i="20"/>
  <c r="P273" i="20"/>
  <c r="P210" i="20"/>
  <c r="P13" i="20"/>
  <c r="P258" i="20"/>
  <c r="P546" i="20"/>
  <c r="P529" i="20"/>
  <c r="P115" i="20"/>
  <c r="P116" i="20"/>
  <c r="P64" i="20"/>
  <c r="P65" i="20"/>
  <c r="P66" i="20"/>
  <c r="P67" i="20"/>
  <c r="P68" i="20"/>
  <c r="P69" i="20"/>
  <c r="P70" i="20"/>
  <c r="P71" i="20"/>
  <c r="P72" i="20"/>
  <c r="P559" i="20"/>
  <c r="P560" i="20"/>
  <c r="P561" i="20"/>
  <c r="P547" i="20"/>
  <c r="P548" i="20"/>
  <c r="P549" i="20"/>
  <c r="P496" i="20"/>
  <c r="P488" i="20"/>
  <c r="P422" i="20"/>
  <c r="P411" i="20"/>
  <c r="P412" i="20"/>
  <c r="P413" i="20"/>
  <c r="P402" i="20"/>
  <c r="P391" i="20"/>
  <c r="P392" i="20"/>
  <c r="P393" i="20"/>
  <c r="P394" i="20"/>
  <c r="P366" i="20"/>
  <c r="P318" i="20"/>
  <c r="P298" i="20"/>
  <c r="P299" i="20"/>
  <c r="P300" i="20"/>
  <c r="P145" i="20"/>
  <c r="P146" i="20"/>
  <c r="P147" i="20"/>
  <c r="P186" i="20"/>
  <c r="P202" i="20"/>
  <c r="P170" i="20"/>
  <c r="P171" i="20"/>
  <c r="P172" i="20"/>
  <c r="P136" i="20"/>
  <c r="P25" i="20"/>
  <c r="P50" i="20"/>
  <c r="P51" i="20"/>
  <c r="P52" i="20"/>
  <c r="P259" i="20"/>
  <c r="P260" i="20"/>
  <c r="P261" i="20"/>
  <c r="P44" i="20"/>
  <c r="P36" i="20"/>
  <c r="P37" i="20"/>
  <c r="P38" i="20"/>
  <c r="P242" i="20"/>
  <c r="P414" i="20"/>
  <c r="G32" i="24"/>
  <c r="H32" i="24" s="1"/>
  <c r="H5" i="24"/>
  <c r="S546" i="20"/>
  <c r="N546" i="20"/>
  <c r="M546" i="20"/>
  <c r="D546" i="20"/>
  <c r="S545" i="20"/>
  <c r="N545" i="20"/>
  <c r="M545" i="20"/>
  <c r="D545" i="20"/>
  <c r="S544" i="20"/>
  <c r="AK544" i="20" s="1"/>
  <c r="N544" i="20"/>
  <c r="M544" i="20"/>
  <c r="D544" i="20"/>
  <c r="S543" i="20"/>
  <c r="V543" i="20" s="1"/>
  <c r="X543" i="20" s="1"/>
  <c r="N543" i="20"/>
  <c r="M543" i="20"/>
  <c r="D543" i="20"/>
  <c r="S542" i="20"/>
  <c r="N542" i="20"/>
  <c r="M542" i="20"/>
  <c r="D542" i="20"/>
  <c r="S541" i="20"/>
  <c r="U541" i="20" s="1"/>
  <c r="N541" i="20"/>
  <c r="M541" i="20"/>
  <c r="D541" i="20"/>
  <c r="S540" i="20"/>
  <c r="AM540" i="20" s="1"/>
  <c r="N540" i="20"/>
  <c r="M540" i="20"/>
  <c r="D540" i="20"/>
  <c r="S539" i="20"/>
  <c r="AY539" i="20" s="1"/>
  <c r="N539" i="20"/>
  <c r="M539" i="20"/>
  <c r="D539" i="20"/>
  <c r="S538" i="20"/>
  <c r="AM538" i="20" s="1"/>
  <c r="N538" i="20"/>
  <c r="M538" i="20"/>
  <c r="D538" i="20"/>
  <c r="S537" i="20"/>
  <c r="N537" i="20"/>
  <c r="M537" i="20"/>
  <c r="D537" i="20"/>
  <c r="S536" i="20"/>
  <c r="N536" i="20"/>
  <c r="M536" i="20"/>
  <c r="D536" i="20"/>
  <c r="S535" i="20"/>
  <c r="AK535" i="20" s="1"/>
  <c r="N535" i="20"/>
  <c r="M535" i="20"/>
  <c r="D535" i="20"/>
  <c r="S534" i="20"/>
  <c r="U534" i="20" s="1"/>
  <c r="N534" i="20"/>
  <c r="M534" i="20"/>
  <c r="D534" i="20"/>
  <c r="S533" i="20"/>
  <c r="N533" i="20"/>
  <c r="M533" i="20"/>
  <c r="D533" i="20"/>
  <c r="S532" i="20"/>
  <c r="N532" i="20"/>
  <c r="M532" i="20"/>
  <c r="D532" i="20"/>
  <c r="S531" i="20"/>
  <c r="U531" i="20" s="1"/>
  <c r="N531" i="20"/>
  <c r="M531" i="20"/>
  <c r="D531" i="20"/>
  <c r="S530" i="20"/>
  <c r="AI530" i="20" s="1"/>
  <c r="N530" i="20"/>
  <c r="M530" i="20"/>
  <c r="D530" i="20"/>
  <c r="S650" i="20"/>
  <c r="AG650" i="20" s="1"/>
  <c r="N650" i="20"/>
  <c r="M650" i="20"/>
  <c r="D650" i="20"/>
  <c r="S60" i="20"/>
  <c r="AA60" i="20" s="1"/>
  <c r="N60" i="20"/>
  <c r="M60" i="20"/>
  <c r="D60" i="20"/>
  <c r="S59" i="20"/>
  <c r="N59" i="20"/>
  <c r="M59" i="20"/>
  <c r="D59" i="20"/>
  <c r="S58" i="20"/>
  <c r="N58" i="20"/>
  <c r="M58" i="20"/>
  <c r="D58" i="20"/>
  <c r="S57" i="20"/>
  <c r="U57" i="20" s="1"/>
  <c r="N57" i="20"/>
  <c r="M57" i="20"/>
  <c r="D57" i="20"/>
  <c r="S56" i="20"/>
  <c r="N56" i="20"/>
  <c r="M56" i="20"/>
  <c r="D56" i="20"/>
  <c r="S649" i="20"/>
  <c r="AI649" i="20" s="1"/>
  <c r="N649" i="20"/>
  <c r="M649" i="20"/>
  <c r="D649" i="20"/>
  <c r="S648" i="20"/>
  <c r="AI648" i="20" s="1"/>
  <c r="N648" i="20"/>
  <c r="M648" i="20"/>
  <c r="D648" i="20"/>
  <c r="S647" i="20"/>
  <c r="N647" i="20"/>
  <c r="M647" i="20"/>
  <c r="D647" i="20"/>
  <c r="S646" i="20"/>
  <c r="N646" i="20"/>
  <c r="M646" i="20"/>
  <c r="D646" i="20"/>
  <c r="S642" i="20"/>
  <c r="AG642" i="20" s="1"/>
  <c r="N642" i="20"/>
  <c r="M642" i="20"/>
  <c r="D642" i="20"/>
  <c r="S641" i="20"/>
  <c r="N641" i="20"/>
  <c r="M641" i="20"/>
  <c r="D641" i="20"/>
  <c r="S628" i="20"/>
  <c r="N628" i="20"/>
  <c r="M628" i="20"/>
  <c r="D628" i="20"/>
  <c r="S627" i="20"/>
  <c r="N627" i="20"/>
  <c r="M627" i="20"/>
  <c r="D627" i="20"/>
  <c r="S626" i="20"/>
  <c r="N626" i="20"/>
  <c r="M626" i="20"/>
  <c r="D626" i="20"/>
  <c r="S625" i="20"/>
  <c r="AM625" i="20" s="1"/>
  <c r="N625" i="20"/>
  <c r="M625" i="20"/>
  <c r="D625" i="20"/>
  <c r="S624" i="20"/>
  <c r="N624" i="20"/>
  <c r="M624" i="20"/>
  <c r="D624" i="20"/>
  <c r="S623" i="20"/>
  <c r="AI623" i="20" s="1"/>
  <c r="N623" i="20"/>
  <c r="M623" i="20"/>
  <c r="D623" i="20"/>
  <c r="S614" i="20"/>
  <c r="N614" i="20"/>
  <c r="M614" i="20"/>
  <c r="D614" i="20"/>
  <c r="S613" i="20"/>
  <c r="AG613" i="20" s="1"/>
  <c r="N613" i="20"/>
  <c r="M613" i="20"/>
  <c r="D613" i="20"/>
  <c r="S612" i="20"/>
  <c r="N612" i="20"/>
  <c r="M612" i="20"/>
  <c r="D612" i="20"/>
  <c r="S588" i="20"/>
  <c r="AC588" i="20" s="1"/>
  <c r="N588" i="20"/>
  <c r="M588" i="20"/>
  <c r="D588" i="20"/>
  <c r="S587" i="20"/>
  <c r="N587" i="20"/>
  <c r="M587" i="20"/>
  <c r="D587" i="20"/>
  <c r="S586" i="20"/>
  <c r="AK586" i="20" s="1"/>
  <c r="N586" i="20"/>
  <c r="M586" i="20"/>
  <c r="D586" i="20"/>
  <c r="S585" i="20"/>
  <c r="AG585" i="20" s="1"/>
  <c r="N585" i="20"/>
  <c r="M585" i="20"/>
  <c r="D585" i="20"/>
  <c r="S581" i="20"/>
  <c r="AG581" i="20" s="1"/>
  <c r="N581" i="20"/>
  <c r="M581" i="20"/>
  <c r="D581" i="20"/>
  <c r="S580" i="20"/>
  <c r="AI580" i="20" s="1"/>
  <c r="N580" i="20"/>
  <c r="M580" i="20"/>
  <c r="D580" i="20"/>
  <c r="S572" i="20"/>
  <c r="V572" i="20" s="1"/>
  <c r="AI572" i="20" s="1"/>
  <c r="N572" i="20"/>
  <c r="M572" i="20"/>
  <c r="D572" i="20"/>
  <c r="S571" i="20"/>
  <c r="N571" i="20"/>
  <c r="M571" i="20"/>
  <c r="D571" i="20"/>
  <c r="S570" i="20"/>
  <c r="U570" i="20" s="1"/>
  <c r="N570" i="20"/>
  <c r="M570" i="20"/>
  <c r="D570" i="20"/>
  <c r="S569" i="20"/>
  <c r="N569" i="20"/>
  <c r="M569" i="20"/>
  <c r="D569" i="20"/>
  <c r="S568" i="20"/>
  <c r="N568" i="20"/>
  <c r="M568" i="20"/>
  <c r="D568" i="20"/>
  <c r="S567" i="20"/>
  <c r="N567" i="20"/>
  <c r="M567" i="20"/>
  <c r="D567" i="20"/>
  <c r="S566" i="20"/>
  <c r="N566" i="20"/>
  <c r="M566" i="20"/>
  <c r="D566" i="20"/>
  <c r="S565" i="20"/>
  <c r="N565" i="20"/>
  <c r="M565" i="20"/>
  <c r="D565" i="20"/>
  <c r="S564" i="20"/>
  <c r="N564" i="20"/>
  <c r="M564" i="20"/>
  <c r="D564" i="20"/>
  <c r="S563" i="20"/>
  <c r="V563" i="20" s="1"/>
  <c r="X563" i="20" s="1"/>
  <c r="N563" i="20"/>
  <c r="M563" i="20"/>
  <c r="D563" i="20"/>
  <c r="S562" i="20"/>
  <c r="N562" i="20"/>
  <c r="M562" i="20"/>
  <c r="D562" i="20"/>
  <c r="S561" i="20"/>
  <c r="N561" i="20"/>
  <c r="M561" i="20"/>
  <c r="D561" i="20"/>
  <c r="S560" i="20"/>
  <c r="V560" i="20" s="1"/>
  <c r="N560" i="20"/>
  <c r="M560" i="20"/>
  <c r="D560" i="20"/>
  <c r="S559" i="20"/>
  <c r="N559" i="20"/>
  <c r="M559" i="20"/>
  <c r="D559" i="20"/>
  <c r="S555" i="20"/>
  <c r="N555" i="20"/>
  <c r="M555" i="20"/>
  <c r="D555" i="20"/>
  <c r="S554" i="20"/>
  <c r="U554" i="20" s="1"/>
  <c r="N554" i="20"/>
  <c r="M554" i="20"/>
  <c r="D554" i="20"/>
  <c r="S553" i="20"/>
  <c r="V553" i="20" s="1"/>
  <c r="AA553" i="20" s="1"/>
  <c r="N553" i="20"/>
  <c r="M553" i="20"/>
  <c r="D553" i="20"/>
  <c r="S552" i="20"/>
  <c r="N552" i="20"/>
  <c r="M552" i="20"/>
  <c r="D552" i="20"/>
  <c r="S551" i="20"/>
  <c r="N551" i="20"/>
  <c r="M551" i="20"/>
  <c r="D551" i="20"/>
  <c r="S550" i="20"/>
  <c r="V550" i="20" s="1"/>
  <c r="AY550" i="20" s="1"/>
  <c r="N550" i="20"/>
  <c r="M550" i="20"/>
  <c r="D550" i="20"/>
  <c r="S549" i="20"/>
  <c r="N549" i="20"/>
  <c r="M549" i="20"/>
  <c r="D549" i="20"/>
  <c r="S548" i="20"/>
  <c r="V548" i="20" s="1"/>
  <c r="N548" i="20"/>
  <c r="M548" i="20"/>
  <c r="D548" i="20"/>
  <c r="S547" i="20"/>
  <c r="U547" i="20" s="1"/>
  <c r="N547" i="20"/>
  <c r="M547" i="20"/>
  <c r="D547" i="20"/>
  <c r="S529" i="20"/>
  <c r="N529" i="20"/>
  <c r="M529" i="20"/>
  <c r="D529" i="20"/>
  <c r="S528" i="20"/>
  <c r="N528" i="20"/>
  <c r="M528" i="20"/>
  <c r="D528" i="20"/>
  <c r="S527" i="20"/>
  <c r="V527" i="20" s="1"/>
  <c r="N527" i="20"/>
  <c r="M527" i="20"/>
  <c r="D527" i="20"/>
  <c r="S526" i="20"/>
  <c r="N526" i="20"/>
  <c r="M526" i="20"/>
  <c r="D526" i="20"/>
  <c r="S525" i="20"/>
  <c r="U525" i="20" s="1"/>
  <c r="N525" i="20"/>
  <c r="M525" i="20"/>
  <c r="D525" i="20"/>
  <c r="S524" i="20"/>
  <c r="N524" i="20"/>
  <c r="M524" i="20"/>
  <c r="D524" i="20"/>
  <c r="S523" i="20"/>
  <c r="N523" i="20"/>
  <c r="M523" i="20"/>
  <c r="D523" i="20"/>
  <c r="S522" i="20"/>
  <c r="N522" i="20"/>
  <c r="M522" i="20"/>
  <c r="D522" i="20"/>
  <c r="S521" i="20"/>
  <c r="N521" i="20"/>
  <c r="M521" i="20"/>
  <c r="D521" i="20"/>
  <c r="S520" i="20"/>
  <c r="N520" i="20"/>
  <c r="M520" i="20"/>
  <c r="D520" i="20"/>
  <c r="S519" i="20"/>
  <c r="V519" i="20" s="1"/>
  <c r="AM519" i="20" s="1"/>
  <c r="N519" i="20"/>
  <c r="M519" i="20"/>
  <c r="D519" i="20"/>
  <c r="S518" i="20"/>
  <c r="U518" i="20" s="1"/>
  <c r="N518" i="20"/>
  <c r="M518" i="20"/>
  <c r="D518" i="20"/>
  <c r="S517" i="20"/>
  <c r="N517" i="20"/>
  <c r="M517" i="20"/>
  <c r="D517" i="20"/>
  <c r="S516" i="20"/>
  <c r="V516" i="20" s="1"/>
  <c r="X516" i="20" s="1"/>
  <c r="N516" i="20"/>
  <c r="M516" i="20"/>
  <c r="D516" i="20"/>
  <c r="S515" i="20"/>
  <c r="N515" i="20"/>
  <c r="M515" i="20"/>
  <c r="D515" i="20"/>
  <c r="S514" i="20"/>
  <c r="AC514" i="20" s="1"/>
  <c r="N514" i="20"/>
  <c r="M514" i="20"/>
  <c r="D514" i="20"/>
  <c r="S513" i="20"/>
  <c r="N513" i="20"/>
  <c r="M513" i="20"/>
  <c r="D513" i="20"/>
  <c r="S645" i="20"/>
  <c r="AC645" i="20" s="1"/>
  <c r="N645" i="20"/>
  <c r="M645" i="20"/>
  <c r="D645" i="20"/>
  <c r="S509" i="20"/>
  <c r="N509" i="20"/>
  <c r="M509" i="20"/>
  <c r="D509" i="20"/>
  <c r="S508" i="20"/>
  <c r="V508" i="20" s="1"/>
  <c r="X508" i="20" s="1"/>
  <c r="N508" i="20"/>
  <c r="M508" i="20"/>
  <c r="D508" i="20"/>
  <c r="S507" i="20"/>
  <c r="AA507" i="20" s="1"/>
  <c r="N507" i="20"/>
  <c r="M507" i="20"/>
  <c r="D507" i="20"/>
  <c r="S506" i="20"/>
  <c r="AM506" i="20" s="1"/>
  <c r="N506" i="20"/>
  <c r="M506" i="20"/>
  <c r="D506" i="20"/>
  <c r="S505" i="20"/>
  <c r="V505" i="20" s="1"/>
  <c r="X505" i="20" s="1"/>
  <c r="N505" i="20"/>
  <c r="M505" i="20"/>
  <c r="D505" i="20"/>
  <c r="S504" i="20"/>
  <c r="AY504" i="20" s="1"/>
  <c r="N504" i="20"/>
  <c r="M504" i="20"/>
  <c r="D504" i="20"/>
  <c r="S503" i="20"/>
  <c r="AA503" i="20" s="1"/>
  <c r="N503" i="20"/>
  <c r="M503" i="20"/>
  <c r="D503" i="20"/>
  <c r="S502" i="20"/>
  <c r="AA502" i="20" s="1"/>
  <c r="N502" i="20"/>
  <c r="M502" i="20"/>
  <c r="D502" i="20"/>
  <c r="S501" i="20"/>
  <c r="AY501" i="20" s="1"/>
  <c r="N501" i="20"/>
  <c r="M501" i="20"/>
  <c r="D501" i="20"/>
  <c r="S500" i="20"/>
  <c r="AA500" i="20" s="1"/>
  <c r="N500" i="20"/>
  <c r="M500" i="20"/>
  <c r="D500" i="20"/>
  <c r="S499" i="20"/>
  <c r="AG499" i="20" s="1"/>
  <c r="N499" i="20"/>
  <c r="M499" i="20"/>
  <c r="D499" i="20"/>
  <c r="S498" i="20"/>
  <c r="V498" i="20" s="1"/>
  <c r="X498" i="20" s="1"/>
  <c r="N498" i="20"/>
  <c r="M498" i="20"/>
  <c r="D498" i="20"/>
  <c r="S497" i="20"/>
  <c r="N497" i="20"/>
  <c r="M497" i="20"/>
  <c r="D497" i="20"/>
  <c r="S496" i="20"/>
  <c r="AK496" i="20" s="1"/>
  <c r="N496" i="20"/>
  <c r="M496" i="20"/>
  <c r="D496" i="20"/>
  <c r="S495" i="20"/>
  <c r="AE495" i="20" s="1"/>
  <c r="N495" i="20"/>
  <c r="M495" i="20"/>
  <c r="D495" i="20"/>
  <c r="S494" i="20"/>
  <c r="N494" i="20"/>
  <c r="M494" i="20"/>
  <c r="D494" i="20"/>
  <c r="S493" i="20"/>
  <c r="U493" i="20" s="1"/>
  <c r="N493" i="20"/>
  <c r="M493" i="20"/>
  <c r="D493" i="20"/>
  <c r="S492" i="20"/>
  <c r="V492" i="20" s="1"/>
  <c r="X492" i="20" s="1"/>
  <c r="N492" i="20"/>
  <c r="M492" i="20"/>
  <c r="D492" i="20"/>
  <c r="S491" i="20"/>
  <c r="N491" i="20"/>
  <c r="M491" i="20"/>
  <c r="D491" i="20"/>
  <c r="S490" i="20"/>
  <c r="AA490" i="20" s="1"/>
  <c r="N490" i="20"/>
  <c r="M490" i="20"/>
  <c r="D490" i="20"/>
  <c r="S489" i="20"/>
  <c r="N489" i="20"/>
  <c r="M489" i="20"/>
  <c r="D489" i="20"/>
  <c r="S488" i="20"/>
  <c r="N488" i="20"/>
  <c r="M488" i="20"/>
  <c r="D488" i="20"/>
  <c r="S487" i="20"/>
  <c r="AE487" i="20" s="1"/>
  <c r="N487" i="20"/>
  <c r="M487" i="20"/>
  <c r="D487" i="20"/>
  <c r="S486" i="20"/>
  <c r="N486" i="20"/>
  <c r="M486" i="20"/>
  <c r="D486" i="20"/>
  <c r="S485" i="20"/>
  <c r="AE485" i="20" s="1"/>
  <c r="N485" i="20"/>
  <c r="M485" i="20"/>
  <c r="D485" i="20"/>
  <c r="S484" i="20"/>
  <c r="AE484" i="20" s="1"/>
  <c r="N484" i="20"/>
  <c r="M484" i="20"/>
  <c r="D484" i="20"/>
  <c r="S483" i="20"/>
  <c r="V483" i="20" s="1"/>
  <c r="X483" i="20" s="1"/>
  <c r="N483" i="20"/>
  <c r="M483" i="20"/>
  <c r="D483" i="20"/>
  <c r="S482" i="20"/>
  <c r="N482" i="20"/>
  <c r="M482" i="20"/>
  <c r="D482" i="20"/>
  <c r="S644" i="20"/>
  <c r="N644" i="20"/>
  <c r="M644" i="20"/>
  <c r="D644" i="20"/>
  <c r="S478" i="20"/>
  <c r="N478" i="20"/>
  <c r="M478" i="20"/>
  <c r="D478" i="20"/>
  <c r="S477" i="20"/>
  <c r="AM477" i="20" s="1"/>
  <c r="N477" i="20"/>
  <c r="M477" i="20"/>
  <c r="D477" i="20"/>
  <c r="S476" i="20"/>
  <c r="AY476" i="20" s="1"/>
  <c r="N476" i="20"/>
  <c r="M476" i="20"/>
  <c r="D476" i="20"/>
  <c r="S475" i="20"/>
  <c r="AK475" i="20" s="1"/>
  <c r="N475" i="20"/>
  <c r="M475" i="20"/>
  <c r="D475" i="20"/>
  <c r="S474" i="20"/>
  <c r="N474" i="20"/>
  <c r="M474" i="20"/>
  <c r="D474" i="20"/>
  <c r="S473" i="20"/>
  <c r="AY473" i="20" s="1"/>
  <c r="N473" i="20"/>
  <c r="M473" i="20"/>
  <c r="D473" i="20"/>
  <c r="S472" i="20"/>
  <c r="AA472" i="20" s="1"/>
  <c r="N472" i="20"/>
  <c r="M472" i="20"/>
  <c r="D472" i="20"/>
  <c r="S471" i="20"/>
  <c r="N471" i="20"/>
  <c r="M471" i="20"/>
  <c r="D471" i="20"/>
  <c r="S470" i="20"/>
  <c r="AA470" i="20" s="1"/>
  <c r="N470" i="20"/>
  <c r="M470" i="20"/>
  <c r="D470" i="20"/>
  <c r="S469" i="20"/>
  <c r="V469" i="20" s="1"/>
  <c r="X469" i="20" s="1"/>
  <c r="N469" i="20"/>
  <c r="M469" i="20"/>
  <c r="D469" i="20"/>
  <c r="S468" i="20"/>
  <c r="N468" i="20"/>
  <c r="M468" i="20"/>
  <c r="D468" i="20"/>
  <c r="S467" i="20"/>
  <c r="AC467" i="20" s="1"/>
  <c r="N467" i="20"/>
  <c r="M467" i="20"/>
  <c r="D467" i="20"/>
  <c r="S466" i="20"/>
  <c r="N466" i="20"/>
  <c r="M466" i="20"/>
  <c r="D466" i="20"/>
  <c r="S465" i="20"/>
  <c r="N465" i="20"/>
  <c r="M465" i="20"/>
  <c r="D465" i="20"/>
  <c r="S464" i="20"/>
  <c r="AI464" i="20" s="1"/>
  <c r="N464" i="20"/>
  <c r="M464" i="20"/>
  <c r="D464" i="20"/>
  <c r="S463" i="20"/>
  <c r="N463" i="20"/>
  <c r="M463" i="20"/>
  <c r="D463" i="20"/>
  <c r="S462" i="20"/>
  <c r="N462" i="20"/>
  <c r="M462" i="20"/>
  <c r="D462" i="20"/>
  <c r="S461" i="20"/>
  <c r="V461" i="20" s="1"/>
  <c r="X461" i="20" s="1"/>
  <c r="N461" i="20"/>
  <c r="M461" i="20"/>
  <c r="D461" i="20"/>
  <c r="S460" i="20"/>
  <c r="AG460" i="20" s="1"/>
  <c r="N460" i="20"/>
  <c r="M460" i="20"/>
  <c r="D460" i="20"/>
  <c r="S459" i="20"/>
  <c r="N459" i="20"/>
  <c r="M459" i="20"/>
  <c r="D459" i="20"/>
  <c r="S458" i="20"/>
  <c r="N458" i="20"/>
  <c r="M458" i="20"/>
  <c r="D458" i="20"/>
  <c r="S457" i="20"/>
  <c r="AA457" i="20" s="1"/>
  <c r="R457" i="20"/>
  <c r="P457" i="20" s="1"/>
  <c r="N457" i="20"/>
  <c r="M457" i="20"/>
  <c r="D457" i="20"/>
  <c r="S456" i="20"/>
  <c r="R456" i="20"/>
  <c r="P456" i="20" s="1"/>
  <c r="N456" i="20"/>
  <c r="M456" i="20"/>
  <c r="D456" i="20"/>
  <c r="S455" i="20"/>
  <c r="AK455" i="20" s="1"/>
  <c r="R455" i="20"/>
  <c r="P455" i="20" s="1"/>
  <c r="N455" i="20"/>
  <c r="M455" i="20"/>
  <c r="D455" i="20"/>
  <c r="S454" i="20"/>
  <c r="N454" i="20"/>
  <c r="M454" i="20"/>
  <c r="D454" i="20"/>
  <c r="S453" i="20"/>
  <c r="N453" i="20"/>
  <c r="M453" i="20"/>
  <c r="D453" i="20"/>
  <c r="S452" i="20"/>
  <c r="AG452" i="20" s="1"/>
  <c r="N452" i="20"/>
  <c r="M452" i="20"/>
  <c r="D452" i="20"/>
  <c r="S451" i="20"/>
  <c r="N451" i="20"/>
  <c r="M451" i="20"/>
  <c r="D451" i="20"/>
  <c r="S450" i="20"/>
  <c r="AA450" i="20" s="1"/>
  <c r="N450" i="20"/>
  <c r="M450" i="20"/>
  <c r="D450" i="20"/>
  <c r="S449" i="20"/>
  <c r="AE449" i="20" s="1"/>
  <c r="N449" i="20"/>
  <c r="M449" i="20"/>
  <c r="D449" i="20"/>
  <c r="S448" i="20"/>
  <c r="R448" i="20"/>
  <c r="P448" i="20" s="1"/>
  <c r="N448" i="20"/>
  <c r="M448" i="20"/>
  <c r="D448" i="20"/>
  <c r="S447" i="20"/>
  <c r="AY447" i="20" s="1"/>
  <c r="R447" i="20"/>
  <c r="P447" i="20" s="1"/>
  <c r="N447" i="20"/>
  <c r="M447" i="20"/>
  <c r="D447" i="20"/>
  <c r="S446" i="20"/>
  <c r="R446" i="20"/>
  <c r="P446" i="20" s="1"/>
  <c r="N446" i="20"/>
  <c r="M446" i="20"/>
  <c r="D446" i="20"/>
  <c r="S445" i="20"/>
  <c r="N445" i="20"/>
  <c r="M445" i="20"/>
  <c r="D445" i="20"/>
  <c r="S444" i="20"/>
  <c r="AM444" i="20" s="1"/>
  <c r="N444" i="20"/>
  <c r="M444" i="20"/>
  <c r="D444" i="20"/>
  <c r="S443" i="20"/>
  <c r="AA443" i="20" s="1"/>
  <c r="N443" i="20"/>
  <c r="M443" i="20"/>
  <c r="D443" i="20"/>
  <c r="S442" i="20"/>
  <c r="N442" i="20"/>
  <c r="M442" i="20"/>
  <c r="D442" i="20"/>
  <c r="S441" i="20"/>
  <c r="U441" i="20" s="1"/>
  <c r="R441" i="20"/>
  <c r="P441" i="20" s="1"/>
  <c r="N441" i="20"/>
  <c r="M441" i="20"/>
  <c r="D441" i="20"/>
  <c r="S440" i="20"/>
  <c r="R440" i="20"/>
  <c r="P440" i="20" s="1"/>
  <c r="N440" i="20"/>
  <c r="M440" i="20"/>
  <c r="D440" i="20"/>
  <c r="S439" i="20"/>
  <c r="R439" i="20"/>
  <c r="P439" i="20" s="1"/>
  <c r="N439" i="20"/>
  <c r="M439" i="20"/>
  <c r="D439" i="20"/>
  <c r="S438" i="20"/>
  <c r="AI438" i="20" s="1"/>
  <c r="N438" i="20"/>
  <c r="M438" i="20"/>
  <c r="D438" i="20"/>
  <c r="S437" i="20"/>
  <c r="N437" i="20"/>
  <c r="M437" i="20"/>
  <c r="D437" i="20"/>
  <c r="S436" i="20"/>
  <c r="AI436" i="20" s="1"/>
  <c r="N436" i="20"/>
  <c r="M436" i="20"/>
  <c r="D436" i="20"/>
  <c r="S435" i="20"/>
  <c r="AA435" i="20" s="1"/>
  <c r="N435" i="20"/>
  <c r="M435" i="20"/>
  <c r="D435" i="20"/>
  <c r="N431" i="20"/>
  <c r="M431" i="20"/>
  <c r="D431" i="20"/>
  <c r="S643" i="20"/>
  <c r="AK643" i="20" s="1"/>
  <c r="N643" i="20"/>
  <c r="M643" i="20"/>
  <c r="D643" i="20"/>
  <c r="S430" i="20"/>
  <c r="AY430" i="20" s="1"/>
  <c r="N430" i="20"/>
  <c r="M430" i="20"/>
  <c r="D430" i="20"/>
  <c r="S429" i="20"/>
  <c r="AE429" i="20" s="1"/>
  <c r="N429" i="20"/>
  <c r="M429" i="20"/>
  <c r="D429" i="20"/>
  <c r="S428" i="20"/>
  <c r="AE428" i="20" s="1"/>
  <c r="R428" i="20"/>
  <c r="P428" i="20" s="1"/>
  <c r="N428" i="20"/>
  <c r="M428" i="20"/>
  <c r="D428" i="20"/>
  <c r="S427" i="20"/>
  <c r="U427" i="20" s="1"/>
  <c r="R427" i="20"/>
  <c r="P427" i="20" s="1"/>
  <c r="N427" i="20"/>
  <c r="M427" i="20"/>
  <c r="D427" i="20"/>
  <c r="S426" i="20"/>
  <c r="AI426" i="20" s="1"/>
  <c r="R426" i="20"/>
  <c r="P426" i="20" s="1"/>
  <c r="N426" i="20"/>
  <c r="M426" i="20"/>
  <c r="D426" i="20"/>
  <c r="S425" i="20"/>
  <c r="AE425" i="20" s="1"/>
  <c r="N425" i="20"/>
  <c r="M425" i="20"/>
  <c r="D425" i="20"/>
  <c r="S424" i="20"/>
  <c r="U424" i="20" s="1"/>
  <c r="N424" i="20"/>
  <c r="M424" i="20"/>
  <c r="D424" i="20"/>
  <c r="S423" i="20"/>
  <c r="AA423" i="20" s="1"/>
  <c r="N423" i="20"/>
  <c r="M423" i="20"/>
  <c r="D423" i="20"/>
  <c r="S422" i="20"/>
  <c r="AA422" i="20" s="1"/>
  <c r="N422" i="20"/>
  <c r="M422" i="20"/>
  <c r="D422" i="20"/>
  <c r="S421" i="20"/>
  <c r="U421" i="20" s="1"/>
  <c r="N421" i="20"/>
  <c r="M421" i="20"/>
  <c r="D421" i="20"/>
  <c r="S420" i="20"/>
  <c r="N420" i="20"/>
  <c r="M420" i="20"/>
  <c r="D420" i="20"/>
  <c r="S419" i="20"/>
  <c r="N419" i="20"/>
  <c r="M419" i="20"/>
  <c r="D419" i="20"/>
  <c r="S418" i="20"/>
  <c r="AE418" i="20" s="1"/>
  <c r="N418" i="20"/>
  <c r="M418" i="20"/>
  <c r="D418" i="20"/>
  <c r="S417" i="20"/>
  <c r="AK417" i="20" s="1"/>
  <c r="N417" i="20"/>
  <c r="M417" i="20"/>
  <c r="D417" i="20"/>
  <c r="S416" i="20"/>
  <c r="U416" i="20" s="1"/>
  <c r="N416" i="20"/>
  <c r="M416" i="20"/>
  <c r="D416" i="20"/>
  <c r="S415" i="20"/>
  <c r="AM415" i="20" s="1"/>
  <c r="N415" i="20"/>
  <c r="M415" i="20"/>
  <c r="D415" i="20"/>
  <c r="S414" i="20"/>
  <c r="N414" i="20"/>
  <c r="M414" i="20"/>
  <c r="D414" i="20"/>
  <c r="S413" i="20"/>
  <c r="AM413" i="20" s="1"/>
  <c r="N413" i="20"/>
  <c r="M413" i="20"/>
  <c r="D413" i="20"/>
  <c r="S412" i="20"/>
  <c r="N412" i="20"/>
  <c r="M412" i="20"/>
  <c r="D412" i="20"/>
  <c r="S411" i="20"/>
  <c r="N411" i="20"/>
  <c r="M411" i="20"/>
  <c r="D411" i="20"/>
  <c r="S410" i="20"/>
  <c r="D410" i="20"/>
  <c r="S409" i="20"/>
  <c r="N409" i="20"/>
  <c r="M409" i="20"/>
  <c r="D409" i="20"/>
  <c r="S408" i="20"/>
  <c r="N408" i="20"/>
  <c r="M408" i="20"/>
  <c r="D408" i="20"/>
  <c r="S407" i="20"/>
  <c r="AE407" i="20" s="1"/>
  <c r="N407" i="20"/>
  <c r="M407" i="20"/>
  <c r="D407" i="20"/>
  <c r="S406" i="20"/>
  <c r="R406" i="20"/>
  <c r="P406" i="20" s="1"/>
  <c r="N406" i="20"/>
  <c r="M406" i="20"/>
  <c r="D406" i="20"/>
  <c r="S405" i="20"/>
  <c r="R405" i="20"/>
  <c r="P405" i="20" s="1"/>
  <c r="N405" i="20"/>
  <c r="M405" i="20"/>
  <c r="D405" i="20"/>
  <c r="S404" i="20"/>
  <c r="V404" i="20" s="1"/>
  <c r="X404" i="20" s="1"/>
  <c r="R404" i="20"/>
  <c r="P404" i="20" s="1"/>
  <c r="N404" i="20"/>
  <c r="M404" i="20"/>
  <c r="D404" i="20"/>
  <c r="S403" i="20"/>
  <c r="N403" i="20"/>
  <c r="M403" i="20"/>
  <c r="D403" i="20"/>
  <c r="S402" i="20"/>
  <c r="AK402" i="20" s="1"/>
  <c r="N402" i="20"/>
  <c r="M402" i="20"/>
  <c r="D402" i="20"/>
  <c r="S401" i="20"/>
  <c r="AC401" i="20" s="1"/>
  <c r="N401" i="20"/>
  <c r="M401" i="20"/>
  <c r="D401" i="20"/>
  <c r="S400" i="20"/>
  <c r="AM400" i="20" s="1"/>
  <c r="N400" i="20"/>
  <c r="M400" i="20"/>
  <c r="D400" i="20"/>
  <c r="S399" i="20"/>
  <c r="V399" i="20" s="1"/>
  <c r="X399" i="20" s="1"/>
  <c r="N399" i="20"/>
  <c r="M399" i="20"/>
  <c r="D399" i="20"/>
  <c r="S398" i="20"/>
  <c r="N398" i="20"/>
  <c r="M398" i="20"/>
  <c r="D398" i="20"/>
  <c r="S397" i="20"/>
  <c r="AY397" i="20" s="1"/>
  <c r="R397" i="20"/>
  <c r="P397" i="20" s="1"/>
  <c r="N397" i="20"/>
  <c r="M397" i="20"/>
  <c r="D397" i="20"/>
  <c r="S396" i="20"/>
  <c r="AY396" i="20" s="1"/>
  <c r="R396" i="20"/>
  <c r="P396" i="20" s="1"/>
  <c r="N396" i="20"/>
  <c r="M396" i="20"/>
  <c r="D396" i="20"/>
  <c r="S395" i="20"/>
  <c r="AC395" i="20" s="1"/>
  <c r="R395" i="20"/>
  <c r="P395" i="20" s="1"/>
  <c r="N395" i="20"/>
  <c r="M395" i="20"/>
  <c r="D395" i="20"/>
  <c r="S394" i="20"/>
  <c r="V394" i="20" s="1"/>
  <c r="X394" i="20" s="1"/>
  <c r="N394" i="20"/>
  <c r="M394" i="20"/>
  <c r="D394" i="20"/>
  <c r="S393" i="20"/>
  <c r="AA393" i="20" s="1"/>
  <c r="N393" i="20"/>
  <c r="M393" i="20"/>
  <c r="D393" i="20"/>
  <c r="S392" i="20"/>
  <c r="V392" i="20" s="1"/>
  <c r="X392" i="20" s="1"/>
  <c r="N392" i="20"/>
  <c r="M392" i="20"/>
  <c r="D392" i="20"/>
  <c r="S391" i="20"/>
  <c r="V391" i="20" s="1"/>
  <c r="X391" i="20" s="1"/>
  <c r="N391" i="20"/>
  <c r="M391" i="20"/>
  <c r="D391" i="20"/>
  <c r="S390" i="20"/>
  <c r="U390" i="20" s="1"/>
  <c r="N390" i="20"/>
  <c r="M390" i="20"/>
  <c r="D390" i="20"/>
  <c r="S389" i="20"/>
  <c r="N389" i="20"/>
  <c r="M389" i="20"/>
  <c r="D389" i="20"/>
  <c r="S388" i="20"/>
  <c r="AK388" i="20" s="1"/>
  <c r="N388" i="20"/>
  <c r="M388" i="20"/>
  <c r="D388" i="20"/>
  <c r="S387" i="20"/>
  <c r="V387" i="20" s="1"/>
  <c r="X387" i="20" s="1"/>
  <c r="R387" i="20"/>
  <c r="P387" i="20" s="1"/>
  <c r="N387" i="20"/>
  <c r="M387" i="20"/>
  <c r="D387" i="20"/>
  <c r="S386" i="20"/>
  <c r="R386" i="20"/>
  <c r="P386" i="20" s="1"/>
  <c r="N386" i="20"/>
  <c r="M386" i="20"/>
  <c r="D386" i="20"/>
  <c r="S385" i="20"/>
  <c r="V385" i="20" s="1"/>
  <c r="X385" i="20" s="1"/>
  <c r="R385" i="20"/>
  <c r="P385" i="20" s="1"/>
  <c r="N385" i="20"/>
  <c r="M385" i="20"/>
  <c r="D385" i="20"/>
  <c r="S63" i="20"/>
  <c r="AY63" i="20" s="1"/>
  <c r="N63" i="20"/>
  <c r="M63" i="20"/>
  <c r="D63" i="20"/>
  <c r="S62" i="20"/>
  <c r="N62" i="20"/>
  <c r="M62" i="20"/>
  <c r="D62" i="20"/>
  <c r="S61" i="20"/>
  <c r="AM61" i="20" s="1"/>
  <c r="N61" i="20"/>
  <c r="M61" i="20"/>
  <c r="D61" i="20"/>
  <c r="S377" i="20"/>
  <c r="AY377" i="20" s="1"/>
  <c r="N377" i="20"/>
  <c r="M377" i="20"/>
  <c r="D377" i="20"/>
  <c r="S376" i="20"/>
  <c r="N376" i="20"/>
  <c r="M376" i="20"/>
  <c r="D376" i="20"/>
  <c r="S375" i="20"/>
  <c r="AC375" i="20" s="1"/>
  <c r="N375" i="20"/>
  <c r="M375" i="20"/>
  <c r="D375" i="20"/>
  <c r="S332" i="20"/>
  <c r="N332" i="20"/>
  <c r="M332" i="20"/>
  <c r="D332" i="20"/>
  <c r="S369" i="20"/>
  <c r="N369" i="20"/>
  <c r="M369" i="20"/>
  <c r="D369" i="20"/>
  <c r="S368" i="20"/>
  <c r="AA368" i="20" s="1"/>
  <c r="N368" i="20"/>
  <c r="M368" i="20"/>
  <c r="D368" i="20"/>
  <c r="S367" i="20"/>
  <c r="N367" i="20"/>
  <c r="M367" i="20"/>
  <c r="D367" i="20"/>
  <c r="S366" i="20"/>
  <c r="N366" i="20"/>
  <c r="M366" i="20"/>
  <c r="D366" i="20"/>
  <c r="S365" i="20"/>
  <c r="AE365" i="20" s="1"/>
  <c r="N365" i="20"/>
  <c r="M365" i="20"/>
  <c r="D365" i="20"/>
  <c r="S364" i="20"/>
  <c r="AE364" i="20" s="1"/>
  <c r="N364" i="20"/>
  <c r="M364" i="20"/>
  <c r="D364" i="20"/>
  <c r="S331" i="20"/>
  <c r="N331" i="20"/>
  <c r="M331" i="20"/>
  <c r="D331" i="20"/>
  <c r="S330" i="20"/>
  <c r="AG330" i="20" s="1"/>
  <c r="N330" i="20"/>
  <c r="M330" i="20"/>
  <c r="D330" i="20"/>
  <c r="S329" i="20"/>
  <c r="AI329" i="20" s="1"/>
  <c r="N329" i="20"/>
  <c r="M329" i="20"/>
  <c r="D329" i="20"/>
  <c r="S328" i="20"/>
  <c r="N328" i="20"/>
  <c r="M328" i="20"/>
  <c r="D328" i="20"/>
  <c r="S327" i="20"/>
  <c r="AK327" i="20" s="1"/>
  <c r="N327" i="20"/>
  <c r="M327" i="20"/>
  <c r="D327" i="20"/>
  <c r="S326" i="20"/>
  <c r="N326" i="20"/>
  <c r="M326" i="20"/>
  <c r="D326" i="20"/>
  <c r="S325" i="20"/>
  <c r="N325" i="20"/>
  <c r="M325" i="20"/>
  <c r="D325" i="20"/>
  <c r="S324" i="20"/>
  <c r="V324" i="20" s="1"/>
  <c r="X324" i="20" s="1"/>
  <c r="N324" i="20"/>
  <c r="M324" i="20"/>
  <c r="D324" i="20"/>
  <c r="S323" i="20"/>
  <c r="N323" i="20"/>
  <c r="M323" i="20"/>
  <c r="D323" i="20"/>
  <c r="S322" i="20"/>
  <c r="N322" i="20"/>
  <c r="M322" i="20"/>
  <c r="D322" i="20"/>
  <c r="S374" i="20"/>
  <c r="AK374" i="20" s="1"/>
  <c r="N374" i="20"/>
  <c r="M374" i="20"/>
  <c r="D374" i="20"/>
  <c r="S373" i="20"/>
  <c r="N373" i="20"/>
  <c r="M373" i="20"/>
  <c r="D373" i="20"/>
  <c r="S372" i="20"/>
  <c r="N372" i="20"/>
  <c r="M372" i="20"/>
  <c r="D372" i="20"/>
  <c r="S371" i="20"/>
  <c r="V371" i="20" s="1"/>
  <c r="X371" i="20" s="1"/>
  <c r="N371" i="20"/>
  <c r="M371" i="20"/>
  <c r="D371" i="20"/>
  <c r="S321" i="20"/>
  <c r="AE321" i="20" s="1"/>
  <c r="N321" i="20"/>
  <c r="M321" i="20"/>
  <c r="D321" i="20"/>
  <c r="S320" i="20"/>
  <c r="N320" i="20"/>
  <c r="M320" i="20"/>
  <c r="D320" i="20"/>
  <c r="S319" i="20"/>
  <c r="AA319" i="20" s="1"/>
  <c r="N319" i="20"/>
  <c r="M319" i="20"/>
  <c r="D319" i="20"/>
  <c r="S318" i="20"/>
  <c r="AA318" i="20" s="1"/>
  <c r="N318" i="20"/>
  <c r="M318" i="20"/>
  <c r="D318" i="20"/>
  <c r="S317" i="20"/>
  <c r="N317" i="20"/>
  <c r="M317" i="20"/>
  <c r="D317" i="20"/>
  <c r="S316" i="20"/>
  <c r="AI316" i="20" s="1"/>
  <c r="N316" i="20"/>
  <c r="M316" i="20"/>
  <c r="D316" i="20"/>
  <c r="S315" i="20"/>
  <c r="N315" i="20"/>
  <c r="M315" i="20"/>
  <c r="D315" i="20"/>
  <c r="S314" i="20"/>
  <c r="N314" i="20"/>
  <c r="M314" i="20"/>
  <c r="D314" i="20"/>
  <c r="S313" i="20"/>
  <c r="AE313" i="20" s="1"/>
  <c r="R313" i="20"/>
  <c r="P313" i="20" s="1"/>
  <c r="N313" i="20"/>
  <c r="M313" i="20"/>
  <c r="D313" i="20"/>
  <c r="S312" i="20"/>
  <c r="R312" i="20"/>
  <c r="P312" i="20" s="1"/>
  <c r="N312" i="20"/>
  <c r="M312" i="20"/>
  <c r="D312" i="20"/>
  <c r="S311" i="20"/>
  <c r="AC311" i="20" s="1"/>
  <c r="R311" i="20"/>
  <c r="P311" i="20" s="1"/>
  <c r="N311" i="20"/>
  <c r="M311" i="20"/>
  <c r="D311" i="20"/>
  <c r="S310" i="20"/>
  <c r="N310" i="20"/>
  <c r="M310" i="20"/>
  <c r="D310" i="20"/>
  <c r="S309" i="20"/>
  <c r="N309" i="20"/>
  <c r="M309" i="20"/>
  <c r="D309" i="20"/>
  <c r="S308" i="20"/>
  <c r="V308" i="20" s="1"/>
  <c r="X308" i="20" s="1"/>
  <c r="N308" i="20"/>
  <c r="M308" i="20"/>
  <c r="D308" i="20"/>
  <c r="S307" i="20"/>
  <c r="AM307" i="20" s="1"/>
  <c r="N307" i="20"/>
  <c r="M307" i="20"/>
  <c r="D307" i="20"/>
  <c r="S306" i="20"/>
  <c r="N306" i="20"/>
  <c r="M306" i="20"/>
  <c r="D306" i="20"/>
  <c r="N305" i="20"/>
  <c r="M305" i="20"/>
  <c r="D305" i="20"/>
  <c r="N304" i="20"/>
  <c r="M304" i="20"/>
  <c r="D304" i="20"/>
  <c r="S355" i="20"/>
  <c r="N355" i="20"/>
  <c r="M355" i="20"/>
  <c r="D355" i="20"/>
  <c r="S354" i="20"/>
  <c r="N354" i="20"/>
  <c r="M354" i="20"/>
  <c r="D354" i="20"/>
  <c r="S353" i="20"/>
  <c r="AE353" i="20" s="1"/>
  <c r="N353" i="20"/>
  <c r="M353" i="20"/>
  <c r="D353" i="20"/>
  <c r="S352" i="20"/>
  <c r="AA352" i="20" s="1"/>
  <c r="N352" i="20"/>
  <c r="M352" i="20"/>
  <c r="D352" i="20"/>
  <c r="S351" i="20"/>
  <c r="AK351" i="20" s="1"/>
  <c r="N351" i="20"/>
  <c r="M351" i="20"/>
  <c r="D351" i="20"/>
  <c r="S350" i="20"/>
  <c r="U350" i="20" s="1"/>
  <c r="N350" i="20"/>
  <c r="M350" i="20"/>
  <c r="D350" i="20"/>
  <c r="S370" i="20"/>
  <c r="AY370" i="20" s="1"/>
  <c r="N370" i="20"/>
  <c r="M370" i="20"/>
  <c r="D370" i="20"/>
  <c r="S363" i="20"/>
  <c r="AK363" i="20" s="1"/>
  <c r="N363" i="20"/>
  <c r="M363" i="20"/>
  <c r="D363" i="20"/>
  <c r="S362" i="20"/>
  <c r="N362" i="20"/>
  <c r="M362" i="20"/>
  <c r="D362" i="20"/>
  <c r="S361" i="20"/>
  <c r="AY361" i="20" s="1"/>
  <c r="N361" i="20"/>
  <c r="M361" i="20"/>
  <c r="D361" i="20"/>
  <c r="S360" i="20"/>
  <c r="N360" i="20"/>
  <c r="M360" i="20"/>
  <c r="D360" i="20"/>
  <c r="S359" i="20"/>
  <c r="AI359" i="20" s="1"/>
  <c r="N359" i="20"/>
  <c r="M359" i="20"/>
  <c r="D359" i="20"/>
  <c r="S303" i="20"/>
  <c r="U303" i="20" s="1"/>
  <c r="N303" i="20"/>
  <c r="M303" i="20"/>
  <c r="D303" i="20"/>
  <c r="S302" i="20"/>
  <c r="AG302" i="20" s="1"/>
  <c r="N302" i="20"/>
  <c r="M302" i="20"/>
  <c r="D302" i="20"/>
  <c r="S301" i="20"/>
  <c r="AG301" i="20" s="1"/>
  <c r="N301" i="20"/>
  <c r="M301" i="20"/>
  <c r="D301" i="20"/>
  <c r="S300" i="20"/>
  <c r="AC300" i="20" s="1"/>
  <c r="N300" i="20"/>
  <c r="M300" i="20"/>
  <c r="D300" i="20"/>
  <c r="S299" i="20"/>
  <c r="AK299" i="20" s="1"/>
  <c r="N299" i="20"/>
  <c r="M299" i="20"/>
  <c r="D299" i="20"/>
  <c r="S298" i="20"/>
  <c r="N298" i="20"/>
  <c r="M298" i="20"/>
  <c r="D298" i="20"/>
  <c r="S297" i="20"/>
  <c r="AI297" i="20" s="1"/>
  <c r="N297" i="20"/>
  <c r="M297" i="20"/>
  <c r="D297" i="20"/>
  <c r="S296" i="20"/>
  <c r="N296" i="20"/>
  <c r="M296" i="20"/>
  <c r="D296" i="20"/>
  <c r="S295" i="20"/>
  <c r="AA295" i="20" s="1"/>
  <c r="N295" i="20"/>
  <c r="M295" i="20"/>
  <c r="D295" i="20"/>
  <c r="S294" i="20"/>
  <c r="AK294" i="20" s="1"/>
  <c r="N294" i="20"/>
  <c r="M294" i="20"/>
  <c r="D294" i="20"/>
  <c r="S293" i="20"/>
  <c r="AI293" i="20" s="1"/>
  <c r="N293" i="20"/>
  <c r="M293" i="20"/>
  <c r="D293" i="20"/>
  <c r="S292" i="20"/>
  <c r="AY292" i="20" s="1"/>
  <c r="N292" i="20"/>
  <c r="M292" i="20"/>
  <c r="D292" i="20"/>
  <c r="S291" i="20"/>
  <c r="AG291" i="20" s="1"/>
  <c r="N291" i="20"/>
  <c r="M291" i="20"/>
  <c r="D291" i="20"/>
  <c r="S290" i="20"/>
  <c r="N290" i="20"/>
  <c r="M290" i="20"/>
  <c r="D290" i="20"/>
  <c r="S289" i="20"/>
  <c r="D289" i="20"/>
  <c r="S288" i="20"/>
  <c r="AG288" i="20" s="1"/>
  <c r="N288" i="20"/>
  <c r="M288" i="20"/>
  <c r="D288" i="20"/>
  <c r="S287" i="20"/>
  <c r="N287" i="20"/>
  <c r="M287" i="20"/>
  <c r="D287" i="20"/>
  <c r="S286" i="20"/>
  <c r="AA286" i="20" s="1"/>
  <c r="N286" i="20"/>
  <c r="M286" i="20"/>
  <c r="D286" i="20"/>
  <c r="S285" i="20"/>
  <c r="N285" i="20"/>
  <c r="M285" i="20"/>
  <c r="D285" i="20"/>
  <c r="S284" i="20"/>
  <c r="N284" i="20"/>
  <c r="M284" i="20"/>
  <c r="D284" i="20"/>
  <c r="S283" i="20"/>
  <c r="U283" i="20" s="1"/>
  <c r="N283" i="20"/>
  <c r="M283" i="20"/>
  <c r="D283" i="20"/>
  <c r="S282" i="20"/>
  <c r="V282" i="20" s="1"/>
  <c r="X282" i="20" s="1"/>
  <c r="N282" i="20"/>
  <c r="M282" i="20"/>
  <c r="D282" i="20"/>
  <c r="S281" i="20"/>
  <c r="N281" i="20"/>
  <c r="M281" i="20"/>
  <c r="D281" i="20"/>
  <c r="S280" i="20"/>
  <c r="U280" i="20" s="1"/>
  <c r="N280" i="20"/>
  <c r="M280" i="20"/>
  <c r="D280" i="20"/>
  <c r="S241" i="20"/>
  <c r="N241" i="20"/>
  <c r="M241" i="20"/>
  <c r="D241" i="20"/>
  <c r="S240" i="20"/>
  <c r="N240" i="20"/>
  <c r="M240" i="20"/>
  <c r="D240" i="20"/>
  <c r="S239" i="20"/>
  <c r="AE239" i="20" s="1"/>
  <c r="N239" i="20"/>
  <c r="M239" i="20"/>
  <c r="D239" i="20"/>
  <c r="S238" i="20"/>
  <c r="AC238" i="20" s="1"/>
  <c r="N238" i="20"/>
  <c r="M238" i="20"/>
  <c r="D238" i="20"/>
  <c r="S237" i="20"/>
  <c r="N237" i="20"/>
  <c r="M237" i="20"/>
  <c r="D237" i="20"/>
  <c r="S236" i="20"/>
  <c r="V236" i="20" s="1"/>
  <c r="X236" i="20" s="1"/>
  <c r="N236" i="20"/>
  <c r="M236" i="20"/>
  <c r="D236" i="20"/>
  <c r="S235" i="20"/>
  <c r="N235" i="20"/>
  <c r="M235" i="20"/>
  <c r="D235" i="20"/>
  <c r="S234" i="20"/>
  <c r="N234" i="20"/>
  <c r="M234" i="20"/>
  <c r="D234" i="20"/>
  <c r="S349" i="20"/>
  <c r="AI349" i="20" s="1"/>
  <c r="N349" i="20"/>
  <c r="M349" i="20"/>
  <c r="D349" i="20"/>
  <c r="S150" i="20"/>
  <c r="AI150" i="20" s="1"/>
  <c r="N150" i="20"/>
  <c r="M150" i="20"/>
  <c r="D150" i="20"/>
  <c r="S149" i="20"/>
  <c r="N149" i="20"/>
  <c r="M149" i="20"/>
  <c r="D149" i="20"/>
  <c r="S148" i="20"/>
  <c r="AK148" i="20" s="1"/>
  <c r="N148" i="20"/>
  <c r="M148" i="20"/>
  <c r="D148" i="20"/>
  <c r="S147" i="20"/>
  <c r="AC147" i="20" s="1"/>
  <c r="N147" i="20"/>
  <c r="M147" i="20"/>
  <c r="D147" i="20"/>
  <c r="S146" i="20"/>
  <c r="N146" i="20"/>
  <c r="M146" i="20"/>
  <c r="D146" i="20"/>
  <c r="S145" i="20"/>
  <c r="AA145" i="20" s="1"/>
  <c r="N145" i="20"/>
  <c r="M145" i="20"/>
  <c r="D145" i="20"/>
  <c r="S144" i="20"/>
  <c r="AE144" i="20" s="1"/>
  <c r="D144" i="20"/>
  <c r="S188" i="20"/>
  <c r="AC188" i="20" s="1"/>
  <c r="N188" i="20"/>
  <c r="M188" i="20"/>
  <c r="D188" i="20"/>
  <c r="S187" i="20"/>
  <c r="AE187" i="20" s="1"/>
  <c r="N187" i="20"/>
  <c r="M187" i="20"/>
  <c r="D187" i="20"/>
  <c r="S186" i="20"/>
  <c r="AI186" i="20" s="1"/>
  <c r="N186" i="20"/>
  <c r="M186" i="20"/>
  <c r="D186" i="20"/>
  <c r="S348" i="20"/>
  <c r="AY348" i="20" s="1"/>
  <c r="N348" i="20"/>
  <c r="M348" i="20"/>
  <c r="D348" i="20"/>
  <c r="S347" i="20"/>
  <c r="N347" i="20"/>
  <c r="M347" i="20"/>
  <c r="D347" i="20"/>
  <c r="S346" i="20"/>
  <c r="AE346" i="20" s="1"/>
  <c r="N346" i="20"/>
  <c r="M346" i="20"/>
  <c r="D346" i="20"/>
  <c r="S345" i="20"/>
  <c r="AE345" i="20" s="1"/>
  <c r="N345" i="20"/>
  <c r="M345" i="20"/>
  <c r="D345" i="20"/>
  <c r="S344" i="20"/>
  <c r="R344" i="20"/>
  <c r="P344" i="20" s="1"/>
  <c r="N344" i="20"/>
  <c r="M344" i="20"/>
  <c r="D344" i="20"/>
  <c r="S343" i="20"/>
  <c r="R343" i="20"/>
  <c r="P343" i="20" s="1"/>
  <c r="N343" i="20"/>
  <c r="M343" i="20"/>
  <c r="D343" i="20"/>
  <c r="S342" i="20"/>
  <c r="R342" i="20"/>
  <c r="P342" i="20" s="1"/>
  <c r="N342" i="20"/>
  <c r="M342" i="20"/>
  <c r="D342" i="20"/>
  <c r="S180" i="20"/>
  <c r="AI180" i="20" s="1"/>
  <c r="N180" i="20"/>
  <c r="M180" i="20"/>
  <c r="D180" i="20"/>
  <c r="S179" i="20"/>
  <c r="AY179" i="20" s="1"/>
  <c r="N179" i="20"/>
  <c r="M179" i="20"/>
  <c r="D179" i="20"/>
  <c r="S178" i="20"/>
  <c r="N178" i="20"/>
  <c r="M178" i="20"/>
  <c r="D178" i="20"/>
  <c r="S206" i="20"/>
  <c r="U206" i="20" s="1"/>
  <c r="N206" i="20"/>
  <c r="M206" i="20"/>
  <c r="D206" i="20"/>
  <c r="S205" i="20"/>
  <c r="N205" i="20"/>
  <c r="M205" i="20"/>
  <c r="D205" i="20"/>
  <c r="S204" i="20"/>
  <c r="AM204" i="20" s="1"/>
  <c r="N204" i="20"/>
  <c r="M204" i="20"/>
  <c r="D204" i="20"/>
  <c r="S203" i="20"/>
  <c r="AG203" i="20" s="1"/>
  <c r="N203" i="20"/>
  <c r="M203" i="20"/>
  <c r="D203" i="20"/>
  <c r="S202" i="20"/>
  <c r="N202" i="20"/>
  <c r="M202" i="20"/>
  <c r="D202" i="20"/>
  <c r="S143" i="20"/>
  <c r="AE143" i="20" s="1"/>
  <c r="N143" i="20"/>
  <c r="M143" i="20"/>
  <c r="D143" i="20"/>
  <c r="S142" i="20"/>
  <c r="AK142" i="20" s="1"/>
  <c r="N142" i="20"/>
  <c r="M142" i="20"/>
  <c r="D142" i="20"/>
  <c r="S141" i="20"/>
  <c r="N141" i="20"/>
  <c r="M141" i="20"/>
  <c r="D141" i="20"/>
  <c r="S140" i="20"/>
  <c r="N140" i="20"/>
  <c r="M140" i="20"/>
  <c r="D140" i="20"/>
  <c r="S218" i="20"/>
  <c r="AK218" i="20" s="1"/>
  <c r="N218" i="20"/>
  <c r="M218" i="20"/>
  <c r="D218" i="20"/>
  <c r="S217" i="20"/>
  <c r="AM217" i="20" s="1"/>
  <c r="N217" i="20"/>
  <c r="M217" i="20"/>
  <c r="D217" i="20"/>
  <c r="S216" i="20"/>
  <c r="N216" i="20"/>
  <c r="M216" i="20"/>
  <c r="D216" i="20"/>
  <c r="S215" i="20"/>
  <c r="V215" i="20" s="1"/>
  <c r="X215" i="20" s="1"/>
  <c r="N215" i="20"/>
  <c r="M215" i="20"/>
  <c r="D215" i="20"/>
  <c r="S233" i="20"/>
  <c r="N233" i="20"/>
  <c r="M233" i="20"/>
  <c r="D233" i="20"/>
  <c r="S232" i="20"/>
  <c r="N232" i="20"/>
  <c r="M232" i="20"/>
  <c r="D232" i="20"/>
  <c r="S231" i="20"/>
  <c r="AE231" i="20" s="1"/>
  <c r="N231" i="20"/>
  <c r="M231" i="20"/>
  <c r="D231" i="20"/>
  <c r="S230" i="20"/>
  <c r="AC230" i="20" s="1"/>
  <c r="N230" i="20"/>
  <c r="M230" i="20"/>
  <c r="D230" i="20"/>
  <c r="S384" i="20"/>
  <c r="AK384" i="20" s="1"/>
  <c r="N384" i="20"/>
  <c r="M384" i="20"/>
  <c r="D384" i="20"/>
  <c r="S383" i="20"/>
  <c r="AG383" i="20" s="1"/>
  <c r="N383" i="20"/>
  <c r="M383" i="20"/>
  <c r="D383" i="20"/>
  <c r="S382" i="20"/>
  <c r="N382" i="20"/>
  <c r="M382" i="20"/>
  <c r="D382" i="20"/>
  <c r="S381" i="20"/>
  <c r="U381" i="20" s="1"/>
  <c r="N381" i="20"/>
  <c r="M381" i="20"/>
  <c r="D381" i="20"/>
  <c r="S380" i="20"/>
  <c r="V380" i="20" s="1"/>
  <c r="X380" i="20" s="1"/>
  <c r="N380" i="20"/>
  <c r="M380" i="20"/>
  <c r="D380" i="20"/>
  <c r="S379" i="20"/>
  <c r="U379" i="20" s="1"/>
  <c r="N379" i="20"/>
  <c r="M379" i="20"/>
  <c r="D379" i="20"/>
  <c r="S378" i="20"/>
  <c r="N378" i="20"/>
  <c r="M378" i="20"/>
  <c r="D378" i="20"/>
  <c r="S177" i="20"/>
  <c r="AI177" i="20" s="1"/>
  <c r="N177" i="20"/>
  <c r="M177" i="20"/>
  <c r="D177" i="20"/>
  <c r="S176" i="20"/>
  <c r="V176" i="20" s="1"/>
  <c r="X176" i="20" s="1"/>
  <c r="N176" i="20"/>
  <c r="M176" i="20"/>
  <c r="D176" i="20"/>
  <c r="S175" i="20"/>
  <c r="AC175" i="20" s="1"/>
  <c r="N175" i="20"/>
  <c r="M175" i="20"/>
  <c r="D175" i="20"/>
  <c r="S135" i="20"/>
  <c r="AE135" i="20" s="1"/>
  <c r="N135" i="20"/>
  <c r="M135" i="20"/>
  <c r="D135" i="20"/>
  <c r="S134" i="20"/>
  <c r="AG134" i="20" s="1"/>
  <c r="N134" i="20"/>
  <c r="M134" i="20"/>
  <c r="D134" i="20"/>
  <c r="S133" i="20"/>
  <c r="N133" i="20"/>
  <c r="M133" i="20"/>
  <c r="D133" i="20"/>
  <c r="S132" i="20"/>
  <c r="N132" i="20"/>
  <c r="M132" i="20"/>
  <c r="D132" i="20"/>
  <c r="S131" i="20"/>
  <c r="N131" i="20"/>
  <c r="M131" i="20"/>
  <c r="D131" i="20"/>
  <c r="S130" i="20"/>
  <c r="N130" i="20"/>
  <c r="M130" i="20"/>
  <c r="D130" i="20"/>
  <c r="S129" i="20"/>
  <c r="AM129" i="20" s="1"/>
  <c r="N129" i="20"/>
  <c r="M129" i="20"/>
  <c r="D129" i="20"/>
  <c r="S128" i="20"/>
  <c r="AY128" i="20" s="1"/>
  <c r="N128" i="20"/>
  <c r="M128" i="20"/>
  <c r="D128" i="20"/>
  <c r="S127" i="20"/>
  <c r="N127" i="20"/>
  <c r="M127" i="20"/>
  <c r="D127" i="20"/>
  <c r="S126" i="20"/>
  <c r="N126" i="20"/>
  <c r="M126" i="20"/>
  <c r="D126" i="20"/>
  <c r="S125" i="20"/>
  <c r="AE125" i="20" s="1"/>
  <c r="N125" i="20"/>
  <c r="M125" i="20"/>
  <c r="D125" i="20"/>
  <c r="S124" i="20"/>
  <c r="N124" i="20"/>
  <c r="M124" i="20"/>
  <c r="D124" i="20"/>
  <c r="S123" i="20"/>
  <c r="AA123" i="20" s="1"/>
  <c r="N123" i="20"/>
  <c r="M123" i="20"/>
  <c r="D123" i="20"/>
  <c r="S122" i="20"/>
  <c r="V122" i="20" s="1"/>
  <c r="X122" i="20" s="1"/>
  <c r="N122" i="20"/>
  <c r="M122" i="20"/>
  <c r="D122" i="20"/>
  <c r="S121" i="20"/>
  <c r="N121" i="20"/>
  <c r="M121" i="20"/>
  <c r="D121" i="20"/>
  <c r="S120" i="20"/>
  <c r="AI120" i="20" s="1"/>
  <c r="N120" i="20"/>
  <c r="M120" i="20"/>
  <c r="D120" i="20"/>
  <c r="S119" i="20"/>
  <c r="N119" i="20"/>
  <c r="M119" i="20"/>
  <c r="D119" i="20"/>
  <c r="S118" i="20"/>
  <c r="N118" i="20"/>
  <c r="M118" i="20"/>
  <c r="D118" i="20"/>
  <c r="S117" i="20"/>
  <c r="AE117" i="20" s="1"/>
  <c r="N117" i="20"/>
  <c r="M117" i="20"/>
  <c r="D117" i="20"/>
  <c r="S116" i="20"/>
  <c r="AG116" i="20" s="1"/>
  <c r="N116" i="20"/>
  <c r="M116" i="20"/>
  <c r="D116" i="20"/>
  <c r="S115" i="20"/>
  <c r="N115" i="20"/>
  <c r="M115" i="20"/>
  <c r="D115" i="20"/>
  <c r="S114" i="20"/>
  <c r="N114" i="20"/>
  <c r="M114" i="20"/>
  <c r="D114" i="20"/>
  <c r="S113" i="20"/>
  <c r="N113" i="20"/>
  <c r="M113" i="20"/>
  <c r="D113" i="20"/>
  <c r="S112" i="20"/>
  <c r="AY112" i="20" s="1"/>
  <c r="N112" i="20"/>
  <c r="M112" i="20"/>
  <c r="D112" i="20"/>
  <c r="S111" i="20"/>
  <c r="U111" i="20" s="1"/>
  <c r="N111" i="20"/>
  <c r="M111" i="20"/>
  <c r="D111" i="20"/>
  <c r="S110" i="20"/>
  <c r="AA110" i="20" s="1"/>
  <c r="N110" i="20"/>
  <c r="M110" i="20"/>
  <c r="D110" i="20"/>
  <c r="S109" i="20"/>
  <c r="N109" i="20"/>
  <c r="M109" i="20"/>
  <c r="D109" i="20"/>
  <c r="S108" i="20"/>
  <c r="U108" i="20" s="1"/>
  <c r="N108" i="20"/>
  <c r="M108" i="20"/>
  <c r="D108" i="20"/>
  <c r="S107" i="20"/>
  <c r="AY107" i="20" s="1"/>
  <c r="N107" i="20"/>
  <c r="M107" i="20"/>
  <c r="D107" i="20"/>
  <c r="S106" i="20"/>
  <c r="AM106" i="20" s="1"/>
  <c r="N106" i="20"/>
  <c r="M106" i="20"/>
  <c r="D106" i="20"/>
  <c r="S105" i="20"/>
  <c r="AC105" i="20" s="1"/>
  <c r="N105" i="20"/>
  <c r="M105" i="20"/>
  <c r="D105" i="20"/>
  <c r="S104" i="20"/>
  <c r="N104" i="20"/>
  <c r="M104" i="20"/>
  <c r="D104" i="20"/>
  <c r="S103" i="20"/>
  <c r="N103" i="20"/>
  <c r="M103" i="20"/>
  <c r="D103" i="20"/>
  <c r="S102" i="20"/>
  <c r="AM102" i="20" s="1"/>
  <c r="N102" i="20"/>
  <c r="M102" i="20"/>
  <c r="D102" i="20"/>
  <c r="S101" i="20"/>
  <c r="AY101" i="20" s="1"/>
  <c r="N101" i="20"/>
  <c r="M101" i="20"/>
  <c r="D101" i="20"/>
  <c r="S100" i="20"/>
  <c r="V100" i="20" s="1"/>
  <c r="X100" i="20" s="1"/>
  <c r="N100" i="20"/>
  <c r="M100" i="20"/>
  <c r="D100" i="20"/>
  <c r="S99" i="20"/>
  <c r="N99" i="20"/>
  <c r="M99" i="20"/>
  <c r="D99" i="20"/>
  <c r="S98" i="20"/>
  <c r="AM98" i="20" s="1"/>
  <c r="N98" i="20"/>
  <c r="M98" i="20"/>
  <c r="D98" i="20"/>
  <c r="S97" i="20"/>
  <c r="N97" i="20"/>
  <c r="M97" i="20"/>
  <c r="D97" i="20"/>
  <c r="S96" i="20"/>
  <c r="N96" i="20"/>
  <c r="M96" i="20"/>
  <c r="D96" i="20"/>
  <c r="S95" i="20"/>
  <c r="V95" i="20" s="1"/>
  <c r="X95" i="20" s="1"/>
  <c r="N95" i="20"/>
  <c r="M95" i="20"/>
  <c r="D95" i="20"/>
  <c r="S94" i="20"/>
  <c r="N94" i="20"/>
  <c r="M94" i="20"/>
  <c r="D94" i="20"/>
  <c r="S93" i="20"/>
  <c r="AK93" i="20" s="1"/>
  <c r="N93" i="20"/>
  <c r="M93" i="20"/>
  <c r="D93" i="20"/>
  <c r="S92" i="20"/>
  <c r="V92" i="20" s="1"/>
  <c r="X92" i="20" s="1"/>
  <c r="N92" i="20"/>
  <c r="M92" i="20"/>
  <c r="D92" i="20"/>
  <c r="S91" i="20"/>
  <c r="AA91" i="20" s="1"/>
  <c r="N91" i="20"/>
  <c r="M91" i="20"/>
  <c r="D91" i="20"/>
  <c r="S90" i="20"/>
  <c r="AA90" i="20" s="1"/>
  <c r="N90" i="20"/>
  <c r="M90" i="20"/>
  <c r="D90" i="20"/>
  <c r="S89" i="20"/>
  <c r="N89" i="20"/>
  <c r="M89" i="20"/>
  <c r="D89" i="20"/>
  <c r="S88" i="20"/>
  <c r="N88" i="20"/>
  <c r="M88" i="20"/>
  <c r="D88" i="20"/>
  <c r="S87" i="20"/>
  <c r="AE87" i="20" s="1"/>
  <c r="N87" i="20"/>
  <c r="M87" i="20"/>
  <c r="D87" i="20"/>
  <c r="S86" i="20"/>
  <c r="N86" i="20"/>
  <c r="M86" i="20"/>
  <c r="D86" i="20"/>
  <c r="S85" i="20"/>
  <c r="AK85" i="20" s="1"/>
  <c r="N85" i="20"/>
  <c r="M85" i="20"/>
  <c r="D85" i="20"/>
  <c r="S84" i="20"/>
  <c r="AE84" i="20" s="1"/>
  <c r="N84" i="20"/>
  <c r="M84" i="20"/>
  <c r="D84" i="20"/>
  <c r="S83" i="20"/>
  <c r="N83" i="20"/>
  <c r="M83" i="20"/>
  <c r="D83" i="20"/>
  <c r="S82" i="20"/>
  <c r="AM82" i="20" s="1"/>
  <c r="N82" i="20"/>
  <c r="M82" i="20"/>
  <c r="D82" i="20"/>
  <c r="S81" i="20"/>
  <c r="N81" i="20"/>
  <c r="M81" i="20"/>
  <c r="D81" i="20"/>
  <c r="S80" i="20"/>
  <c r="AK80" i="20" s="1"/>
  <c r="N80" i="20"/>
  <c r="M80" i="20"/>
  <c r="D80" i="20"/>
  <c r="S79" i="20"/>
  <c r="AE79" i="20" s="1"/>
  <c r="N79" i="20"/>
  <c r="M79" i="20"/>
  <c r="D79" i="20"/>
  <c r="S78" i="20"/>
  <c r="N78" i="20"/>
  <c r="M78" i="20"/>
  <c r="D78" i="20"/>
  <c r="S77" i="20"/>
  <c r="AK77" i="20" s="1"/>
  <c r="N77" i="20"/>
  <c r="M77" i="20"/>
  <c r="D77" i="20"/>
  <c r="S76" i="20"/>
  <c r="V76" i="20" s="1"/>
  <c r="X76" i="20" s="1"/>
  <c r="N76" i="20"/>
  <c r="M76" i="20"/>
  <c r="D76" i="20"/>
  <c r="S75" i="20"/>
  <c r="AA75" i="20" s="1"/>
  <c r="N75" i="20"/>
  <c r="M75" i="20"/>
  <c r="D75" i="20"/>
  <c r="S74" i="20"/>
  <c r="N74" i="20"/>
  <c r="M74" i="20"/>
  <c r="D74" i="20"/>
  <c r="S73" i="20"/>
  <c r="N73" i="20"/>
  <c r="M73" i="20"/>
  <c r="D73" i="20"/>
  <c r="S229" i="20"/>
  <c r="AI229" i="20" s="1"/>
  <c r="N229" i="20"/>
  <c r="M229" i="20"/>
  <c r="D229" i="20"/>
  <c r="S228" i="20"/>
  <c r="N228" i="20"/>
  <c r="M228" i="20"/>
  <c r="D228" i="20"/>
  <c r="S227" i="20"/>
  <c r="AC227" i="20" s="1"/>
  <c r="N227" i="20"/>
  <c r="M227" i="20"/>
  <c r="D227" i="20"/>
  <c r="S214" i="20"/>
  <c r="AE214" i="20" s="1"/>
  <c r="N214" i="20"/>
  <c r="M214" i="20"/>
  <c r="D214" i="20"/>
  <c r="S174" i="20"/>
  <c r="AK174" i="20" s="1"/>
  <c r="N174" i="20"/>
  <c r="M174" i="20"/>
  <c r="D174" i="20"/>
  <c r="S173" i="20"/>
  <c r="N173" i="20"/>
  <c r="M173" i="20"/>
  <c r="D173" i="20"/>
  <c r="S172" i="20"/>
  <c r="N172" i="20"/>
  <c r="M172" i="20"/>
  <c r="D172" i="20"/>
  <c r="S171" i="20"/>
  <c r="N171" i="20"/>
  <c r="M171" i="20"/>
  <c r="D171" i="20"/>
  <c r="S170" i="20"/>
  <c r="AG170" i="20" s="1"/>
  <c r="N170" i="20"/>
  <c r="M170" i="20"/>
  <c r="D170" i="20"/>
  <c r="S169" i="20"/>
  <c r="N169" i="20"/>
  <c r="M169" i="20"/>
  <c r="D169" i="20"/>
  <c r="S279" i="20"/>
  <c r="V279" i="20" s="1"/>
  <c r="X279" i="20" s="1"/>
  <c r="N279" i="20"/>
  <c r="M279" i="20"/>
  <c r="D279" i="20"/>
  <c r="S278" i="20"/>
  <c r="N278" i="20"/>
  <c r="M278" i="20"/>
  <c r="D278" i="20"/>
  <c r="S277" i="20"/>
  <c r="AE277" i="20" s="1"/>
  <c r="N277" i="20"/>
  <c r="M277" i="20"/>
  <c r="D277" i="20"/>
  <c r="S276" i="20"/>
  <c r="AG276" i="20" s="1"/>
  <c r="R276" i="20"/>
  <c r="P276" i="20" s="1"/>
  <c r="N276" i="20"/>
  <c r="M276" i="20"/>
  <c r="D276" i="20"/>
  <c r="S275" i="20"/>
  <c r="AY275" i="20" s="1"/>
  <c r="R275" i="20"/>
  <c r="P275" i="20" s="1"/>
  <c r="N275" i="20"/>
  <c r="M275" i="20"/>
  <c r="D275" i="20"/>
  <c r="S274" i="20"/>
  <c r="U274" i="20" s="1"/>
  <c r="R274" i="20"/>
  <c r="P274" i="20" s="1"/>
  <c r="N274" i="20"/>
  <c r="M274" i="20"/>
  <c r="D274" i="20"/>
  <c r="S273" i="20"/>
  <c r="N273" i="20"/>
  <c r="M273" i="20"/>
  <c r="D273" i="20"/>
  <c r="S139" i="20"/>
  <c r="AA139" i="20" s="1"/>
  <c r="N139" i="20"/>
  <c r="M139" i="20"/>
  <c r="D139" i="20"/>
  <c r="S138" i="20"/>
  <c r="AE138" i="20" s="1"/>
  <c r="N138" i="20"/>
  <c r="M138" i="20"/>
  <c r="D138" i="20"/>
  <c r="S137" i="20"/>
  <c r="N137" i="20"/>
  <c r="M137" i="20"/>
  <c r="D137" i="20"/>
  <c r="S136" i="20"/>
  <c r="U136" i="20" s="1"/>
  <c r="N136" i="20"/>
  <c r="M136" i="20"/>
  <c r="D136" i="20"/>
  <c r="S29" i="20"/>
  <c r="N29" i="20"/>
  <c r="M29" i="20"/>
  <c r="D29" i="20"/>
  <c r="S28" i="20"/>
  <c r="V28" i="20" s="1"/>
  <c r="X28" i="20" s="1"/>
  <c r="N28" i="20"/>
  <c r="M28" i="20"/>
  <c r="D28" i="20"/>
  <c r="S27" i="20"/>
  <c r="V27" i="20" s="1"/>
  <c r="X27" i="20" s="1"/>
  <c r="N27" i="20"/>
  <c r="M27" i="20"/>
  <c r="D27" i="20"/>
  <c r="S26" i="20"/>
  <c r="AK26" i="20" s="1"/>
  <c r="N26" i="20"/>
  <c r="M26" i="20"/>
  <c r="D26" i="20"/>
  <c r="S25" i="20"/>
  <c r="N25" i="20"/>
  <c r="M25" i="20"/>
  <c r="D25" i="20"/>
  <c r="S24" i="20"/>
  <c r="N24" i="20"/>
  <c r="M24" i="20"/>
  <c r="D24" i="20"/>
  <c r="S23" i="20"/>
  <c r="N23" i="20"/>
  <c r="M23" i="20"/>
  <c r="D23" i="20"/>
  <c r="S22" i="20"/>
  <c r="N22" i="20"/>
  <c r="M22" i="20"/>
  <c r="D22" i="20"/>
  <c r="S21" i="20"/>
  <c r="AY21" i="20" s="1"/>
  <c r="N21" i="20"/>
  <c r="M21" i="20"/>
  <c r="D21" i="20"/>
  <c r="S55" i="20"/>
  <c r="AA55" i="20" s="1"/>
  <c r="N55" i="20"/>
  <c r="M55" i="20"/>
  <c r="D55" i="20"/>
  <c r="S54" i="20"/>
  <c r="AE54" i="20" s="1"/>
  <c r="N54" i="20"/>
  <c r="M54" i="20"/>
  <c r="D54" i="20"/>
  <c r="S53" i="20"/>
  <c r="U53" i="20" s="1"/>
  <c r="N53" i="20"/>
  <c r="M53" i="20"/>
  <c r="D53" i="20"/>
  <c r="S52" i="20"/>
  <c r="AY52" i="20" s="1"/>
  <c r="N52" i="20"/>
  <c r="M52" i="20"/>
  <c r="D52" i="20"/>
  <c r="S51" i="20"/>
  <c r="N51" i="20"/>
  <c r="M51" i="20"/>
  <c r="D51" i="20"/>
  <c r="S50" i="20"/>
  <c r="AY50" i="20" s="1"/>
  <c r="N50" i="20"/>
  <c r="M50" i="20"/>
  <c r="D50" i="20"/>
  <c r="S213" i="20"/>
  <c r="AA213" i="20" s="1"/>
  <c r="N213" i="20"/>
  <c r="M213" i="20"/>
  <c r="D213" i="20"/>
  <c r="S212" i="20"/>
  <c r="V212" i="20" s="1"/>
  <c r="X212" i="20" s="1"/>
  <c r="N212" i="20"/>
  <c r="M212" i="20"/>
  <c r="D212" i="20"/>
  <c r="S211" i="20"/>
  <c r="AI211" i="20" s="1"/>
  <c r="N211" i="20"/>
  <c r="M211" i="20"/>
  <c r="D211" i="20"/>
  <c r="S210" i="20"/>
  <c r="AE210" i="20" s="1"/>
  <c r="N210" i="20"/>
  <c r="M210" i="20"/>
  <c r="D210" i="20"/>
  <c r="S226" i="20"/>
  <c r="N226" i="20"/>
  <c r="M226" i="20"/>
  <c r="D226" i="20"/>
  <c r="S225" i="20"/>
  <c r="AY225" i="20" s="1"/>
  <c r="N225" i="20"/>
  <c r="M225" i="20"/>
  <c r="D225" i="20"/>
  <c r="S224" i="20"/>
  <c r="U224" i="20" s="1"/>
  <c r="N224" i="20"/>
  <c r="M224" i="20"/>
  <c r="D224" i="20"/>
  <c r="S223" i="20"/>
  <c r="N223" i="20"/>
  <c r="M223" i="20"/>
  <c r="D223" i="20"/>
  <c r="S222" i="20"/>
  <c r="AG222" i="20" s="1"/>
  <c r="N222" i="20"/>
  <c r="M222" i="20"/>
  <c r="D222" i="20"/>
  <c r="S221" i="20"/>
  <c r="N221" i="20"/>
  <c r="M221" i="20"/>
  <c r="D221" i="20"/>
  <c r="S220" i="20"/>
  <c r="N220" i="20"/>
  <c r="M220" i="20"/>
  <c r="D220" i="20"/>
  <c r="S49" i="20"/>
  <c r="AC49" i="20" s="1"/>
  <c r="N49" i="20"/>
  <c r="M49" i="20"/>
  <c r="D49" i="20"/>
  <c r="S48" i="20"/>
  <c r="N48" i="20"/>
  <c r="M48" i="20"/>
  <c r="D48" i="20"/>
  <c r="S341" i="20"/>
  <c r="V341" i="20" s="1"/>
  <c r="X341" i="20" s="1"/>
  <c r="N341" i="20"/>
  <c r="M341" i="20"/>
  <c r="D341" i="20"/>
  <c r="S340" i="20"/>
  <c r="AE340" i="20" s="1"/>
  <c r="N340" i="20"/>
  <c r="M340" i="20"/>
  <c r="D340" i="20"/>
  <c r="S339" i="20"/>
  <c r="U339" i="20" s="1"/>
  <c r="N339" i="20"/>
  <c r="M339" i="20"/>
  <c r="D339" i="20"/>
  <c r="S338" i="20"/>
  <c r="N338" i="20"/>
  <c r="M338" i="20"/>
  <c r="D338" i="20"/>
  <c r="S337" i="20"/>
  <c r="AK337" i="20" s="1"/>
  <c r="N337" i="20"/>
  <c r="M337" i="20"/>
  <c r="D337" i="20"/>
  <c r="S336" i="20"/>
  <c r="V336" i="20" s="1"/>
  <c r="X336" i="20" s="1"/>
  <c r="R336" i="20"/>
  <c r="P336" i="20" s="1"/>
  <c r="N336" i="20"/>
  <c r="M336" i="20"/>
  <c r="D336" i="20"/>
  <c r="S335" i="20"/>
  <c r="AK335" i="20" s="1"/>
  <c r="R335" i="20"/>
  <c r="P335" i="20" s="1"/>
  <c r="N335" i="20"/>
  <c r="M335" i="20"/>
  <c r="D335" i="20"/>
  <c r="S334" i="20"/>
  <c r="AG334" i="20" s="1"/>
  <c r="R334" i="20"/>
  <c r="P334" i="20" s="1"/>
  <c r="N334" i="20"/>
  <c r="M334" i="20"/>
  <c r="D334" i="20"/>
  <c r="S333" i="20"/>
  <c r="N333" i="20"/>
  <c r="M333" i="20"/>
  <c r="D333" i="20"/>
  <c r="S20" i="20"/>
  <c r="N20" i="20"/>
  <c r="M20" i="20"/>
  <c r="D20" i="20"/>
  <c r="S19" i="20"/>
  <c r="AG19" i="20" s="1"/>
  <c r="N19" i="20"/>
  <c r="M19" i="20"/>
  <c r="D19" i="20"/>
  <c r="S18" i="20"/>
  <c r="N18" i="20"/>
  <c r="M18" i="20"/>
  <c r="D18" i="20"/>
  <c r="S17" i="20"/>
  <c r="AK17" i="20" s="1"/>
  <c r="N17" i="20"/>
  <c r="M17" i="20"/>
  <c r="D17" i="20"/>
  <c r="S16" i="20"/>
  <c r="AY16" i="20" s="1"/>
  <c r="N16" i="20"/>
  <c r="M16" i="20"/>
  <c r="D16" i="20"/>
  <c r="S15" i="20"/>
  <c r="AK15" i="20" s="1"/>
  <c r="N15" i="20"/>
  <c r="M15" i="20"/>
  <c r="D15" i="20"/>
  <c r="S14" i="20"/>
  <c r="AC14" i="20" s="1"/>
  <c r="N14" i="20"/>
  <c r="M14" i="20"/>
  <c r="D14" i="20"/>
  <c r="S13" i="20"/>
  <c r="AI13" i="20" s="1"/>
  <c r="N13" i="20"/>
  <c r="M13" i="20"/>
  <c r="D13" i="20"/>
  <c r="S272" i="20"/>
  <c r="N272" i="20"/>
  <c r="M272" i="20"/>
  <c r="D272" i="20"/>
  <c r="S271" i="20"/>
  <c r="V271" i="20" s="1"/>
  <c r="X271" i="20" s="1"/>
  <c r="N271" i="20"/>
  <c r="M271" i="20"/>
  <c r="D271" i="20"/>
  <c r="S270" i="20"/>
  <c r="N270" i="20"/>
  <c r="M270" i="20"/>
  <c r="D270" i="20"/>
  <c r="S269" i="20"/>
  <c r="N269" i="20"/>
  <c r="M269" i="20"/>
  <c r="D269" i="20"/>
  <c r="S268" i="20"/>
  <c r="N268" i="20"/>
  <c r="M268" i="20"/>
  <c r="D268" i="20"/>
  <c r="S267" i="20"/>
  <c r="V267" i="20" s="1"/>
  <c r="X267" i="20" s="1"/>
  <c r="R267" i="20"/>
  <c r="P267" i="20" s="1"/>
  <c r="N267" i="20"/>
  <c r="M267" i="20"/>
  <c r="D267" i="20"/>
  <c r="S266" i="20"/>
  <c r="R266" i="20"/>
  <c r="P266" i="20" s="1"/>
  <c r="N266" i="20"/>
  <c r="M266" i="20"/>
  <c r="D266" i="20"/>
  <c r="S265" i="20"/>
  <c r="AA265" i="20" s="1"/>
  <c r="R265" i="20"/>
  <c r="P265" i="20" s="1"/>
  <c r="N265" i="20"/>
  <c r="M265" i="20"/>
  <c r="D265" i="20"/>
  <c r="S264" i="20"/>
  <c r="N264" i="20"/>
  <c r="M264" i="20"/>
  <c r="D264" i="20"/>
  <c r="S263" i="20"/>
  <c r="N263" i="20"/>
  <c r="M263" i="20"/>
  <c r="D263" i="20"/>
  <c r="S262" i="20"/>
  <c r="U262" i="20" s="1"/>
  <c r="N262" i="20"/>
  <c r="M262" i="20"/>
  <c r="D262" i="20"/>
  <c r="S261" i="20"/>
  <c r="N261" i="20"/>
  <c r="M261" i="20"/>
  <c r="D261" i="20"/>
  <c r="S260" i="20"/>
  <c r="AE260" i="20" s="1"/>
  <c r="N260" i="20"/>
  <c r="M260" i="20"/>
  <c r="D260" i="20"/>
  <c r="S259" i="20"/>
  <c r="N259" i="20"/>
  <c r="M259" i="20"/>
  <c r="D259" i="20"/>
  <c r="S258" i="20"/>
  <c r="N258" i="20"/>
  <c r="M258" i="20"/>
  <c r="D258" i="20"/>
  <c r="S257" i="20"/>
  <c r="AK257" i="20" s="1"/>
  <c r="N257" i="20"/>
  <c r="M257" i="20"/>
  <c r="D257" i="20"/>
  <c r="S47" i="20"/>
  <c r="AK47" i="20" s="1"/>
  <c r="N47" i="20"/>
  <c r="M47" i="20"/>
  <c r="D47" i="20"/>
  <c r="S46" i="20"/>
  <c r="U46" i="20" s="1"/>
  <c r="N46" i="20"/>
  <c r="M46" i="20"/>
  <c r="D46" i="20"/>
  <c r="S45" i="20"/>
  <c r="N45" i="20"/>
  <c r="M45" i="20"/>
  <c r="D45" i="20"/>
  <c r="S44" i="20"/>
  <c r="AK44" i="20" s="1"/>
  <c r="N44" i="20"/>
  <c r="M44" i="20"/>
  <c r="D44" i="20"/>
  <c r="S10" i="20"/>
  <c r="AE10" i="20" s="1"/>
  <c r="N10" i="20"/>
  <c r="M10" i="20"/>
  <c r="D10" i="20"/>
  <c r="S9" i="20"/>
  <c r="U9" i="20" s="1"/>
  <c r="N9" i="20"/>
  <c r="M9" i="20"/>
  <c r="D9" i="20"/>
  <c r="S8" i="20"/>
  <c r="N8" i="20"/>
  <c r="M8" i="20"/>
  <c r="D8" i="20"/>
  <c r="S7" i="20"/>
  <c r="N7" i="20"/>
  <c r="M7" i="20"/>
  <c r="D7" i="20"/>
  <c r="S43" i="20"/>
  <c r="N43" i="20"/>
  <c r="M43" i="20"/>
  <c r="D43" i="20"/>
  <c r="S42" i="20"/>
  <c r="N42" i="20"/>
  <c r="M42" i="20"/>
  <c r="D42" i="20"/>
  <c r="S41" i="20"/>
  <c r="V41" i="20" s="1"/>
  <c r="X41" i="20" s="1"/>
  <c r="N41" i="20"/>
  <c r="M41" i="20"/>
  <c r="D41" i="20"/>
  <c r="S40" i="20"/>
  <c r="N40" i="20"/>
  <c r="M40" i="20"/>
  <c r="D40" i="20"/>
  <c r="S39" i="20"/>
  <c r="N39" i="20"/>
  <c r="M39" i="20"/>
  <c r="D39" i="20"/>
  <c r="S38" i="20"/>
  <c r="AI38" i="20" s="1"/>
  <c r="N38" i="20"/>
  <c r="M38" i="20"/>
  <c r="D38" i="20"/>
  <c r="S37" i="20"/>
  <c r="N37" i="20"/>
  <c r="M37" i="20"/>
  <c r="D37" i="20"/>
  <c r="S36" i="20"/>
  <c r="AA36" i="20" s="1"/>
  <c r="N36" i="20"/>
  <c r="M36" i="20"/>
  <c r="D36" i="20"/>
  <c r="S168" i="20"/>
  <c r="N168" i="20"/>
  <c r="M168" i="20"/>
  <c r="D168" i="20"/>
  <c r="S167" i="20"/>
  <c r="N167" i="20"/>
  <c r="M167" i="20"/>
  <c r="D167" i="20"/>
  <c r="S166" i="20"/>
  <c r="AE166" i="20" s="1"/>
  <c r="N166" i="20"/>
  <c r="M166" i="20"/>
  <c r="D166" i="20"/>
  <c r="S165" i="20"/>
  <c r="N165" i="20"/>
  <c r="M165" i="20"/>
  <c r="D165" i="20"/>
  <c r="S164" i="20"/>
  <c r="AA164" i="20" s="1"/>
  <c r="N164" i="20"/>
  <c r="M164" i="20"/>
  <c r="D164" i="20"/>
  <c r="S163" i="20"/>
  <c r="N163" i="20"/>
  <c r="M163" i="20"/>
  <c r="D163" i="20"/>
  <c r="S162" i="20"/>
  <c r="N162" i="20"/>
  <c r="M162" i="20"/>
  <c r="D162" i="20"/>
  <c r="S161" i="20"/>
  <c r="AK161" i="20" s="1"/>
  <c r="R161" i="20"/>
  <c r="P161" i="20" s="1"/>
  <c r="N161" i="20"/>
  <c r="M161" i="20"/>
  <c r="D161" i="20"/>
  <c r="S160" i="20"/>
  <c r="AY160" i="20" s="1"/>
  <c r="R160" i="20"/>
  <c r="P160" i="20" s="1"/>
  <c r="N160" i="20"/>
  <c r="M160" i="20"/>
  <c r="D160" i="20"/>
  <c r="S159" i="20"/>
  <c r="R159" i="20"/>
  <c r="P159" i="20" s="1"/>
  <c r="N159" i="20"/>
  <c r="M159" i="20"/>
  <c r="D159" i="20"/>
  <c r="S158" i="20"/>
  <c r="AG158" i="20" s="1"/>
  <c r="N158" i="20"/>
  <c r="M158" i="20"/>
  <c r="D158" i="20"/>
  <c r="S157" i="20"/>
  <c r="AG157" i="20" s="1"/>
  <c r="N157" i="20"/>
  <c r="M157" i="20"/>
  <c r="D157" i="20"/>
  <c r="S209" i="20"/>
  <c r="AM209" i="20" s="1"/>
  <c r="N209" i="20"/>
  <c r="M209" i="20"/>
  <c r="D209" i="20"/>
  <c r="S219" i="20"/>
  <c r="AE219" i="20" s="1"/>
  <c r="N219" i="20"/>
  <c r="M219" i="20"/>
  <c r="D219" i="20"/>
  <c r="S640" i="20"/>
  <c r="U640" i="20" s="1"/>
  <c r="N640" i="20"/>
  <c r="M640" i="20"/>
  <c r="D640" i="20"/>
  <c r="S639" i="20"/>
  <c r="N639" i="20"/>
  <c r="M639" i="20"/>
  <c r="D639" i="20"/>
  <c r="S638" i="20"/>
  <c r="U638" i="20" s="1"/>
  <c r="N638" i="20"/>
  <c r="M638" i="20"/>
  <c r="D638" i="20"/>
  <c r="S622" i="20"/>
  <c r="V622" i="20" s="1"/>
  <c r="X622" i="20" s="1"/>
  <c r="N622" i="20"/>
  <c r="M622" i="20"/>
  <c r="D622" i="20"/>
  <c r="S621" i="20"/>
  <c r="N621" i="20"/>
  <c r="M621" i="20"/>
  <c r="D621" i="20"/>
  <c r="S620" i="20"/>
  <c r="U620" i="20" s="1"/>
  <c r="N620" i="20"/>
  <c r="M620" i="20"/>
  <c r="D620" i="20"/>
  <c r="S611" i="20"/>
  <c r="N611" i="20"/>
  <c r="M611" i="20"/>
  <c r="D611" i="20"/>
  <c r="S610" i="20"/>
  <c r="N610" i="20"/>
  <c r="M610" i="20"/>
  <c r="D610" i="20"/>
  <c r="S609" i="20"/>
  <c r="AK609" i="20" s="1"/>
  <c r="N609" i="20"/>
  <c r="M609" i="20"/>
  <c r="D609" i="20"/>
  <c r="S584" i="20"/>
  <c r="AI584" i="20" s="1"/>
  <c r="N584" i="20"/>
  <c r="M584" i="20"/>
  <c r="D584" i="20"/>
  <c r="S583" i="20"/>
  <c r="N583" i="20"/>
  <c r="M583" i="20"/>
  <c r="D583" i="20"/>
  <c r="S582" i="20"/>
  <c r="V582" i="20" s="1"/>
  <c r="X582" i="20" s="1"/>
  <c r="N582" i="20"/>
  <c r="M582" i="20"/>
  <c r="D582" i="20"/>
  <c r="S558" i="20"/>
  <c r="N558" i="20"/>
  <c r="M558" i="20"/>
  <c r="D558" i="20"/>
  <c r="S557" i="20"/>
  <c r="N557" i="20"/>
  <c r="M557" i="20"/>
  <c r="D557" i="20"/>
  <c r="S556" i="20"/>
  <c r="V556" i="20" s="1"/>
  <c r="N556" i="20"/>
  <c r="M556" i="20"/>
  <c r="D556" i="20"/>
  <c r="S512" i="20"/>
  <c r="N512" i="20"/>
  <c r="M512" i="20"/>
  <c r="D512" i="20"/>
  <c r="S511" i="20"/>
  <c r="N511" i="20"/>
  <c r="M511" i="20"/>
  <c r="D511" i="20"/>
  <c r="S510" i="20"/>
  <c r="AA510" i="20" s="1"/>
  <c r="N510" i="20"/>
  <c r="M510" i="20"/>
  <c r="D510" i="20"/>
  <c r="S481" i="20"/>
  <c r="AK481" i="20" s="1"/>
  <c r="N481" i="20"/>
  <c r="M481" i="20"/>
  <c r="D481" i="20"/>
  <c r="S480" i="20"/>
  <c r="AG480" i="20" s="1"/>
  <c r="N480" i="20"/>
  <c r="M480" i="20"/>
  <c r="D480" i="20"/>
  <c r="S479" i="20"/>
  <c r="AA479" i="20" s="1"/>
  <c r="N479" i="20"/>
  <c r="M479" i="20"/>
  <c r="D479" i="20"/>
  <c r="S434" i="20"/>
  <c r="U434" i="20" s="1"/>
  <c r="N434" i="20"/>
  <c r="M434" i="20"/>
  <c r="D434" i="20"/>
  <c r="S433" i="20"/>
  <c r="AI433" i="20" s="1"/>
  <c r="N433" i="20"/>
  <c r="M433" i="20"/>
  <c r="D433" i="20"/>
  <c r="S432" i="20"/>
  <c r="U432" i="20" s="1"/>
  <c r="N432" i="20"/>
  <c r="M432" i="20"/>
  <c r="D432" i="20"/>
  <c r="S358" i="20"/>
  <c r="N358" i="20"/>
  <c r="M358" i="20"/>
  <c r="D358" i="20"/>
  <c r="S357" i="20"/>
  <c r="AK357" i="20" s="1"/>
  <c r="N357" i="20"/>
  <c r="M357" i="20"/>
  <c r="D357" i="20"/>
  <c r="S356" i="20"/>
  <c r="AK356" i="20" s="1"/>
  <c r="N356" i="20"/>
  <c r="M356" i="20"/>
  <c r="D356" i="20"/>
  <c r="S191" i="20"/>
  <c r="AY191" i="20" s="1"/>
  <c r="N191" i="20"/>
  <c r="M191" i="20"/>
  <c r="D191" i="20"/>
  <c r="S190" i="20"/>
  <c r="AK190" i="20" s="1"/>
  <c r="N190" i="20"/>
  <c r="M190" i="20"/>
  <c r="D190" i="20"/>
  <c r="S189" i="20"/>
  <c r="U189" i="20" s="1"/>
  <c r="N189" i="20"/>
  <c r="M189" i="20"/>
  <c r="D189" i="20"/>
  <c r="S32" i="20"/>
  <c r="N32" i="20"/>
  <c r="M32" i="20"/>
  <c r="D32" i="20"/>
  <c r="S31" i="20"/>
  <c r="N31" i="20"/>
  <c r="M31" i="20"/>
  <c r="D31" i="20"/>
  <c r="S30" i="20"/>
  <c r="U30" i="20" s="1"/>
  <c r="N30" i="20"/>
  <c r="M30" i="20"/>
  <c r="D30" i="20"/>
  <c r="S72" i="20"/>
  <c r="N72" i="20"/>
  <c r="M72" i="20"/>
  <c r="D72" i="20"/>
  <c r="S71" i="20"/>
  <c r="AM71" i="20" s="1"/>
  <c r="N71" i="20"/>
  <c r="M71" i="20"/>
  <c r="D71" i="20"/>
  <c r="S70" i="20"/>
  <c r="AC70" i="20" s="1"/>
  <c r="N70" i="20"/>
  <c r="M70" i="20"/>
  <c r="D70" i="20"/>
  <c r="S69" i="20"/>
  <c r="N69" i="20"/>
  <c r="M69" i="20"/>
  <c r="D69" i="20"/>
  <c r="S68" i="20"/>
  <c r="N68" i="20"/>
  <c r="M68" i="20"/>
  <c r="D68" i="20"/>
  <c r="S67" i="20"/>
  <c r="AG67" i="20" s="1"/>
  <c r="N67" i="20"/>
  <c r="M67" i="20"/>
  <c r="D67" i="20"/>
  <c r="S66" i="20"/>
  <c r="N66" i="20"/>
  <c r="M66" i="20"/>
  <c r="D66" i="20"/>
  <c r="S65" i="20"/>
  <c r="AE65" i="20" s="1"/>
  <c r="N65" i="20"/>
  <c r="M65" i="20"/>
  <c r="D65" i="20"/>
  <c r="S64" i="20"/>
  <c r="AG64" i="20" s="1"/>
  <c r="N64" i="20"/>
  <c r="M64" i="20"/>
  <c r="D64" i="20"/>
  <c r="S185" i="20"/>
  <c r="V185" i="20" s="1"/>
  <c r="X185" i="20" s="1"/>
  <c r="N185" i="20"/>
  <c r="M185" i="20"/>
  <c r="D185" i="20"/>
  <c r="S184" i="20"/>
  <c r="AE184" i="20" s="1"/>
  <c r="N184" i="20"/>
  <c r="M184" i="20"/>
  <c r="D184" i="20"/>
  <c r="S183" i="20"/>
  <c r="AC183" i="20" s="1"/>
  <c r="N183" i="20"/>
  <c r="M183" i="20"/>
  <c r="D183" i="20"/>
  <c r="S182" i="20"/>
  <c r="AY182" i="20" s="1"/>
  <c r="N182" i="20"/>
  <c r="M182" i="20"/>
  <c r="D182" i="20"/>
  <c r="S255" i="20"/>
  <c r="N255" i="20"/>
  <c r="M255" i="20"/>
  <c r="D255" i="20"/>
  <c r="S254" i="20"/>
  <c r="AG254" i="20" s="1"/>
  <c r="N254" i="20"/>
  <c r="M254" i="20"/>
  <c r="D254" i="20"/>
  <c r="S253" i="20"/>
  <c r="AY253" i="20" s="1"/>
  <c r="N253" i="20"/>
  <c r="M253" i="20"/>
  <c r="D253" i="20"/>
  <c r="S252" i="20"/>
  <c r="V252" i="20" s="1"/>
  <c r="X252" i="20" s="1"/>
  <c r="N252" i="20"/>
  <c r="M252" i="20"/>
  <c r="D252" i="20"/>
  <c r="S251" i="20"/>
  <c r="AE251" i="20" s="1"/>
  <c r="N251" i="20"/>
  <c r="M251" i="20"/>
  <c r="D251" i="20"/>
  <c r="S35" i="20"/>
  <c r="N35" i="20"/>
  <c r="M35" i="20"/>
  <c r="D35" i="20"/>
  <c r="S34" i="20"/>
  <c r="N34" i="20"/>
  <c r="M34" i="20"/>
  <c r="D34" i="20"/>
  <c r="S33" i="20"/>
  <c r="N33" i="20"/>
  <c r="M33" i="20"/>
  <c r="D33" i="20"/>
  <c r="S208" i="20"/>
  <c r="V208" i="20" s="1"/>
  <c r="X208" i="20" s="1"/>
  <c r="N208" i="20"/>
  <c r="M208" i="20"/>
  <c r="D208" i="20"/>
  <c r="S207" i="20"/>
  <c r="AA207" i="20" s="1"/>
  <c r="N207" i="20"/>
  <c r="M207" i="20"/>
  <c r="D207" i="20"/>
  <c r="S181" i="20"/>
  <c r="AC181" i="20" s="1"/>
  <c r="N181" i="20"/>
  <c r="M181" i="20"/>
  <c r="D181" i="20"/>
  <c r="S250" i="20"/>
  <c r="U250" i="20" s="1"/>
  <c r="N250" i="20"/>
  <c r="M250" i="20"/>
  <c r="D250" i="20"/>
  <c r="S249" i="20"/>
  <c r="AY249" i="20" s="1"/>
  <c r="N249" i="20"/>
  <c r="M249" i="20"/>
  <c r="D249" i="20"/>
  <c r="S248" i="20"/>
  <c r="AI248" i="20" s="1"/>
  <c r="N248" i="20"/>
  <c r="M248" i="20"/>
  <c r="D248" i="20"/>
  <c r="S247" i="20"/>
  <c r="AE247" i="20" s="1"/>
  <c r="N247" i="20"/>
  <c r="M247" i="20"/>
  <c r="D247" i="20"/>
  <c r="S246" i="20"/>
  <c r="N246" i="20"/>
  <c r="M246" i="20"/>
  <c r="D246" i="20"/>
  <c r="S245" i="20"/>
  <c r="U245" i="20" s="1"/>
  <c r="R245" i="20"/>
  <c r="P245" i="20" s="1"/>
  <c r="N245" i="20"/>
  <c r="M245" i="20"/>
  <c r="D245" i="20"/>
  <c r="S244" i="20"/>
  <c r="R244" i="20"/>
  <c r="P244" i="20" s="1"/>
  <c r="N244" i="20"/>
  <c r="M244" i="20"/>
  <c r="D244" i="20"/>
  <c r="S243" i="20"/>
  <c r="AG243" i="20" s="1"/>
  <c r="R243" i="20"/>
  <c r="P243" i="20" s="1"/>
  <c r="N243" i="20"/>
  <c r="M243" i="20"/>
  <c r="D243" i="20"/>
  <c r="S242" i="20"/>
  <c r="AG242" i="20" s="1"/>
  <c r="N242" i="20"/>
  <c r="M242" i="20"/>
  <c r="D242" i="20"/>
  <c r="S201" i="20"/>
  <c r="N201" i="20"/>
  <c r="M201" i="20"/>
  <c r="D201" i="20"/>
  <c r="S200" i="20"/>
  <c r="AK200" i="20" s="1"/>
  <c r="N200" i="20"/>
  <c r="M200" i="20"/>
  <c r="D200" i="20"/>
  <c r="S199" i="20"/>
  <c r="AC199" i="20" s="1"/>
  <c r="N199" i="20"/>
  <c r="M199" i="20"/>
  <c r="D199" i="20"/>
  <c r="S198" i="20"/>
  <c r="R198" i="20"/>
  <c r="P198" i="20" s="1"/>
  <c r="N198" i="20"/>
  <c r="M198" i="20"/>
  <c r="D198" i="20"/>
  <c r="S197" i="20"/>
  <c r="V197" i="20" s="1"/>
  <c r="X197" i="20" s="1"/>
  <c r="R197" i="20"/>
  <c r="P197" i="20" s="1"/>
  <c r="N197" i="20"/>
  <c r="M197" i="20"/>
  <c r="D197" i="20"/>
  <c r="S196" i="20"/>
  <c r="AM196" i="20" s="1"/>
  <c r="R196" i="20"/>
  <c r="P196" i="20" s="1"/>
  <c r="N196" i="20"/>
  <c r="M196" i="20"/>
  <c r="D196" i="20"/>
  <c r="S195" i="20"/>
  <c r="AE195" i="20" s="1"/>
  <c r="N195" i="20"/>
  <c r="M195" i="20"/>
  <c r="D195" i="20"/>
  <c r="S194" i="20"/>
  <c r="AC194" i="20" s="1"/>
  <c r="N194" i="20"/>
  <c r="M194" i="20"/>
  <c r="D194" i="20"/>
  <c r="S193" i="20"/>
  <c r="N193" i="20"/>
  <c r="M193" i="20"/>
  <c r="D193" i="20"/>
  <c r="S192" i="20"/>
  <c r="N192" i="20"/>
  <c r="M192" i="20"/>
  <c r="D192" i="20"/>
  <c r="S12" i="20"/>
  <c r="AY12" i="20" s="1"/>
  <c r="N12" i="20"/>
  <c r="M12" i="20"/>
  <c r="D12" i="20"/>
  <c r="S11" i="20"/>
  <c r="AM11" i="20" s="1"/>
  <c r="N11" i="20"/>
  <c r="M11" i="20"/>
  <c r="D11" i="20"/>
  <c r="S156" i="20"/>
  <c r="N156" i="20"/>
  <c r="M156" i="20"/>
  <c r="D156" i="20"/>
  <c r="S155" i="20"/>
  <c r="AE155" i="20" s="1"/>
  <c r="N155" i="20"/>
  <c r="M155" i="20"/>
  <c r="D155" i="20"/>
  <c r="S154" i="20"/>
  <c r="V154" i="20" s="1"/>
  <c r="X154" i="20" s="1"/>
  <c r="N154" i="20"/>
  <c r="M154" i="20"/>
  <c r="D154" i="20"/>
  <c r="S153" i="20"/>
  <c r="AE153" i="20" s="1"/>
  <c r="R153" i="20"/>
  <c r="P153" i="20" s="1"/>
  <c r="N153" i="20"/>
  <c r="M153" i="20"/>
  <c r="D153" i="20"/>
  <c r="S152" i="20"/>
  <c r="V152" i="20" s="1"/>
  <c r="X152" i="20" s="1"/>
  <c r="R152" i="20"/>
  <c r="P152" i="20" s="1"/>
  <c r="N152" i="20"/>
  <c r="M152" i="20"/>
  <c r="D152" i="20"/>
  <c r="S151" i="20"/>
  <c r="R151" i="20"/>
  <c r="P151" i="20" s="1"/>
  <c r="N151" i="20"/>
  <c r="M151" i="20"/>
  <c r="D151" i="20"/>
  <c r="S256" i="20"/>
  <c r="AK256" i="20" s="1"/>
  <c r="N256" i="20"/>
  <c r="M256" i="20"/>
  <c r="D256" i="20"/>
  <c r="BA4" i="20"/>
  <c r="AO4" i="20"/>
  <c r="BV3" i="20"/>
  <c r="BT3" i="20"/>
  <c r="BR3" i="20"/>
  <c r="BP3" i="20"/>
  <c r="BN3" i="20"/>
  <c r="BL3" i="20"/>
  <c r="BJ3" i="20"/>
  <c r="BH3" i="20"/>
  <c r="BF3" i="20"/>
  <c r="BD3" i="20"/>
  <c r="BB3" i="20"/>
  <c r="AZ3" i="20"/>
  <c r="AX3" i="20"/>
  <c r="AV3" i="20"/>
  <c r="AT3" i="20"/>
  <c r="AR3" i="20"/>
  <c r="AP3" i="20"/>
  <c r="AN3" i="20"/>
  <c r="AL3" i="20"/>
  <c r="AJ3" i="20"/>
  <c r="AH3" i="20"/>
  <c r="AF3" i="20"/>
  <c r="AD3" i="20"/>
  <c r="AB3" i="20"/>
  <c r="AQ29" i="35"/>
  <c r="AG29" i="35"/>
  <c r="AQ48" i="35"/>
  <c r="AG324" i="35"/>
  <c r="AE118" i="35"/>
  <c r="AM48" i="35"/>
  <c r="AK324" i="35"/>
  <c r="AG577" i="20"/>
  <c r="O124" i="1"/>
  <c r="Y454" i="35"/>
  <c r="AK454" i="35"/>
  <c r="AQ454" i="35"/>
  <c r="Z454" i="35"/>
  <c r="AB454" i="35" s="1"/>
  <c r="AO454" i="35"/>
  <c r="O62" i="1"/>
  <c r="O41" i="1"/>
  <c r="O80" i="1"/>
  <c r="O206" i="1"/>
  <c r="O34" i="1"/>
  <c r="O180" i="1"/>
  <c r="O166" i="1"/>
  <c r="O79" i="1"/>
  <c r="O113" i="1"/>
  <c r="O189" i="1"/>
  <c r="O92" i="1"/>
  <c r="O158" i="1"/>
  <c r="O125" i="1"/>
  <c r="O68" i="1"/>
  <c r="O142" i="1"/>
  <c r="O209" i="1"/>
  <c r="O192" i="1"/>
  <c r="O50" i="1"/>
  <c r="O186" i="1"/>
  <c r="O65" i="1"/>
  <c r="O100" i="1"/>
  <c r="O187" i="1"/>
  <c r="O105" i="1"/>
  <c r="O38" i="1"/>
  <c r="O33" i="1"/>
  <c r="O77" i="1"/>
  <c r="O107" i="1"/>
  <c r="BC130" i="35"/>
  <c r="Y130" i="35"/>
  <c r="Y106" i="35"/>
  <c r="AK512" i="35"/>
  <c r="AM512" i="35"/>
  <c r="O114" i="1"/>
  <c r="O26" i="1"/>
  <c r="O208" i="1"/>
  <c r="O103" i="1"/>
  <c r="O168" i="1"/>
  <c r="O191" i="1"/>
  <c r="O40" i="1"/>
  <c r="O101" i="1"/>
  <c r="O139" i="1"/>
  <c r="O155" i="1"/>
  <c r="O71" i="1"/>
  <c r="O194" i="1"/>
  <c r="O4" i="1" l="1"/>
  <c r="O15" i="1"/>
  <c r="O10" i="1"/>
  <c r="O8" i="1"/>
  <c r="O11" i="1"/>
  <c r="P56" i="1"/>
  <c r="R56" i="1" s="1"/>
  <c r="O12" i="1"/>
  <c r="O16" i="1"/>
  <c r="O14" i="1"/>
  <c r="O37" i="1"/>
  <c r="P57" i="1"/>
  <c r="R57" i="1" s="1"/>
  <c r="O19" i="1"/>
  <c r="P58" i="1"/>
  <c r="R58" i="1" s="1"/>
  <c r="AS78" i="35"/>
  <c r="Y152" i="35"/>
  <c r="Z152" i="35"/>
  <c r="AB152" i="35" s="1"/>
  <c r="AK336" i="35"/>
  <c r="AG336" i="35"/>
  <c r="AK118" i="35"/>
  <c r="BC36" i="35"/>
  <c r="AO476" i="35"/>
  <c r="AO336" i="35"/>
  <c r="AK60" i="35"/>
  <c r="AI336" i="35"/>
  <c r="AE152" i="35"/>
  <c r="Z476" i="35"/>
  <c r="AB476" i="35" s="1"/>
  <c r="AQ43" i="40"/>
  <c r="AQ70" i="40"/>
  <c r="AQ80" i="40"/>
  <c r="AQ83" i="40"/>
  <c r="AI129" i="20"/>
  <c r="AK50" i="20"/>
  <c r="AE218" i="20"/>
  <c r="AY385" i="20"/>
  <c r="AI53" i="20"/>
  <c r="AI239" i="20"/>
  <c r="AY616" i="20"/>
  <c r="AK53" i="20"/>
  <c r="V142" i="20"/>
  <c r="X142" i="20" s="1"/>
  <c r="AA239" i="20"/>
  <c r="AI135" i="35"/>
  <c r="AG367" i="35"/>
  <c r="AI431" i="20"/>
  <c r="AQ53" i="40"/>
  <c r="AA231" i="20"/>
  <c r="AA380" i="20"/>
  <c r="AI10" i="35"/>
  <c r="AK638" i="20"/>
  <c r="AM620" i="20"/>
  <c r="V620" i="20"/>
  <c r="X620" i="20" s="1"/>
  <c r="AA271" i="20"/>
  <c r="AO27" i="35"/>
  <c r="U572" i="20"/>
  <c r="V487" i="20"/>
  <c r="X487" i="20" s="1"/>
  <c r="AI389" i="35"/>
  <c r="AI346" i="35"/>
  <c r="AE505" i="20"/>
  <c r="AM346" i="35"/>
  <c r="AI310" i="35"/>
  <c r="AC108" i="20"/>
  <c r="AC510" i="20"/>
  <c r="Y498" i="35"/>
  <c r="AY211" i="20"/>
  <c r="AK139" i="20"/>
  <c r="V108" i="20"/>
  <c r="X108" i="20" s="1"/>
  <c r="AK616" i="20"/>
  <c r="AM65" i="35"/>
  <c r="V577" i="20"/>
  <c r="X577" i="20" s="1"/>
  <c r="AI108" i="20"/>
  <c r="V479" i="20"/>
  <c r="X479" i="20" s="1"/>
  <c r="V50" i="20"/>
  <c r="X50" i="20" s="1"/>
  <c r="BC389" i="35"/>
  <c r="AM396" i="20"/>
  <c r="AE20" i="35"/>
  <c r="V455" i="20"/>
  <c r="X455" i="20" s="1"/>
  <c r="AY349" i="20"/>
  <c r="AO442" i="35"/>
  <c r="AI498" i="35"/>
  <c r="AA211" i="20"/>
  <c r="Y53" i="35"/>
  <c r="AK529" i="35"/>
  <c r="AE139" i="20"/>
  <c r="AK102" i="20"/>
  <c r="AC616" i="20"/>
  <c r="AA129" i="20"/>
  <c r="AE142" i="20"/>
  <c r="U356" i="20"/>
  <c r="AG50" i="20"/>
  <c r="AE183" i="20"/>
  <c r="AY455" i="20"/>
  <c r="AA148" i="20"/>
  <c r="Z341" i="35"/>
  <c r="AB341" i="35" s="1"/>
  <c r="AK498" i="35"/>
  <c r="AE211" i="20"/>
  <c r="AI53" i="35"/>
  <c r="AO529" i="35"/>
  <c r="AY139" i="20"/>
  <c r="AG102" i="20"/>
  <c r="AA356" i="20"/>
  <c r="Y298" i="35"/>
  <c r="AM425" i="35"/>
  <c r="AC142" i="20"/>
  <c r="AG53" i="35"/>
  <c r="V356" i="20"/>
  <c r="X356" i="20" s="1"/>
  <c r="AC50" i="20"/>
  <c r="U340" i="20"/>
  <c r="AY598" i="20"/>
  <c r="U436" i="20"/>
  <c r="AI148" i="20"/>
  <c r="Y341" i="35"/>
  <c r="AM298" i="35"/>
  <c r="U148" i="20"/>
  <c r="AG638" i="20"/>
  <c r="AO389" i="35"/>
  <c r="AG20" i="35"/>
  <c r="AE215" i="20"/>
  <c r="AC337" i="20"/>
  <c r="AA136" i="20"/>
  <c r="U222" i="20"/>
  <c r="AG436" i="20"/>
  <c r="AE330" i="20"/>
  <c r="AM53" i="35"/>
  <c r="AE337" i="20"/>
  <c r="AO365" i="35"/>
  <c r="AG27" i="35"/>
  <c r="AB425" i="35"/>
  <c r="AO370" i="35"/>
  <c r="AG27" i="20"/>
  <c r="AG239" i="20"/>
  <c r="AI591" i="20"/>
  <c r="AG218" i="20"/>
  <c r="AM383" i="20"/>
  <c r="AE61" i="20"/>
  <c r="AI142" i="20"/>
  <c r="AG407" i="20"/>
  <c r="V444" i="20"/>
  <c r="X444" i="20" s="1"/>
  <c r="AO341" i="35"/>
  <c r="AA385" i="20"/>
  <c r="Y27" i="35"/>
  <c r="V218" i="20"/>
  <c r="X218" i="20" s="1"/>
  <c r="AG341" i="35"/>
  <c r="AM385" i="20"/>
  <c r="BC493" i="35"/>
  <c r="AG425" i="35"/>
  <c r="AE10" i="35"/>
  <c r="AC27" i="20"/>
  <c r="AM49" i="20"/>
  <c r="U218" i="20"/>
  <c r="AE383" i="20"/>
  <c r="AY61" i="20"/>
  <c r="AM474" i="35"/>
  <c r="AG317" i="35"/>
  <c r="AY603" i="20"/>
  <c r="U231" i="20"/>
  <c r="U385" i="20"/>
  <c r="AI380" i="20"/>
  <c r="AO346" i="35"/>
  <c r="AE425" i="35"/>
  <c r="AI474" i="35"/>
  <c r="U27" i="20"/>
  <c r="BC10" i="35"/>
  <c r="AG591" i="20"/>
  <c r="AY218" i="20"/>
  <c r="AI383" i="20"/>
  <c r="AK313" i="20"/>
  <c r="AI529" i="35"/>
  <c r="Y329" i="35"/>
  <c r="AM481" i="35"/>
  <c r="AK211" i="20"/>
  <c r="Y529" i="35"/>
  <c r="AI102" i="20"/>
  <c r="Y493" i="35"/>
  <c r="AO425" i="35"/>
  <c r="AK136" i="20"/>
  <c r="AC222" i="20"/>
  <c r="AK340" i="20"/>
  <c r="AM219" i="20"/>
  <c r="AG370" i="35"/>
  <c r="AY591" i="20"/>
  <c r="AE474" i="35"/>
  <c r="AA591" i="20"/>
  <c r="AI231" i="20"/>
  <c r="AG385" i="20"/>
  <c r="AM10" i="35"/>
  <c r="AA603" i="20"/>
  <c r="AK231" i="20"/>
  <c r="AI385" i="20"/>
  <c r="AK380" i="20"/>
  <c r="AQ346" i="35"/>
  <c r="AE493" i="20"/>
  <c r="AW442" i="35"/>
  <c r="AM577" i="20"/>
  <c r="AI27" i="20"/>
  <c r="AO10" i="35"/>
  <c r="AE75" i="20"/>
  <c r="AG313" i="20"/>
  <c r="AY49" i="20"/>
  <c r="AY340" i="20"/>
  <c r="AQ32" i="40"/>
  <c r="AC340" i="20"/>
  <c r="AO29" i="37"/>
  <c r="AO110" i="37" s="1"/>
  <c r="AY356" i="20"/>
  <c r="AE356" i="20"/>
  <c r="AA505" i="20"/>
  <c r="V643" i="20"/>
  <c r="X643" i="20" s="1"/>
  <c r="AE271" i="20"/>
  <c r="AI563" i="20"/>
  <c r="AK588" i="20"/>
  <c r="AK493" i="20"/>
  <c r="AG484" i="20"/>
  <c r="V593" i="20"/>
  <c r="X593" i="20" s="1"/>
  <c r="U271" i="20"/>
  <c r="AY493" i="20"/>
  <c r="AK625" i="20"/>
  <c r="AI625" i="20"/>
  <c r="AK651" i="20"/>
  <c r="AC505" i="20"/>
  <c r="AE605" i="20"/>
  <c r="AK505" i="20"/>
  <c r="AG271" i="20"/>
  <c r="V447" i="20"/>
  <c r="X447" i="20" s="1"/>
  <c r="AA625" i="20"/>
  <c r="AA643" i="20"/>
  <c r="AG563" i="20"/>
  <c r="V476" i="20"/>
  <c r="X476" i="20" s="1"/>
  <c r="AY649" i="20"/>
  <c r="AY505" i="20"/>
  <c r="AE651" i="20"/>
  <c r="AG505" i="20"/>
  <c r="V605" i="20"/>
  <c r="X605" i="20" s="1"/>
  <c r="AM516" i="20"/>
  <c r="V625" i="20"/>
  <c r="X625" i="20" s="1"/>
  <c r="AE476" i="20"/>
  <c r="AG519" i="20"/>
  <c r="AG502" i="20"/>
  <c r="AA651" i="20"/>
  <c r="AA538" i="20"/>
  <c r="AE461" i="20"/>
  <c r="AA516" i="20"/>
  <c r="AG625" i="20"/>
  <c r="AC470" i="20"/>
  <c r="AC605" i="20"/>
  <c r="AM311" i="20"/>
  <c r="AG538" i="20"/>
  <c r="AK461" i="20"/>
  <c r="AG516" i="20"/>
  <c r="AC544" i="20"/>
  <c r="U502" i="20"/>
  <c r="AY461" i="20"/>
  <c r="U585" i="20"/>
  <c r="AE473" i="20"/>
  <c r="AK271" i="20"/>
  <c r="AM505" i="20"/>
  <c r="M144" i="20"/>
  <c r="AY585" i="20"/>
  <c r="AM473" i="20"/>
  <c r="AE399" i="20"/>
  <c r="U563" i="20"/>
  <c r="N144" i="20"/>
  <c r="AG493" i="20"/>
  <c r="V243" i="20"/>
  <c r="X243" i="20" s="1"/>
  <c r="AA493" i="20"/>
  <c r="AK346" i="35"/>
  <c r="AO139" i="35"/>
  <c r="U10" i="20"/>
  <c r="AQ498" i="35"/>
  <c r="AG310" i="35"/>
  <c r="AM442" i="35"/>
  <c r="AK442" i="35"/>
  <c r="AK310" i="35"/>
  <c r="Y82" i="35"/>
  <c r="AA279" i="20"/>
  <c r="AE310" i="35"/>
  <c r="AK55" i="20"/>
  <c r="AE578" i="20"/>
  <c r="AM211" i="20"/>
  <c r="AA396" i="20"/>
  <c r="AM30" i="20"/>
  <c r="AC319" i="20"/>
  <c r="AY203" i="20"/>
  <c r="V177" i="20"/>
  <c r="X177" i="20" s="1"/>
  <c r="V251" i="20"/>
  <c r="X251" i="20" s="1"/>
  <c r="AC93" i="20"/>
  <c r="AC211" i="20"/>
  <c r="AI219" i="20"/>
  <c r="AI577" i="20"/>
  <c r="U327" i="20"/>
  <c r="AE588" i="20"/>
  <c r="AY67" i="20"/>
  <c r="AA214" i="20"/>
  <c r="AE316" i="20"/>
  <c r="AA447" i="20"/>
  <c r="U577" i="20"/>
  <c r="AG30" i="20"/>
  <c r="AE585" i="20"/>
  <c r="V214" i="20"/>
  <c r="X214" i="20" s="1"/>
  <c r="AE563" i="20"/>
  <c r="AE243" i="20"/>
  <c r="AG544" i="20"/>
  <c r="AG374" i="20"/>
  <c r="AE27" i="20"/>
  <c r="AK225" i="20"/>
  <c r="AY280" i="20"/>
  <c r="AE283" i="20"/>
  <c r="AM399" i="20"/>
  <c r="AA365" i="20"/>
  <c r="U499" i="20"/>
  <c r="AG643" i="20"/>
  <c r="AK316" i="20"/>
  <c r="AA203" i="20"/>
  <c r="U134" i="20"/>
  <c r="AQ476" i="35"/>
  <c r="AE329" i="35"/>
  <c r="AR12" i="39"/>
  <c r="O12" i="39" s="1"/>
  <c r="AQ64" i="40"/>
  <c r="BA583" i="20"/>
  <c r="BA94" i="20"/>
  <c r="AO320" i="20"/>
  <c r="BA372" i="20"/>
  <c r="BA322" i="20"/>
  <c r="AO325" i="20"/>
  <c r="BA62" i="20"/>
  <c r="BA595" i="20"/>
  <c r="Z449" i="35"/>
  <c r="BE449" i="35" s="1"/>
  <c r="AQ86" i="40"/>
  <c r="AK95" i="20"/>
  <c r="AY638" i="20"/>
  <c r="AI67" i="20"/>
  <c r="AA142" i="20"/>
  <c r="AK67" i="20"/>
  <c r="AY70" i="20"/>
  <c r="AA327" i="20"/>
  <c r="AK577" i="20"/>
  <c r="AA67" i="20"/>
  <c r="AA108" i="20"/>
  <c r="AK27" i="20"/>
  <c r="AE286" i="20"/>
  <c r="AA578" i="20"/>
  <c r="AK365" i="20"/>
  <c r="U211" i="20"/>
  <c r="AG219" i="20"/>
  <c r="AY609" i="20"/>
  <c r="AG327" i="20"/>
  <c r="AA61" i="20"/>
  <c r="U616" i="20"/>
  <c r="AY30" i="20"/>
  <c r="AM225" i="20"/>
  <c r="U236" i="20"/>
  <c r="AI368" i="20"/>
  <c r="AE350" i="20"/>
  <c r="AI638" i="20"/>
  <c r="AI620" i="20"/>
  <c r="AM93" i="20"/>
  <c r="V211" i="20"/>
  <c r="X211" i="20" s="1"/>
  <c r="U556" i="20"/>
  <c r="AC455" i="20"/>
  <c r="AA308" i="20"/>
  <c r="AY271" i="20"/>
  <c r="U461" i="20"/>
  <c r="V153" i="20"/>
  <c r="X153" i="20" s="1"/>
  <c r="AM145" i="20"/>
  <c r="AE616" i="20"/>
  <c r="AM447" i="20"/>
  <c r="V245" i="20"/>
  <c r="X245" i="20" s="1"/>
  <c r="AM585" i="20"/>
  <c r="AY582" i="20"/>
  <c r="AG215" i="20"/>
  <c r="AE402" i="20"/>
  <c r="AE158" i="20"/>
  <c r="AE53" i="20"/>
  <c r="AI280" i="20"/>
  <c r="AY283" i="20"/>
  <c r="U21" i="20"/>
  <c r="AY399" i="20"/>
  <c r="AC236" i="20"/>
  <c r="U535" i="20"/>
  <c r="AE643" i="20"/>
  <c r="AA349" i="20"/>
  <c r="AI145" i="20"/>
  <c r="V254" i="20"/>
  <c r="X254" i="20" s="1"/>
  <c r="AE108" i="20"/>
  <c r="AI356" i="20"/>
  <c r="AM330" i="20"/>
  <c r="AK177" i="20"/>
  <c r="AI93" i="20"/>
  <c r="V330" i="20"/>
  <c r="X330" i="20" s="1"/>
  <c r="U510" i="20"/>
  <c r="AE93" i="20"/>
  <c r="AE145" i="20"/>
  <c r="AM254" i="20"/>
  <c r="AE374" i="20"/>
  <c r="AG280" i="20"/>
  <c r="AM283" i="20"/>
  <c r="AG21" i="20"/>
  <c r="AA206" i="20"/>
  <c r="AG431" i="20"/>
  <c r="AG211" i="20"/>
  <c r="V616" i="20"/>
  <c r="X616" i="20" s="1"/>
  <c r="AG455" i="20"/>
  <c r="AK308" i="20"/>
  <c r="AM271" i="20"/>
  <c r="AM461" i="20"/>
  <c r="AE102" i="20"/>
  <c r="AY145" i="20"/>
  <c r="AI616" i="20"/>
  <c r="AE447" i="20"/>
  <c r="AE245" i="20"/>
  <c r="AK585" i="20"/>
  <c r="U582" i="20"/>
  <c r="AM215" i="20"/>
  <c r="V150" i="20"/>
  <c r="X150" i="20" s="1"/>
  <c r="AM136" i="20"/>
  <c r="AM53" i="20"/>
  <c r="AM222" i="20"/>
  <c r="AC280" i="20"/>
  <c r="AG283" i="20"/>
  <c r="AK399" i="20"/>
  <c r="AY444" i="20"/>
  <c r="AG535" i="20"/>
  <c r="U643" i="20"/>
  <c r="AE311" i="20"/>
  <c r="AC231" i="20"/>
  <c r="AM95" i="20"/>
  <c r="AK219" i="20"/>
  <c r="AI441" i="20"/>
  <c r="AK215" i="20"/>
  <c r="AY219" i="20"/>
  <c r="AC248" i="20"/>
  <c r="AC374" i="20"/>
  <c r="AK479" i="20"/>
  <c r="AK153" i="20"/>
  <c r="AM214" i="20"/>
  <c r="BC212" i="35"/>
  <c r="AY206" i="20"/>
  <c r="AK431" i="20"/>
  <c r="AC139" i="20"/>
  <c r="V17" i="20"/>
  <c r="X17" i="20" s="1"/>
  <c r="AC271" i="20"/>
  <c r="AC461" i="20"/>
  <c r="AY102" i="20"/>
  <c r="U145" i="20"/>
  <c r="AK516" i="20"/>
  <c r="AG245" i="20"/>
  <c r="AE508" i="20"/>
  <c r="AE197" i="20"/>
  <c r="BA321" i="20"/>
  <c r="V510" i="20"/>
  <c r="X510" i="20" s="1"/>
  <c r="AI136" i="20"/>
  <c r="AC53" i="20"/>
  <c r="AK222" i="20"/>
  <c r="AC218" i="20"/>
  <c r="AC444" i="20"/>
  <c r="AI399" i="20"/>
  <c r="U311" i="20"/>
  <c r="AA105" i="20"/>
  <c r="AK633" i="20"/>
  <c r="AQ50" i="39"/>
  <c r="AM138" i="20"/>
  <c r="AY438" i="20"/>
  <c r="AI52" i="20"/>
  <c r="Z120" i="35"/>
  <c r="AB120" i="35" s="1"/>
  <c r="AE276" i="20"/>
  <c r="AA301" i="20"/>
  <c r="AK292" i="20"/>
  <c r="AY534" i="20"/>
  <c r="AQ86" i="39"/>
  <c r="AQ62" i="39"/>
  <c r="AA52" i="20"/>
  <c r="U138" i="20"/>
  <c r="AQ38" i="39"/>
  <c r="AC52" i="20"/>
  <c r="AK326" i="35"/>
  <c r="AA150" i="20"/>
  <c r="AK594" i="20"/>
  <c r="AO606" i="20"/>
  <c r="AM55" i="20"/>
  <c r="AY606" i="20"/>
  <c r="AG257" i="20"/>
  <c r="Z74" i="35"/>
  <c r="AB74" i="35" s="1"/>
  <c r="U594" i="20"/>
  <c r="AI475" i="20"/>
  <c r="AM150" i="20"/>
  <c r="AI213" i="20"/>
  <c r="AY55" i="20"/>
  <c r="AG456" i="35"/>
  <c r="AG295" i="20"/>
  <c r="AE295" i="20"/>
  <c r="AC354" i="20"/>
  <c r="AY354" i="20"/>
  <c r="AM9" i="20"/>
  <c r="AC9" i="20"/>
  <c r="AE140" i="35"/>
  <c r="AI95" i="20"/>
  <c r="V260" i="20"/>
  <c r="X260" i="20" s="1"/>
  <c r="AM152" i="35"/>
  <c r="AY597" i="20"/>
  <c r="AM597" i="20"/>
  <c r="AQ434" i="35"/>
  <c r="AI434" i="35"/>
  <c r="AB434" i="35"/>
  <c r="AI55" i="35"/>
  <c r="AQ55" i="35"/>
  <c r="Z67" i="35"/>
  <c r="AB67" i="35" s="1"/>
  <c r="AO67" i="35"/>
  <c r="AI261" i="35"/>
  <c r="AQ261" i="35"/>
  <c r="AI295" i="35"/>
  <c r="AK295" i="35"/>
  <c r="Z295" i="35"/>
  <c r="AB295" i="35" s="1"/>
  <c r="AK403" i="35"/>
  <c r="AE403" i="35"/>
  <c r="AE185" i="20"/>
  <c r="AK185" i="20"/>
  <c r="AA315" i="20"/>
  <c r="AI315" i="20"/>
  <c r="AY315" i="20"/>
  <c r="BC94" i="35"/>
  <c r="AK94" i="35"/>
  <c r="AE94" i="35"/>
  <c r="Y94" i="35"/>
  <c r="AG94" i="35"/>
  <c r="AO106" i="35"/>
  <c r="AK106" i="35"/>
  <c r="BC106" i="35"/>
  <c r="AG106" i="35"/>
  <c r="AM118" i="35"/>
  <c r="Y118" i="35"/>
  <c r="AG118" i="35"/>
  <c r="AI118" i="35"/>
  <c r="AE130" i="35"/>
  <c r="AK130" i="35"/>
  <c r="AG130" i="35"/>
  <c r="AM162" i="35"/>
  <c r="AO162" i="35"/>
  <c r="AO324" i="35"/>
  <c r="AE324" i="35"/>
  <c r="AQ360" i="35"/>
  <c r="AO360" i="35"/>
  <c r="Y360" i="35"/>
  <c r="AM466" i="35"/>
  <c r="BC466" i="35"/>
  <c r="Y466" i="35"/>
  <c r="Z466" i="35"/>
  <c r="AB466" i="35" s="1"/>
  <c r="AO466" i="35"/>
  <c r="AI466" i="35"/>
  <c r="BC500" i="35"/>
  <c r="AE500" i="35"/>
  <c r="AO500" i="35"/>
  <c r="BA286" i="20"/>
  <c r="BA206" i="20"/>
  <c r="AI382" i="20"/>
  <c r="AG382" i="20"/>
  <c r="AA382" i="20"/>
  <c r="AI12" i="35"/>
  <c r="AM12" i="35"/>
  <c r="V63" i="20"/>
  <c r="X63" i="20" s="1"/>
  <c r="Z22" i="35"/>
  <c r="AB22" i="35" s="1"/>
  <c r="AO22" i="35"/>
  <c r="AO36" i="35"/>
  <c r="AK36" i="35"/>
  <c r="AG60" i="35"/>
  <c r="AE60" i="35"/>
  <c r="AO60" i="35"/>
  <c r="AQ60" i="35"/>
  <c r="BC60" i="35"/>
  <c r="Z72" i="35"/>
  <c r="AB72" i="35" s="1"/>
  <c r="Y72" i="35"/>
  <c r="AG72" i="35"/>
  <c r="AM72" i="35"/>
  <c r="AI72" i="35"/>
  <c r="AQ72" i="35"/>
  <c r="AK72" i="35"/>
  <c r="BC72" i="35"/>
  <c r="AE184" i="35"/>
  <c r="AI394" i="20"/>
  <c r="AK22" i="35"/>
  <c r="AM36" i="35"/>
  <c r="AA63" i="20"/>
  <c r="Y22" i="35"/>
  <c r="AK443" i="20"/>
  <c r="AE48" i="35"/>
  <c r="AE63" i="20"/>
  <c r="Y20" i="35"/>
  <c r="AQ20" i="35"/>
  <c r="Z20" i="35"/>
  <c r="AB20" i="35" s="1"/>
  <c r="AO20" i="35"/>
  <c r="BC20" i="35"/>
  <c r="AE27" i="35"/>
  <c r="Z27" i="35"/>
  <c r="AB27" i="35" s="1"/>
  <c r="AM27" i="35"/>
  <c r="AK53" i="35"/>
  <c r="AQ53" i="35"/>
  <c r="BC53" i="35"/>
  <c r="Z53" i="35"/>
  <c r="AB53" i="35" s="1"/>
  <c r="AO53" i="35"/>
  <c r="Z65" i="35"/>
  <c r="AB65" i="35" s="1"/>
  <c r="AG65" i="35"/>
  <c r="AQ65" i="35"/>
  <c r="BC65" i="35"/>
  <c r="AE65" i="35"/>
  <c r="AO65" i="35"/>
  <c r="AQ111" i="35"/>
  <c r="Z111" i="35"/>
  <c r="AB111" i="35" s="1"/>
  <c r="AM111" i="35"/>
  <c r="Z167" i="35"/>
  <c r="AB167" i="35" s="1"/>
  <c r="AK167" i="35"/>
  <c r="AG249" i="35"/>
  <c r="Y249" i="35"/>
  <c r="BC293" i="35"/>
  <c r="Z293" i="35"/>
  <c r="AB293" i="35" s="1"/>
  <c r="AK317" i="35"/>
  <c r="AM317" i="35"/>
  <c r="AO317" i="35"/>
  <c r="AM329" i="35"/>
  <c r="AI329" i="35"/>
  <c r="BC329" i="35"/>
  <c r="AG329" i="35"/>
  <c r="Z329" i="35"/>
  <c r="AB329" i="35" s="1"/>
  <c r="AQ329" i="35"/>
  <c r="AO329" i="35"/>
  <c r="BC341" i="35"/>
  <c r="AM341" i="35"/>
  <c r="AE341" i="35"/>
  <c r="AI341" i="35"/>
  <c r="AQ341" i="35"/>
  <c r="AG365" i="35"/>
  <c r="Y365" i="35"/>
  <c r="AQ365" i="35"/>
  <c r="AI365" i="35"/>
  <c r="Z365" i="35"/>
  <c r="AB365" i="35" s="1"/>
  <c r="AE365" i="35"/>
  <c r="AQ377" i="35"/>
  <c r="AO377" i="35"/>
  <c r="AG377" i="35"/>
  <c r="AE377" i="35"/>
  <c r="AK413" i="35"/>
  <c r="AG413" i="35"/>
  <c r="AO413" i="35"/>
  <c r="AW425" i="35"/>
  <c r="AQ425" i="35"/>
  <c r="BC425" i="35"/>
  <c r="AI425" i="35"/>
  <c r="AK425" i="35"/>
  <c r="AG529" i="35"/>
  <c r="AQ529" i="35"/>
  <c r="AA263" i="20"/>
  <c r="AI263" i="20"/>
  <c r="AG86" i="20"/>
  <c r="AE86" i="20"/>
  <c r="V86" i="20"/>
  <c r="X86" i="20" s="1"/>
  <c r="AM86" i="20"/>
  <c r="AI89" i="20"/>
  <c r="AM89" i="20"/>
  <c r="AK89" i="20"/>
  <c r="AE104" i="20"/>
  <c r="AC104" i="20"/>
  <c r="AA131" i="20"/>
  <c r="AY131" i="20"/>
  <c r="AA233" i="20"/>
  <c r="AI233" i="20"/>
  <c r="AK152" i="35"/>
  <c r="BC22" i="35"/>
  <c r="Y48" i="35"/>
  <c r="Y348" i="35"/>
  <c r="BC116" i="35"/>
  <c r="Z116" i="35"/>
  <c r="AB116" i="35" s="1"/>
  <c r="AM138" i="35"/>
  <c r="AI138" i="35"/>
  <c r="AO138" i="35"/>
  <c r="AK298" i="35"/>
  <c r="AQ298" i="35"/>
  <c r="AE298" i="35"/>
  <c r="AO298" i="35"/>
  <c r="Z310" i="35"/>
  <c r="AB310" i="35" s="1"/>
  <c r="BC310" i="35"/>
  <c r="AM310" i="35"/>
  <c r="AQ310" i="35"/>
  <c r="AO310" i="35"/>
  <c r="Z370" i="35"/>
  <c r="AB370" i="35" s="1"/>
  <c r="AK370" i="35"/>
  <c r="AM370" i="35"/>
  <c r="Y370" i="35"/>
  <c r="AQ370" i="35"/>
  <c r="AK382" i="35"/>
  <c r="BC382" i="35"/>
  <c r="Y382" i="35"/>
  <c r="AM382" i="35"/>
  <c r="AO382" i="35"/>
  <c r="BC418" i="35"/>
  <c r="AE418" i="35"/>
  <c r="AG418" i="35"/>
  <c r="AE442" i="35"/>
  <c r="BC442" i="35"/>
  <c r="AB442" i="35"/>
  <c r="AQ442" i="35"/>
  <c r="AG442" i="35"/>
  <c r="AI464" i="35"/>
  <c r="AG464" i="35"/>
  <c r="BC464" i="35"/>
  <c r="BC522" i="35"/>
  <c r="Z522" i="35"/>
  <c r="AB522" i="35" s="1"/>
  <c r="AO522" i="35"/>
  <c r="AQ522" i="35"/>
  <c r="AE522" i="35"/>
  <c r="AQ77" i="40"/>
  <c r="O3" i="18"/>
  <c r="AQ79" i="39"/>
  <c r="AQ43" i="39"/>
  <c r="AQ78" i="39"/>
  <c r="AQ30" i="39"/>
  <c r="AQ84" i="39"/>
  <c r="AQ60" i="39"/>
  <c r="AQ77" i="39"/>
  <c r="AQ53" i="39"/>
  <c r="AA199" i="20"/>
  <c r="AQ76" i="39"/>
  <c r="AQ40" i="39"/>
  <c r="AQ67" i="39"/>
  <c r="AQ39" i="40"/>
  <c r="AG594" i="20"/>
  <c r="AC44" i="20"/>
  <c r="U213" i="20"/>
  <c r="AY425" i="20"/>
  <c r="AQ70" i="39"/>
  <c r="AQ46" i="39"/>
  <c r="AQ34" i="39"/>
  <c r="AQ55" i="39"/>
  <c r="AQ31" i="39"/>
  <c r="AQ36" i="40"/>
  <c r="BE415" i="35"/>
  <c r="AQ90" i="39"/>
  <c r="AQ72" i="39"/>
  <c r="AQ48" i="39"/>
  <c r="AQ36" i="39"/>
  <c r="AQ89" i="39"/>
  <c r="AQ65" i="39"/>
  <c r="AQ41" i="39"/>
  <c r="AM353" i="20"/>
  <c r="AQ69" i="39"/>
  <c r="AQ33" i="39"/>
  <c r="AG343" i="20"/>
  <c r="AI343" i="20"/>
  <c r="AC398" i="20"/>
  <c r="AM398" i="20"/>
  <c r="AG430" i="20"/>
  <c r="AC430" i="20"/>
  <c r="U430" i="20"/>
  <c r="AK486" i="20"/>
  <c r="V486" i="20"/>
  <c r="X486" i="20" s="1"/>
  <c r="U524" i="20"/>
  <c r="V524" i="20"/>
  <c r="BS524" i="20" s="1"/>
  <c r="AY527" i="20"/>
  <c r="AC527" i="20"/>
  <c r="U568" i="20"/>
  <c r="V568" i="20"/>
  <c r="AE568" i="20" s="1"/>
  <c r="U571" i="20"/>
  <c r="V571" i="20"/>
  <c r="AY571" i="20" s="1"/>
  <c r="AK581" i="20"/>
  <c r="AE581" i="20"/>
  <c r="U587" i="20"/>
  <c r="AK587" i="20"/>
  <c r="AG587" i="20"/>
  <c r="AM613" i="20"/>
  <c r="AK613" i="20"/>
  <c r="AK624" i="20"/>
  <c r="V624" i="20"/>
  <c r="X624" i="20" s="1"/>
  <c r="AG624" i="20"/>
  <c r="AM537" i="20"/>
  <c r="AI537" i="20"/>
  <c r="AE537" i="20"/>
  <c r="AE47" i="20"/>
  <c r="AY47" i="20"/>
  <c r="AG47" i="20"/>
  <c r="AM47" i="20"/>
  <c r="U334" i="20"/>
  <c r="V334" i="20"/>
  <c r="X334" i="20" s="1"/>
  <c r="V295" i="20"/>
  <c r="X295" i="20" s="1"/>
  <c r="AM16" i="20"/>
  <c r="AA346" i="20"/>
  <c r="AA39" i="20"/>
  <c r="AI39" i="20"/>
  <c r="AA8" i="20"/>
  <c r="V8" i="20"/>
  <c r="X8" i="20" s="1"/>
  <c r="AC8" i="20"/>
  <c r="AE259" i="20"/>
  <c r="AA259" i="20"/>
  <c r="AY259" i="20"/>
  <c r="AK289" i="20"/>
  <c r="V289" i="20"/>
  <c r="X289" i="20" s="1"/>
  <c r="AE289" i="20"/>
  <c r="AI298" i="20"/>
  <c r="AA298" i="20"/>
  <c r="AY298" i="20"/>
  <c r="U298" i="20"/>
  <c r="AE362" i="20"/>
  <c r="AM362" i="20"/>
  <c r="AI362" i="20"/>
  <c r="AK362" i="20"/>
  <c r="AC362" i="20"/>
  <c r="AE608" i="20"/>
  <c r="V608" i="20"/>
  <c r="X608" i="20" s="1"/>
  <c r="AC608" i="20"/>
  <c r="AM608" i="20"/>
  <c r="V575" i="20"/>
  <c r="X575" i="20" s="1"/>
  <c r="AC575" i="20"/>
  <c r="AI575" i="20"/>
  <c r="U608" i="20"/>
  <c r="AI260" i="20"/>
  <c r="AC260" i="20"/>
  <c r="U260" i="20"/>
  <c r="AG260" i="20"/>
  <c r="AM187" i="20"/>
  <c r="AY187" i="20"/>
  <c r="AA293" i="20"/>
  <c r="V293" i="20"/>
  <c r="X293" i="20" s="1"/>
  <c r="AK293" i="20"/>
  <c r="AY293" i="20"/>
  <c r="AY618" i="20"/>
  <c r="AI618" i="20"/>
  <c r="AE618" i="20"/>
  <c r="AK425" i="20"/>
  <c r="AA425" i="20"/>
  <c r="AI425" i="20"/>
  <c r="U425" i="20"/>
  <c r="V425" i="20"/>
  <c r="X425" i="20" s="1"/>
  <c r="AY449" i="20"/>
  <c r="V449" i="20"/>
  <c r="X449" i="20" s="1"/>
  <c r="U449" i="20"/>
  <c r="AA635" i="20"/>
  <c r="AA334" i="20"/>
  <c r="AK642" i="20"/>
  <c r="AQ38" i="35"/>
  <c r="BC38" i="35"/>
  <c r="Y386" i="35"/>
  <c r="AI386" i="35"/>
  <c r="Z410" i="35"/>
  <c r="AB410" i="35" s="1"/>
  <c r="AM410" i="35"/>
  <c r="AG410" i="35"/>
  <c r="AO410" i="35"/>
  <c r="BW434" i="35"/>
  <c r="AG434" i="35"/>
  <c r="AM514" i="35"/>
  <c r="Y514" i="35"/>
  <c r="AO514" i="35"/>
  <c r="AM422" i="20"/>
  <c r="AI422" i="20"/>
  <c r="AI635" i="20"/>
  <c r="BA256" i="20"/>
  <c r="AM449" i="20"/>
  <c r="AG259" i="20"/>
  <c r="AG527" i="20"/>
  <c r="AK295" i="20"/>
  <c r="AY498" i="20"/>
  <c r="AM601" i="20"/>
  <c r="AE498" i="20"/>
  <c r="AA575" i="20"/>
  <c r="AA45" i="20"/>
  <c r="AY45" i="20"/>
  <c r="AM45" i="20"/>
  <c r="AK45" i="20"/>
  <c r="U47" i="20"/>
  <c r="AI166" i="20"/>
  <c r="AO31" i="35"/>
  <c r="AQ31" i="35"/>
  <c r="AE31" i="35"/>
  <c r="AM31" i="35"/>
  <c r="AG55" i="35"/>
  <c r="AE55" i="35"/>
  <c r="Y89" i="35"/>
  <c r="AI89" i="35"/>
  <c r="AO147" i="35"/>
  <c r="AK147" i="35"/>
  <c r="BC147" i="35"/>
  <c r="Y147" i="35"/>
  <c r="Y169" i="35"/>
  <c r="AQ169" i="35"/>
  <c r="AG169" i="35"/>
  <c r="AE169" i="35"/>
  <c r="AE215" i="35"/>
  <c r="AK215" i="35"/>
  <c r="AG215" i="35"/>
  <c r="Y215" i="35"/>
  <c r="AQ227" i="35"/>
  <c r="AE227" i="35"/>
  <c r="BC239" i="35"/>
  <c r="AQ239" i="35"/>
  <c r="Y273" i="35"/>
  <c r="AQ273" i="35"/>
  <c r="AM273" i="35"/>
  <c r="AE273" i="35"/>
  <c r="AM403" i="35"/>
  <c r="AO403" i="35"/>
  <c r="AQ415" i="35"/>
  <c r="BC415" i="35"/>
  <c r="AK346" i="20"/>
  <c r="V346" i="20"/>
  <c r="X346" i="20" s="1"/>
  <c r="AI292" i="20"/>
  <c r="AM350" i="20"/>
  <c r="AY645" i="20"/>
  <c r="AE483" i="20"/>
  <c r="U293" i="20"/>
  <c r="AA351" i="20"/>
  <c r="AE44" i="20"/>
  <c r="V44" i="20"/>
  <c r="X44" i="20" s="1"/>
  <c r="AA410" i="20"/>
  <c r="AK410" i="20"/>
  <c r="AG410" i="20"/>
  <c r="U596" i="20"/>
  <c r="V596" i="20"/>
  <c r="X596" i="20" s="1"/>
  <c r="AI259" i="20"/>
  <c r="AG608" i="20"/>
  <c r="V601" i="20"/>
  <c r="X601" i="20" s="1"/>
  <c r="AM334" i="20"/>
  <c r="AA186" i="20"/>
  <c r="V164" i="20"/>
  <c r="X164" i="20" s="1"/>
  <c r="AG164" i="20"/>
  <c r="AY575" i="20"/>
  <c r="U263" i="20"/>
  <c r="AM575" i="20"/>
  <c r="AI581" i="20"/>
  <c r="U45" i="20"/>
  <c r="AE452" i="20"/>
  <c r="AC410" i="20"/>
  <c r="AY256" i="20"/>
  <c r="AE256" i="20"/>
  <c r="AM295" i="20"/>
  <c r="AC295" i="20"/>
  <c r="U295" i="20"/>
  <c r="AY295" i="20"/>
  <c r="AI608" i="20"/>
  <c r="AE334" i="20"/>
  <c r="AC256" i="20"/>
  <c r="AY608" i="20"/>
  <c r="AE293" i="20"/>
  <c r="AC293" i="20"/>
  <c r="AM256" i="20"/>
  <c r="AK263" i="20"/>
  <c r="AG298" i="20"/>
  <c r="AE45" i="20"/>
  <c r="AM293" i="20"/>
  <c r="AM501" i="20"/>
  <c r="AG38" i="35"/>
  <c r="AI514" i="35"/>
  <c r="AC618" i="20"/>
  <c r="AK273" i="35"/>
  <c r="AG89" i="35"/>
  <c r="AG45" i="20"/>
  <c r="AG501" i="20"/>
  <c r="AK260" i="20"/>
  <c r="Y7" i="35"/>
  <c r="AK596" i="20"/>
  <c r="AC425" i="20"/>
  <c r="U618" i="20"/>
  <c r="AE613" i="20"/>
  <c r="AA449" i="20"/>
  <c r="U67" i="20"/>
  <c r="AE510" i="20"/>
  <c r="V70" i="20"/>
  <c r="X70" i="20" s="1"/>
  <c r="AQ83" i="39"/>
  <c r="AQ59" i="39"/>
  <c r="P29" i="40"/>
  <c r="P30" i="40" s="1"/>
  <c r="P31" i="40" s="1"/>
  <c r="P32" i="40" s="1"/>
  <c r="P33" i="40" s="1"/>
  <c r="P34" i="40" s="1"/>
  <c r="P35" i="40" s="1"/>
  <c r="P36" i="40" s="1"/>
  <c r="P37" i="40" s="1"/>
  <c r="P38" i="40" s="1"/>
  <c r="P39" i="40" s="1"/>
  <c r="P40" i="40" s="1"/>
  <c r="P41" i="40" s="1"/>
  <c r="P42" i="40" s="1"/>
  <c r="P43" i="40" s="1"/>
  <c r="P44" i="40" s="1"/>
  <c r="P45" i="40" s="1"/>
  <c r="P46" i="40" s="1"/>
  <c r="P47" i="40" s="1"/>
  <c r="P48" i="40" s="1"/>
  <c r="P49" i="40" s="1"/>
  <c r="P50" i="40" s="1"/>
  <c r="P51" i="40" s="1"/>
  <c r="P52" i="40" s="1"/>
  <c r="P53" i="40" s="1"/>
  <c r="P54" i="40" s="1"/>
  <c r="P55" i="40" s="1"/>
  <c r="P56" i="40" s="1"/>
  <c r="P57" i="40" s="1"/>
  <c r="P58" i="40" s="1"/>
  <c r="P59" i="40" s="1"/>
  <c r="P60" i="40" s="1"/>
  <c r="P61" i="40" s="1"/>
  <c r="P62" i="40" s="1"/>
  <c r="P63" i="40" s="1"/>
  <c r="P64" i="40" s="1"/>
  <c r="P65" i="40" s="1"/>
  <c r="P66" i="40" s="1"/>
  <c r="P67" i="40" s="1"/>
  <c r="P68" i="40" s="1"/>
  <c r="P69" i="40" s="1"/>
  <c r="P70" i="40" s="1"/>
  <c r="P71" i="40" s="1"/>
  <c r="P72" i="40" s="1"/>
  <c r="P73" i="40" s="1"/>
  <c r="P74" i="40" s="1"/>
  <c r="P75" i="40" s="1"/>
  <c r="P76" i="40" s="1"/>
  <c r="P77" i="40" s="1"/>
  <c r="P78" i="40" s="1"/>
  <c r="P79" i="40" s="1"/>
  <c r="P80" i="40" s="1"/>
  <c r="P81" i="40" s="1"/>
  <c r="P82" i="40" s="1"/>
  <c r="P83" i="40" s="1"/>
  <c r="P84" i="40" s="1"/>
  <c r="P85" i="40" s="1"/>
  <c r="P86" i="40" s="1"/>
  <c r="P87" i="40" s="1"/>
  <c r="P88" i="40" s="1"/>
  <c r="P89" i="40" s="1"/>
  <c r="P90" i="40" s="1"/>
  <c r="P91" i="40" s="1"/>
  <c r="P92" i="40" s="1"/>
  <c r="P93" i="40" s="1"/>
  <c r="P94" i="40" s="1"/>
  <c r="P95" i="40" s="1"/>
  <c r="P96" i="40" s="1"/>
  <c r="P97" i="40" s="1"/>
  <c r="P98" i="40" s="1"/>
  <c r="P99" i="40" s="1"/>
  <c r="P100" i="40" s="1"/>
  <c r="P101" i="40" s="1"/>
  <c r="P102" i="40" s="1"/>
  <c r="P103" i="40" s="1"/>
  <c r="P104" i="40" s="1"/>
  <c r="P105" i="40" s="1"/>
  <c r="P106" i="40" s="1"/>
  <c r="P107" i="40" s="1"/>
  <c r="P108" i="40" s="1"/>
  <c r="P109" i="40" s="1"/>
  <c r="P110" i="40" s="1"/>
  <c r="P111" i="40" s="1"/>
  <c r="P112" i="40" s="1"/>
  <c r="P113" i="40" s="1"/>
  <c r="Z106" i="35"/>
  <c r="AB106" i="35" s="1"/>
  <c r="AM130" i="35"/>
  <c r="V375" i="20"/>
  <c r="X375" i="20" s="1"/>
  <c r="AG206" i="20"/>
  <c r="V431" i="20"/>
  <c r="X431" i="20" s="1"/>
  <c r="AG454" i="35"/>
  <c r="AG22" i="35"/>
  <c r="AM638" i="20"/>
  <c r="V67" i="20"/>
  <c r="X67" i="20" s="1"/>
  <c r="AY231" i="20"/>
  <c r="AA102" i="20"/>
  <c r="V316" i="20"/>
  <c r="X316" i="20" s="1"/>
  <c r="U380" i="20"/>
  <c r="AC61" i="20"/>
  <c r="AG248" i="20"/>
  <c r="AG360" i="35"/>
  <c r="AG129" i="20"/>
  <c r="U142" i="20"/>
  <c r="AE72" i="35"/>
  <c r="AQ118" i="35"/>
  <c r="AM476" i="35"/>
  <c r="AM431" i="20"/>
  <c r="AI582" i="20"/>
  <c r="V591" i="20"/>
  <c r="X591" i="20" s="1"/>
  <c r="AC117" i="20"/>
  <c r="F10" i="34"/>
  <c r="AI375" i="20"/>
  <c r="AY180" i="20"/>
  <c r="AE380" i="20"/>
  <c r="V248" i="20"/>
  <c r="X248" i="20" s="1"/>
  <c r="AK582" i="20"/>
  <c r="U215" i="20"/>
  <c r="AY380" i="20"/>
  <c r="AE177" i="20"/>
  <c r="AQ71" i="39"/>
  <c r="AQ47" i="39"/>
  <c r="AK375" i="20"/>
  <c r="AK206" i="20"/>
  <c r="AY431" i="20"/>
  <c r="AM609" i="20"/>
  <c r="AC67" i="20"/>
  <c r="AM231" i="20"/>
  <c r="AM316" i="20"/>
  <c r="AC380" i="20"/>
  <c r="AA248" i="20"/>
  <c r="Y36" i="35"/>
  <c r="AG108" i="20"/>
  <c r="AY142" i="20"/>
  <c r="AO72" i="35"/>
  <c r="AE106" i="35"/>
  <c r="BC476" i="35"/>
  <c r="AM22" i="35"/>
  <c r="AE67" i="20"/>
  <c r="AY510" i="20"/>
  <c r="Z48" i="35"/>
  <c r="AB48" i="35" s="1"/>
  <c r="AE591" i="20"/>
  <c r="AY117" i="20"/>
  <c r="V383" i="20"/>
  <c r="X383" i="20" s="1"/>
  <c r="AY330" i="20"/>
  <c r="V313" i="20"/>
  <c r="X313" i="20" s="1"/>
  <c r="AA180" i="20"/>
  <c r="AM380" i="20"/>
  <c r="AQ41" i="40"/>
  <c r="AI327" i="20"/>
  <c r="V219" i="20"/>
  <c r="X219" i="20" s="1"/>
  <c r="AE466" i="35"/>
  <c r="AI330" i="20"/>
  <c r="AM108" i="20"/>
  <c r="AK432" i="20"/>
  <c r="AI374" i="20"/>
  <c r="AI152" i="35"/>
  <c r="AK591" i="20"/>
  <c r="AA620" i="20"/>
  <c r="V365" i="20"/>
  <c r="X365" i="20" s="1"/>
  <c r="AE189" i="20"/>
  <c r="AY383" i="20"/>
  <c r="AI455" i="20"/>
  <c r="AE444" i="20"/>
  <c r="AG316" i="20"/>
  <c r="AI360" i="35"/>
  <c r="AE206" i="20"/>
  <c r="AA93" i="20"/>
  <c r="U129" i="20"/>
  <c r="AC356" i="20"/>
  <c r="AQ22" i="35"/>
  <c r="AE30" i="20"/>
  <c r="AI36" i="35"/>
  <c r="Y60" i="35"/>
  <c r="AY313" i="20"/>
  <c r="BA432" i="20"/>
  <c r="AC251" i="20"/>
  <c r="AI206" i="20"/>
  <c r="U93" i="20"/>
  <c r="AA219" i="20"/>
  <c r="AK466" i="35"/>
  <c r="AK108" i="20"/>
  <c r="AC129" i="20"/>
  <c r="AM356" i="20"/>
  <c r="AC245" i="20"/>
  <c r="AG36" i="35"/>
  <c r="AM60" i="35"/>
  <c r="BA64" i="20"/>
  <c r="U219" i="20"/>
  <c r="AG152" i="35"/>
  <c r="AE254" i="20"/>
  <c r="AM374" i="20"/>
  <c r="AE620" i="20"/>
  <c r="U365" i="20"/>
  <c r="AA455" i="20"/>
  <c r="AI226" i="35"/>
  <c r="AE584" i="20"/>
  <c r="AI132" i="35"/>
  <c r="AM185" i="20"/>
  <c r="AC606" i="20"/>
  <c r="AY379" i="20"/>
  <c r="AM594" i="20"/>
  <c r="BA440" i="20"/>
  <c r="Z315" i="35"/>
  <c r="AB315" i="35" s="1"/>
  <c r="AC110" i="20"/>
  <c r="AE601" i="20"/>
  <c r="AY13" i="20"/>
  <c r="AA475" i="20"/>
  <c r="U438" i="20"/>
  <c r="AC457" i="20"/>
  <c r="AE606" i="20"/>
  <c r="AA250" i="20"/>
  <c r="AQ299" i="35"/>
  <c r="AC157" i="20"/>
  <c r="AC434" i="20"/>
  <c r="AM116" i="20"/>
  <c r="U208" i="20"/>
  <c r="AI295" i="20"/>
  <c r="AM206" i="20"/>
  <c r="AG231" i="20"/>
  <c r="AE431" i="20"/>
  <c r="U157" i="20"/>
  <c r="AG434" i="20"/>
  <c r="AY189" i="20"/>
  <c r="AE8" i="20"/>
  <c r="AC259" i="20"/>
  <c r="AK214" i="20"/>
  <c r="BA334" i="20"/>
  <c r="AC298" i="20"/>
  <c r="AG380" i="20"/>
  <c r="AY282" i="20"/>
  <c r="AC623" i="20"/>
  <c r="AY248" i="20"/>
  <c r="AG123" i="20"/>
  <c r="BA608" i="20"/>
  <c r="AM245" i="20"/>
  <c r="AY194" i="20"/>
  <c r="AI90" i="20"/>
  <c r="AG142" i="20"/>
  <c r="U254" i="20"/>
  <c r="AK87" i="20"/>
  <c r="AG356" i="20"/>
  <c r="V374" i="20"/>
  <c r="X374" i="20" s="1"/>
  <c r="V135" i="20"/>
  <c r="X135" i="20" s="1"/>
  <c r="AY492" i="20"/>
  <c r="V110" i="20"/>
  <c r="X110" i="20" s="1"/>
  <c r="AA452" i="20"/>
  <c r="AC404" i="20"/>
  <c r="U581" i="20"/>
  <c r="AI457" i="20"/>
  <c r="U410" i="20"/>
  <c r="AY375" i="20"/>
  <c r="AM319" i="20"/>
  <c r="AC371" i="20"/>
  <c r="AY108" i="20"/>
  <c r="AI77" i="20"/>
  <c r="AI128" i="20"/>
  <c r="AQ468" i="35"/>
  <c r="AQ260" i="35"/>
  <c r="BA275" i="20"/>
  <c r="BA443" i="20"/>
  <c r="AG370" i="20"/>
  <c r="BC226" i="35"/>
  <c r="BA330" i="20"/>
  <c r="AI110" i="20"/>
  <c r="AE157" i="20"/>
  <c r="AY434" i="20"/>
  <c r="AG77" i="20"/>
  <c r="AK194" i="20"/>
  <c r="BA627" i="20"/>
  <c r="V57" i="20"/>
  <c r="X57" i="20" s="1"/>
  <c r="AC254" i="20"/>
  <c r="AY208" i="20"/>
  <c r="V206" i="20"/>
  <c r="X206" i="20" s="1"/>
  <c r="AA95" i="20"/>
  <c r="AA431" i="20"/>
  <c r="V157" i="20"/>
  <c r="X157" i="20" s="1"/>
  <c r="AC486" i="20"/>
  <c r="AM486" i="20"/>
  <c r="U8" i="20"/>
  <c r="V259" i="20"/>
  <c r="X259" i="20" s="1"/>
  <c r="AI256" i="20"/>
  <c r="V231" i="20"/>
  <c r="X231" i="20" s="1"/>
  <c r="AK52" i="20"/>
  <c r="AC382" i="20"/>
  <c r="AI138" i="20"/>
  <c r="AI334" i="20"/>
  <c r="AK298" i="20"/>
  <c r="AY129" i="20"/>
  <c r="U282" i="20"/>
  <c r="U248" i="20"/>
  <c r="AK245" i="20"/>
  <c r="U589" i="20"/>
  <c r="AG251" i="20"/>
  <c r="AG80" i="20"/>
  <c r="AM142" i="20"/>
  <c r="AG425" i="20"/>
  <c r="AY254" i="20"/>
  <c r="AM510" i="20"/>
  <c r="AI30" i="20"/>
  <c r="U374" i="20"/>
  <c r="AK75" i="20"/>
  <c r="AC492" i="20"/>
  <c r="AA92" i="20"/>
  <c r="AK238" i="20"/>
  <c r="AI637" i="20"/>
  <c r="AK64" i="20"/>
  <c r="AM105" i="20"/>
  <c r="AC431" i="20"/>
  <c r="AM375" i="20"/>
  <c r="AG319" i="20"/>
  <c r="AK371" i="20"/>
  <c r="AE299" i="35"/>
  <c r="AA584" i="20"/>
  <c r="AE438" i="20"/>
  <c r="AM584" i="20"/>
  <c r="AA194" i="20"/>
  <c r="AC438" i="20"/>
  <c r="AM401" i="20"/>
  <c r="AK254" i="20"/>
  <c r="AM208" i="20"/>
  <c r="AC206" i="20"/>
  <c r="AA501" i="20"/>
  <c r="AC219" i="20"/>
  <c r="AG609" i="20"/>
  <c r="AM475" i="20"/>
  <c r="AA256" i="20"/>
  <c r="V52" i="20"/>
  <c r="X52" i="20" s="1"/>
  <c r="AK382" i="20"/>
  <c r="AA138" i="20"/>
  <c r="AK334" i="20"/>
  <c r="AI282" i="20"/>
  <c r="AE89" i="20"/>
  <c r="AM645" i="20"/>
  <c r="AG292" i="20"/>
  <c r="U251" i="20"/>
  <c r="AC86" i="20"/>
  <c r="AC150" i="20"/>
  <c r="AM425" i="20"/>
  <c r="V104" i="20"/>
  <c r="X104" i="20" s="1"/>
  <c r="AA374" i="20"/>
  <c r="AE131" i="20"/>
  <c r="AC346" i="20"/>
  <c r="AK117" i="20"/>
  <c r="AA648" i="20"/>
  <c r="AE455" i="20"/>
  <c r="U217" i="20"/>
  <c r="U89" i="20"/>
  <c r="AI279" i="20"/>
  <c r="AO594" i="20"/>
  <c r="AO370" i="20"/>
  <c r="AO591" i="20"/>
  <c r="AO576" i="20"/>
  <c r="AO619" i="20"/>
  <c r="AO503" i="20"/>
  <c r="AO637" i="20"/>
  <c r="U503" i="20"/>
  <c r="AI503" i="20"/>
  <c r="AI509" i="20"/>
  <c r="AY509" i="20"/>
  <c r="AY59" i="20"/>
  <c r="AG59" i="20"/>
  <c r="AG305" i="20"/>
  <c r="AI305" i="20"/>
  <c r="AK305" i="20"/>
  <c r="AK10" i="20"/>
  <c r="AY10" i="20"/>
  <c r="AM178" i="35"/>
  <c r="AO178" i="35"/>
  <c r="AO294" i="35"/>
  <c r="AQ294" i="35"/>
  <c r="BA46" i="20"/>
  <c r="AI35" i="20"/>
  <c r="AM35" i="20"/>
  <c r="AY35" i="20"/>
  <c r="AC35" i="20"/>
  <c r="V35" i="20"/>
  <c r="X35" i="20" s="1"/>
  <c r="AM66" i="20"/>
  <c r="AY66" i="20"/>
  <c r="U558" i="20"/>
  <c r="V558" i="20"/>
  <c r="AA558" i="20" s="1"/>
  <c r="AY640" i="20"/>
  <c r="AE640" i="20"/>
  <c r="V640" i="20"/>
  <c r="X640" i="20" s="1"/>
  <c r="AM640" i="20"/>
  <c r="AY77" i="20"/>
  <c r="U77" i="20"/>
  <c r="U83" i="20"/>
  <c r="AC83" i="20"/>
  <c r="AA125" i="20"/>
  <c r="V125" i="20"/>
  <c r="X125" i="20" s="1"/>
  <c r="AK125" i="20"/>
  <c r="AC125" i="20"/>
  <c r="AM578" i="20"/>
  <c r="U578" i="20"/>
  <c r="Z178" i="35"/>
  <c r="AB178" i="35" s="1"/>
  <c r="AK584" i="20"/>
  <c r="V89" i="20"/>
  <c r="X89" i="20" s="1"/>
  <c r="BA496" i="20"/>
  <c r="AM339" i="20"/>
  <c r="AA339" i="20"/>
  <c r="AC339" i="20"/>
  <c r="AI339" i="20"/>
  <c r="AM633" i="20"/>
  <c r="U633" i="20"/>
  <c r="AI633" i="20"/>
  <c r="BE467" i="35"/>
  <c r="AE213" i="20"/>
  <c r="AM52" i="20"/>
  <c r="BA250" i="20"/>
  <c r="AE599" i="20"/>
  <c r="AA633" i="20"/>
  <c r="AG150" i="20"/>
  <c r="AC267" i="20"/>
  <c r="U267" i="20"/>
  <c r="AA267" i="20"/>
  <c r="AE267" i="20"/>
  <c r="V343" i="20"/>
  <c r="X343" i="20" s="1"/>
  <c r="AY343" i="20"/>
  <c r="AM343" i="20"/>
  <c r="AK343" i="20"/>
  <c r="AE343" i="20"/>
  <c r="U343" i="20"/>
  <c r="U495" i="20"/>
  <c r="AY495" i="20"/>
  <c r="V495" i="20"/>
  <c r="X495" i="20" s="1"/>
  <c r="AM495" i="20"/>
  <c r="AA495" i="20"/>
  <c r="AG495" i="20"/>
  <c r="AY546" i="20"/>
  <c r="AC546" i="20"/>
  <c r="AK546" i="20"/>
  <c r="V546" i="20"/>
  <c r="X546" i="20" s="1"/>
  <c r="AK460" i="20"/>
  <c r="AO213" i="20"/>
  <c r="AY213" i="20"/>
  <c r="BA67" i="20"/>
  <c r="AE339" i="20"/>
  <c r="V584" i="20"/>
  <c r="X584" i="20" s="1"/>
  <c r="AK147" i="20"/>
  <c r="AM364" i="20"/>
  <c r="V98" i="20"/>
  <c r="X98" i="20" s="1"/>
  <c r="BA605" i="20"/>
  <c r="AG209" i="20"/>
  <c r="AE194" i="20"/>
  <c r="AE129" i="35"/>
  <c r="AA589" i="20"/>
  <c r="AM637" i="20"/>
  <c r="AE633" i="20"/>
  <c r="AC481" i="20"/>
  <c r="BA393" i="20"/>
  <c r="BA105" i="20"/>
  <c r="AM498" i="20"/>
  <c r="V518" i="20"/>
  <c r="AM518" i="20" s="1"/>
  <c r="U550" i="20"/>
  <c r="AE465" i="20"/>
  <c r="AG465" i="20"/>
  <c r="AE168" i="35"/>
  <c r="Y168" i="35"/>
  <c r="AC250" i="20"/>
  <c r="AG250" i="20"/>
  <c r="AK250" i="20"/>
  <c r="AA80" i="20"/>
  <c r="AE80" i="20"/>
  <c r="V80" i="20"/>
  <c r="X80" i="20" s="1"/>
  <c r="AC80" i="20"/>
  <c r="U323" i="20"/>
  <c r="AI323" i="20"/>
  <c r="BC243" i="35"/>
  <c r="Z243" i="35"/>
  <c r="AB243" i="35" s="1"/>
  <c r="AI117" i="35"/>
  <c r="AA576" i="20"/>
  <c r="U104" i="20"/>
  <c r="BA648" i="20"/>
  <c r="U606" i="20"/>
  <c r="AI606" i="20"/>
  <c r="V606" i="20"/>
  <c r="X606" i="20" s="1"/>
  <c r="AM243" i="35"/>
  <c r="AG457" i="35"/>
  <c r="AC584" i="20"/>
  <c r="AE98" i="20"/>
  <c r="BA613" i="20"/>
  <c r="AG131" i="20"/>
  <c r="AK279" i="20"/>
  <c r="AE478" i="20"/>
  <c r="V478" i="20"/>
  <c r="X478" i="20" s="1"/>
  <c r="AM478" i="20"/>
  <c r="AA489" i="20"/>
  <c r="AY489" i="20"/>
  <c r="AA504" i="20"/>
  <c r="AE504" i="20"/>
  <c r="AC504" i="20"/>
  <c r="AM504" i="20"/>
  <c r="AK504" i="20"/>
  <c r="AE645" i="20"/>
  <c r="V645" i="20"/>
  <c r="X645" i="20" s="1"/>
  <c r="V521" i="20"/>
  <c r="BA521" i="20" s="1"/>
  <c r="U521" i="20"/>
  <c r="AE527" i="20"/>
  <c r="AA527" i="20"/>
  <c r="AM527" i="20"/>
  <c r="AE540" i="20"/>
  <c r="V540" i="20"/>
  <c r="X540" i="20" s="1"/>
  <c r="AK540" i="20"/>
  <c r="V460" i="20"/>
  <c r="X460" i="20" s="1"/>
  <c r="V83" i="20"/>
  <c r="X83" i="20" s="1"/>
  <c r="AG584" i="20"/>
  <c r="AM250" i="20"/>
  <c r="AI194" i="20"/>
  <c r="V637" i="20"/>
  <c r="X637" i="20" s="1"/>
  <c r="AE481" i="20"/>
  <c r="BA345" i="20"/>
  <c r="AA157" i="20"/>
  <c r="U546" i="20"/>
  <c r="U527" i="20"/>
  <c r="AE597" i="20"/>
  <c r="AE46" i="20"/>
  <c r="AM46" i="20"/>
  <c r="AA46" i="20"/>
  <c r="BA407" i="20"/>
  <c r="AG208" i="20"/>
  <c r="AC208" i="20"/>
  <c r="AY185" i="20"/>
  <c r="U185" i="20"/>
  <c r="AM276" i="20"/>
  <c r="AK276" i="20"/>
  <c r="AG228" i="20"/>
  <c r="AK228" i="20"/>
  <c r="AA228" i="20"/>
  <c r="V228" i="20"/>
  <c r="X228" i="20" s="1"/>
  <c r="AI228" i="20"/>
  <c r="AE228" i="20"/>
  <c r="V119" i="20"/>
  <c r="X119" i="20" s="1"/>
  <c r="AC119" i="20"/>
  <c r="AY119" i="20"/>
  <c r="AG176" i="20"/>
  <c r="AK176" i="20"/>
  <c r="AA176" i="20"/>
  <c r="AC176" i="20"/>
  <c r="AG233" i="20"/>
  <c r="AY233" i="20"/>
  <c r="AM233" i="20"/>
  <c r="AK233" i="20"/>
  <c r="AE233" i="20"/>
  <c r="AC233" i="20"/>
  <c r="AI617" i="20"/>
  <c r="AG617" i="20"/>
  <c r="AA617" i="20"/>
  <c r="AM599" i="20"/>
  <c r="AA599" i="20"/>
  <c r="AG599" i="20"/>
  <c r="U599" i="20"/>
  <c r="U233" i="20"/>
  <c r="BD7" i="23"/>
  <c r="BD10" i="23" s="1"/>
  <c r="AO380" i="20"/>
  <c r="AG364" i="20"/>
  <c r="AK599" i="20"/>
  <c r="AA116" i="20"/>
  <c r="AI242" i="20"/>
  <c r="AM242" i="20"/>
  <c r="AE242" i="20"/>
  <c r="AC213" i="20"/>
  <c r="V213" i="20"/>
  <c r="X213" i="20" s="1"/>
  <c r="AM213" i="20"/>
  <c r="AC26" i="20"/>
  <c r="V26" i="20"/>
  <c r="X26" i="20" s="1"/>
  <c r="AY26" i="20"/>
  <c r="AI26" i="20"/>
  <c r="V144" i="20"/>
  <c r="X144" i="20" s="1"/>
  <c r="AG144" i="20"/>
  <c r="AY144" i="20"/>
  <c r="AA144" i="20"/>
  <c r="AI594" i="20"/>
  <c r="V594" i="20"/>
  <c r="X594" i="20" s="1"/>
  <c r="AY594" i="20"/>
  <c r="AE594" i="20"/>
  <c r="AA594" i="20"/>
  <c r="BA431" i="20"/>
  <c r="BA364" i="20"/>
  <c r="AG125" i="20"/>
  <c r="BA116" i="20"/>
  <c r="AM430" i="20"/>
  <c r="AA430" i="20"/>
  <c r="AK457" i="20"/>
  <c r="AY457" i="20"/>
  <c r="AG457" i="20"/>
  <c r="U457" i="20"/>
  <c r="V466" i="20"/>
  <c r="X466" i="20" s="1"/>
  <c r="AG466" i="20"/>
  <c r="U483" i="20"/>
  <c r="AK483" i="20"/>
  <c r="AK501" i="20"/>
  <c r="U501" i="20"/>
  <c r="AI501" i="20"/>
  <c r="AE501" i="20"/>
  <c r="AC501" i="20"/>
  <c r="U515" i="20"/>
  <c r="AM515" i="20"/>
  <c r="AE515" i="20"/>
  <c r="AY581" i="20"/>
  <c r="AM581" i="20"/>
  <c r="AA613" i="20"/>
  <c r="V613" i="20"/>
  <c r="X613" i="20" s="1"/>
  <c r="AY642" i="20"/>
  <c r="AA642" i="20"/>
  <c r="AC60" i="20"/>
  <c r="AK60" i="20"/>
  <c r="AA619" i="20"/>
  <c r="U619" i="20"/>
  <c r="AI619" i="20"/>
  <c r="AG619" i="20"/>
  <c r="AC619" i="20"/>
  <c r="V619" i="20"/>
  <c r="X619" i="20" s="1"/>
  <c r="AY619" i="20"/>
  <c r="BC168" i="35"/>
  <c r="AG213" i="20"/>
  <c r="AK213" i="20"/>
  <c r="AG339" i="20"/>
  <c r="AO300" i="20"/>
  <c r="V147" i="20"/>
  <c r="X147" i="20" s="1"/>
  <c r="U364" i="20"/>
  <c r="AI599" i="20"/>
  <c r="BA635" i="20"/>
  <c r="AY46" i="20"/>
  <c r="BA483" i="20"/>
  <c r="V501" i="20"/>
  <c r="X501" i="20" s="1"/>
  <c r="AI443" i="20"/>
  <c r="AC498" i="20"/>
  <c r="AY460" i="20"/>
  <c r="Y282" i="35"/>
  <c r="V55" i="20"/>
  <c r="X55" i="20" s="1"/>
  <c r="AG83" i="20"/>
  <c r="AG35" i="20"/>
  <c r="AG475" i="20"/>
  <c r="V339" i="20"/>
  <c r="X339" i="20" s="1"/>
  <c r="V300" i="20"/>
  <c r="X300" i="20" s="1"/>
  <c r="AE147" i="20"/>
  <c r="AM282" i="20"/>
  <c r="AE250" i="20"/>
  <c r="AY599" i="20"/>
  <c r="AK210" i="20"/>
  <c r="BA651" i="20"/>
  <c r="AG506" i="20"/>
  <c r="AM194" i="20"/>
  <c r="AK463" i="35"/>
  <c r="AK46" i="20"/>
  <c r="AY637" i="20"/>
  <c r="AG481" i="20"/>
  <c r="BA412" i="20"/>
  <c r="BA147" i="20"/>
  <c r="U443" i="20"/>
  <c r="AG498" i="20"/>
  <c r="AA546" i="20"/>
  <c r="AI507" i="20"/>
  <c r="AI401" i="20"/>
  <c r="AM377" i="20"/>
  <c r="AG469" i="20"/>
  <c r="AG191" i="20"/>
  <c r="AM191" i="20"/>
  <c r="AA86" i="20"/>
  <c r="AK86" i="20"/>
  <c r="AI86" i="20"/>
  <c r="AY86" i="20"/>
  <c r="AQ83" i="35"/>
  <c r="Y83" i="35"/>
  <c r="AY250" i="20"/>
  <c r="AG443" i="20"/>
  <c r="AK463" i="20"/>
  <c r="AA463" i="20"/>
  <c r="AI463" i="20"/>
  <c r="V463" i="20"/>
  <c r="X463" i="20" s="1"/>
  <c r="AO231" i="20"/>
  <c r="AK339" i="20"/>
  <c r="AA282" i="20"/>
  <c r="AA370" i="20"/>
  <c r="AI250" i="20"/>
  <c r="AC599" i="20"/>
  <c r="AC210" i="20"/>
  <c r="BA652" i="20"/>
  <c r="U506" i="20"/>
  <c r="AG194" i="20"/>
  <c r="AE463" i="35"/>
  <c r="V597" i="20"/>
  <c r="X597" i="20" s="1"/>
  <c r="U637" i="20"/>
  <c r="AG217" i="20"/>
  <c r="BA103" i="20"/>
  <c r="U86" i="20"/>
  <c r="AK498" i="20"/>
  <c r="BC235" i="35"/>
  <c r="AK543" i="20"/>
  <c r="U401" i="20"/>
  <c r="AA401" i="20"/>
  <c r="AM329" i="20"/>
  <c r="Z109" i="35"/>
  <c r="AB109" i="35" s="1"/>
  <c r="AE109" i="35"/>
  <c r="Y141" i="35"/>
  <c r="AQ141" i="35"/>
  <c r="BA14" i="20"/>
  <c r="BA371" i="20"/>
  <c r="BA77" i="20"/>
  <c r="BA516" i="20"/>
  <c r="BA465" i="20"/>
  <c r="BA640" i="20"/>
  <c r="BA184" i="20"/>
  <c r="BA375" i="20"/>
  <c r="BA258" i="20"/>
  <c r="BA509" i="20"/>
  <c r="BA452" i="20"/>
  <c r="BA538" i="20"/>
  <c r="BA309" i="20"/>
  <c r="BA50" i="20"/>
  <c r="BA514" i="20"/>
  <c r="BA142" i="20"/>
  <c r="BA436" i="20"/>
  <c r="BA467" i="20"/>
  <c r="BA90" i="20"/>
  <c r="BA498" i="20"/>
  <c r="BA337" i="20"/>
  <c r="BA422" i="20"/>
  <c r="BA645" i="20"/>
  <c r="BA604" i="20"/>
  <c r="AO100" i="35"/>
  <c r="AQ100" i="35"/>
  <c r="V576" i="20"/>
  <c r="X576" i="20" s="1"/>
  <c r="AM10" i="20"/>
  <c r="AK157" i="20"/>
  <c r="AI157" i="20"/>
  <c r="AM157" i="20"/>
  <c r="AY157" i="20"/>
  <c r="AE174" i="20"/>
  <c r="AM174" i="20"/>
  <c r="AG95" i="20"/>
  <c r="AY95" i="20"/>
  <c r="U95" i="20"/>
  <c r="AC95" i="20"/>
  <c r="AE95" i="20"/>
  <c r="AC101" i="20"/>
  <c r="AA101" i="20"/>
  <c r="AI101" i="20"/>
  <c r="V321" i="20"/>
  <c r="X321" i="20" s="1"/>
  <c r="AY321" i="20"/>
  <c r="AI321" i="20"/>
  <c r="AG321" i="20"/>
  <c r="AA321" i="20"/>
  <c r="AM321" i="20"/>
  <c r="AG326" i="20"/>
  <c r="AC326" i="20"/>
  <c r="AA364" i="20"/>
  <c r="AK364" i="20"/>
  <c r="AC364" i="20"/>
  <c r="AI364" i="20"/>
  <c r="V364" i="20"/>
  <c r="X364" i="20" s="1"/>
  <c r="AY364" i="20"/>
  <c r="AE139" i="35"/>
  <c r="BA333" i="20"/>
  <c r="AA392" i="20"/>
  <c r="AY138" i="20"/>
  <c r="AG138" i="20"/>
  <c r="AK138" i="20"/>
  <c r="AY427" i="20"/>
  <c r="AG427" i="20"/>
  <c r="BC195" i="35"/>
  <c r="AG131" i="35"/>
  <c r="AI486" i="20"/>
  <c r="AA486" i="20"/>
  <c r="AY507" i="20"/>
  <c r="AK507" i="20"/>
  <c r="AE507" i="20"/>
  <c r="V507" i="20"/>
  <c r="X507" i="20" s="1"/>
  <c r="AA587" i="20"/>
  <c r="AY587" i="20"/>
  <c r="AE587" i="20"/>
  <c r="AG627" i="20"/>
  <c r="AE627" i="20"/>
  <c r="AI627" i="20"/>
  <c r="U627" i="20"/>
  <c r="V627" i="20"/>
  <c r="X627" i="20" s="1"/>
  <c r="AC627" i="20"/>
  <c r="AM627" i="20"/>
  <c r="AK627" i="20"/>
  <c r="AA627" i="20"/>
  <c r="AE57" i="20"/>
  <c r="AI57" i="20"/>
  <c r="AM57" i="20"/>
  <c r="AG57" i="20"/>
  <c r="AC57" i="20"/>
  <c r="AA57" i="20"/>
  <c r="AY230" i="20"/>
  <c r="AM619" i="20"/>
  <c r="Z221" i="35"/>
  <c r="AB221" i="35" s="1"/>
  <c r="AG55" i="20"/>
  <c r="AY475" i="20"/>
  <c r="AK300" i="20"/>
  <c r="AE260" i="35"/>
  <c r="AI230" i="20"/>
  <c r="AE619" i="20"/>
  <c r="AO293" i="20"/>
  <c r="AM399" i="35"/>
  <c r="AK178" i="35"/>
  <c r="U55" i="20"/>
  <c r="AE475" i="20"/>
  <c r="V233" i="20"/>
  <c r="X233" i="20" s="1"/>
  <c r="AY339" i="20"/>
  <c r="U382" i="20"/>
  <c r="AG282" i="20"/>
  <c r="AY627" i="20"/>
  <c r="AK370" i="20"/>
  <c r="BA616" i="20"/>
  <c r="AK597" i="20"/>
  <c r="AI597" i="20"/>
  <c r="BA313" i="20"/>
  <c r="BA231" i="20"/>
  <c r="X527" i="20"/>
  <c r="BA519" i="20"/>
  <c r="AA288" i="20"/>
  <c r="AC581" i="20"/>
  <c r="AI504" i="20"/>
  <c r="V116" i="20"/>
  <c r="X116" i="20" s="1"/>
  <c r="AM534" i="20"/>
  <c r="AQ54" i="40"/>
  <c r="Z51" i="35"/>
  <c r="AB51" i="35" s="1"/>
  <c r="AM51" i="35"/>
  <c r="AO51" i="35"/>
  <c r="AM187" i="35"/>
  <c r="Z187" i="35"/>
  <c r="AB187" i="35" s="1"/>
  <c r="Y187" i="35"/>
  <c r="AI187" i="35"/>
  <c r="Z294" i="35"/>
  <c r="AB294" i="35" s="1"/>
  <c r="AI294" i="35"/>
  <c r="Y339" i="35"/>
  <c r="AQ21" i="35"/>
  <c r="AE21" i="35"/>
  <c r="AS105" i="35"/>
  <c r="AM423" i="35"/>
  <c r="Y448" i="35"/>
  <c r="Z448" i="35"/>
  <c r="AK448" i="35" s="1"/>
  <c r="BC63" i="35"/>
  <c r="AO63" i="35"/>
  <c r="AM63" i="35"/>
  <c r="AM199" i="35"/>
  <c r="AK199" i="35"/>
  <c r="AO199" i="35"/>
  <c r="AI211" i="35"/>
  <c r="BC211" i="35"/>
  <c r="AM223" i="35"/>
  <c r="AO223" i="35"/>
  <c r="Z223" i="35"/>
  <c r="AB223" i="35" s="1"/>
  <c r="Y223" i="35"/>
  <c r="T250" i="35"/>
  <c r="O250" i="35"/>
  <c r="P250" i="35"/>
  <c r="AE291" i="35"/>
  <c r="AI291" i="35"/>
  <c r="Z291" i="35"/>
  <c r="AB291" i="35" s="1"/>
  <c r="AG291" i="35"/>
  <c r="AM291" i="35"/>
  <c r="BC291" i="35"/>
  <c r="Y291" i="35"/>
  <c r="AQ291" i="35"/>
  <c r="AM469" i="35"/>
  <c r="BC469" i="35"/>
  <c r="Z469" i="35"/>
  <c r="AB469" i="35" s="1"/>
  <c r="AK469" i="35"/>
  <c r="Y469" i="35"/>
  <c r="AE469" i="35"/>
  <c r="AO469" i="35"/>
  <c r="AG491" i="35"/>
  <c r="AE491" i="35"/>
  <c r="AK491" i="35"/>
  <c r="AO491" i="35"/>
  <c r="BC491" i="35"/>
  <c r="Y491" i="35"/>
  <c r="AQ491" i="35"/>
  <c r="AM527" i="35"/>
  <c r="BC527" i="35"/>
  <c r="AE527" i="35"/>
  <c r="BC457" i="35"/>
  <c r="BC180" i="35"/>
  <c r="AE180" i="35"/>
  <c r="BC250" i="35"/>
  <c r="AI469" i="35"/>
  <c r="AK49" i="35"/>
  <c r="BC49" i="35"/>
  <c r="AM73" i="35"/>
  <c r="AO73" i="35"/>
  <c r="AK209" i="35"/>
  <c r="AQ209" i="35"/>
  <c r="AE209" i="35"/>
  <c r="AM325" i="35"/>
  <c r="AG325" i="35"/>
  <c r="AO325" i="35"/>
  <c r="AI214" i="35"/>
  <c r="BC214" i="35"/>
  <c r="AG83" i="35"/>
  <c r="AE83" i="35"/>
  <c r="AK83" i="35"/>
  <c r="AI83" i="35"/>
  <c r="BC83" i="35"/>
  <c r="AI173" i="35"/>
  <c r="Z173" i="35"/>
  <c r="AB173" i="35" s="1"/>
  <c r="AM299" i="35"/>
  <c r="AI299" i="35"/>
  <c r="Z299" i="35"/>
  <c r="AB299" i="35" s="1"/>
  <c r="AE503" i="35"/>
  <c r="AK515" i="35"/>
  <c r="BC188" i="35"/>
  <c r="Y188" i="35"/>
  <c r="AQ75" i="39"/>
  <c r="AQ243" i="35"/>
  <c r="AS313" i="35"/>
  <c r="AK342" i="35"/>
  <c r="AQ503" i="35"/>
  <c r="AG527" i="35"/>
  <c r="Y431" i="35"/>
  <c r="AE187" i="35"/>
  <c r="AI243" i="35"/>
  <c r="AI212" i="35"/>
  <c r="AQ301" i="35"/>
  <c r="AK195" i="35"/>
  <c r="AQ313" i="35"/>
  <c r="AE339" i="35"/>
  <c r="AI112" i="35"/>
  <c r="BC240" i="35"/>
  <c r="Y240" i="35"/>
  <c r="AG240" i="35"/>
  <c r="Y279" i="35"/>
  <c r="AG279" i="35"/>
  <c r="Z279" i="35"/>
  <c r="AB279" i="35" s="1"/>
  <c r="AI279" i="35"/>
  <c r="AQ56" i="40"/>
  <c r="AK503" i="35"/>
  <c r="AI105" i="35"/>
  <c r="Y105" i="35"/>
  <c r="BC105" i="35"/>
  <c r="AG129" i="35"/>
  <c r="AO129" i="35"/>
  <c r="Y151" i="35"/>
  <c r="AK151" i="35"/>
  <c r="BC151" i="35"/>
  <c r="AQ151" i="35"/>
  <c r="AG151" i="35"/>
  <c r="AK187" i="35"/>
  <c r="AK110" i="35"/>
  <c r="BC110" i="35"/>
  <c r="BC258" i="35"/>
  <c r="Z258" i="35"/>
  <c r="AB258" i="35" s="1"/>
  <c r="AM265" i="35"/>
  <c r="Y265" i="35"/>
  <c r="AG292" i="35"/>
  <c r="AQ292" i="35"/>
  <c r="Y458" i="35"/>
  <c r="AK458" i="35"/>
  <c r="AQ39" i="39"/>
  <c r="AO457" i="35"/>
  <c r="AQ105" i="35"/>
  <c r="AC246" i="20"/>
  <c r="AG246" i="20"/>
  <c r="AY246" i="20"/>
  <c r="AC607" i="20"/>
  <c r="U607" i="20"/>
  <c r="AO187" i="35"/>
  <c r="U357" i="20"/>
  <c r="AQ110" i="35"/>
  <c r="AM491" i="35"/>
  <c r="AE200" i="35"/>
  <c r="AO452" i="20"/>
  <c r="AO27" i="20"/>
  <c r="AO194" i="20"/>
  <c r="AO50" i="20"/>
  <c r="AO575" i="20"/>
  <c r="AO598" i="20"/>
  <c r="AO26" i="20"/>
  <c r="AO506" i="20"/>
  <c r="AO157" i="20"/>
  <c r="AO233" i="20"/>
  <c r="AO206" i="20"/>
  <c r="AO337" i="20"/>
  <c r="AO545" i="20"/>
  <c r="AO592" i="20"/>
  <c r="AO585" i="20"/>
  <c r="AO95" i="20"/>
  <c r="AO599" i="20"/>
  <c r="AO339" i="20"/>
  <c r="AO588" i="20"/>
  <c r="AY269" i="20"/>
  <c r="V269" i="20"/>
  <c r="X269" i="20" s="1"/>
  <c r="AE269" i="20"/>
  <c r="AG269" i="20"/>
  <c r="U269" i="20"/>
  <c r="AI269" i="20"/>
  <c r="AY15" i="20"/>
  <c r="AE15" i="20"/>
  <c r="AG15" i="20"/>
  <c r="AA15" i="20"/>
  <c r="AM333" i="20"/>
  <c r="U333" i="20"/>
  <c r="AI333" i="20"/>
  <c r="V333" i="20"/>
  <c r="X333" i="20" s="1"/>
  <c r="AK333" i="20"/>
  <c r="AA333" i="20"/>
  <c r="AK386" i="20"/>
  <c r="V386" i="20"/>
  <c r="X386" i="20" s="1"/>
  <c r="V459" i="20"/>
  <c r="X459" i="20" s="1"/>
  <c r="AK459" i="20"/>
  <c r="AC477" i="20"/>
  <c r="AK477" i="20"/>
  <c r="AY482" i="20"/>
  <c r="AC482" i="20"/>
  <c r="AK482" i="20"/>
  <c r="AM482" i="20"/>
  <c r="U482" i="20"/>
  <c r="AM488" i="20"/>
  <c r="AC488" i="20"/>
  <c r="V488" i="20"/>
  <c r="X488" i="20" s="1"/>
  <c r="U491" i="20"/>
  <c r="AK491" i="20"/>
  <c r="AI491" i="20"/>
  <c r="AY506" i="20"/>
  <c r="AE506" i="20"/>
  <c r="U514" i="20"/>
  <c r="AK514" i="20"/>
  <c r="AM641" i="20"/>
  <c r="AE641" i="20"/>
  <c r="AC56" i="20"/>
  <c r="AK56" i="20"/>
  <c r="AE545" i="20"/>
  <c r="AA545" i="20"/>
  <c r="AC545" i="20"/>
  <c r="AC573" i="20"/>
  <c r="AY573" i="20"/>
  <c r="V573" i="20"/>
  <c r="X573" i="20" s="1"/>
  <c r="AG573" i="20"/>
  <c r="AG615" i="20"/>
  <c r="AC615" i="20"/>
  <c r="AM615" i="20"/>
  <c r="AG597" i="20"/>
  <c r="U597" i="20"/>
  <c r="AC597" i="20"/>
  <c r="AA597" i="20"/>
  <c r="AM576" i="20"/>
  <c r="AY576" i="20"/>
  <c r="AI576" i="20"/>
  <c r="AK576" i="20"/>
  <c r="AC576" i="20"/>
  <c r="AS160" i="35"/>
  <c r="AS370" i="35"/>
  <c r="AS53" i="35"/>
  <c r="AS60" i="35"/>
  <c r="AS140" i="35"/>
  <c r="AS249" i="35"/>
  <c r="AM18" i="35"/>
  <c r="AE18" i="35"/>
  <c r="AO18" i="35"/>
  <c r="BC75" i="35"/>
  <c r="AK75" i="35"/>
  <c r="AM75" i="35"/>
  <c r="O158" i="35"/>
  <c r="P158" i="35"/>
  <c r="T158" i="35"/>
  <c r="Y281" i="35"/>
  <c r="AI281" i="35"/>
  <c r="AG363" i="35"/>
  <c r="AO363" i="35"/>
  <c r="AM411" i="35"/>
  <c r="AO411" i="35"/>
  <c r="Y204" i="35"/>
  <c r="AE204" i="35"/>
  <c r="Y30" i="35"/>
  <c r="AM30" i="35"/>
  <c r="AE61" i="35"/>
  <c r="AG61" i="35"/>
  <c r="AK197" i="35"/>
  <c r="AI197" i="35"/>
  <c r="Y313" i="35"/>
  <c r="AK313" i="35"/>
  <c r="AM313" i="35"/>
  <c r="Z349" i="35"/>
  <c r="AB349" i="35" s="1"/>
  <c r="AI349" i="35"/>
  <c r="AO349" i="35"/>
  <c r="AG349" i="35"/>
  <c r="AI385" i="35"/>
  <c r="BC385" i="35"/>
  <c r="AE421" i="35"/>
  <c r="AG421" i="35"/>
  <c r="AQ76" i="40"/>
  <c r="AE11" i="35"/>
  <c r="AQ11" i="35"/>
  <c r="Z11" i="35"/>
  <c r="AB11" i="35" s="1"/>
  <c r="BC11" i="35"/>
  <c r="AO11" i="35"/>
  <c r="AG11" i="35"/>
  <c r="BC42" i="35"/>
  <c r="Y42" i="35"/>
  <c r="Y54" i="35"/>
  <c r="BC54" i="35"/>
  <c r="AK54" i="35"/>
  <c r="AM100" i="35"/>
  <c r="BC100" i="35"/>
  <c r="AI100" i="35"/>
  <c r="Y146" i="35"/>
  <c r="AI146" i="35"/>
  <c r="AM354" i="35"/>
  <c r="AE354" i="35"/>
  <c r="Z354" i="35"/>
  <c r="AB354" i="35" s="1"/>
  <c r="AO354" i="35"/>
  <c r="Y178" i="35"/>
  <c r="AM107" i="35"/>
  <c r="Z28" i="35"/>
  <c r="AB28" i="35" s="1"/>
  <c r="AQ28" i="35"/>
  <c r="AE28" i="35"/>
  <c r="Y28" i="35"/>
  <c r="AG28" i="35"/>
  <c r="BC28" i="35"/>
  <c r="AG117" i="35"/>
  <c r="AK117" i="35"/>
  <c r="AE117" i="35"/>
  <c r="AM42" i="35"/>
  <c r="AO173" i="35"/>
  <c r="AQ248" i="35"/>
  <c r="AI248" i="35"/>
  <c r="AQ63" i="39"/>
  <c r="BC423" i="35"/>
  <c r="AI119" i="35"/>
  <c r="AG68" i="20"/>
  <c r="AY68" i="20"/>
  <c r="AM68" i="20"/>
  <c r="AK73" i="20"/>
  <c r="AC73" i="20"/>
  <c r="AI527" i="35"/>
  <c r="AE325" i="20"/>
  <c r="AE161" i="35"/>
  <c r="BC187" i="35"/>
  <c r="AE211" i="35"/>
  <c r="U325" i="20"/>
  <c r="AQ457" i="35"/>
  <c r="Y399" i="35"/>
  <c r="AO28" i="35"/>
  <c r="AI607" i="20"/>
  <c r="AQ88" i="35"/>
  <c r="AQ469" i="35"/>
  <c r="AE151" i="35"/>
  <c r="AK411" i="35"/>
  <c r="BA388" i="20"/>
  <c r="BA225" i="20"/>
  <c r="BA425" i="20"/>
  <c r="BA96" i="20"/>
  <c r="BA438" i="20"/>
  <c r="BA344" i="20"/>
  <c r="BA638" i="20"/>
  <c r="BA350" i="20"/>
  <c r="BA219" i="20"/>
  <c r="BA368" i="20"/>
  <c r="BA136" i="20"/>
  <c r="BA625" i="20"/>
  <c r="BA181" i="20"/>
  <c r="BA599" i="20"/>
  <c r="BA251" i="20"/>
  <c r="BA316" i="20"/>
  <c r="BA108" i="20"/>
  <c r="BA406" i="20"/>
  <c r="BA228" i="20"/>
  <c r="BA484" i="20"/>
  <c r="BA104" i="20"/>
  <c r="BA642" i="20"/>
  <c r="BA299" i="20"/>
  <c r="BA192" i="20"/>
  <c r="BA427" i="20"/>
  <c r="BA15" i="20"/>
  <c r="BA600" i="20"/>
  <c r="BA597" i="20"/>
  <c r="BA242" i="20"/>
  <c r="BA359" i="20"/>
  <c r="BA47" i="20"/>
  <c r="BA428" i="20"/>
  <c r="BA370" i="20"/>
  <c r="BA398" i="20"/>
  <c r="BA95" i="20"/>
  <c r="BA612" i="20"/>
  <c r="BA145" i="20"/>
  <c r="BA543" i="20"/>
  <c r="BA323" i="20"/>
  <c r="BA158" i="20"/>
  <c r="BA508" i="20"/>
  <c r="BA603" i="20"/>
  <c r="BA248" i="20"/>
  <c r="BA356" i="20"/>
  <c r="BA195" i="20"/>
  <c r="BA203" i="20"/>
  <c r="BA167" i="20"/>
  <c r="BA404" i="20"/>
  <c r="BA270" i="20"/>
  <c r="BA311" i="20"/>
  <c r="BA86" i="20"/>
  <c r="BA505" i="20"/>
  <c r="BA292" i="20"/>
  <c r="BA535" i="20"/>
  <c r="BA295" i="20"/>
  <c r="BA32" i="20"/>
  <c r="BA573" i="20"/>
  <c r="BA208" i="20"/>
  <c r="BA233" i="20"/>
  <c r="BA513" i="20"/>
  <c r="BA20" i="20"/>
  <c r="BA132" i="20"/>
  <c r="BA495" i="20"/>
  <c r="BA336" i="20"/>
  <c r="BA382" i="20"/>
  <c r="BA618" i="20"/>
  <c r="BA619" i="20"/>
  <c r="BA245" i="20"/>
  <c r="BA211" i="20"/>
  <c r="BA213" i="20"/>
  <c r="BA187" i="20"/>
  <c r="BA446" i="20"/>
  <c r="BA42" i="20"/>
  <c r="BA475" i="20"/>
  <c r="BA272" i="20"/>
  <c r="BA129" i="20"/>
  <c r="BA197" i="20"/>
  <c r="BA598" i="20"/>
  <c r="BA157" i="20"/>
  <c r="BA632" i="20"/>
  <c r="BA360" i="20"/>
  <c r="BA123" i="20"/>
  <c r="BA482" i="20"/>
  <c r="BA399" i="20"/>
  <c r="BA241" i="20"/>
  <c r="BA466" i="20"/>
  <c r="BA72" i="20"/>
  <c r="BA285" i="20"/>
  <c r="BA460" i="20"/>
  <c r="BA44" i="20"/>
  <c r="BA283" i="20"/>
  <c r="BA254" i="20"/>
  <c r="BA575" i="20"/>
  <c r="BA646" i="20"/>
  <c r="BA473" i="20"/>
  <c r="BA168" i="20"/>
  <c r="BA347" i="20"/>
  <c r="BA448" i="20"/>
  <c r="BA358" i="20"/>
  <c r="BA239" i="20"/>
  <c r="BA397" i="20"/>
  <c r="BA164" i="20"/>
  <c r="BA119" i="20"/>
  <c r="BA637" i="20"/>
  <c r="BA591" i="20"/>
  <c r="BA501" i="20"/>
  <c r="BA49" i="20"/>
  <c r="BA531" i="20"/>
  <c r="BA327" i="20"/>
  <c r="BA394" i="20"/>
  <c r="BA533" i="20"/>
  <c r="BA633" i="20"/>
  <c r="BA98" i="20"/>
  <c r="BA387" i="20"/>
  <c r="BA512" i="20"/>
  <c r="BA113" i="20"/>
  <c r="BA461" i="20"/>
  <c r="BA504" i="20"/>
  <c r="BA102" i="20"/>
  <c r="BA577" i="20"/>
  <c r="BA576" i="20"/>
  <c r="BA259" i="20"/>
  <c r="BA260" i="20"/>
  <c r="BA279" i="20"/>
  <c r="BA262" i="20"/>
  <c r="BA265" i="20"/>
  <c r="AG196" i="20"/>
  <c r="AY196" i="20"/>
  <c r="AC162" i="20"/>
  <c r="V162" i="20"/>
  <c r="X162" i="20" s="1"/>
  <c r="U162" i="20"/>
  <c r="AE162" i="20"/>
  <c r="AG168" i="20"/>
  <c r="AY168" i="20"/>
  <c r="V168" i="20"/>
  <c r="X168" i="20" s="1"/>
  <c r="AE7" i="20"/>
  <c r="AM7" i="20"/>
  <c r="AG10" i="20"/>
  <c r="V10" i="20"/>
  <c r="X10" i="20" s="1"/>
  <c r="V46" i="20"/>
  <c r="X46" i="20" s="1"/>
  <c r="AI46" i="20"/>
  <c r="AG46" i="20"/>
  <c r="AC46" i="20"/>
  <c r="AG258" i="20"/>
  <c r="AI258" i="20"/>
  <c r="AK261" i="20"/>
  <c r="U261" i="20"/>
  <c r="AG261" i="20"/>
  <c r="AI370" i="20"/>
  <c r="AM370" i="20"/>
  <c r="AE370" i="20"/>
  <c r="AA355" i="20"/>
  <c r="AE355" i="20"/>
  <c r="AY355" i="20"/>
  <c r="AG421" i="20"/>
  <c r="AY421" i="20"/>
  <c r="AM421" i="20"/>
  <c r="AY424" i="20"/>
  <c r="AE424" i="20"/>
  <c r="U440" i="20"/>
  <c r="AA440" i="20"/>
  <c r="AI440" i="20"/>
  <c r="AR7" i="23"/>
  <c r="AP10" i="23"/>
  <c r="V631" i="20"/>
  <c r="X631" i="20" s="1"/>
  <c r="AC631" i="20"/>
  <c r="AK631" i="20"/>
  <c r="AM631" i="20"/>
  <c r="AY631" i="20"/>
  <c r="U631" i="20"/>
  <c r="AI592" i="20"/>
  <c r="AC592" i="20"/>
  <c r="AE592" i="20"/>
  <c r="U592" i="20"/>
  <c r="AG469" i="35"/>
  <c r="AO151" i="35"/>
  <c r="AO327" i="35"/>
  <c r="Z327" i="35"/>
  <c r="AB327" i="35" s="1"/>
  <c r="BC327" i="35"/>
  <c r="Y503" i="35"/>
  <c r="AI503" i="35"/>
  <c r="AG503" i="35"/>
  <c r="BE100" i="35"/>
  <c r="BE238" i="35"/>
  <c r="Z80" i="35"/>
  <c r="AB80" i="35" s="1"/>
  <c r="Y80" i="35"/>
  <c r="AK457" i="35"/>
  <c r="BC221" i="35"/>
  <c r="AE221" i="35"/>
  <c r="AI221" i="35"/>
  <c r="BC245" i="35"/>
  <c r="AQ245" i="35"/>
  <c r="AO245" i="35"/>
  <c r="AK245" i="35"/>
  <c r="BC397" i="35"/>
  <c r="AG397" i="35"/>
  <c r="AQ49" i="40"/>
  <c r="AI255" i="35"/>
  <c r="AM260" i="35"/>
  <c r="Y260" i="35"/>
  <c r="AK260" i="35"/>
  <c r="AQ187" i="35"/>
  <c r="BE94" i="35"/>
  <c r="AE35" i="35"/>
  <c r="AG35" i="35"/>
  <c r="AK35" i="35"/>
  <c r="AI195" i="35"/>
  <c r="Z195" i="35"/>
  <c r="AB195" i="35" s="1"/>
  <c r="AQ195" i="35"/>
  <c r="AK371" i="35"/>
  <c r="AM371" i="35"/>
  <c r="AE199" i="35"/>
  <c r="AE243" i="35"/>
  <c r="BC281" i="35"/>
  <c r="AK64" i="35"/>
  <c r="Z64" i="35"/>
  <c r="AB64" i="35" s="1"/>
  <c r="AE98" i="35"/>
  <c r="AO98" i="35"/>
  <c r="Y304" i="35"/>
  <c r="AG304" i="35"/>
  <c r="AQ51" i="39"/>
  <c r="AG390" i="35"/>
  <c r="AG187" i="35"/>
  <c r="AQ178" i="35"/>
  <c r="AE151" i="20"/>
  <c r="AY151" i="20"/>
  <c r="Z61" i="35"/>
  <c r="AB61" i="35" s="1"/>
  <c r="AQ161" i="35"/>
  <c r="Z211" i="35"/>
  <c r="AB211" i="35" s="1"/>
  <c r="BC479" i="35"/>
  <c r="AO479" i="35"/>
  <c r="AG161" i="35"/>
  <c r="AK211" i="35"/>
  <c r="AE399" i="35"/>
  <c r="Y457" i="35"/>
  <c r="AK428" i="35"/>
  <c r="AG607" i="20"/>
  <c r="AM88" i="35"/>
  <c r="AO291" i="35"/>
  <c r="AO527" i="35"/>
  <c r="AI260" i="35"/>
  <c r="Z151" i="35"/>
  <c r="AB151" i="35" s="1"/>
  <c r="AK161" i="35"/>
  <c r="AG211" i="35"/>
  <c r="AO399" i="35"/>
  <c r="AI457" i="35"/>
  <c r="Y428" i="35"/>
  <c r="BE367" i="35"/>
  <c r="AO259" i="20"/>
  <c r="AK291" i="35"/>
  <c r="AI151" i="35"/>
  <c r="BA476" i="20"/>
  <c r="BA138" i="20"/>
  <c r="BA134" i="20"/>
  <c r="BA401" i="20"/>
  <c r="AO61" i="35"/>
  <c r="G10" i="34"/>
  <c r="K10" i="34" s="1"/>
  <c r="K7" i="34"/>
  <c r="AE17" i="20"/>
  <c r="AI271" i="20"/>
  <c r="AG461" i="20"/>
  <c r="AC394" i="20"/>
  <c r="BS516" i="20"/>
  <c r="AY388" i="20"/>
  <c r="AC508" i="20"/>
  <c r="AE136" i="20"/>
  <c r="AG53" i="20"/>
  <c r="AA222" i="20"/>
  <c r="AG275" i="20"/>
  <c r="AM407" i="20"/>
  <c r="U538" i="20"/>
  <c r="AA311" i="20"/>
  <c r="AA260" i="20"/>
  <c r="AM139" i="20"/>
  <c r="AM588" i="20"/>
  <c r="AG145" i="20"/>
  <c r="AE251" i="35"/>
  <c r="AM643" i="20"/>
  <c r="AM470" i="20"/>
  <c r="V280" i="20"/>
  <c r="X280" i="20" s="1"/>
  <c r="U516" i="20"/>
  <c r="AE385" i="20"/>
  <c r="BA556" i="20"/>
  <c r="AI337" i="20"/>
  <c r="AG337" i="20"/>
  <c r="AY337" i="20"/>
  <c r="AE49" i="20"/>
  <c r="U49" i="20"/>
  <c r="AG49" i="20"/>
  <c r="AY222" i="20"/>
  <c r="AE222" i="20"/>
  <c r="U225" i="20"/>
  <c r="AG225" i="20"/>
  <c r="AA225" i="20"/>
  <c r="AI225" i="20"/>
  <c r="AC225" i="20"/>
  <c r="AA50" i="20"/>
  <c r="AI50" i="20"/>
  <c r="AA53" i="20"/>
  <c r="AY53" i="20"/>
  <c r="V53" i="20"/>
  <c r="X53" i="20" s="1"/>
  <c r="AC21" i="20"/>
  <c r="AM21" i="20"/>
  <c r="AI21" i="20"/>
  <c r="V21" i="20"/>
  <c r="X21" i="20" s="1"/>
  <c r="AE21" i="20"/>
  <c r="AY24" i="20"/>
  <c r="AE24" i="20"/>
  <c r="V24" i="20"/>
  <c r="X24" i="20" s="1"/>
  <c r="U24" i="20"/>
  <c r="AA24" i="20"/>
  <c r="AM27" i="20"/>
  <c r="AA27" i="20"/>
  <c r="AY27" i="20"/>
  <c r="V136" i="20"/>
  <c r="X136" i="20" s="1"/>
  <c r="AG136" i="20"/>
  <c r="AY136" i="20"/>
  <c r="AC136" i="20"/>
  <c r="AE148" i="20"/>
  <c r="AM148" i="20"/>
  <c r="AY236" i="20"/>
  <c r="AG236" i="20"/>
  <c r="AA236" i="20"/>
  <c r="U239" i="20"/>
  <c r="AY239" i="20"/>
  <c r="AI286" i="20"/>
  <c r="AY286" i="20"/>
  <c r="AG286" i="20"/>
  <c r="AM286" i="20"/>
  <c r="U396" i="20"/>
  <c r="AG396" i="20"/>
  <c r="AA407" i="20"/>
  <c r="AI407" i="20"/>
  <c r="AY407" i="20"/>
  <c r="V407" i="20"/>
  <c r="X407" i="20" s="1"/>
  <c r="AK436" i="20"/>
  <c r="AC436" i="20"/>
  <c r="AE436" i="20"/>
  <c r="AY436" i="20"/>
  <c r="V436" i="20"/>
  <c r="X436" i="20" s="1"/>
  <c r="AG616" i="20"/>
  <c r="AM616" i="20"/>
  <c r="AM598" i="20"/>
  <c r="AA598" i="20"/>
  <c r="AG598" i="20"/>
  <c r="V598" i="20"/>
  <c r="X598" i="20" s="1"/>
  <c r="AE577" i="20"/>
  <c r="AY577" i="20"/>
  <c r="AC577" i="20"/>
  <c r="AA268" i="20"/>
  <c r="AE268" i="20"/>
  <c r="AC17" i="20"/>
  <c r="AG17" i="20"/>
  <c r="U17" i="20"/>
  <c r="U399" i="20"/>
  <c r="AA399" i="20"/>
  <c r="AA402" i="20"/>
  <c r="AG402" i="20"/>
  <c r="AC447" i="20"/>
  <c r="AG447" i="20"/>
  <c r="AI447" i="20"/>
  <c r="AK447" i="20"/>
  <c r="U447" i="20"/>
  <c r="U473" i="20"/>
  <c r="AK473" i="20"/>
  <c r="AA476" i="20"/>
  <c r="AM476" i="20"/>
  <c r="AC644" i="20"/>
  <c r="AA644" i="20"/>
  <c r="AG644" i="20"/>
  <c r="AC484" i="20"/>
  <c r="V484" i="20"/>
  <c r="X484" i="20" s="1"/>
  <c r="AM484" i="20"/>
  <c r="U484" i="20"/>
  <c r="AY484" i="20"/>
  <c r="AC490" i="20"/>
  <c r="U490" i="20"/>
  <c r="V490" i="20"/>
  <c r="X490" i="20" s="1"/>
  <c r="V493" i="20"/>
  <c r="X493" i="20" s="1"/>
  <c r="AM493" i="20"/>
  <c r="AI493" i="20"/>
  <c r="AC493" i="20"/>
  <c r="U505" i="20"/>
  <c r="AI505" i="20"/>
  <c r="U508" i="20"/>
  <c r="AY508" i="20"/>
  <c r="AM508" i="20"/>
  <c r="AE516" i="20"/>
  <c r="AI516" i="20"/>
  <c r="AC516" i="20"/>
  <c r="AY516" i="20"/>
  <c r="U522" i="20"/>
  <c r="V522" i="20"/>
  <c r="AA563" i="20"/>
  <c r="AK563" i="20"/>
  <c r="AS563" i="20"/>
  <c r="AC563" i="20"/>
  <c r="BS563" i="20"/>
  <c r="V585" i="20"/>
  <c r="X585" i="20" s="1"/>
  <c r="AA585" i="20"/>
  <c r="AC585" i="20"/>
  <c r="AI585" i="20"/>
  <c r="AY625" i="20"/>
  <c r="U625" i="20"/>
  <c r="AE625" i="20"/>
  <c r="AC625" i="20"/>
  <c r="AM646" i="20"/>
  <c r="AG646" i="20"/>
  <c r="U605" i="20"/>
  <c r="AI605" i="20"/>
  <c r="AK605" i="20"/>
  <c r="AM605" i="20"/>
  <c r="AA605" i="20"/>
  <c r="AY605" i="20"/>
  <c r="AY651" i="20"/>
  <c r="AC651" i="20"/>
  <c r="AQ393" i="35"/>
  <c r="BA40" i="20"/>
  <c r="AC290" i="20"/>
  <c r="AY290" i="20"/>
  <c r="AY351" i="20"/>
  <c r="AC351" i="20"/>
  <c r="AE351" i="20"/>
  <c r="AY394" i="20"/>
  <c r="AG394" i="20"/>
  <c r="AA411" i="20"/>
  <c r="AG411" i="20"/>
  <c r="V579" i="20"/>
  <c r="X579" i="20" s="1"/>
  <c r="AC579" i="20"/>
  <c r="BA185" i="20"/>
  <c r="AQ80" i="39"/>
  <c r="AQ68" i="39"/>
  <c r="AQ56" i="39"/>
  <c r="AQ44" i="39"/>
  <c r="AQ32" i="39"/>
  <c r="AQ31" i="40"/>
  <c r="AJ22" i="37"/>
  <c r="AJ23" i="37" s="1"/>
  <c r="AJ24" i="37" s="1"/>
  <c r="AJ25" i="37" s="1"/>
  <c r="AJ26" i="37" s="1"/>
  <c r="AJ27" i="37" s="1"/>
  <c r="AJ28" i="37" s="1"/>
  <c r="AJ29" i="37" s="1"/>
  <c r="AJ30" i="37" s="1"/>
  <c r="AJ31" i="37" s="1"/>
  <c r="AJ32" i="37" s="1"/>
  <c r="AJ33" i="37" s="1"/>
  <c r="AJ34" i="37" s="1"/>
  <c r="AJ35" i="37" s="1"/>
  <c r="AJ36" i="37" s="1"/>
  <c r="AJ37" i="37" s="1"/>
  <c r="AJ38" i="37" s="1"/>
  <c r="AJ39" i="37" s="1"/>
  <c r="AJ40" i="37" s="1"/>
  <c r="AJ41" i="37" s="1"/>
  <c r="AJ42" i="37" s="1"/>
  <c r="AJ43" i="37" s="1"/>
  <c r="AJ44" i="37" s="1"/>
  <c r="AJ45" i="37" s="1"/>
  <c r="AJ46" i="37" s="1"/>
  <c r="AJ47" i="37" s="1"/>
  <c r="AJ48" i="37" s="1"/>
  <c r="AJ49" i="37" s="1"/>
  <c r="AJ50" i="37" s="1"/>
  <c r="AJ51" i="37" s="1"/>
  <c r="AJ52" i="37" s="1"/>
  <c r="AJ53" i="37" s="1"/>
  <c r="AJ54" i="37" s="1"/>
  <c r="AJ55" i="37" s="1"/>
  <c r="AJ56" i="37" s="1"/>
  <c r="AJ57" i="37" s="1"/>
  <c r="AJ58" i="37" s="1"/>
  <c r="AJ59" i="37" s="1"/>
  <c r="AJ60" i="37" s="1"/>
  <c r="AJ61" i="37" s="1"/>
  <c r="AJ62" i="37" s="1"/>
  <c r="AJ63" i="37" s="1"/>
  <c r="AJ64" i="37" s="1"/>
  <c r="AJ65" i="37" s="1"/>
  <c r="AJ66" i="37" s="1"/>
  <c r="AJ67" i="37" s="1"/>
  <c r="AJ68" i="37" s="1"/>
  <c r="AJ69" i="37" s="1"/>
  <c r="AJ70" i="37" s="1"/>
  <c r="AJ71" i="37" s="1"/>
  <c r="AJ72" i="37" s="1"/>
  <c r="AJ73" i="37" s="1"/>
  <c r="AJ74" i="37" s="1"/>
  <c r="AJ75" i="37" s="1"/>
  <c r="AJ76" i="37" s="1"/>
  <c r="AJ77" i="37" s="1"/>
  <c r="AJ78" i="37" s="1"/>
  <c r="AJ79" i="37" s="1"/>
  <c r="AJ80" i="37" s="1"/>
  <c r="AJ81" i="37" s="1"/>
  <c r="AJ82" i="37" s="1"/>
  <c r="AJ83" i="37" s="1"/>
  <c r="AJ84" i="37" s="1"/>
  <c r="AJ85" i="37" s="1"/>
  <c r="BA194" i="20"/>
  <c r="BA163" i="20"/>
  <c r="BA39" i="20"/>
  <c r="BA298" i="20"/>
  <c r="AB440" i="35"/>
  <c r="AQ440" i="35"/>
  <c r="AO440" i="35"/>
  <c r="AM440" i="35"/>
  <c r="AQ136" i="35"/>
  <c r="AE136" i="35"/>
  <c r="AK136" i="35"/>
  <c r="Z136" i="35"/>
  <c r="AB136" i="35" s="1"/>
  <c r="Z158" i="35"/>
  <c r="AB158" i="35" s="1"/>
  <c r="AG158" i="35"/>
  <c r="AO158" i="35"/>
  <c r="Y158" i="35"/>
  <c r="AI158" i="35"/>
  <c r="AE158" i="35"/>
  <c r="AQ158" i="35"/>
  <c r="AM158" i="35"/>
  <c r="AK158" i="35"/>
  <c r="BC158" i="35"/>
  <c r="AO170" i="35"/>
  <c r="Y170" i="35"/>
  <c r="AI170" i="35"/>
  <c r="BC170" i="35"/>
  <c r="AM170" i="35"/>
  <c r="Z170" i="35"/>
  <c r="AB170" i="35" s="1"/>
  <c r="AI204" i="35"/>
  <c r="AK204" i="35"/>
  <c r="AO204" i="35"/>
  <c r="Z204" i="35"/>
  <c r="AB204" i="35" s="1"/>
  <c r="AG204" i="35"/>
  <c r="AE216" i="35"/>
  <c r="AI216" i="35"/>
  <c r="AM216" i="35"/>
  <c r="BC216" i="35"/>
  <c r="AO216" i="35"/>
  <c r="AG216" i="35"/>
  <c r="Y216" i="35"/>
  <c r="AM240" i="35"/>
  <c r="Z240" i="35"/>
  <c r="AB240" i="35" s="1"/>
  <c r="AE240" i="35"/>
  <c r="AQ262" i="35"/>
  <c r="Y262" i="35"/>
  <c r="AQ274" i="35"/>
  <c r="AE274" i="35"/>
  <c r="AE462" i="35"/>
  <c r="AS462" i="35"/>
  <c r="AI462" i="35"/>
  <c r="Z462" i="35"/>
  <c r="AB462" i="35" s="1"/>
  <c r="AO462" i="35"/>
  <c r="Y462" i="35"/>
  <c r="BC508" i="35"/>
  <c r="AQ508" i="35"/>
  <c r="Z508" i="35"/>
  <c r="AB508" i="35" s="1"/>
  <c r="BE221" i="35"/>
  <c r="AO71" i="20"/>
  <c r="AY71" i="20"/>
  <c r="AK71" i="20"/>
  <c r="AI71" i="20"/>
  <c r="AM31" i="20"/>
  <c r="AY31" i="20"/>
  <c r="BA357" i="20"/>
  <c r="V357" i="20"/>
  <c r="X357" i="20" s="1"/>
  <c r="AI610" i="20"/>
  <c r="AE610" i="20"/>
  <c r="BA610" i="20"/>
  <c r="BA109" i="20"/>
  <c r="AM109" i="20"/>
  <c r="AC109" i="20"/>
  <c r="AY109" i="20"/>
  <c r="AE109" i="20"/>
  <c r="AA127" i="20"/>
  <c r="U127" i="20"/>
  <c r="AG127" i="20"/>
  <c r="AK133" i="20"/>
  <c r="V133" i="20"/>
  <c r="X133" i="20" s="1"/>
  <c r="AE378" i="20"/>
  <c r="AC378" i="20"/>
  <c r="AO378" i="20"/>
  <c r="BA376" i="20"/>
  <c r="AG376" i="20"/>
  <c r="AC376" i="20"/>
  <c r="U376" i="20"/>
  <c r="AK629" i="20"/>
  <c r="AC629" i="20"/>
  <c r="AG629" i="20"/>
  <c r="U602" i="20"/>
  <c r="V602" i="20"/>
  <c r="X602" i="20" s="1"/>
  <c r="AK602" i="20"/>
  <c r="AG602" i="20"/>
  <c r="BA602" i="20"/>
  <c r="AK304" i="20"/>
  <c r="BA304" i="20"/>
  <c r="AA304" i="20"/>
  <c r="AI304" i="20"/>
  <c r="AB428" i="35"/>
  <c r="BE99" i="35"/>
  <c r="AI480" i="20"/>
  <c r="AG462" i="35"/>
  <c r="AG82" i="20"/>
  <c r="U68" i="20"/>
  <c r="AK274" i="35"/>
  <c r="AG80" i="35"/>
  <c r="BE247" i="35"/>
  <c r="V79" i="20"/>
  <c r="X79" i="20" s="1"/>
  <c r="AC71" i="20"/>
  <c r="AK462" i="35"/>
  <c r="AG595" i="20"/>
  <c r="AM304" i="20"/>
  <c r="AG114" i="35"/>
  <c r="AO114" i="35"/>
  <c r="Y114" i="35"/>
  <c r="AE114" i="35"/>
  <c r="BC114" i="35"/>
  <c r="AI114" i="35"/>
  <c r="AK207" i="20"/>
  <c r="AM207" i="20"/>
  <c r="U207" i="20"/>
  <c r="BA207" i="20"/>
  <c r="V207" i="20"/>
  <c r="X207" i="20" s="1"/>
  <c r="AK65" i="20"/>
  <c r="V65" i="20"/>
  <c r="X65" i="20" s="1"/>
  <c r="AC65" i="20"/>
  <c r="AM65" i="20"/>
  <c r="AO65" i="20"/>
  <c r="V557" i="20"/>
  <c r="AS557" i="20" s="1"/>
  <c r="U557" i="20"/>
  <c r="AG85" i="20"/>
  <c r="BA85" i="20"/>
  <c r="U328" i="20"/>
  <c r="AY328" i="20"/>
  <c r="BA175" i="20"/>
  <c r="V249" i="20"/>
  <c r="X249" i="20" s="1"/>
  <c r="AI65" i="20"/>
  <c r="BA433" i="20"/>
  <c r="AM610" i="20"/>
  <c r="BE141" i="35"/>
  <c r="AI321" i="35"/>
  <c r="AQ321" i="35"/>
  <c r="AQ357" i="35"/>
  <c r="AM357" i="35"/>
  <c r="AO451" i="35"/>
  <c r="AQ451" i="35"/>
  <c r="Z451" i="35"/>
  <c r="AB451" i="35" s="1"/>
  <c r="AG451" i="35"/>
  <c r="AK451" i="35"/>
  <c r="Y451" i="35"/>
  <c r="AE451" i="35"/>
  <c r="BC463" i="35"/>
  <c r="Z463" i="35"/>
  <c r="AB463" i="35" s="1"/>
  <c r="AQ463" i="35"/>
  <c r="Y521" i="35"/>
  <c r="AQ521" i="35"/>
  <c r="AQ74" i="39"/>
  <c r="Z308" i="35"/>
  <c r="AB308" i="35" s="1"/>
  <c r="AG308" i="35"/>
  <c r="AQ308" i="35"/>
  <c r="AG368" i="35"/>
  <c r="AQ368" i="35"/>
  <c r="AI368" i="35"/>
  <c r="AK368" i="35"/>
  <c r="Y368" i="35"/>
  <c r="BC368" i="35"/>
  <c r="AM368" i="35"/>
  <c r="AM508" i="35"/>
  <c r="AI151" i="20"/>
  <c r="U151" i="20"/>
  <c r="AM255" i="20"/>
  <c r="AY255" i="20"/>
  <c r="AG255" i="20"/>
  <c r="AC480" i="20"/>
  <c r="AE480" i="20"/>
  <c r="AY480" i="20"/>
  <c r="V480" i="20"/>
  <c r="X480" i="20" s="1"/>
  <c r="AY173" i="20"/>
  <c r="AG173" i="20"/>
  <c r="V173" i="20"/>
  <c r="X173" i="20" s="1"/>
  <c r="AA173" i="20"/>
  <c r="BA173" i="20"/>
  <c r="AI173" i="20"/>
  <c r="AK82" i="20"/>
  <c r="AE82" i="20"/>
  <c r="V82" i="20"/>
  <c r="X82" i="20" s="1"/>
  <c r="U97" i="20"/>
  <c r="AY97" i="20"/>
  <c r="AG97" i="20"/>
  <c r="AK97" i="20"/>
  <c r="AA97" i="20"/>
  <c r="BA97" i="20"/>
  <c r="V121" i="20"/>
  <c r="X121" i="20" s="1"/>
  <c r="AM121" i="20"/>
  <c r="AM140" i="20"/>
  <c r="BA140" i="20"/>
  <c r="AC140" i="20"/>
  <c r="V140" i="20"/>
  <c r="X140" i="20" s="1"/>
  <c r="U140" i="20"/>
  <c r="AY317" i="20"/>
  <c r="AI317" i="20"/>
  <c r="BE277" i="35"/>
  <c r="V309" i="20"/>
  <c r="X309" i="20" s="1"/>
  <c r="AC309" i="20"/>
  <c r="AY309" i="20"/>
  <c r="AE207" i="20"/>
  <c r="U184" i="20"/>
  <c r="AK106" i="20"/>
  <c r="AK610" i="20"/>
  <c r="BE158" i="35"/>
  <c r="AE94" i="20"/>
  <c r="AG180" i="35"/>
  <c r="Z180" i="35"/>
  <c r="AB180" i="35" s="1"/>
  <c r="AQ180" i="35"/>
  <c r="Y180" i="35"/>
  <c r="AO180" i="35"/>
  <c r="AK180" i="35"/>
  <c r="BC192" i="35"/>
  <c r="Y192" i="35"/>
  <c r="AE192" i="35"/>
  <c r="Z192" i="35"/>
  <c r="AB192" i="35" s="1"/>
  <c r="Z404" i="35"/>
  <c r="AQ404" i="35" s="1"/>
  <c r="Y404" i="35"/>
  <c r="AC88" i="20"/>
  <c r="AG88" i="20"/>
  <c r="AI88" i="20"/>
  <c r="AM88" i="20"/>
  <c r="AC314" i="20"/>
  <c r="AI314" i="20"/>
  <c r="AY184" i="20"/>
  <c r="AG140" i="20"/>
  <c r="AK57" i="35"/>
  <c r="AQ57" i="35"/>
  <c r="Y57" i="35"/>
  <c r="AQ472" i="35"/>
  <c r="BC262" i="35"/>
  <c r="BC451" i="35"/>
  <c r="AM376" i="20"/>
  <c r="AA88" i="20"/>
  <c r="AQ216" i="35"/>
  <c r="AQ84" i="40"/>
  <c r="AK102" i="35"/>
  <c r="Y102" i="35"/>
  <c r="BC102" i="35"/>
  <c r="AI102" i="35"/>
  <c r="Z102" i="35"/>
  <c r="AB102" i="35" s="1"/>
  <c r="AO102" i="35"/>
  <c r="AQ102" i="35"/>
  <c r="AI250" i="35"/>
  <c r="Z250" i="35"/>
  <c r="AB250" i="35" s="1"/>
  <c r="AO250" i="35"/>
  <c r="AK250" i="35"/>
  <c r="AE250" i="35"/>
  <c r="AG250" i="35"/>
  <c r="AQ250" i="35"/>
  <c r="AQ496" i="35"/>
  <c r="AM496" i="35"/>
  <c r="BC496" i="35"/>
  <c r="AE496" i="35"/>
  <c r="AE97" i="20"/>
  <c r="AK114" i="35"/>
  <c r="AK393" i="35"/>
  <c r="Z216" i="35"/>
  <c r="AB216" i="35" s="1"/>
  <c r="BE22" i="35"/>
  <c r="BE324" i="35"/>
  <c r="BE162" i="35"/>
  <c r="BE274" i="35"/>
  <c r="BE363" i="35"/>
  <c r="BE245" i="35"/>
  <c r="BE291" i="35"/>
  <c r="BE87" i="35"/>
  <c r="BE139" i="35"/>
  <c r="BE261" i="35"/>
  <c r="BE194" i="35"/>
  <c r="BE253" i="35"/>
  <c r="BE481" i="35"/>
  <c r="BE391" i="35"/>
  <c r="BE276" i="35"/>
  <c r="BE338" i="35"/>
  <c r="BE465" i="35"/>
  <c r="BE327" i="35"/>
  <c r="BE257" i="35"/>
  <c r="BE308" i="35"/>
  <c r="BE124" i="35"/>
  <c r="BE428" i="35"/>
  <c r="BE243" i="35"/>
  <c r="BE48" i="35"/>
  <c r="BE295" i="35"/>
  <c r="BE393" i="35"/>
  <c r="BE313" i="35"/>
  <c r="BE239" i="35"/>
  <c r="BE75" i="35"/>
  <c r="BE389" i="35"/>
  <c r="BE279" i="35"/>
  <c r="BE325" i="35"/>
  <c r="BE174" i="35"/>
  <c r="BE181" i="35"/>
  <c r="BE341" i="35"/>
  <c r="AQ90" i="35"/>
  <c r="AE90" i="35"/>
  <c r="BC90" i="35"/>
  <c r="AG90" i="35"/>
  <c r="AK90" i="35"/>
  <c r="AO90" i="35"/>
  <c r="Z90" i="35"/>
  <c r="AB90" i="35" s="1"/>
  <c r="Y90" i="35"/>
  <c r="AM90" i="35"/>
  <c r="BC126" i="35"/>
  <c r="AG126" i="35"/>
  <c r="AO126" i="35"/>
  <c r="AE126" i="35"/>
  <c r="AE228" i="35"/>
  <c r="AO228" i="35"/>
  <c r="AK228" i="35"/>
  <c r="AQ228" i="35"/>
  <c r="Z228" i="35"/>
  <c r="AB228" i="35" s="1"/>
  <c r="Z320" i="35"/>
  <c r="AB320" i="35" s="1"/>
  <c r="AQ320" i="35"/>
  <c r="AE320" i="35"/>
  <c r="AI320" i="35"/>
  <c r="AK484" i="35"/>
  <c r="AE484" i="35"/>
  <c r="AE252" i="20"/>
  <c r="AG252" i="20"/>
  <c r="U252" i="20"/>
  <c r="AC252" i="20"/>
  <c r="AG621" i="20"/>
  <c r="AA621" i="20"/>
  <c r="BA621" i="20"/>
  <c r="AA335" i="20"/>
  <c r="AG335" i="20"/>
  <c r="AE335" i="20"/>
  <c r="AA112" i="20"/>
  <c r="U112" i="20"/>
  <c r="AO112" i="20"/>
  <c r="AE112" i="20"/>
  <c r="BA124" i="20"/>
  <c r="AI124" i="20"/>
  <c r="AY124" i="20"/>
  <c r="AG331" i="20"/>
  <c r="AA331" i="20"/>
  <c r="U331" i="20"/>
  <c r="BA331" i="20"/>
  <c r="V369" i="20"/>
  <c r="X369" i="20" s="1"/>
  <c r="AG369" i="20"/>
  <c r="AE369" i="20"/>
  <c r="AK607" i="20"/>
  <c r="AE607" i="20"/>
  <c r="BA607" i="20"/>
  <c r="AY607" i="20"/>
  <c r="AM607" i="20"/>
  <c r="V607" i="20"/>
  <c r="X607" i="20" s="1"/>
  <c r="AI595" i="20"/>
  <c r="AC595" i="20"/>
  <c r="AM595" i="20"/>
  <c r="AK574" i="20"/>
  <c r="AG574" i="20"/>
  <c r="V574" i="20"/>
  <c r="X574" i="20" s="1"/>
  <c r="AY574" i="20"/>
  <c r="BA574" i="20"/>
  <c r="N410" i="20"/>
  <c r="M410" i="20"/>
  <c r="Y250" i="35"/>
  <c r="V378" i="20"/>
  <c r="X378" i="20" s="1"/>
  <c r="U369" i="20"/>
  <c r="AQ462" i="35"/>
  <c r="AK216" i="35"/>
  <c r="Y45" i="35"/>
  <c r="AK45" i="35"/>
  <c r="BC45" i="35"/>
  <c r="Z91" i="35"/>
  <c r="AB91" i="35" s="1"/>
  <c r="AQ91" i="35"/>
  <c r="BC137" i="35"/>
  <c r="AM137" i="35"/>
  <c r="AG137" i="35"/>
  <c r="AE205" i="35"/>
  <c r="AQ205" i="35"/>
  <c r="AA369" i="20"/>
  <c r="BC462" i="35"/>
  <c r="BE119" i="35"/>
  <c r="AY127" i="20"/>
  <c r="BA325" i="20"/>
  <c r="AE521" i="35"/>
  <c r="AI228" i="35"/>
  <c r="BC393" i="35"/>
  <c r="Y405" i="35"/>
  <c r="BE317" i="35"/>
  <c r="BE213" i="35"/>
  <c r="AO240" i="35"/>
  <c r="Y440" i="35"/>
  <c r="BE240" i="35"/>
  <c r="AO574" i="20"/>
  <c r="BA88" i="20"/>
  <c r="AO103" i="35"/>
  <c r="AA384" i="20"/>
  <c r="AG133" i="20"/>
  <c r="AM80" i="35"/>
  <c r="AK80" i="35"/>
  <c r="AQ80" i="35"/>
  <c r="BC80" i="35"/>
  <c r="Y286" i="35"/>
  <c r="AK286" i="35"/>
  <c r="AG286" i="35"/>
  <c r="AI286" i="35"/>
  <c r="AM286" i="35"/>
  <c r="AQ286" i="35"/>
  <c r="AO286" i="35"/>
  <c r="AG296" i="35"/>
  <c r="AM296" i="35"/>
  <c r="AO296" i="35"/>
  <c r="AK296" i="35"/>
  <c r="AQ296" i="35"/>
  <c r="AM332" i="35"/>
  <c r="AO332" i="35"/>
  <c r="AE392" i="35"/>
  <c r="BC392" i="35"/>
  <c r="AG392" i="35"/>
  <c r="AQ428" i="35"/>
  <c r="AG428" i="35"/>
  <c r="AM428" i="35"/>
  <c r="AO428" i="35"/>
  <c r="BC428" i="35"/>
  <c r="AW428" i="35"/>
  <c r="AE428" i="35"/>
  <c r="AQ30" i="40"/>
  <c r="AL30" i="40"/>
  <c r="AL31" i="40" s="1"/>
  <c r="AL32" i="40" s="1"/>
  <c r="AL33" i="40" s="1"/>
  <c r="AL34" i="40" s="1"/>
  <c r="AL35" i="40" s="1"/>
  <c r="AL36" i="40" s="1"/>
  <c r="AL37" i="40" s="1"/>
  <c r="AL38" i="40" s="1"/>
  <c r="AL39" i="40" s="1"/>
  <c r="AL40" i="40" s="1"/>
  <c r="AL41" i="40" s="1"/>
  <c r="AL42" i="40" s="1"/>
  <c r="AL43" i="40" s="1"/>
  <c r="AL44" i="40" s="1"/>
  <c r="AL45" i="40" s="1"/>
  <c r="AL46" i="40" s="1"/>
  <c r="AL47" i="40" s="1"/>
  <c r="AL48" i="40" s="1"/>
  <c r="AL49" i="40" s="1"/>
  <c r="AL50" i="40" s="1"/>
  <c r="AL51" i="40" s="1"/>
  <c r="AL52" i="40" s="1"/>
  <c r="AL53" i="40" s="1"/>
  <c r="AL54" i="40" s="1"/>
  <c r="AL55" i="40" s="1"/>
  <c r="AL56" i="40" s="1"/>
  <c r="AL57" i="40" s="1"/>
  <c r="AL58" i="40" s="1"/>
  <c r="AL59" i="40" s="1"/>
  <c r="AL60" i="40" s="1"/>
  <c r="AL61" i="40" s="1"/>
  <c r="AL62" i="40" s="1"/>
  <c r="AL63" i="40" s="1"/>
  <c r="AL64" i="40" s="1"/>
  <c r="AL65" i="40" s="1"/>
  <c r="AL66" i="40" s="1"/>
  <c r="AL67" i="40" s="1"/>
  <c r="AL68" i="40" s="1"/>
  <c r="AL69" i="40" s="1"/>
  <c r="AL70" i="40" s="1"/>
  <c r="AL71" i="40" s="1"/>
  <c r="AL72" i="40" s="1"/>
  <c r="AL73" i="40" s="1"/>
  <c r="AL74" i="40" s="1"/>
  <c r="AL75" i="40" s="1"/>
  <c r="AL76" i="40" s="1"/>
  <c r="AL77" i="40" s="1"/>
  <c r="AL78" i="40" s="1"/>
  <c r="AL79" i="40" s="1"/>
  <c r="AL80" i="40" s="1"/>
  <c r="AL81" i="40" s="1"/>
  <c r="AL82" i="40" s="1"/>
  <c r="AL83" i="40" s="1"/>
  <c r="AL84" i="40" s="1"/>
  <c r="AL85" i="40" s="1"/>
  <c r="AL86" i="40" s="1"/>
  <c r="AL87" i="40" s="1"/>
  <c r="AL88" i="40" s="1"/>
  <c r="AL89" i="40" s="1"/>
  <c r="AL90" i="40" s="1"/>
  <c r="AL91" i="40" s="1"/>
  <c r="AL92" i="40" s="1"/>
  <c r="AL93" i="40" s="1"/>
  <c r="AL94" i="40" s="1"/>
  <c r="AL95" i="40" s="1"/>
  <c r="AL96" i="40" s="1"/>
  <c r="AL97" i="40" s="1"/>
  <c r="AL98" i="40" s="1"/>
  <c r="AL99" i="40" s="1"/>
  <c r="AL100" i="40" s="1"/>
  <c r="AL101" i="40" s="1"/>
  <c r="AL102" i="40" s="1"/>
  <c r="AL103" i="40" s="1"/>
  <c r="AL104" i="40" s="1"/>
  <c r="AL105" i="40" s="1"/>
  <c r="AL106" i="40" s="1"/>
  <c r="AL107" i="40" s="1"/>
  <c r="AL108" i="40" s="1"/>
  <c r="AL109" i="40" s="1"/>
  <c r="AL110" i="40" s="1"/>
  <c r="AL111" i="40" s="1"/>
  <c r="AL112" i="40" s="1"/>
  <c r="AL113" i="40" s="1"/>
  <c r="BE192" i="35"/>
  <c r="AK246" i="20"/>
  <c r="BA246" i="20"/>
  <c r="U246" i="20"/>
  <c r="AM246" i="20"/>
  <c r="AK34" i="20"/>
  <c r="AC34" i="20"/>
  <c r="AA68" i="20"/>
  <c r="AI68" i="20"/>
  <c r="AY190" i="20"/>
  <c r="V190" i="20"/>
  <c r="X190" i="20" s="1"/>
  <c r="AI190" i="20"/>
  <c r="BA190" i="20"/>
  <c r="BA511" i="20"/>
  <c r="AY511" i="20"/>
  <c r="U511" i="20"/>
  <c r="AM511" i="20"/>
  <c r="AY639" i="20"/>
  <c r="V639" i="20"/>
  <c r="X639" i="20" s="1"/>
  <c r="AK639" i="20"/>
  <c r="AY278" i="20"/>
  <c r="AM278" i="20"/>
  <c r="AE278" i="20"/>
  <c r="AY73" i="20"/>
  <c r="AM73" i="20"/>
  <c r="V73" i="20"/>
  <c r="X73" i="20" s="1"/>
  <c r="U73" i="20"/>
  <c r="AG73" i="20"/>
  <c r="AI73" i="20"/>
  <c r="BA106" i="20"/>
  <c r="U106" i="20"/>
  <c r="AM130" i="20"/>
  <c r="AK130" i="20"/>
  <c r="AC405" i="20"/>
  <c r="BA405" i="20"/>
  <c r="V442" i="20"/>
  <c r="X442" i="20" s="1"/>
  <c r="AC442" i="20"/>
  <c r="V636" i="20"/>
  <c r="X636" i="20" s="1"/>
  <c r="BA636" i="20"/>
  <c r="AK636" i="20"/>
  <c r="AI636" i="20"/>
  <c r="U636" i="20"/>
  <c r="AM114" i="35"/>
  <c r="AE190" i="20"/>
  <c r="AI262" i="35"/>
  <c r="AK508" i="35"/>
  <c r="AO192" i="35"/>
  <c r="AA306" i="20"/>
  <c r="AI306" i="20"/>
  <c r="BE339" i="35"/>
  <c r="AM85" i="20"/>
  <c r="V112" i="20"/>
  <c r="X112" i="20" s="1"/>
  <c r="V335" i="20"/>
  <c r="X335" i="20" s="1"/>
  <c r="Y115" i="35"/>
  <c r="AI115" i="35"/>
  <c r="AM115" i="35"/>
  <c r="BC115" i="35"/>
  <c r="Z193" i="35"/>
  <c r="AB193" i="35" s="1"/>
  <c r="AG193" i="35"/>
  <c r="AG217" i="35"/>
  <c r="AE217" i="35"/>
  <c r="Y268" i="35"/>
  <c r="AE268" i="35"/>
  <c r="V97" i="20"/>
  <c r="X97" i="20" s="1"/>
  <c r="BE410" i="35"/>
  <c r="AK173" i="20"/>
  <c r="BG4" i="35"/>
  <c r="BG175" i="35" s="1"/>
  <c r="AI451" i="35"/>
  <c r="AM252" i="20"/>
  <c r="Z114" i="35"/>
  <c r="AB114" i="35" s="1"/>
  <c r="BE203" i="35"/>
  <c r="AC97" i="20"/>
  <c r="AI62" i="20"/>
  <c r="AE262" i="35"/>
  <c r="AK240" i="35"/>
  <c r="BE13" i="35"/>
  <c r="AA590" i="20"/>
  <c r="Z296" i="35"/>
  <c r="AB296" i="35" s="1"/>
  <c r="BE300" i="35"/>
  <c r="BE434" i="35"/>
  <c r="AE80" i="35"/>
  <c r="AQ240" i="35"/>
  <c r="AI240" i="35"/>
  <c r="BC204" i="35"/>
  <c r="AI378" i="20"/>
  <c r="BC136" i="35"/>
  <c r="AE49" i="35"/>
  <c r="AO49" i="35"/>
  <c r="AM49" i="35"/>
  <c r="AG95" i="35"/>
  <c r="AI95" i="35"/>
  <c r="AQ95" i="35"/>
  <c r="AK95" i="35"/>
  <c r="BC95" i="35"/>
  <c r="AO95" i="35"/>
  <c r="AO119" i="35"/>
  <c r="AK119" i="35"/>
  <c r="AI131" i="35"/>
  <c r="AO131" i="35"/>
  <c r="Y131" i="35"/>
  <c r="AK131" i="35"/>
  <c r="AE141" i="35"/>
  <c r="BC141" i="35"/>
  <c r="AM141" i="35"/>
  <c r="Y197" i="35"/>
  <c r="AE197" i="35"/>
  <c r="AQ197" i="35"/>
  <c r="AG197" i="35"/>
  <c r="Z245" i="35"/>
  <c r="AB245" i="35" s="1"/>
  <c r="AG245" i="35"/>
  <c r="AM245" i="35"/>
  <c r="Y245" i="35"/>
  <c r="AM397" i="35"/>
  <c r="AK397" i="35"/>
  <c r="AI397" i="35"/>
  <c r="BE421" i="35"/>
  <c r="AK255" i="35"/>
  <c r="AK221" i="35"/>
  <c r="AI313" i="35"/>
  <c r="AE74" i="35"/>
  <c r="AQ386" i="35"/>
  <c r="Y119" i="35"/>
  <c r="AE245" i="35"/>
  <c r="AE131" i="35"/>
  <c r="AI141" i="35"/>
  <c r="Z197" i="35"/>
  <c r="AB197" i="35" s="1"/>
  <c r="AQ112" i="35"/>
  <c r="AK112" i="35"/>
  <c r="Z112" i="35"/>
  <c r="AB112" i="35" s="1"/>
  <c r="AP27" i="39"/>
  <c r="AP28" i="39" s="1"/>
  <c r="AP29" i="39" s="1"/>
  <c r="AP30" i="39" s="1"/>
  <c r="AP31" i="39" s="1"/>
  <c r="AP32" i="39" s="1"/>
  <c r="AP33" i="39" s="1"/>
  <c r="AP34" i="39" s="1"/>
  <c r="AP35" i="39" s="1"/>
  <c r="AP36" i="39" s="1"/>
  <c r="AP37" i="39" s="1"/>
  <c r="AP38" i="39" s="1"/>
  <c r="AP39" i="39" s="1"/>
  <c r="AP40" i="39" s="1"/>
  <c r="AP41" i="39" s="1"/>
  <c r="AP42" i="39" s="1"/>
  <c r="AP43" i="39" s="1"/>
  <c r="AP44" i="39" s="1"/>
  <c r="AP45" i="39" s="1"/>
  <c r="AP46" i="39" s="1"/>
  <c r="AP47" i="39" s="1"/>
  <c r="AP48" i="39" s="1"/>
  <c r="AP49" i="39" s="1"/>
  <c r="AP50" i="39" s="1"/>
  <c r="AP51" i="39" s="1"/>
  <c r="AP52" i="39" s="1"/>
  <c r="AP53" i="39" s="1"/>
  <c r="AP54" i="39" s="1"/>
  <c r="AP55" i="39" s="1"/>
  <c r="AP56" i="39" s="1"/>
  <c r="AP57" i="39" s="1"/>
  <c r="AP58" i="39" s="1"/>
  <c r="AP59" i="39" s="1"/>
  <c r="AP60" i="39" s="1"/>
  <c r="AP61" i="39" s="1"/>
  <c r="AP62" i="39" s="1"/>
  <c r="AP63" i="39" s="1"/>
  <c r="AP64" i="39" s="1"/>
  <c r="AP65" i="39" s="1"/>
  <c r="AP66" i="39" s="1"/>
  <c r="AP67" i="39" s="1"/>
  <c r="AP68" i="39" s="1"/>
  <c r="AP69" i="39" s="1"/>
  <c r="AP70" i="39" s="1"/>
  <c r="AP71" i="39" s="1"/>
  <c r="AP72" i="39" s="1"/>
  <c r="AP73" i="39" s="1"/>
  <c r="AP74" i="39" s="1"/>
  <c r="AP75" i="39" s="1"/>
  <c r="AP76" i="39" s="1"/>
  <c r="AP77" i="39" s="1"/>
  <c r="AP78" i="39" s="1"/>
  <c r="AP79" i="39" s="1"/>
  <c r="AP80" i="39" s="1"/>
  <c r="AP81" i="39" s="1"/>
  <c r="AP82" i="39" s="1"/>
  <c r="AP83" i="39" s="1"/>
  <c r="AP84" i="39" s="1"/>
  <c r="AP85" i="39" s="1"/>
  <c r="AP86" i="39" s="1"/>
  <c r="AP87" i="39" s="1"/>
  <c r="AP88" i="39" s="1"/>
  <c r="AP89" i="39" s="1"/>
  <c r="AP90" i="39" s="1"/>
  <c r="AP91" i="39" s="1"/>
  <c r="AP92" i="39" s="1"/>
  <c r="AP93" i="39" s="1"/>
  <c r="AP94" i="39" s="1"/>
  <c r="AP95" i="39" s="1"/>
  <c r="AP96" i="39" s="1"/>
  <c r="AP97" i="39" s="1"/>
  <c r="AP98" i="39" s="1"/>
  <c r="AP99" i="39" s="1"/>
  <c r="AP100" i="39" s="1"/>
  <c r="AP101" i="39" s="1"/>
  <c r="AP102" i="39" s="1"/>
  <c r="AP103" i="39" s="1"/>
  <c r="AP104" i="39" s="1"/>
  <c r="AP105" i="39" s="1"/>
  <c r="AP106" i="39" s="1"/>
  <c r="AP107" i="39" s="1"/>
  <c r="AP108" i="39" s="1"/>
  <c r="AP109" i="39" s="1"/>
  <c r="AP110" i="39" s="1"/>
  <c r="AP111" i="39" s="1"/>
  <c r="AP112" i="39" s="1"/>
  <c r="AP113" i="39" s="1"/>
  <c r="AQ52" i="40"/>
  <c r="AQ59" i="40"/>
  <c r="AQ69" i="40"/>
  <c r="AQ85" i="40"/>
  <c r="AO221" i="35"/>
  <c r="AO313" i="35"/>
  <c r="BC135" i="35"/>
  <c r="Z239" i="35"/>
  <c r="AB239" i="35" s="1"/>
  <c r="AO12" i="35"/>
  <c r="BC514" i="35"/>
  <c r="BC215" i="35"/>
  <c r="AG141" i="35"/>
  <c r="BC197" i="35"/>
  <c r="AE54" i="35"/>
  <c r="Z456" i="35"/>
  <c r="AB456" i="35" s="1"/>
  <c r="AK28" i="35"/>
  <c r="AM28" i="35"/>
  <c r="AO59" i="35"/>
  <c r="AE59" i="35"/>
  <c r="AQ59" i="35"/>
  <c r="AI59" i="35"/>
  <c r="AM83" i="35"/>
  <c r="Z83" i="35"/>
  <c r="AB83" i="35" s="1"/>
  <c r="BC117" i="35"/>
  <c r="Y117" i="35"/>
  <c r="AI139" i="35"/>
  <c r="AK139" i="35"/>
  <c r="AK173" i="35"/>
  <c r="AE173" i="35"/>
  <c r="AE183" i="35"/>
  <c r="AS183" i="35"/>
  <c r="AQ48" i="40"/>
  <c r="AQ51" i="40"/>
  <c r="AQ75" i="40"/>
  <c r="AI23" i="35"/>
  <c r="Y23" i="35"/>
  <c r="AK23" i="35"/>
  <c r="AM23" i="35"/>
  <c r="AQ23" i="35"/>
  <c r="AO23" i="35"/>
  <c r="AO30" i="35"/>
  <c r="AI30" i="35"/>
  <c r="AE30" i="35"/>
  <c r="Z30" i="35"/>
  <c r="AB30" i="35" s="1"/>
  <c r="Y61" i="35"/>
  <c r="AK61" i="35"/>
  <c r="AQ61" i="35"/>
  <c r="AI61" i="35"/>
  <c r="AQ255" i="35"/>
  <c r="AQ514" i="35"/>
  <c r="Z131" i="35"/>
  <c r="AB131" i="35" s="1"/>
  <c r="AG30" i="35"/>
  <c r="BC386" i="35"/>
  <c r="AG42" i="35"/>
  <c r="AI42" i="35"/>
  <c r="AQ42" i="35"/>
  <c r="AE78" i="35"/>
  <c r="AK78" i="35"/>
  <c r="Y88" i="35"/>
  <c r="Z88" i="35"/>
  <c r="AB88" i="35" s="1"/>
  <c r="AE146" i="35"/>
  <c r="AK146" i="35"/>
  <c r="AI354" i="35"/>
  <c r="Y354" i="35"/>
  <c r="AQ62" i="40"/>
  <c r="AK203" i="35"/>
  <c r="AK478" i="35"/>
  <c r="Y95" i="35"/>
  <c r="AS214" i="35"/>
  <c r="AE279" i="35"/>
  <c r="AE42" i="35"/>
  <c r="AG119" i="35"/>
  <c r="AK30" i="35"/>
  <c r="AO203" i="35"/>
  <c r="Z73" i="35"/>
  <c r="AB73" i="35" s="1"/>
  <c r="AE478" i="35"/>
  <c r="AQ89" i="35"/>
  <c r="AG293" i="20"/>
  <c r="AY260" i="20"/>
  <c r="AL30" i="39"/>
  <c r="AL31" i="39" s="1"/>
  <c r="AL32" i="39" s="1"/>
  <c r="AL33" i="39" s="1"/>
  <c r="AL34" i="39" s="1"/>
  <c r="AL35" i="39" s="1"/>
  <c r="AL36" i="39" s="1"/>
  <c r="AL37" i="39" s="1"/>
  <c r="AL38" i="39" s="1"/>
  <c r="AL39" i="39" s="1"/>
  <c r="AL40" i="39" s="1"/>
  <c r="AL41" i="39" s="1"/>
  <c r="AL42" i="39" s="1"/>
  <c r="AL43" i="39" s="1"/>
  <c r="AL44" i="39" s="1"/>
  <c r="AL45" i="39" s="1"/>
  <c r="AL46" i="39" s="1"/>
  <c r="AL47" i="39" s="1"/>
  <c r="AL48" i="39" s="1"/>
  <c r="AL49" i="39" s="1"/>
  <c r="AL50" i="39" s="1"/>
  <c r="AL51" i="39" s="1"/>
  <c r="AL52" i="39" s="1"/>
  <c r="AL53" i="39" s="1"/>
  <c r="AL54" i="39" s="1"/>
  <c r="AL55" i="39" s="1"/>
  <c r="AL56" i="39" s="1"/>
  <c r="AL57" i="39" s="1"/>
  <c r="AL58" i="39" s="1"/>
  <c r="AL59" i="39" s="1"/>
  <c r="AL60" i="39" s="1"/>
  <c r="AL61" i="39" s="1"/>
  <c r="AL62" i="39" s="1"/>
  <c r="AL63" i="39" s="1"/>
  <c r="AL64" i="39" s="1"/>
  <c r="AL65" i="39" s="1"/>
  <c r="AL66" i="39" s="1"/>
  <c r="AL67" i="39" s="1"/>
  <c r="AL68" i="39" s="1"/>
  <c r="AL69" i="39" s="1"/>
  <c r="AL70" i="39" s="1"/>
  <c r="AL71" i="39" s="1"/>
  <c r="AL72" i="39" s="1"/>
  <c r="AL73" i="39" s="1"/>
  <c r="AL74" i="39" s="1"/>
  <c r="AL75" i="39" s="1"/>
  <c r="AL76" i="39" s="1"/>
  <c r="AL77" i="39" s="1"/>
  <c r="AL78" i="39" s="1"/>
  <c r="AL79" i="39" s="1"/>
  <c r="AL80" i="39" s="1"/>
  <c r="AL81" i="39" s="1"/>
  <c r="AL82" i="39" s="1"/>
  <c r="AL83" i="39" s="1"/>
  <c r="AL84" i="39" s="1"/>
  <c r="AL85" i="39" s="1"/>
  <c r="AL86" i="39" s="1"/>
  <c r="AL87" i="39" s="1"/>
  <c r="AL88" i="39" s="1"/>
  <c r="AL89" i="39" s="1"/>
  <c r="AL90" i="39" s="1"/>
  <c r="AL91" i="39" s="1"/>
  <c r="AL92" i="39" s="1"/>
  <c r="AL93" i="39" s="1"/>
  <c r="AL94" i="39" s="1"/>
  <c r="AL95" i="39" s="1"/>
  <c r="AL96" i="39" s="1"/>
  <c r="AL97" i="39" s="1"/>
  <c r="AL98" i="39" s="1"/>
  <c r="AL99" i="39" s="1"/>
  <c r="AL100" i="39" s="1"/>
  <c r="AL101" i="39" s="1"/>
  <c r="AL102" i="39" s="1"/>
  <c r="AL103" i="39" s="1"/>
  <c r="AL104" i="39" s="1"/>
  <c r="AL105" i="39" s="1"/>
  <c r="AL106" i="39" s="1"/>
  <c r="AL107" i="39" s="1"/>
  <c r="AL108" i="39" s="1"/>
  <c r="AL109" i="39" s="1"/>
  <c r="AL110" i="39" s="1"/>
  <c r="AL111" i="39" s="1"/>
  <c r="AL112" i="39" s="1"/>
  <c r="AL113" i="39" s="1"/>
  <c r="AK279" i="35"/>
  <c r="AG221" i="35"/>
  <c r="BC279" i="35"/>
  <c r="Y221" i="35"/>
  <c r="Z313" i="35"/>
  <c r="AB313" i="35" s="1"/>
  <c r="AO83" i="35"/>
  <c r="AK21" i="35"/>
  <c r="AM135" i="35"/>
  <c r="AE422" i="35"/>
  <c r="BC349" i="35"/>
  <c r="AE88" i="35"/>
  <c r="Y129" i="35"/>
  <c r="AK11" i="35"/>
  <c r="AQ119" i="35"/>
  <c r="BC73" i="35"/>
  <c r="AM61" i="35"/>
  <c r="Z117" i="35"/>
  <c r="AB117" i="35" s="1"/>
  <c r="AK141" i="35"/>
  <c r="AO169" i="35"/>
  <c r="AQ30" i="35"/>
  <c r="AM197" i="35"/>
  <c r="AI311" i="35"/>
  <c r="BC24" i="35"/>
  <c r="Y24" i="35"/>
  <c r="AE434" i="35"/>
  <c r="AO434" i="35"/>
  <c r="AM434" i="35"/>
  <c r="BC434" i="35"/>
  <c r="AG514" i="35"/>
  <c r="AK514" i="35"/>
  <c r="BC313" i="35"/>
  <c r="AE119" i="35"/>
  <c r="AO197" i="35"/>
  <c r="Z43" i="35"/>
  <c r="AB43" i="35" s="1"/>
  <c r="AQ43" i="35"/>
  <c r="BC43" i="35"/>
  <c r="Y391" i="35"/>
  <c r="BC391" i="35"/>
  <c r="AQ71" i="40"/>
  <c r="AI273" i="35"/>
  <c r="AM284" i="35"/>
  <c r="AE178" i="35"/>
  <c r="AE489" i="35"/>
  <c r="AI11" i="35"/>
  <c r="AK391" i="35"/>
  <c r="Z49" i="35"/>
  <c r="AB49" i="35" s="1"/>
  <c r="Y124" i="35"/>
  <c r="Y78" i="35"/>
  <c r="AM59" i="35"/>
  <c r="L25" i="39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54" i="39" s="1"/>
  <c r="L55" i="39" s="1"/>
  <c r="L56" i="39" s="1"/>
  <c r="L57" i="39" s="1"/>
  <c r="L58" i="39" s="1"/>
  <c r="L59" i="39" s="1"/>
  <c r="L60" i="39" s="1"/>
  <c r="L61" i="39" s="1"/>
  <c r="L62" i="39" s="1"/>
  <c r="L63" i="39" s="1"/>
  <c r="L64" i="39" s="1"/>
  <c r="L65" i="39" s="1"/>
  <c r="L66" i="39" s="1"/>
  <c r="L67" i="39" s="1"/>
  <c r="L68" i="39" s="1"/>
  <c r="L69" i="39" s="1"/>
  <c r="L70" i="39" s="1"/>
  <c r="L71" i="39" s="1"/>
  <c r="L72" i="39" s="1"/>
  <c r="L73" i="39" s="1"/>
  <c r="L74" i="39" s="1"/>
  <c r="L75" i="39" s="1"/>
  <c r="L76" i="39" s="1"/>
  <c r="L77" i="39" s="1"/>
  <c r="L78" i="39" s="1"/>
  <c r="L79" i="39" s="1"/>
  <c r="L80" i="39" s="1"/>
  <c r="L81" i="39" s="1"/>
  <c r="L82" i="39" s="1"/>
  <c r="L83" i="39" s="1"/>
  <c r="L84" i="39" s="1"/>
  <c r="L85" i="39" s="1"/>
  <c r="L86" i="39" s="1"/>
  <c r="L87" i="39" s="1"/>
  <c r="L88" i="39" s="1"/>
  <c r="L89" i="39" s="1"/>
  <c r="L90" i="39" s="1"/>
  <c r="L91" i="39" s="1"/>
  <c r="L92" i="39" s="1"/>
  <c r="L93" i="39" s="1"/>
  <c r="L94" i="39" s="1"/>
  <c r="L95" i="39" s="1"/>
  <c r="L96" i="39" s="1"/>
  <c r="L97" i="39" s="1"/>
  <c r="L98" i="39" s="1"/>
  <c r="L99" i="39" s="1"/>
  <c r="L100" i="39" s="1"/>
  <c r="L101" i="39" s="1"/>
  <c r="L102" i="39" s="1"/>
  <c r="L103" i="39" s="1"/>
  <c r="L104" i="39" s="1"/>
  <c r="L105" i="39" s="1"/>
  <c r="L106" i="39" s="1"/>
  <c r="L107" i="39" s="1"/>
  <c r="L108" i="39" s="1"/>
  <c r="L109" i="39" s="1"/>
  <c r="L110" i="39" s="1"/>
  <c r="L111" i="39" s="1"/>
  <c r="L112" i="39" s="1"/>
  <c r="L113" i="39" s="1"/>
  <c r="AK43" i="35"/>
  <c r="AQ7" i="35"/>
  <c r="AM7" i="35"/>
  <c r="AQ108" i="35"/>
  <c r="AM108" i="35"/>
  <c r="Z142" i="35"/>
  <c r="AB142" i="35" s="1"/>
  <c r="BC142" i="35"/>
  <c r="AM186" i="35"/>
  <c r="BC186" i="35"/>
  <c r="AM314" i="35"/>
  <c r="AI314" i="35"/>
  <c r="AG422" i="35"/>
  <c r="AO422" i="35"/>
  <c r="Y422" i="35"/>
  <c r="AK422" i="35"/>
  <c r="AI501" i="35"/>
  <c r="Y154" i="35"/>
  <c r="AG73" i="35"/>
  <c r="AE255" i="35"/>
  <c r="AQ279" i="35"/>
  <c r="Z314" i="35"/>
  <c r="AB314" i="35" s="1"/>
  <c r="AE349" i="35"/>
  <c r="AG23" i="35"/>
  <c r="L2" i="35"/>
  <c r="N2" i="35"/>
  <c r="AG12" i="35"/>
  <c r="AK12" i="35"/>
  <c r="AQ12" i="35"/>
  <c r="BC12" i="35"/>
  <c r="AE12" i="35"/>
  <c r="AG31" i="35"/>
  <c r="Y31" i="35"/>
  <c r="AK31" i="35"/>
  <c r="Y67" i="35"/>
  <c r="AK67" i="35"/>
  <c r="AM67" i="35"/>
  <c r="AI67" i="35"/>
  <c r="BC67" i="35"/>
  <c r="Z79" i="35"/>
  <c r="AB79" i="35" s="1"/>
  <c r="AO79" i="35"/>
  <c r="AQ79" i="35"/>
  <c r="BC261" i="35"/>
  <c r="Y261" i="35"/>
  <c r="AQ295" i="35"/>
  <c r="AO295" i="35"/>
  <c r="AI415" i="35"/>
  <c r="Z415" i="35"/>
  <c r="AB415" i="35" s="1"/>
  <c r="Y434" i="35"/>
  <c r="AK73" i="35"/>
  <c r="AO255" i="35"/>
  <c r="AI31" i="35"/>
  <c r="AK367" i="35"/>
  <c r="AG178" i="35"/>
  <c r="AM221" i="35"/>
  <c r="AM279" i="35"/>
  <c r="BC30" i="35"/>
  <c r="AQ349" i="35"/>
  <c r="AO88" i="35"/>
  <c r="AQ397" i="35"/>
  <c r="BC113" i="35"/>
  <c r="Y226" i="35"/>
  <c r="AO154" i="35"/>
  <c r="AC45" i="20"/>
  <c r="BA293" i="20"/>
  <c r="AM260" i="20"/>
  <c r="Z31" i="35"/>
  <c r="AB31" i="35" s="1"/>
  <c r="AO279" i="35"/>
  <c r="BC178" i="35"/>
  <c r="Z501" i="35"/>
  <c r="AB501" i="35" s="1"/>
  <c r="AM349" i="35"/>
  <c r="AB397" i="35"/>
  <c r="AK107" i="35"/>
  <c r="Y11" i="35"/>
  <c r="AO186" i="35"/>
  <c r="AI28" i="35"/>
  <c r="AM411" i="20"/>
  <c r="BA423" i="20"/>
  <c r="AE391" i="35"/>
  <c r="AG49" i="35"/>
  <c r="AQ124" i="35"/>
  <c r="BC78" i="35"/>
  <c r="AG183" i="35"/>
  <c r="AK59" i="35"/>
  <c r="AG67" i="35"/>
  <c r="AG43" i="35"/>
  <c r="AE415" i="35"/>
  <c r="AE120" i="35"/>
  <c r="AQ120" i="35"/>
  <c r="AE468" i="35"/>
  <c r="AM468" i="35"/>
  <c r="AM421" i="35"/>
  <c r="AI7" i="35"/>
  <c r="AE226" i="35"/>
  <c r="AO261" i="35"/>
  <c r="AK434" i="35"/>
  <c r="AI178" i="35"/>
  <c r="AE313" i="35"/>
  <c r="AE514" i="35"/>
  <c r="AE397" i="35"/>
  <c r="AO42" i="35"/>
  <c r="AM11" i="35"/>
  <c r="AK186" i="35"/>
  <c r="AO209" i="35"/>
  <c r="AK42" i="35"/>
  <c r="AI49" i="35"/>
  <c r="AO141" i="35"/>
  <c r="BC31" i="35"/>
  <c r="AE67" i="35"/>
  <c r="AM43" i="35"/>
  <c r="AA187" i="20"/>
  <c r="U187" i="20"/>
  <c r="AA296" i="20"/>
  <c r="AY296" i="20"/>
  <c r="AG296" i="20"/>
  <c r="U363" i="20"/>
  <c r="AG363" i="20"/>
  <c r="AM351" i="20"/>
  <c r="U351" i="20"/>
  <c r="U391" i="20"/>
  <c r="AY391" i="20"/>
  <c r="AK391" i="20"/>
  <c r="AK600" i="20"/>
  <c r="AG600" i="20"/>
  <c r="AM600" i="20"/>
  <c r="BA579" i="20"/>
  <c r="AG579" i="20"/>
  <c r="Y403" i="35"/>
  <c r="U194" i="20"/>
  <c r="AG267" i="20"/>
  <c r="AG8" i="20"/>
  <c r="U292" i="20"/>
  <c r="V547" i="20"/>
  <c r="AK547" i="20" s="1"/>
  <c r="AM8" i="20"/>
  <c r="AI155" i="20"/>
  <c r="AY155" i="20"/>
  <c r="AC155" i="20"/>
  <c r="U155" i="20"/>
  <c r="AG12" i="20"/>
  <c r="AK12" i="20"/>
  <c r="AC12" i="20"/>
  <c r="BA12" i="20"/>
  <c r="U12" i="20"/>
  <c r="AE16" i="20"/>
  <c r="BA16" i="20"/>
  <c r="AA19" i="20"/>
  <c r="V19" i="20"/>
  <c r="X19" i="20" s="1"/>
  <c r="AY19" i="20"/>
  <c r="U19" i="20"/>
  <c r="AA398" i="20"/>
  <c r="AI398" i="20"/>
  <c r="AY398" i="20"/>
  <c r="U398" i="20"/>
  <c r="AE398" i="20"/>
  <c r="V401" i="20"/>
  <c r="X401" i="20" s="1"/>
  <c r="AY401" i="20"/>
  <c r="AI430" i="20"/>
  <c r="BA430" i="20"/>
  <c r="AK430" i="20"/>
  <c r="V430" i="20"/>
  <c r="X430" i="20" s="1"/>
  <c r="U460" i="20"/>
  <c r="AI460" i="20"/>
  <c r="AA460" i="20"/>
  <c r="AE463" i="20"/>
  <c r="AM463" i="20"/>
  <c r="U463" i="20"/>
  <c r="AG463" i="20"/>
  <c r="AY463" i="20"/>
  <c r="AC463" i="20"/>
  <c r="AM466" i="20"/>
  <c r="AA466" i="20"/>
  <c r="AI466" i="20"/>
  <c r="AC466" i="20"/>
  <c r="AE469" i="20"/>
  <c r="AA469" i="20"/>
  <c r="AK472" i="20"/>
  <c r="AC472" i="20"/>
  <c r="AI472" i="20"/>
  <c r="AA478" i="20"/>
  <c r="AI478" i="20"/>
  <c r="BA478" i="20"/>
  <c r="AY483" i="20"/>
  <c r="AC483" i="20"/>
  <c r="AA483" i="20"/>
  <c r="AM483" i="20"/>
  <c r="AI483" i="20"/>
  <c r="AI489" i="20"/>
  <c r="AC489" i="20"/>
  <c r="AK492" i="20"/>
  <c r="AG492" i="20"/>
  <c r="AE492" i="20"/>
  <c r="U492" i="20"/>
  <c r="AI492" i="20"/>
  <c r="AM492" i="20"/>
  <c r="AA492" i="20"/>
  <c r="AI495" i="20"/>
  <c r="AC495" i="20"/>
  <c r="AA498" i="20"/>
  <c r="AI498" i="20"/>
  <c r="U498" i="20"/>
  <c r="U507" i="20"/>
  <c r="AC507" i="20"/>
  <c r="AG507" i="20"/>
  <c r="AM507" i="20"/>
  <c r="BA507" i="20"/>
  <c r="AI645" i="20"/>
  <c r="AK645" i="20"/>
  <c r="U645" i="20"/>
  <c r="AG645" i="20"/>
  <c r="AA645" i="20"/>
  <c r="AI515" i="20"/>
  <c r="V515" i="20"/>
  <c r="X515" i="20" s="1"/>
  <c r="AC515" i="20"/>
  <c r="AY515" i="20"/>
  <c r="AA515" i="20"/>
  <c r="AK515" i="20"/>
  <c r="AG515" i="20"/>
  <c r="AK527" i="20"/>
  <c r="AI527" i="20"/>
  <c r="BS527" i="20"/>
  <c r="V559" i="20"/>
  <c r="BA559" i="20" s="1"/>
  <c r="U559" i="20"/>
  <c r="V562" i="20"/>
  <c r="BA562" i="20" s="1"/>
  <c r="U562" i="20"/>
  <c r="U565" i="20"/>
  <c r="V565" i="20"/>
  <c r="AK565" i="20" s="1"/>
  <c r="V581" i="20"/>
  <c r="X581" i="20" s="1"/>
  <c r="AA581" i="20"/>
  <c r="AM587" i="20"/>
  <c r="AC587" i="20"/>
  <c r="AI587" i="20"/>
  <c r="V587" i="20"/>
  <c r="X587" i="20" s="1"/>
  <c r="AI613" i="20"/>
  <c r="U613" i="20"/>
  <c r="AY613" i="20"/>
  <c r="AC613" i="20"/>
  <c r="AA624" i="20"/>
  <c r="U624" i="20"/>
  <c r="AI624" i="20"/>
  <c r="AC624" i="20"/>
  <c r="AE642" i="20"/>
  <c r="AC642" i="20"/>
  <c r="U642" i="20"/>
  <c r="V642" i="20"/>
  <c r="X642" i="20" s="1"/>
  <c r="AI642" i="20"/>
  <c r="AM642" i="20"/>
  <c r="AE648" i="20"/>
  <c r="AK648" i="20"/>
  <c r="AC648" i="20"/>
  <c r="U648" i="20"/>
  <c r="AM648" i="20"/>
  <c r="AG648" i="20"/>
  <c r="AY648" i="20"/>
  <c r="AK57" i="20"/>
  <c r="AY57" i="20"/>
  <c r="AI60" i="20"/>
  <c r="AY60" i="20"/>
  <c r="AG60" i="20"/>
  <c r="U60" i="20"/>
  <c r="AA534" i="20"/>
  <c r="AI534" i="20"/>
  <c r="V534" i="20"/>
  <c r="X534" i="20" s="1"/>
  <c r="AC534" i="20"/>
  <c r="AG537" i="20"/>
  <c r="V537" i="20"/>
  <c r="X537" i="20" s="1"/>
  <c r="AK537" i="20"/>
  <c r="AC537" i="20"/>
  <c r="U537" i="20"/>
  <c r="AA537" i="20"/>
  <c r="U540" i="20"/>
  <c r="AI540" i="20"/>
  <c r="AY540" i="20"/>
  <c r="AC540" i="20"/>
  <c r="AG543" i="20"/>
  <c r="AC543" i="20"/>
  <c r="U543" i="20"/>
  <c r="AI543" i="20"/>
  <c r="AA543" i="20"/>
  <c r="AY543" i="20"/>
  <c r="AM543" i="20"/>
  <c r="AE543" i="20"/>
  <c r="AE546" i="20"/>
  <c r="AI546" i="20"/>
  <c r="AI12" i="20"/>
  <c r="U256" i="20"/>
  <c r="V256" i="20"/>
  <c r="X256" i="20" s="1"/>
  <c r="AG256" i="20"/>
  <c r="BA166" i="20"/>
  <c r="AY166" i="20"/>
  <c r="V36" i="20"/>
  <c r="X36" i="20" s="1"/>
  <c r="BA36" i="20"/>
  <c r="V42" i="20"/>
  <c r="X42" i="20" s="1"/>
  <c r="AE42" i="20"/>
  <c r="AI47" i="20"/>
  <c r="AC47" i="20"/>
  <c r="U346" i="20"/>
  <c r="AG346" i="20"/>
  <c r="AM346" i="20"/>
  <c r="AA359" i="20"/>
  <c r="AE359" i="20"/>
  <c r="V359" i="20"/>
  <c r="X359" i="20" s="1"/>
  <c r="AY359" i="20"/>
  <c r="AG359" i="20"/>
  <c r="AC359" i="20"/>
  <c r="U359" i="20"/>
  <c r="AM359" i="20"/>
  <c r="AG362" i="20"/>
  <c r="V362" i="20"/>
  <c r="X362" i="20" s="1"/>
  <c r="AA362" i="20"/>
  <c r="AC350" i="20"/>
  <c r="V350" i="20"/>
  <c r="X350" i="20" s="1"/>
  <c r="AK350" i="20"/>
  <c r="AI350" i="20"/>
  <c r="AG350" i="20"/>
  <c r="AY350" i="20"/>
  <c r="V353" i="20"/>
  <c r="X353" i="20" s="1"/>
  <c r="AC353" i="20"/>
  <c r="U353" i="20"/>
  <c r="AY353" i="20"/>
  <c r="AC387" i="20"/>
  <c r="U387" i="20"/>
  <c r="AY387" i="20"/>
  <c r="AA387" i="20"/>
  <c r="AE387" i="20"/>
  <c r="AE390" i="20"/>
  <c r="AG390" i="20"/>
  <c r="V390" i="20"/>
  <c r="X390" i="20" s="1"/>
  <c r="AK390" i="20"/>
  <c r="AC390" i="20"/>
  <c r="AI390" i="20"/>
  <c r="AM390" i="20"/>
  <c r="AA390" i="20"/>
  <c r="AG404" i="20"/>
  <c r="AE404" i="20"/>
  <c r="AY404" i="20"/>
  <c r="AK404" i="20"/>
  <c r="AA404" i="20"/>
  <c r="AI410" i="20"/>
  <c r="AY410" i="20"/>
  <c r="AE413" i="20"/>
  <c r="AA413" i="20"/>
  <c r="AA416" i="20"/>
  <c r="AI416" i="20"/>
  <c r="V416" i="20"/>
  <c r="X416" i="20" s="1"/>
  <c r="AE416" i="20"/>
  <c r="AY419" i="20"/>
  <c r="V419" i="20"/>
  <c r="X419" i="20" s="1"/>
  <c r="U419" i="20"/>
  <c r="AC419" i="20"/>
  <c r="AK419" i="20"/>
  <c r="AM419" i="20"/>
  <c r="U422" i="20"/>
  <c r="AC422" i="20"/>
  <c r="AG449" i="20"/>
  <c r="AK449" i="20"/>
  <c r="AC449" i="20"/>
  <c r="AI449" i="20"/>
  <c r="U452" i="20"/>
  <c r="AI452" i="20"/>
  <c r="AY452" i="20"/>
  <c r="AK452" i="20"/>
  <c r="R10" i="23"/>
  <c r="W10" i="23" s="1"/>
  <c r="Y10" i="23" s="1"/>
  <c r="AG635" i="20"/>
  <c r="AM635" i="20"/>
  <c r="AK635" i="20"/>
  <c r="U635" i="20"/>
  <c r="AA608" i="20"/>
  <c r="AK608" i="20"/>
  <c r="AE596" i="20"/>
  <c r="AM596" i="20"/>
  <c r="AA596" i="20"/>
  <c r="AG596" i="20"/>
  <c r="AI596" i="20"/>
  <c r="AY596" i="20"/>
  <c r="AG575" i="20"/>
  <c r="U575" i="20"/>
  <c r="AK575" i="20"/>
  <c r="AE575" i="20"/>
  <c r="V194" i="20"/>
  <c r="X194" i="20" s="1"/>
  <c r="AK262" i="20"/>
  <c r="AK495" i="20"/>
  <c r="U553" i="20"/>
  <c r="AY390" i="20"/>
  <c r="V60" i="20"/>
  <c r="X60" i="20" s="1"/>
  <c r="AS527" i="20"/>
  <c r="AY537" i="20"/>
  <c r="V648" i="20"/>
  <c r="X648" i="20" s="1"/>
  <c r="AY624" i="20"/>
  <c r="AI469" i="20"/>
  <c r="AM452" i="20"/>
  <c r="AE419" i="20"/>
  <c r="AE430" i="20"/>
  <c r="V155" i="20"/>
  <c r="X155" i="20" s="1"/>
  <c r="V504" i="20"/>
  <c r="X504" i="20" s="1"/>
  <c r="BE176" i="35"/>
  <c r="BE316" i="35"/>
  <c r="BE424" i="35"/>
  <c r="AK183" i="20"/>
  <c r="V183" i="20"/>
  <c r="X183" i="20" s="1"/>
  <c r="U64" i="20"/>
  <c r="AI64" i="20"/>
  <c r="V638" i="20"/>
  <c r="X638" i="20" s="1"/>
  <c r="AA638" i="20"/>
  <c r="AC277" i="20"/>
  <c r="V277" i="20"/>
  <c r="X277" i="20" s="1"/>
  <c r="AM277" i="20"/>
  <c r="AA277" i="20"/>
  <c r="AM169" i="20"/>
  <c r="AG169" i="20"/>
  <c r="U99" i="20"/>
  <c r="AK99" i="20"/>
  <c r="V102" i="20"/>
  <c r="X102" i="20" s="1"/>
  <c r="U102" i="20"/>
  <c r="AC102" i="20"/>
  <c r="AK105" i="20"/>
  <c r="V105" i="20"/>
  <c r="X105" i="20" s="1"/>
  <c r="AE105" i="20"/>
  <c r="AC123" i="20"/>
  <c r="AY123" i="20"/>
  <c r="AG135" i="20"/>
  <c r="AC135" i="20"/>
  <c r="AA383" i="20"/>
  <c r="AC383" i="20"/>
  <c r="U383" i="20"/>
  <c r="AK383" i="20"/>
  <c r="AA215" i="20"/>
  <c r="AY215" i="20"/>
  <c r="AM218" i="20"/>
  <c r="AA218" i="20"/>
  <c r="AI218" i="20"/>
  <c r="AI203" i="20"/>
  <c r="U203" i="20"/>
  <c r="AC203" i="20"/>
  <c r="AE319" i="20"/>
  <c r="U319" i="20"/>
  <c r="AM371" i="20"/>
  <c r="AE371" i="20"/>
  <c r="AE324" i="20"/>
  <c r="AM324" i="20"/>
  <c r="AA330" i="20"/>
  <c r="U330" i="20"/>
  <c r="AG365" i="20"/>
  <c r="AY365" i="20"/>
  <c r="AI365" i="20"/>
  <c r="AK368" i="20"/>
  <c r="AG368" i="20"/>
  <c r="AG375" i="20"/>
  <c r="AE375" i="20"/>
  <c r="AM441" i="20"/>
  <c r="AE441" i="20"/>
  <c r="AA441" i="20"/>
  <c r="AC441" i="20"/>
  <c r="AY441" i="20"/>
  <c r="AK444" i="20"/>
  <c r="AA444" i="20"/>
  <c r="AI444" i="20"/>
  <c r="AG444" i="20"/>
  <c r="U444" i="20"/>
  <c r="AC591" i="20"/>
  <c r="AM591" i="20"/>
  <c r="AM340" i="20"/>
  <c r="V340" i="20"/>
  <c r="X340" i="20" s="1"/>
  <c r="AA340" i="20"/>
  <c r="AG340" i="20"/>
  <c r="AI340" i="20"/>
  <c r="AA49" i="20"/>
  <c r="V49" i="20"/>
  <c r="X49" i="20" s="1"/>
  <c r="AK49" i="20"/>
  <c r="AI49" i="20"/>
  <c r="V222" i="20"/>
  <c r="X222" i="20" s="1"/>
  <c r="AI222" i="20"/>
  <c r="V225" i="20"/>
  <c r="X225" i="20" s="1"/>
  <c r="AE225" i="20"/>
  <c r="AE50" i="20"/>
  <c r="U50" i="20"/>
  <c r="AM50" i="20"/>
  <c r="AK21" i="20"/>
  <c r="BA21" i="20"/>
  <c r="AA21" i="20"/>
  <c r="AM24" i="20"/>
  <c r="AC24" i="20"/>
  <c r="AG24" i="20"/>
  <c r="AK24" i="20"/>
  <c r="AI24" i="20"/>
  <c r="AG139" i="20"/>
  <c r="V139" i="20"/>
  <c r="X139" i="20" s="1"/>
  <c r="AG349" i="20"/>
  <c r="AE349" i="20"/>
  <c r="AK349" i="20"/>
  <c r="AK236" i="20"/>
  <c r="AI236" i="20"/>
  <c r="AM236" i="20"/>
  <c r="AE236" i="20"/>
  <c r="AM239" i="20"/>
  <c r="V239" i="20"/>
  <c r="X239" i="20" s="1"/>
  <c r="AK239" i="20"/>
  <c r="AC239" i="20"/>
  <c r="AM280" i="20"/>
  <c r="AA280" i="20"/>
  <c r="AE280" i="20"/>
  <c r="AK280" i="20"/>
  <c r="AC283" i="20"/>
  <c r="V283" i="20"/>
  <c r="X283" i="20" s="1"/>
  <c r="AA283" i="20"/>
  <c r="AI283" i="20"/>
  <c r="AK283" i="20"/>
  <c r="V286" i="20"/>
  <c r="X286" i="20" s="1"/>
  <c r="U286" i="20"/>
  <c r="AC286" i="20"/>
  <c r="AK286" i="20"/>
  <c r="AC396" i="20"/>
  <c r="AI396" i="20"/>
  <c r="AE396" i="20"/>
  <c r="V396" i="20"/>
  <c r="X396" i="20" s="1"/>
  <c r="AK396" i="20"/>
  <c r="U407" i="20"/>
  <c r="AC407" i="20"/>
  <c r="AK407" i="20"/>
  <c r="AM436" i="20"/>
  <c r="AA436" i="20"/>
  <c r="AK20" i="20"/>
  <c r="AA20" i="20"/>
  <c r="AY311" i="20"/>
  <c r="V311" i="20"/>
  <c r="X311" i="20" s="1"/>
  <c r="AG399" i="20"/>
  <c r="AC399" i="20"/>
  <c r="AI402" i="20"/>
  <c r="AY402" i="20"/>
  <c r="AM402" i="20"/>
  <c r="AG428" i="20"/>
  <c r="AM428" i="20"/>
  <c r="U528" i="20"/>
  <c r="V528" i="20"/>
  <c r="AK548" i="20"/>
  <c r="AY548" i="20"/>
  <c r="AA548" i="20"/>
  <c r="AM548" i="20"/>
  <c r="AE548" i="20"/>
  <c r="V551" i="20"/>
  <c r="AC551" i="20" s="1"/>
  <c r="U551" i="20"/>
  <c r="X560" i="20"/>
  <c r="AY560" i="20"/>
  <c r="AI560" i="20"/>
  <c r="U566" i="20"/>
  <c r="V566" i="20"/>
  <c r="BA566" i="20" s="1"/>
  <c r="AK628" i="20"/>
  <c r="AC628" i="20"/>
  <c r="AY628" i="20"/>
  <c r="AE58" i="20"/>
  <c r="AM58" i="20"/>
  <c r="BE177" i="35"/>
  <c r="AK431" i="35"/>
  <c r="AE431" i="35"/>
  <c r="BC144" i="35"/>
  <c r="AO212" i="35"/>
  <c r="AO523" i="35"/>
  <c r="BC132" i="35"/>
  <c r="BC282" i="35"/>
  <c r="AO224" i="35"/>
  <c r="AI98" i="35"/>
  <c r="AI200" i="35"/>
  <c r="BC108" i="35"/>
  <c r="AE108" i="35"/>
  <c r="AK108" i="35"/>
  <c r="Y120" i="35"/>
  <c r="AQ523" i="35"/>
  <c r="AG480" i="35"/>
  <c r="AO64" i="35"/>
  <c r="Y371" i="35"/>
  <c r="AG166" i="35"/>
  <c r="BE103" i="35"/>
  <c r="AQ217" i="35"/>
  <c r="AM212" i="35"/>
  <c r="Z414" i="35"/>
  <c r="AB414" i="35" s="1"/>
  <c r="AE465" i="35"/>
  <c r="AI357" i="35"/>
  <c r="Z144" i="35"/>
  <c r="AB144" i="35" s="1"/>
  <c r="BC402" i="35"/>
  <c r="AI265" i="35"/>
  <c r="AO265" i="35"/>
  <c r="AQ282" i="35"/>
  <c r="AG265" i="35"/>
  <c r="BC224" i="35"/>
  <c r="BC248" i="35"/>
  <c r="AG115" i="35"/>
  <c r="AG186" i="35"/>
  <c r="Y64" i="35"/>
  <c r="AI120" i="35"/>
  <c r="AQ40" i="35"/>
  <c r="AO251" i="35"/>
  <c r="O17" i="35"/>
  <c r="Z110" i="35"/>
  <c r="AB110" i="35" s="1"/>
  <c r="AM258" i="35"/>
  <c r="AK205" i="35"/>
  <c r="AK292" i="35"/>
  <c r="Z186" i="35"/>
  <c r="AB186" i="35" s="1"/>
  <c r="AI57" i="35"/>
  <c r="AI91" i="35"/>
  <c r="AK14" i="35"/>
  <c r="Z108" i="35"/>
  <c r="AB108" i="35" s="1"/>
  <c r="AK137" i="35"/>
  <c r="AM142" i="35"/>
  <c r="AI69" i="20"/>
  <c r="AC69" i="20"/>
  <c r="U69" i="20"/>
  <c r="AK69" i="20"/>
  <c r="AG358" i="20"/>
  <c r="AE358" i="20"/>
  <c r="V512" i="20"/>
  <c r="X512" i="20" s="1"/>
  <c r="U512" i="20"/>
  <c r="U584" i="20"/>
  <c r="AY584" i="20"/>
  <c r="AY611" i="20"/>
  <c r="AM611" i="20"/>
  <c r="V611" i="20"/>
  <c r="X611" i="20" s="1"/>
  <c r="AY279" i="20"/>
  <c r="U279" i="20"/>
  <c r="AC279" i="20"/>
  <c r="V171" i="20"/>
  <c r="X171" i="20" s="1"/>
  <c r="AA171" i="20"/>
  <c r="AI171" i="20"/>
  <c r="AY171" i="20"/>
  <c r="AM171" i="20"/>
  <c r="AA174" i="20"/>
  <c r="AI174" i="20"/>
  <c r="AY174" i="20"/>
  <c r="U174" i="20"/>
  <c r="AC174" i="20"/>
  <c r="AY228" i="20"/>
  <c r="U228" i="20"/>
  <c r="U74" i="20"/>
  <c r="AK74" i="20"/>
  <c r="AE74" i="20"/>
  <c r="AM74" i="20"/>
  <c r="AG74" i="20"/>
  <c r="AY74" i="20"/>
  <c r="V74" i="20"/>
  <c r="X74" i="20" s="1"/>
  <c r="AC74" i="20"/>
  <c r="V77" i="20"/>
  <c r="X77" i="20" s="1"/>
  <c r="AA77" i="20"/>
  <c r="AY83" i="20"/>
  <c r="AI83" i="20"/>
  <c r="U92" i="20"/>
  <c r="AI92" i="20"/>
  <c r="AY92" i="20"/>
  <c r="AM92" i="20"/>
  <c r="AC92" i="20"/>
  <c r="U98" i="20"/>
  <c r="AC98" i="20"/>
  <c r="AA98" i="20"/>
  <c r="AG98" i="20"/>
  <c r="AY98" i="20"/>
  <c r="AE101" i="20"/>
  <c r="U101" i="20"/>
  <c r="AM101" i="20"/>
  <c r="AK101" i="20"/>
  <c r="AG101" i="20"/>
  <c r="V101" i="20"/>
  <c r="X101" i="20" s="1"/>
  <c r="AM104" i="20"/>
  <c r="AA104" i="20"/>
  <c r="AY104" i="20"/>
  <c r="AK104" i="20"/>
  <c r="AI104" i="20"/>
  <c r="AG104" i="20"/>
  <c r="AK110" i="20"/>
  <c r="U110" i="20"/>
  <c r="AM110" i="20"/>
  <c r="AG110" i="20"/>
  <c r="AE110" i="20"/>
  <c r="AM113" i="20"/>
  <c r="AC113" i="20"/>
  <c r="AE113" i="20"/>
  <c r="V113" i="20"/>
  <c r="X113" i="20" s="1"/>
  <c r="AA113" i="20"/>
  <c r="U113" i="20"/>
  <c r="AC116" i="20"/>
  <c r="AY116" i="20"/>
  <c r="U119" i="20"/>
  <c r="AA119" i="20"/>
  <c r="AG119" i="20"/>
  <c r="AK119" i="20"/>
  <c r="AI119" i="20"/>
  <c r="AI122" i="20"/>
  <c r="AY122" i="20"/>
  <c r="AK122" i="20"/>
  <c r="AC122" i="20"/>
  <c r="U122" i="20"/>
  <c r="AG122" i="20"/>
  <c r="U125" i="20"/>
  <c r="AM125" i="20"/>
  <c r="AE128" i="20"/>
  <c r="V128" i="20"/>
  <c r="X128" i="20" s="1"/>
  <c r="AK128" i="20"/>
  <c r="AG128" i="20"/>
  <c r="AA128" i="20"/>
  <c r="AK131" i="20"/>
  <c r="V131" i="20"/>
  <c r="X131" i="20" s="1"/>
  <c r="AC131" i="20"/>
  <c r="U131" i="20"/>
  <c r="AI131" i="20"/>
  <c r="AM131" i="20"/>
  <c r="AE134" i="20"/>
  <c r="V134" i="20"/>
  <c r="X134" i="20" s="1"/>
  <c r="AK134" i="20"/>
  <c r="AI134" i="20"/>
  <c r="AC134" i="20"/>
  <c r="AI176" i="20"/>
  <c r="U176" i="20"/>
  <c r="AM176" i="20"/>
  <c r="AY176" i="20"/>
  <c r="AE176" i="20"/>
  <c r="AI379" i="20"/>
  <c r="AK379" i="20"/>
  <c r="AC379" i="20"/>
  <c r="AG379" i="20"/>
  <c r="AM379" i="20"/>
  <c r="AA379" i="20"/>
  <c r="V382" i="20"/>
  <c r="X382" i="20" s="1"/>
  <c r="AM382" i="20"/>
  <c r="AM230" i="20"/>
  <c r="AE230" i="20"/>
  <c r="V230" i="20"/>
  <c r="X230" i="20" s="1"/>
  <c r="AK230" i="20"/>
  <c r="AY217" i="20"/>
  <c r="AC217" i="20"/>
  <c r="AK217" i="20"/>
  <c r="V217" i="20"/>
  <c r="X217" i="20" s="1"/>
  <c r="AM141" i="20"/>
  <c r="AA141" i="20"/>
  <c r="AI141" i="20"/>
  <c r="U141" i="20"/>
  <c r="AY141" i="20"/>
  <c r="AC141" i="20"/>
  <c r="V141" i="20"/>
  <c r="X141" i="20" s="1"/>
  <c r="AE141" i="20"/>
  <c r="AM202" i="20"/>
  <c r="AY202" i="20"/>
  <c r="AK202" i="20"/>
  <c r="AG318" i="20"/>
  <c r="AK318" i="20"/>
  <c r="AC323" i="20"/>
  <c r="V323" i="20"/>
  <c r="X323" i="20" s="1"/>
  <c r="AY323" i="20"/>
  <c r="AA323" i="20"/>
  <c r="V367" i="20"/>
  <c r="X367" i="20" s="1"/>
  <c r="AI367" i="20"/>
  <c r="AG332" i="20"/>
  <c r="V332" i="20"/>
  <c r="X332" i="20" s="1"/>
  <c r="AM332" i="20"/>
  <c r="U332" i="20"/>
  <c r="AY332" i="20"/>
  <c r="AA332" i="20"/>
  <c r="AM443" i="20"/>
  <c r="AE443" i="20"/>
  <c r="V443" i="20"/>
  <c r="X443" i="20" s="1"/>
  <c r="AC443" i="20"/>
  <c r="AY443" i="20"/>
  <c r="V578" i="20"/>
  <c r="X578" i="20" s="1"/>
  <c r="AG578" i="20"/>
  <c r="AY578" i="20"/>
  <c r="AI578" i="20"/>
  <c r="AK578" i="20"/>
  <c r="AQ378" i="35"/>
  <c r="AI347" i="35"/>
  <c r="AK166" i="35"/>
  <c r="BC124" i="35"/>
  <c r="AK124" i="35"/>
  <c r="Z190" i="35"/>
  <c r="AB190" i="35" s="1"/>
  <c r="AM190" i="35"/>
  <c r="Y202" i="35"/>
  <c r="Z202" i="35"/>
  <c r="AB202" i="35" s="1"/>
  <c r="AE202" i="35"/>
  <c r="AQ202" i="35"/>
  <c r="BC202" i="35"/>
  <c r="AK214" i="35"/>
  <c r="Z214" i="35"/>
  <c r="AB214" i="35" s="1"/>
  <c r="AO214" i="35"/>
  <c r="AE214" i="35"/>
  <c r="Y214" i="35"/>
  <c r="AQ214" i="35"/>
  <c r="AO226" i="35"/>
  <c r="AQ226" i="35"/>
  <c r="AE238" i="35"/>
  <c r="AQ238" i="35"/>
  <c r="BC238" i="35"/>
  <c r="AI238" i="35"/>
  <c r="Y238" i="35"/>
  <c r="Z238" i="35"/>
  <c r="AB238" i="35" s="1"/>
  <c r="AI272" i="35"/>
  <c r="AG272" i="35"/>
  <c r="BC272" i="35"/>
  <c r="AO272" i="35"/>
  <c r="AK337" i="35"/>
  <c r="BC337" i="35"/>
  <c r="AE337" i="35"/>
  <c r="AI337" i="35"/>
  <c r="AQ337" i="35"/>
  <c r="Y349" i="35"/>
  <c r="AK349" i="35"/>
  <c r="AM484" i="35"/>
  <c r="AQ484" i="35"/>
  <c r="Z484" i="35"/>
  <c r="AB484" i="35" s="1"/>
  <c r="BC484" i="35"/>
  <c r="AI496" i="35"/>
  <c r="Z496" i="35"/>
  <c r="AB496" i="35" s="1"/>
  <c r="AG496" i="35"/>
  <c r="AK496" i="35"/>
  <c r="Y496" i="35"/>
  <c r="AO496" i="35"/>
  <c r="Y508" i="35"/>
  <c r="AI508" i="35"/>
  <c r="AE508" i="35"/>
  <c r="AG508" i="35"/>
  <c r="AO508" i="35"/>
  <c r="Y520" i="35"/>
  <c r="Z520" i="35"/>
  <c r="AB520" i="35" s="1"/>
  <c r="AE518" i="35"/>
  <c r="AK268" i="35"/>
  <c r="Z115" i="35"/>
  <c r="AB115" i="35" s="1"/>
  <c r="AG24" i="35"/>
  <c r="AO24" i="35"/>
  <c r="Z24" i="35"/>
  <c r="AB24" i="35" s="1"/>
  <c r="AI96" i="35"/>
  <c r="AG96" i="35"/>
  <c r="AK96" i="35"/>
  <c r="BC96" i="35"/>
  <c r="Z96" i="35"/>
  <c r="AB96" i="35" s="1"/>
  <c r="AK74" i="35"/>
  <c r="AG120" i="35"/>
  <c r="Z57" i="35"/>
  <c r="AB57" i="35" s="1"/>
  <c r="AK7" i="35"/>
  <c r="BC321" i="35"/>
  <c r="AQ390" i="35"/>
  <c r="AG212" i="35"/>
  <c r="AO132" i="35"/>
  <c r="BC154" i="35"/>
  <c r="Y212" i="35"/>
  <c r="Z265" i="35"/>
  <c r="AB265" i="35" s="1"/>
  <c r="AG282" i="35"/>
  <c r="AQ265" i="35"/>
  <c r="BE378" i="35"/>
  <c r="AO115" i="35"/>
  <c r="AE186" i="35"/>
  <c r="Y96" i="35"/>
  <c r="Y186" i="35"/>
  <c r="AK120" i="35"/>
  <c r="AQ251" i="35"/>
  <c r="AI110" i="35"/>
  <c r="BE258" i="35"/>
  <c r="AE110" i="35"/>
  <c r="AK304" i="35"/>
  <c r="AO292" i="35"/>
  <c r="AQ186" i="35"/>
  <c r="AO57" i="35"/>
  <c r="AG91" i="35"/>
  <c r="AI108" i="35"/>
  <c r="AQ142" i="35"/>
  <c r="AI199" i="20"/>
  <c r="AK199" i="20"/>
  <c r="AG221" i="20"/>
  <c r="AC221" i="20"/>
  <c r="AM221" i="20"/>
  <c r="AE221" i="20"/>
  <c r="AA221" i="20"/>
  <c r="AY29" i="20"/>
  <c r="AC29" i="20"/>
  <c r="AG147" i="20"/>
  <c r="U147" i="20"/>
  <c r="AY238" i="20"/>
  <c r="AM238" i="20"/>
  <c r="AG241" i="20"/>
  <c r="AA241" i="20"/>
  <c r="AI241" i="20"/>
  <c r="U288" i="20"/>
  <c r="AK288" i="20"/>
  <c r="AC288" i="20"/>
  <c r="AM310" i="20"/>
  <c r="U310" i="20"/>
  <c r="AM406" i="20"/>
  <c r="U406" i="20"/>
  <c r="AK406" i="20"/>
  <c r="AA406" i="20"/>
  <c r="AA409" i="20"/>
  <c r="V409" i="20"/>
  <c r="X409" i="20" s="1"/>
  <c r="AI409" i="20"/>
  <c r="AE409" i="20"/>
  <c r="AY409" i="20"/>
  <c r="AI427" i="20"/>
  <c r="AM427" i="20"/>
  <c r="V427" i="20"/>
  <c r="X427" i="20" s="1"/>
  <c r="AK427" i="20"/>
  <c r="AK435" i="20"/>
  <c r="AC435" i="20"/>
  <c r="AY435" i="20"/>
  <c r="AM435" i="20"/>
  <c r="AA438" i="20"/>
  <c r="AG438" i="20"/>
  <c r="AK438" i="20"/>
  <c r="AE446" i="20"/>
  <c r="AK446" i="20"/>
  <c r="AC446" i="20"/>
  <c r="U446" i="20"/>
  <c r="AG446" i="20"/>
  <c r="AI446" i="20"/>
  <c r="V446" i="20"/>
  <c r="X446" i="20" s="1"/>
  <c r="BC323" i="35"/>
  <c r="Y217" i="35"/>
  <c r="AI71" i="35"/>
  <c r="AM71" i="35"/>
  <c r="Y71" i="35"/>
  <c r="Z105" i="35"/>
  <c r="AB105" i="35" s="1"/>
  <c r="AO105" i="35"/>
  <c r="Z129" i="35"/>
  <c r="AB129" i="35" s="1"/>
  <c r="AQ129" i="35"/>
  <c r="AG173" i="35"/>
  <c r="AM173" i="35"/>
  <c r="BC183" i="35"/>
  <c r="AQ183" i="35"/>
  <c r="AK183" i="35"/>
  <c r="AI183" i="35"/>
  <c r="AO183" i="35"/>
  <c r="Y231" i="35"/>
  <c r="AK231" i="35"/>
  <c r="AO270" i="35"/>
  <c r="AM270" i="35"/>
  <c r="AE270" i="35"/>
  <c r="AK270" i="35"/>
  <c r="Y270" i="35"/>
  <c r="Y277" i="35"/>
  <c r="AI277" i="35"/>
  <c r="BC277" i="35"/>
  <c r="AM277" i="35"/>
  <c r="AK277" i="35"/>
  <c r="Y311" i="35"/>
  <c r="AG311" i="35"/>
  <c r="Z311" i="35"/>
  <c r="AB311" i="35" s="1"/>
  <c r="AK323" i="35"/>
  <c r="AK354" i="35"/>
  <c r="BC354" i="35"/>
  <c r="AG354" i="35"/>
  <c r="AQ354" i="35"/>
  <c r="BE354" i="35"/>
  <c r="AE378" i="35"/>
  <c r="AO385" i="35"/>
  <c r="AE385" i="35"/>
  <c r="AG385" i="35"/>
  <c r="AG409" i="35"/>
  <c r="BC409" i="35"/>
  <c r="AK409" i="35"/>
  <c r="AI409" i="35"/>
  <c r="Y409" i="35"/>
  <c r="AM409" i="35"/>
  <c r="P29" i="39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54" i="39" s="1"/>
  <c r="P55" i="39" s="1"/>
  <c r="P56" i="39" s="1"/>
  <c r="P57" i="39" s="1"/>
  <c r="P58" i="39" s="1"/>
  <c r="P59" i="39" s="1"/>
  <c r="P60" i="39" s="1"/>
  <c r="P61" i="39" s="1"/>
  <c r="P62" i="39" s="1"/>
  <c r="P63" i="39" s="1"/>
  <c r="P64" i="39" s="1"/>
  <c r="P65" i="39" s="1"/>
  <c r="P66" i="39" s="1"/>
  <c r="P67" i="39" s="1"/>
  <c r="P68" i="39" s="1"/>
  <c r="P69" i="39" s="1"/>
  <c r="P70" i="39" s="1"/>
  <c r="P71" i="39" s="1"/>
  <c r="P72" i="39" s="1"/>
  <c r="P73" i="39" s="1"/>
  <c r="P74" i="39" s="1"/>
  <c r="P75" i="39" s="1"/>
  <c r="P76" i="39" s="1"/>
  <c r="P77" i="39" s="1"/>
  <c r="P78" i="39" s="1"/>
  <c r="P79" i="39" s="1"/>
  <c r="P80" i="39" s="1"/>
  <c r="P81" i="39" s="1"/>
  <c r="P82" i="39" s="1"/>
  <c r="P83" i="39" s="1"/>
  <c r="P84" i="39" s="1"/>
  <c r="P85" i="39" s="1"/>
  <c r="P86" i="39" s="1"/>
  <c r="P87" i="39" s="1"/>
  <c r="P88" i="39" s="1"/>
  <c r="P89" i="39" s="1"/>
  <c r="P90" i="39" s="1"/>
  <c r="P91" i="39" s="1"/>
  <c r="P92" i="39" s="1"/>
  <c r="P93" i="39" s="1"/>
  <c r="P94" i="39" s="1"/>
  <c r="P95" i="39" s="1"/>
  <c r="P96" i="39" s="1"/>
  <c r="P97" i="39" s="1"/>
  <c r="P98" i="39" s="1"/>
  <c r="P99" i="39" s="1"/>
  <c r="P100" i="39" s="1"/>
  <c r="P101" i="39" s="1"/>
  <c r="P102" i="39" s="1"/>
  <c r="P103" i="39" s="1"/>
  <c r="P104" i="39" s="1"/>
  <c r="P105" i="39" s="1"/>
  <c r="P106" i="39" s="1"/>
  <c r="P107" i="39" s="1"/>
  <c r="P108" i="39" s="1"/>
  <c r="P109" i="39" s="1"/>
  <c r="P110" i="39" s="1"/>
  <c r="P111" i="39" s="1"/>
  <c r="P112" i="39" s="1"/>
  <c r="P113" i="39" s="1"/>
  <c r="AG371" i="35"/>
  <c r="BC33" i="35"/>
  <c r="AG33" i="35"/>
  <c r="AE33" i="35"/>
  <c r="AO33" i="35"/>
  <c r="BC127" i="35"/>
  <c r="Z127" i="35"/>
  <c r="AB127" i="35" s="1"/>
  <c r="AS475" i="35"/>
  <c r="AQ475" i="35"/>
  <c r="AI282" i="35"/>
  <c r="AI304" i="35"/>
  <c r="BC14" i="35"/>
  <c r="AG14" i="35"/>
  <c r="Y14" i="35"/>
  <c r="AE14" i="35"/>
  <c r="AI14" i="35"/>
  <c r="BC181" i="35"/>
  <c r="Z181" i="35"/>
  <c r="AB181" i="35" s="1"/>
  <c r="AK181" i="35"/>
  <c r="AQ181" i="35"/>
  <c r="AE181" i="35"/>
  <c r="AM181" i="35"/>
  <c r="AE193" i="35"/>
  <c r="AI193" i="35"/>
  <c r="BC193" i="35"/>
  <c r="AM205" i="35"/>
  <c r="AG205" i="35"/>
  <c r="AG229" i="35"/>
  <c r="AI229" i="35"/>
  <c r="BC275" i="35"/>
  <c r="AO275" i="35"/>
  <c r="Y376" i="35"/>
  <c r="AE376" i="35"/>
  <c r="AM45" i="35"/>
  <c r="AO159" i="35"/>
  <c r="AE26" i="35"/>
  <c r="AO26" i="35"/>
  <c r="AG26" i="35"/>
  <c r="BC26" i="35"/>
  <c r="Y26" i="35"/>
  <c r="Z76" i="35"/>
  <c r="AB76" i="35" s="1"/>
  <c r="AM76" i="35"/>
  <c r="Y248" i="35"/>
  <c r="AM248" i="35"/>
  <c r="AM316" i="35"/>
  <c r="BC316" i="35"/>
  <c r="AO335" i="35"/>
  <c r="Z335" i="35"/>
  <c r="AB335" i="35" s="1"/>
  <c r="AE335" i="35"/>
  <c r="AK212" i="35"/>
  <c r="BC292" i="35"/>
  <c r="BC265" i="35"/>
  <c r="AG248" i="35"/>
  <c r="AK258" i="35"/>
  <c r="AO137" i="35"/>
  <c r="AQ137" i="35"/>
  <c r="Z52" i="35"/>
  <c r="AB52" i="35" s="1"/>
  <c r="Y52" i="35"/>
  <c r="AI52" i="35"/>
  <c r="Z304" i="35"/>
  <c r="AB304" i="35" s="1"/>
  <c r="AE265" i="35"/>
  <c r="AM229" i="35"/>
  <c r="Y144" i="35"/>
  <c r="BC103" i="35"/>
  <c r="AI475" i="35"/>
  <c r="Y229" i="35"/>
  <c r="AQ154" i="35"/>
  <c r="AK154" i="35"/>
  <c r="AM222" i="35"/>
  <c r="AO120" i="35"/>
  <c r="AO144" i="35"/>
  <c r="AE328" i="35"/>
  <c r="AE480" i="35"/>
  <c r="AE224" i="35"/>
  <c r="BE323" i="35"/>
  <c r="BE149" i="35"/>
  <c r="AG81" i="35"/>
  <c r="AQ98" i="35"/>
  <c r="AE115" i="35"/>
  <c r="AQ212" i="35"/>
  <c r="AK62" i="35"/>
  <c r="AE76" i="35"/>
  <c r="AE212" i="35"/>
  <c r="BC120" i="35"/>
  <c r="AQ188" i="35"/>
  <c r="BC424" i="35"/>
  <c r="Z371" i="35"/>
  <c r="AB371" i="35" s="1"/>
  <c r="AI258" i="35"/>
  <c r="AO200" i="35"/>
  <c r="AI45" i="35"/>
  <c r="AE122" i="35"/>
  <c r="AG57" i="35"/>
  <c r="AM159" i="35"/>
  <c r="BC91" i="35"/>
  <c r="BC84" i="35"/>
  <c r="Z7" i="35"/>
  <c r="AB7" i="35" s="1"/>
  <c r="AO76" i="35"/>
  <c r="AO38" i="35"/>
  <c r="AG279" i="20"/>
  <c r="BA282" i="20"/>
  <c r="AM52" i="35"/>
  <c r="BC17" i="35"/>
  <c r="AE122" i="20"/>
  <c r="V435" i="20"/>
  <c r="X435" i="20" s="1"/>
  <c r="AE92" i="20"/>
  <c r="AQ304" i="35"/>
  <c r="AQ24" i="35"/>
  <c r="AQ19" i="35"/>
  <c r="AK409" i="20"/>
  <c r="AI377" i="20"/>
  <c r="AE119" i="20"/>
  <c r="AK385" i="35"/>
  <c r="AM214" i="35"/>
  <c r="AO238" i="35"/>
  <c r="AE84" i="35"/>
  <c r="AK378" i="35"/>
  <c r="AQ86" i="35"/>
  <c r="AO86" i="35"/>
  <c r="AM86" i="35"/>
  <c r="AK86" i="35"/>
  <c r="AM98" i="35"/>
  <c r="AK69" i="35"/>
  <c r="AQ69" i="35"/>
  <c r="AE69" i="35"/>
  <c r="AM69" i="35"/>
  <c r="Z69" i="35"/>
  <c r="AB69" i="35" s="1"/>
  <c r="AO69" i="35"/>
  <c r="Y69" i="35"/>
  <c r="Z81" i="35"/>
  <c r="AB81" i="35" s="1"/>
  <c r="AO402" i="35"/>
  <c r="AO304" i="35"/>
  <c r="Z154" i="35"/>
  <c r="AB154" i="35" s="1"/>
  <c r="Z224" i="35"/>
  <c r="AB224" i="35" s="1"/>
  <c r="BE115" i="35"/>
  <c r="AE137" i="35"/>
  <c r="AK103" i="35"/>
  <c r="Z62" i="35"/>
  <c r="AB62" i="35" s="1"/>
  <c r="AE222" i="35"/>
  <c r="AO287" i="35"/>
  <c r="AQ229" i="35"/>
  <c r="AM154" i="35"/>
  <c r="AG222" i="35"/>
  <c r="AI407" i="35"/>
  <c r="AS120" i="35"/>
  <c r="AI19" i="35"/>
  <c r="AO127" i="35"/>
  <c r="AQ224" i="35"/>
  <c r="BE217" i="35"/>
  <c r="BC81" i="35"/>
  <c r="Y98" i="35"/>
  <c r="AK115" i="35"/>
  <c r="AO62" i="35"/>
  <c r="AO465" i="35"/>
  <c r="Y76" i="35"/>
  <c r="AO40" i="35"/>
  <c r="Z188" i="35"/>
  <c r="AB188" i="35" s="1"/>
  <c r="Z251" i="35"/>
  <c r="AB251" i="35" s="1"/>
  <c r="AE234" i="35"/>
  <c r="AQ371" i="35"/>
  <c r="BC205" i="35"/>
  <c r="AK24" i="35"/>
  <c r="AQ45" i="35"/>
  <c r="AI122" i="35"/>
  <c r="AE57" i="35"/>
  <c r="AG159" i="35"/>
  <c r="AQ159" i="35"/>
  <c r="AK91" i="35"/>
  <c r="U622" i="20"/>
  <c r="AE7" i="35"/>
  <c r="AG45" i="35"/>
  <c r="AK76" i="35"/>
  <c r="Y38" i="35"/>
  <c r="AM33" i="35"/>
  <c r="AE52" i="35"/>
  <c r="AK17" i="35"/>
  <c r="AA122" i="20"/>
  <c r="AG435" i="20"/>
  <c r="AE171" i="20"/>
  <c r="AG92" i="20"/>
  <c r="BC304" i="35"/>
  <c r="AK52" i="35"/>
  <c r="BC19" i="35"/>
  <c r="AG247" i="20"/>
  <c r="AC409" i="20"/>
  <c r="U321" i="20"/>
  <c r="AG107" i="20"/>
  <c r="AI55" i="20"/>
  <c r="AM119" i="20"/>
  <c r="Y397" i="35"/>
  <c r="AM272" i="35"/>
  <c r="AG84" i="35"/>
  <c r="Y378" i="35"/>
  <c r="BC76" i="35"/>
  <c r="AI188" i="35"/>
  <c r="AQ258" i="35"/>
  <c r="AI241" i="35"/>
  <c r="AE144" i="35"/>
  <c r="AK200" i="35"/>
  <c r="AO122" i="35"/>
  <c r="Y33" i="35"/>
  <c r="Z217" i="35"/>
  <c r="AB217" i="35" s="1"/>
  <c r="AI62" i="35"/>
  <c r="BC287" i="35"/>
  <c r="AO229" i="35"/>
  <c r="AM333" i="35"/>
  <c r="AQ222" i="35"/>
  <c r="AS290" i="35"/>
  <c r="AE127" i="35"/>
  <c r="AQ480" i="35"/>
  <c r="AG224" i="35"/>
  <c r="AI81" i="35"/>
  <c r="BC98" i="35"/>
  <c r="P84" i="35"/>
  <c r="BC62" i="35"/>
  <c r="BC40" i="35"/>
  <c r="AE188" i="35"/>
  <c r="AI251" i="35"/>
  <c r="BC234" i="35"/>
  <c r="AO371" i="35"/>
  <c r="Y205" i="35"/>
  <c r="AE24" i="35"/>
  <c r="Z45" i="35"/>
  <c r="AB45" i="35" s="1"/>
  <c r="AM57" i="35"/>
  <c r="AK159" i="35"/>
  <c r="AM91" i="35"/>
  <c r="AM622" i="20"/>
  <c r="AQ200" i="35"/>
  <c r="BC7" i="35"/>
  <c r="AQ33" i="35"/>
  <c r="AE96" i="35"/>
  <c r="AE323" i="20"/>
  <c r="AO193" i="35"/>
  <c r="AM122" i="20"/>
  <c r="BA435" i="20"/>
  <c r="AC171" i="20"/>
  <c r="AK92" i="20"/>
  <c r="AM275" i="35"/>
  <c r="AQ52" i="35"/>
  <c r="U409" i="20"/>
  <c r="AY406" i="20"/>
  <c r="AK595" i="20"/>
  <c r="AY595" i="20"/>
  <c r="AI574" i="20"/>
  <c r="AA574" i="20"/>
  <c r="AC574" i="20"/>
  <c r="AE574" i="20"/>
  <c r="U574" i="20"/>
  <c r="AA636" i="20"/>
  <c r="AC636" i="20"/>
  <c r="Z272" i="35"/>
  <c r="AB272" i="35" s="1"/>
  <c r="AO277" i="35"/>
  <c r="Z156" i="35"/>
  <c r="AB156" i="35" s="1"/>
  <c r="AQ311" i="35"/>
  <c r="AM19" i="35"/>
  <c r="AG19" i="35"/>
  <c r="AK19" i="35"/>
  <c r="AM378" i="35"/>
  <c r="Z378" i="35"/>
  <c r="AB378" i="35" s="1"/>
  <c r="AI378" i="35"/>
  <c r="AO378" i="35"/>
  <c r="BC378" i="35"/>
  <c r="AI38" i="35"/>
  <c r="Z38" i="35"/>
  <c r="AB38" i="35" s="1"/>
  <c r="AG103" i="35"/>
  <c r="AO81" i="35"/>
  <c r="AO45" i="35"/>
  <c r="Z159" i="35"/>
  <c r="AB159" i="35" s="1"/>
  <c r="AE38" i="35"/>
  <c r="AI103" i="35"/>
  <c r="AI217" i="35"/>
  <c r="AK229" i="35"/>
  <c r="Y333" i="35"/>
  <c r="AO222" i="35"/>
  <c r="AK127" i="35"/>
  <c r="AI224" i="35"/>
  <c r="BE282" i="35"/>
  <c r="BE265" i="35"/>
  <c r="AK81" i="35"/>
  <c r="AG98" i="35"/>
  <c r="O84" i="35"/>
  <c r="AI40" i="35"/>
  <c r="AG188" i="35"/>
  <c r="AM156" i="35"/>
  <c r="AM110" i="35"/>
  <c r="AO258" i="35"/>
  <c r="Z205" i="35"/>
  <c r="AB205" i="35" s="1"/>
  <c r="AI24" i="35"/>
  <c r="AE292" i="35"/>
  <c r="AE45" i="35"/>
  <c r="BC57" i="35"/>
  <c r="BE159" i="35"/>
  <c r="AE91" i="35"/>
  <c r="AC622" i="20"/>
  <c r="AO7" i="35"/>
  <c r="Z19" i="35"/>
  <c r="AB19" i="35" s="1"/>
  <c r="AI33" i="35"/>
  <c r="AO96" i="35"/>
  <c r="AM14" i="35"/>
  <c r="AI435" i="20"/>
  <c r="AG171" i="20"/>
  <c r="AE69" i="20"/>
  <c r="AI86" i="35"/>
  <c r="AE275" i="35"/>
  <c r="BC52" i="35"/>
  <c r="AQ26" i="35"/>
  <c r="AE406" i="20"/>
  <c r="AI406" i="20"/>
  <c r="AE435" i="20"/>
  <c r="AA307" i="20"/>
  <c r="AA217" i="20"/>
  <c r="AY382" i="20"/>
  <c r="AA83" i="20"/>
  <c r="BA287" i="20"/>
  <c r="AK309" i="20"/>
  <c r="AI309" i="20"/>
  <c r="AA309" i="20"/>
  <c r="AG309" i="20"/>
  <c r="U309" i="20"/>
  <c r="AE309" i="20"/>
  <c r="AM309" i="20"/>
  <c r="AI602" i="20"/>
  <c r="AE602" i="20"/>
  <c r="AM602" i="20"/>
  <c r="BC520" i="35"/>
  <c r="BW428" i="35"/>
  <c r="BC270" i="35"/>
  <c r="AG277" i="35"/>
  <c r="AI166" i="35"/>
  <c r="AQ156" i="35"/>
  <c r="AK265" i="35"/>
  <c r="AO188" i="35"/>
  <c r="Y251" i="35"/>
  <c r="BC251" i="35"/>
  <c r="BE98" i="35"/>
  <c r="AE371" i="35"/>
  <c r="Y91" i="35"/>
  <c r="Z229" i="35"/>
  <c r="AB229" i="35" s="1"/>
  <c r="AK144" i="35"/>
  <c r="AK282" i="35"/>
  <c r="AQ115" i="35"/>
  <c r="AO52" i="35"/>
  <c r="AO217" i="35"/>
  <c r="AE229" i="35"/>
  <c r="AK347" i="35"/>
  <c r="AM224" i="35"/>
  <c r="Y127" i="35"/>
  <c r="AE282" i="35"/>
  <c r="AK224" i="35"/>
  <c r="Y81" i="35"/>
  <c r="Z98" i="35"/>
  <c r="AB98" i="35" s="1"/>
  <c r="AE40" i="35"/>
  <c r="AK156" i="35"/>
  <c r="AG251" i="35"/>
  <c r="Y110" i="35"/>
  <c r="Y258" i="35"/>
  <c r="AI205" i="35"/>
  <c r="Z292" i="35"/>
  <c r="AB292" i="35" s="1"/>
  <c r="AE159" i="35"/>
  <c r="AI69" i="35"/>
  <c r="AG622" i="20"/>
  <c r="AK328" i="35"/>
  <c r="AK412" i="35"/>
  <c r="Z86" i="35"/>
  <c r="AB86" i="35" s="1"/>
  <c r="Z33" i="35"/>
  <c r="AB33" i="35" s="1"/>
  <c r="AO14" i="35"/>
  <c r="U171" i="20"/>
  <c r="AE142" i="35"/>
  <c r="Y86" i="35"/>
  <c r="AK275" i="35"/>
  <c r="AG52" i="35"/>
  <c r="V379" i="20"/>
  <c r="X379" i="20" s="1"/>
  <c r="V406" i="20"/>
  <c r="X406" i="20" s="1"/>
  <c r="U435" i="20"/>
  <c r="U307" i="20"/>
  <c r="AE382" i="20"/>
  <c r="AY80" i="20"/>
  <c r="AM128" i="20"/>
  <c r="AO424" i="20"/>
  <c r="AO283" i="20"/>
  <c r="AO647" i="20"/>
  <c r="AO131" i="20"/>
  <c r="AO580" i="20"/>
  <c r="AO329" i="20"/>
  <c r="AC11" i="20"/>
  <c r="AG11" i="20"/>
  <c r="AY193" i="20"/>
  <c r="AG193" i="20"/>
  <c r="BA468" i="20"/>
  <c r="AC468" i="20"/>
  <c r="AA471" i="20"/>
  <c r="V471" i="20"/>
  <c r="X471" i="20" s="1"/>
  <c r="AE497" i="20"/>
  <c r="AK497" i="20"/>
  <c r="V526" i="20"/>
  <c r="AS526" i="20" s="1"/>
  <c r="U526" i="20"/>
  <c r="V612" i="20"/>
  <c r="X612" i="20" s="1"/>
  <c r="AA612" i="20"/>
  <c r="AM612" i="20"/>
  <c r="BA626" i="20"/>
  <c r="AE647" i="20"/>
  <c r="U647" i="20"/>
  <c r="BA536" i="20"/>
  <c r="AG536" i="20"/>
  <c r="BA539" i="20"/>
  <c r="BA542" i="20"/>
  <c r="AE573" i="20"/>
  <c r="U573" i="20"/>
  <c r="AM573" i="20"/>
  <c r="AE615" i="20"/>
  <c r="AA615" i="20"/>
  <c r="V615" i="20"/>
  <c r="X615" i="20" s="1"/>
  <c r="U615" i="20"/>
  <c r="AK615" i="20"/>
  <c r="AE305" i="20"/>
  <c r="AY305" i="20"/>
  <c r="AM520" i="35"/>
  <c r="AG270" i="35"/>
  <c r="Z270" i="35"/>
  <c r="AB270" i="35" s="1"/>
  <c r="Y166" i="35"/>
  <c r="AG214" i="35"/>
  <c r="BC176" i="35"/>
  <c r="AI176" i="35"/>
  <c r="AO176" i="35"/>
  <c r="AE171" i="35"/>
  <c r="Y171" i="35"/>
  <c r="AI171" i="35"/>
  <c r="AM171" i="35"/>
  <c r="AE241" i="35"/>
  <c r="AK241" i="35"/>
  <c r="AE17" i="35"/>
  <c r="AG17" i="35"/>
  <c r="AM17" i="35"/>
  <c r="AI17" i="35"/>
  <c r="Y17" i="35"/>
  <c r="AO17" i="35"/>
  <c r="AI154" i="35"/>
  <c r="AK98" i="35"/>
  <c r="AI76" i="35"/>
  <c r="AE258" i="35"/>
  <c r="AI186" i="35"/>
  <c r="Z17" i="35"/>
  <c r="AB17" i="35" s="1"/>
  <c r="AO241" i="35"/>
  <c r="BC166" i="35"/>
  <c r="AS103" i="35"/>
  <c r="AE154" i="35"/>
  <c r="AG333" i="35"/>
  <c r="BC229" i="35"/>
  <c r="AM144" i="35"/>
  <c r="AG127" i="35"/>
  <c r="BE263" i="35"/>
  <c r="AO248" i="35"/>
  <c r="AK251" i="35"/>
  <c r="T17" i="35"/>
  <c r="AG258" i="35"/>
  <c r="AS205" i="35"/>
  <c r="AI292" i="35"/>
  <c r="BC69" i="35"/>
  <c r="BC86" i="35"/>
  <c r="AO19" i="35"/>
  <c r="AK33" i="35"/>
  <c r="AG323" i="20"/>
  <c r="AQ14" i="35"/>
  <c r="AK171" i="20"/>
  <c r="AY110" i="20"/>
  <c r="AI142" i="35"/>
  <c r="AG86" i="35"/>
  <c r="AE379" i="20"/>
  <c r="AA427" i="20"/>
  <c r="AM446" i="20"/>
  <c r="AE307" i="20"/>
  <c r="AI80" i="20"/>
  <c r="U230" i="20"/>
  <c r="V438" i="20"/>
  <c r="X438" i="20" s="1"/>
  <c r="BA379" i="20"/>
  <c r="BA92" i="20"/>
  <c r="BA492" i="20"/>
  <c r="BA216" i="20"/>
  <c r="BA410" i="20"/>
  <c r="BA383" i="20"/>
  <c r="BA131" i="20"/>
  <c r="BA396" i="20"/>
  <c r="BA101" i="20"/>
  <c r="BA182" i="20"/>
  <c r="BA232" i="20"/>
  <c r="BA236" i="20"/>
  <c r="BA8" i="20"/>
  <c r="BA611" i="20"/>
  <c r="BA218" i="20"/>
  <c r="BA346" i="20"/>
  <c r="BA155" i="20"/>
  <c r="BA215" i="20"/>
  <c r="BA363" i="20"/>
  <c r="BA122" i="20"/>
  <c r="BA186" i="20"/>
  <c r="BA100" i="20"/>
  <c r="BA449" i="20"/>
  <c r="BA540" i="20"/>
  <c r="BA609" i="20"/>
  <c r="BA581" i="20"/>
  <c r="BA490" i="20"/>
  <c r="U196" i="20"/>
  <c r="AI196" i="20"/>
  <c r="AC196" i="20"/>
  <c r="AC244" i="20"/>
  <c r="AM244" i="20"/>
  <c r="AK7" i="20"/>
  <c r="AA7" i="20"/>
  <c r="AE264" i="20"/>
  <c r="U264" i="20"/>
  <c r="AI348" i="20"/>
  <c r="AM348" i="20"/>
  <c r="AA348" i="20"/>
  <c r="AE348" i="20"/>
  <c r="V348" i="20"/>
  <c r="X348" i="20" s="1"/>
  <c r="AG389" i="20"/>
  <c r="AY389" i="20"/>
  <c r="V389" i="20"/>
  <c r="X389" i="20" s="1"/>
  <c r="U389" i="20"/>
  <c r="AM389" i="20"/>
  <c r="AI389" i="20"/>
  <c r="AK389" i="20"/>
  <c r="U412" i="20"/>
  <c r="AC412" i="20"/>
  <c r="AE412" i="20"/>
  <c r="AY415" i="20"/>
  <c r="V415" i="20"/>
  <c r="X415" i="20" s="1"/>
  <c r="AA415" i="20"/>
  <c r="AE415" i="20"/>
  <c r="AA631" i="20"/>
  <c r="AE631" i="20"/>
  <c r="AI631" i="20"/>
  <c r="AG631" i="20"/>
  <c r="V604" i="20"/>
  <c r="X604" i="20" s="1"/>
  <c r="AE604" i="20"/>
  <c r="AK604" i="20"/>
  <c r="AA592" i="20"/>
  <c r="AY592" i="20"/>
  <c r="AK652" i="20"/>
  <c r="U652" i="20"/>
  <c r="AE652" i="20"/>
  <c r="AQ270" i="35"/>
  <c r="AQ166" i="35"/>
  <c r="Z171" i="35"/>
  <c r="AB171" i="35" s="1"/>
  <c r="AO84" i="35"/>
  <c r="M2" i="35"/>
  <c r="BE196" i="35"/>
  <c r="P26" i="39"/>
  <c r="AQ49" i="39"/>
  <c r="P26" i="40"/>
  <c r="AQ61" i="40"/>
  <c r="AQ68" i="40"/>
  <c r="AQ81" i="40"/>
  <c r="BE34" i="35"/>
  <c r="BE70" i="35"/>
  <c r="AK198" i="20"/>
  <c r="AE198" i="20"/>
  <c r="AC198" i="20"/>
  <c r="AM198" i="20"/>
  <c r="AG198" i="20"/>
  <c r="U198" i="20"/>
  <c r="AI198" i="20"/>
  <c r="AY198" i="20"/>
  <c r="V198" i="20"/>
  <c r="X198" i="20" s="1"/>
  <c r="AA198" i="20"/>
  <c r="AE201" i="20"/>
  <c r="V201" i="20"/>
  <c r="X201" i="20" s="1"/>
  <c r="U201" i="20"/>
  <c r="AK201" i="20"/>
  <c r="AG201" i="20"/>
  <c r="AC201" i="20"/>
  <c r="AI201" i="20"/>
  <c r="AY201" i="20"/>
  <c r="AA201" i="20"/>
  <c r="AM201" i="20"/>
  <c r="AI159" i="20"/>
  <c r="U159" i="20"/>
  <c r="AA159" i="20"/>
  <c r="BA159" i="20"/>
  <c r="AG159" i="20"/>
  <c r="AE159" i="20"/>
  <c r="AK159" i="20"/>
  <c r="AM159" i="20"/>
  <c r="AA266" i="20"/>
  <c r="AK266" i="20"/>
  <c r="AI266" i="20"/>
  <c r="AM266" i="20"/>
  <c r="AG266" i="20"/>
  <c r="AE266" i="20"/>
  <c r="U266" i="20"/>
  <c r="AC266" i="20"/>
  <c r="AY266" i="20"/>
  <c r="AI338" i="20"/>
  <c r="AA338" i="20"/>
  <c r="BA338" i="20"/>
  <c r="AM341" i="20"/>
  <c r="AG341" i="20"/>
  <c r="AK341" i="20"/>
  <c r="AE341" i="20"/>
  <c r="BA341" i="20"/>
  <c r="AY341" i="20"/>
  <c r="AI220" i="20"/>
  <c r="AE220" i="20"/>
  <c r="AY220" i="20"/>
  <c r="AC220" i="20"/>
  <c r="U220" i="20"/>
  <c r="AM220" i="20"/>
  <c r="AK220" i="20"/>
  <c r="AK223" i="20"/>
  <c r="AA223" i="20"/>
  <c r="AC223" i="20"/>
  <c r="AE223" i="20"/>
  <c r="AG223" i="20"/>
  <c r="AY223" i="20"/>
  <c r="AM223" i="20"/>
  <c r="AM226" i="20"/>
  <c r="AK226" i="20"/>
  <c r="AC226" i="20"/>
  <c r="AA226" i="20"/>
  <c r="BA226" i="20"/>
  <c r="AI226" i="20"/>
  <c r="AG226" i="20"/>
  <c r="V226" i="20"/>
  <c r="X226" i="20" s="1"/>
  <c r="U226" i="20"/>
  <c r="AE226" i="20"/>
  <c r="U212" i="20"/>
  <c r="AA212" i="20"/>
  <c r="AK212" i="20"/>
  <c r="AM212" i="20"/>
  <c r="AC212" i="20"/>
  <c r="AE212" i="20"/>
  <c r="AG51" i="20"/>
  <c r="AC51" i="20"/>
  <c r="AE51" i="20"/>
  <c r="AK51" i="20"/>
  <c r="AY51" i="20"/>
  <c r="BA51" i="20"/>
  <c r="V51" i="20"/>
  <c r="X51" i="20" s="1"/>
  <c r="AM51" i="20"/>
  <c r="AE22" i="20"/>
  <c r="AI22" i="20"/>
  <c r="BA22" i="20"/>
  <c r="AG22" i="20"/>
  <c r="V22" i="20"/>
  <c r="X22" i="20" s="1"/>
  <c r="AY22" i="20"/>
  <c r="U22" i="20"/>
  <c r="AC22" i="20"/>
  <c r="AG25" i="20"/>
  <c r="AI25" i="20"/>
  <c r="AA25" i="20"/>
  <c r="AM28" i="20"/>
  <c r="AA28" i="20"/>
  <c r="AI28" i="20"/>
  <c r="BA28" i="20"/>
  <c r="U28" i="20"/>
  <c r="AG28" i="20"/>
  <c r="AY28" i="20"/>
  <c r="AE28" i="20"/>
  <c r="AC28" i="20"/>
  <c r="AE137" i="20"/>
  <c r="AY137" i="20"/>
  <c r="AK137" i="20"/>
  <c r="U137" i="20"/>
  <c r="AC137" i="20"/>
  <c r="AG137" i="20"/>
  <c r="BA137" i="20"/>
  <c r="AC273" i="20"/>
  <c r="AG273" i="20"/>
  <c r="AY273" i="20"/>
  <c r="BA273" i="20"/>
  <c r="AM273" i="20"/>
  <c r="AO273" i="20"/>
  <c r="AE273" i="20"/>
  <c r="V273" i="20"/>
  <c r="X273" i="20" s="1"/>
  <c r="U273" i="20"/>
  <c r="AY342" i="20"/>
  <c r="AK342" i="20"/>
  <c r="AA342" i="20"/>
  <c r="AI342" i="20"/>
  <c r="AG342" i="20"/>
  <c r="AE342" i="20"/>
  <c r="V342" i="20"/>
  <c r="X342" i="20" s="1"/>
  <c r="AM342" i="20"/>
  <c r="AM146" i="20"/>
  <c r="AK146" i="20"/>
  <c r="BA146" i="20"/>
  <c r="AE146" i="20"/>
  <c r="V146" i="20"/>
  <c r="X146" i="20" s="1"/>
  <c r="AG146" i="20"/>
  <c r="AY146" i="20"/>
  <c r="AA146" i="20"/>
  <c r="AI146" i="20"/>
  <c r="AC146" i="20"/>
  <c r="U146" i="20"/>
  <c r="AC149" i="20"/>
  <c r="AK149" i="20"/>
  <c r="AI149" i="20"/>
  <c r="U149" i="20"/>
  <c r="AA149" i="20"/>
  <c r="AM149" i="20"/>
  <c r="AG149" i="20"/>
  <c r="AY149" i="20"/>
  <c r="AE149" i="20"/>
  <c r="BA149" i="20"/>
  <c r="V149" i="20"/>
  <c r="X149" i="20" s="1"/>
  <c r="AG234" i="20"/>
  <c r="AI234" i="20"/>
  <c r="V234" i="20"/>
  <c r="X234" i="20" s="1"/>
  <c r="AK234" i="20"/>
  <c r="AA234" i="20"/>
  <c r="AC237" i="20"/>
  <c r="AA237" i="20"/>
  <c r="AG237" i="20"/>
  <c r="AM237" i="20"/>
  <c r="AI237" i="20"/>
  <c r="BA237" i="20"/>
  <c r="V240" i="20"/>
  <c r="X240" i="20" s="1"/>
  <c r="U240" i="20"/>
  <c r="AG281" i="20"/>
  <c r="V281" i="20"/>
  <c r="X281" i="20" s="1"/>
  <c r="AK281" i="20"/>
  <c r="AC284" i="20"/>
  <c r="U284" i="20"/>
  <c r="U408" i="20"/>
  <c r="AG408" i="20"/>
  <c r="AC408" i="20"/>
  <c r="AE408" i="20"/>
  <c r="AI456" i="20"/>
  <c r="BA456" i="20"/>
  <c r="AE634" i="20"/>
  <c r="AG634" i="20"/>
  <c r="BA634" i="20"/>
  <c r="AM634" i="20"/>
  <c r="AY634" i="20"/>
  <c r="U634" i="20"/>
  <c r="V634" i="20"/>
  <c r="X634" i="20" s="1"/>
  <c r="AK634" i="20"/>
  <c r="AC634" i="20"/>
  <c r="AA634" i="20"/>
  <c r="AI634" i="20"/>
  <c r="AO461" i="35"/>
  <c r="AG461" i="35"/>
  <c r="Y461" i="35"/>
  <c r="AK461" i="35"/>
  <c r="AI461" i="35"/>
  <c r="BC461" i="35"/>
  <c r="AE471" i="35"/>
  <c r="AG471" i="35"/>
  <c r="AE483" i="35"/>
  <c r="BC483" i="35"/>
  <c r="AM483" i="35"/>
  <c r="AK483" i="35"/>
  <c r="AQ495" i="35"/>
  <c r="AK495" i="35"/>
  <c r="Y495" i="35"/>
  <c r="AO226" i="20"/>
  <c r="AQ15" i="35"/>
  <c r="AG15" i="35"/>
  <c r="AO15" i="35"/>
  <c r="AE15" i="35"/>
  <c r="Z15" i="35"/>
  <c r="AB15" i="35" s="1"/>
  <c r="BC15" i="35"/>
  <c r="AM15" i="35"/>
  <c r="Y15" i="35"/>
  <c r="AI15" i="35"/>
  <c r="AK194" i="35"/>
  <c r="AE194" i="35"/>
  <c r="AO194" i="35"/>
  <c r="AM194" i="35"/>
  <c r="AQ194" i="35"/>
  <c r="AG194" i="35"/>
  <c r="Y194" i="35"/>
  <c r="Z194" i="35"/>
  <c r="AB194" i="35" s="1"/>
  <c r="BC194" i="35"/>
  <c r="AE206" i="35"/>
  <c r="AG206" i="35"/>
  <c r="BC206" i="35"/>
  <c r="AM206" i="35"/>
  <c r="AQ206" i="35"/>
  <c r="AM218" i="35"/>
  <c r="AQ218" i="35"/>
  <c r="AE218" i="35"/>
  <c r="AO218" i="35"/>
  <c r="AI218" i="35"/>
  <c r="Z218" i="35"/>
  <c r="AB218" i="35" s="1"/>
  <c r="Y218" i="35"/>
  <c r="AK218" i="35"/>
  <c r="BC218" i="35"/>
  <c r="AG218" i="35"/>
  <c r="Y230" i="35"/>
  <c r="AM230" i="35"/>
  <c r="AO230" i="35"/>
  <c r="AQ230" i="35"/>
  <c r="AG230" i="35"/>
  <c r="AE230" i="35"/>
  <c r="Z230" i="35"/>
  <c r="AB230" i="35" s="1"/>
  <c r="BC230" i="35"/>
  <c r="AK230" i="35"/>
  <c r="AI230" i="35"/>
  <c r="AO242" i="35"/>
  <c r="AE242" i="35"/>
  <c r="AM242" i="35"/>
  <c r="Y242" i="35"/>
  <c r="AK242" i="35"/>
  <c r="AI242" i="35"/>
  <c r="AG242" i="35"/>
  <c r="BE242" i="35"/>
  <c r="BC242" i="35"/>
  <c r="Z242" i="35"/>
  <c r="AB242" i="35" s="1"/>
  <c r="AQ242" i="35"/>
  <c r="BC269" i="35"/>
  <c r="AK269" i="35"/>
  <c r="AI269" i="35"/>
  <c r="AM269" i="35"/>
  <c r="Y269" i="35"/>
  <c r="Z269" i="35"/>
  <c r="AB269" i="35" s="1"/>
  <c r="AO269" i="35"/>
  <c r="AG269" i="35"/>
  <c r="AI276" i="35"/>
  <c r="AQ276" i="35"/>
  <c r="AG384" i="35"/>
  <c r="AO384" i="35"/>
  <c r="Z384" i="35"/>
  <c r="AB384" i="35" s="1"/>
  <c r="AI384" i="35"/>
  <c r="AM384" i="35"/>
  <c r="AK384" i="35"/>
  <c r="AQ384" i="35"/>
  <c r="AE384" i="35"/>
  <c r="Y384" i="35"/>
  <c r="Z396" i="35"/>
  <c r="BE396" i="35" s="1"/>
  <c r="Y396" i="35"/>
  <c r="AQ408" i="35"/>
  <c r="AK408" i="35"/>
  <c r="AM22" i="20"/>
  <c r="AY226" i="20"/>
  <c r="V220" i="20"/>
  <c r="X220" i="20" s="1"/>
  <c r="AO651" i="20"/>
  <c r="AO608" i="20"/>
  <c r="AY488" i="20"/>
  <c r="AK488" i="20"/>
  <c r="AO142" i="20"/>
  <c r="AO12" i="20"/>
  <c r="AO539" i="20"/>
  <c r="AC459" i="20"/>
  <c r="AG530" i="20"/>
  <c r="AO374" i="20"/>
  <c r="AO225" i="20"/>
  <c r="V570" i="20"/>
  <c r="AG570" i="20" s="1"/>
  <c r="AO36" i="20"/>
  <c r="AO348" i="20"/>
  <c r="AO269" i="20"/>
  <c r="AA626" i="20"/>
  <c r="AO485" i="20"/>
  <c r="AO390" i="35"/>
  <c r="AI390" i="35"/>
  <c r="Y390" i="35"/>
  <c r="Z390" i="35"/>
  <c r="AB390" i="35" s="1"/>
  <c r="AW402" i="35"/>
  <c r="AE402" i="35"/>
  <c r="AG414" i="35"/>
  <c r="AQ414" i="35"/>
  <c r="AO414" i="35"/>
  <c r="AE467" i="35"/>
  <c r="AI467" i="35"/>
  <c r="AM467" i="35"/>
  <c r="AO467" i="35"/>
  <c r="T470" i="35"/>
  <c r="O470" i="35"/>
  <c r="AQ477" i="35"/>
  <c r="AG477" i="35"/>
  <c r="Z477" i="35"/>
  <c r="AB477" i="35" s="1"/>
  <c r="AE477" i="35"/>
  <c r="BC477" i="35"/>
  <c r="AK477" i="35"/>
  <c r="AI477" i="35"/>
  <c r="AO477" i="35"/>
  <c r="Y477" i="35"/>
  <c r="AG489" i="35"/>
  <c r="Z489" i="35"/>
  <c r="AB489" i="35" s="1"/>
  <c r="AM489" i="35"/>
  <c r="AI489" i="35"/>
  <c r="Y489" i="35"/>
  <c r="Z513" i="35"/>
  <c r="AB513" i="35" s="1"/>
  <c r="AK513" i="35"/>
  <c r="AG513" i="35"/>
  <c r="AR12" i="40"/>
  <c r="AR13" i="40" s="1"/>
  <c r="O11" i="40"/>
  <c r="AO419" i="20"/>
  <c r="AO140" i="20"/>
  <c r="AA514" i="20"/>
  <c r="AO319" i="20"/>
  <c r="AO542" i="20"/>
  <c r="AA536" i="20"/>
  <c r="AO286" i="20"/>
  <c r="AO149" i="20"/>
  <c r="AO590" i="20"/>
  <c r="AO507" i="20"/>
  <c r="AK287" i="35"/>
  <c r="AG287" i="35"/>
  <c r="AO297" i="35"/>
  <c r="Z297" i="35"/>
  <c r="AB297" i="35" s="1"/>
  <c r="BC297" i="35"/>
  <c r="AE297" i="35"/>
  <c r="AQ297" i="35"/>
  <c r="Y321" i="35"/>
  <c r="BE321" i="35"/>
  <c r="AG340" i="35"/>
  <c r="AM340" i="35"/>
  <c r="AK376" i="35"/>
  <c r="AQ376" i="35"/>
  <c r="Z376" i="35"/>
  <c r="AB376" i="35" s="1"/>
  <c r="AM376" i="35"/>
  <c r="BC376" i="35"/>
  <c r="AI376" i="35"/>
  <c r="AG376" i="35"/>
  <c r="AO376" i="35"/>
  <c r="AO383" i="35"/>
  <c r="AQ383" i="35"/>
  <c r="AG383" i="35"/>
  <c r="AI383" i="35"/>
  <c r="BC383" i="35"/>
  <c r="AK383" i="35"/>
  <c r="AM383" i="35"/>
  <c r="Y383" i="35"/>
  <c r="Z383" i="35"/>
  <c r="AB383" i="35" s="1"/>
  <c r="AE383" i="35"/>
  <c r="AO407" i="35"/>
  <c r="AE407" i="35"/>
  <c r="Z494" i="35"/>
  <c r="AB494" i="35" s="1"/>
  <c r="AE494" i="35"/>
  <c r="AM494" i="35"/>
  <c r="AG506" i="35"/>
  <c r="AM506" i="35"/>
  <c r="AQ73" i="39"/>
  <c r="AE198" i="35"/>
  <c r="Z198" i="35"/>
  <c r="AB198" i="35" s="1"/>
  <c r="AO198" i="35"/>
  <c r="BC256" i="35"/>
  <c r="AE256" i="35"/>
  <c r="AK256" i="35"/>
  <c r="Y465" i="35"/>
  <c r="AI465" i="35"/>
  <c r="AO114" i="39"/>
  <c r="AT6" i="40"/>
  <c r="AK475" i="35"/>
  <c r="AQ333" i="35"/>
  <c r="Y234" i="35"/>
  <c r="AO295" i="20"/>
  <c r="V545" i="20"/>
  <c r="X545" i="20" s="1"/>
  <c r="AO98" i="20"/>
  <c r="AK390" i="35"/>
  <c r="AM290" i="35"/>
  <c r="AO603" i="20"/>
  <c r="AO581" i="20"/>
  <c r="AO382" i="20"/>
  <c r="AO334" i="20"/>
  <c r="AO248" i="20"/>
  <c r="Y455" i="35"/>
  <c r="Y314" i="35"/>
  <c r="AO602" i="20"/>
  <c r="AC506" i="20"/>
  <c r="AI482" i="20"/>
  <c r="AK494" i="35"/>
  <c r="AO577" i="20"/>
  <c r="U488" i="20"/>
  <c r="AO299" i="20"/>
  <c r="AO404" i="20"/>
  <c r="AO461" i="20"/>
  <c r="AO600" i="20"/>
  <c r="AG468" i="20"/>
  <c r="U193" i="20"/>
  <c r="AO198" i="20"/>
  <c r="AO292" i="20"/>
  <c r="AO176" i="20"/>
  <c r="V56" i="20"/>
  <c r="X56" i="20" s="1"/>
  <c r="AG79" i="35"/>
  <c r="Y79" i="35"/>
  <c r="AK79" i="35"/>
  <c r="AI79" i="35"/>
  <c r="AM89" i="35"/>
  <c r="AE89" i="35"/>
  <c r="AK89" i="35"/>
  <c r="AG113" i="35"/>
  <c r="AM113" i="35"/>
  <c r="AQ113" i="35"/>
  <c r="AE113" i="35"/>
  <c r="Z125" i="35"/>
  <c r="AB125" i="35" s="1"/>
  <c r="AG125" i="35"/>
  <c r="AE135" i="35"/>
  <c r="AO135" i="35"/>
  <c r="AI169" i="35"/>
  <c r="AM169" i="35"/>
  <c r="AG179" i="35"/>
  <c r="AO179" i="35"/>
  <c r="AE179" i="35"/>
  <c r="Y179" i="35"/>
  <c r="Z179" i="35"/>
  <c r="AB179" i="35" s="1"/>
  <c r="AM179" i="35"/>
  <c r="AQ179" i="35"/>
  <c r="Y203" i="35"/>
  <c r="AQ203" i="35"/>
  <c r="AE203" i="35"/>
  <c r="AM215" i="35"/>
  <c r="AQ215" i="35"/>
  <c r="AM239" i="35"/>
  <c r="Y239" i="35"/>
  <c r="AK239" i="35"/>
  <c r="O288" i="35"/>
  <c r="P288" i="35"/>
  <c r="T288" i="35"/>
  <c r="AG393" i="35"/>
  <c r="Z393" i="35"/>
  <c r="AB393" i="35" s="1"/>
  <c r="AI393" i="35"/>
  <c r="AO417" i="35"/>
  <c r="Y417" i="35"/>
  <c r="AI417" i="35"/>
  <c r="AE417" i="35"/>
  <c r="Z417" i="35"/>
  <c r="AB417" i="35" s="1"/>
  <c r="BC417" i="35"/>
  <c r="AM417" i="35"/>
  <c r="AK417" i="35"/>
  <c r="AG417" i="35"/>
  <c r="AE424" i="35"/>
  <c r="Z424" i="35"/>
  <c r="AB424" i="35" s="1"/>
  <c r="AO424" i="35"/>
  <c r="Y424" i="35"/>
  <c r="AM424" i="35"/>
  <c r="AG424" i="35"/>
  <c r="AI424" i="35"/>
  <c r="AQ424" i="35"/>
  <c r="AK424" i="35"/>
  <c r="AI458" i="35"/>
  <c r="BC458" i="35"/>
  <c r="AQ42" i="40"/>
  <c r="AQ72" i="40"/>
  <c r="BC475" i="35"/>
  <c r="AK333" i="35"/>
  <c r="AO93" i="20"/>
  <c r="AG545" i="20"/>
  <c r="AO211" i="20"/>
  <c r="AO260" i="20"/>
  <c r="AO219" i="20"/>
  <c r="AM390" i="35"/>
  <c r="Y198" i="35"/>
  <c r="AI402" i="35"/>
  <c r="BE357" i="35"/>
  <c r="AO256" i="20"/>
  <c r="AO108" i="20"/>
  <c r="AO102" i="20"/>
  <c r="AO125" i="20"/>
  <c r="AO351" i="20"/>
  <c r="AO447" i="20"/>
  <c r="AE390" i="35"/>
  <c r="AG455" i="35"/>
  <c r="AM402" i="35"/>
  <c r="V506" i="20"/>
  <c r="X506" i="20" s="1"/>
  <c r="V482" i="20"/>
  <c r="X482" i="20" s="1"/>
  <c r="AO494" i="35"/>
  <c r="BA386" i="20"/>
  <c r="BA545" i="20"/>
  <c r="AO86" i="20"/>
  <c r="AO644" i="20"/>
  <c r="AO429" i="20"/>
  <c r="AY468" i="20"/>
  <c r="AE193" i="20"/>
  <c r="AM509" i="20"/>
  <c r="AO97" i="20"/>
  <c r="BA497" i="20"/>
  <c r="AY647" i="20"/>
  <c r="U56" i="20"/>
  <c r="AK37" i="20"/>
  <c r="AG37" i="20"/>
  <c r="AI43" i="20"/>
  <c r="AY43" i="20"/>
  <c r="BA43" i="20"/>
  <c r="AG9" i="20"/>
  <c r="BA9" i="20"/>
  <c r="AC257" i="20"/>
  <c r="AE257" i="20"/>
  <c r="U257" i="20"/>
  <c r="AI257" i="20"/>
  <c r="V257" i="20"/>
  <c r="X257" i="20" s="1"/>
  <c r="AA257" i="20"/>
  <c r="AC263" i="20"/>
  <c r="AG263" i="20"/>
  <c r="AC275" i="20"/>
  <c r="AA275" i="20"/>
  <c r="AI275" i="20"/>
  <c r="AE275" i="20"/>
  <c r="V275" i="20"/>
  <c r="X275" i="20" s="1"/>
  <c r="U275" i="20"/>
  <c r="AY344" i="20"/>
  <c r="AK344" i="20"/>
  <c r="AG347" i="20"/>
  <c r="AY347" i="20"/>
  <c r="AC187" i="20"/>
  <c r="AG187" i="20"/>
  <c r="AI187" i="20"/>
  <c r="V187" i="20"/>
  <c r="X187" i="20" s="1"/>
  <c r="AK187" i="20"/>
  <c r="AG290" i="20"/>
  <c r="AM290" i="20"/>
  <c r="V290" i="20"/>
  <c r="X290" i="20" s="1"/>
  <c r="AA290" i="20"/>
  <c r="U290" i="20"/>
  <c r="AM296" i="20"/>
  <c r="V296" i="20"/>
  <c r="X296" i="20" s="1"/>
  <c r="U296" i="20"/>
  <c r="AI296" i="20"/>
  <c r="V299" i="20"/>
  <c r="X299" i="20" s="1"/>
  <c r="AI299" i="20"/>
  <c r="AE299" i="20"/>
  <c r="AC299" i="20"/>
  <c r="AY299" i="20"/>
  <c r="AA299" i="20"/>
  <c r="AM302" i="20"/>
  <c r="AE302" i="20"/>
  <c r="AK302" i="20"/>
  <c r="AY302" i="20"/>
  <c r="U302" i="20"/>
  <c r="AI360" i="20"/>
  <c r="V360" i="20"/>
  <c r="X360" i="20" s="1"/>
  <c r="AG360" i="20"/>
  <c r="AA360" i="20"/>
  <c r="AY363" i="20"/>
  <c r="AE363" i="20"/>
  <c r="AI363" i="20"/>
  <c r="AM363" i="20"/>
  <c r="AA363" i="20"/>
  <c r="V363" i="20"/>
  <c r="X363" i="20" s="1"/>
  <c r="AC363" i="20"/>
  <c r="V351" i="20"/>
  <c r="X351" i="20" s="1"/>
  <c r="AI351" i="20"/>
  <c r="AG351" i="20"/>
  <c r="AM354" i="20"/>
  <c r="AI354" i="20"/>
  <c r="AA354" i="20"/>
  <c r="AE388" i="20"/>
  <c r="AI388" i="20"/>
  <c r="AA394" i="20"/>
  <c r="U394" i="20"/>
  <c r="AK394" i="20"/>
  <c r="AM394" i="20"/>
  <c r="AE394" i="20"/>
  <c r="AK414" i="20"/>
  <c r="BA414" i="20"/>
  <c r="AO417" i="20"/>
  <c r="AY417" i="20"/>
  <c r="AC453" i="20"/>
  <c r="BA453" i="20"/>
  <c r="V632" i="20"/>
  <c r="X632" i="20" s="1"/>
  <c r="AC632" i="20"/>
  <c r="AK632" i="20"/>
  <c r="AI632" i="20"/>
  <c r="AG632" i="20"/>
  <c r="AY632" i="20"/>
  <c r="AE632" i="20"/>
  <c r="AM632" i="20"/>
  <c r="U632" i="20"/>
  <c r="AG593" i="20"/>
  <c r="AI593" i="20"/>
  <c r="AI651" i="20"/>
  <c r="U651" i="20"/>
  <c r="Y210" i="35"/>
  <c r="AE210" i="35"/>
  <c r="AG210" i="35"/>
  <c r="AK234" i="35"/>
  <c r="Z234" i="35"/>
  <c r="AB234" i="35" s="1"/>
  <c r="Z246" i="35"/>
  <c r="AB246" i="35" s="1"/>
  <c r="AQ246" i="35"/>
  <c r="AE246" i="35"/>
  <c r="AQ280" i="35"/>
  <c r="AI280" i="35"/>
  <c r="AM280" i="35"/>
  <c r="AE280" i="35"/>
  <c r="AK314" i="35"/>
  <c r="AO314" i="35"/>
  <c r="AG314" i="35"/>
  <c r="AQ412" i="35"/>
  <c r="Z412" i="35"/>
  <c r="AB412" i="35" s="1"/>
  <c r="AI412" i="35"/>
  <c r="AO412" i="35"/>
  <c r="BC412" i="35"/>
  <c r="AG419" i="35"/>
  <c r="Y419" i="35"/>
  <c r="Z419" i="35"/>
  <c r="AB419" i="35" s="1"/>
  <c r="AO419" i="35"/>
  <c r="AK419" i="35"/>
  <c r="AM419" i="35"/>
  <c r="AI419" i="35"/>
  <c r="AQ419" i="35"/>
  <c r="AE419" i="35"/>
  <c r="Z443" i="35"/>
  <c r="BE443" i="35" s="1"/>
  <c r="Y443" i="35"/>
  <c r="AM453" i="35"/>
  <c r="AE453" i="35"/>
  <c r="AI487" i="35"/>
  <c r="Z487" i="35"/>
  <c r="AB487" i="35" s="1"/>
  <c r="Y487" i="35"/>
  <c r="AK487" i="35"/>
  <c r="Y530" i="35"/>
  <c r="AK530" i="35"/>
  <c r="Z530" i="35"/>
  <c r="AB530" i="35" s="1"/>
  <c r="AO530" i="35"/>
  <c r="AM530" i="35"/>
  <c r="BC530" i="35"/>
  <c r="Z465" i="35"/>
  <c r="AB465" i="35" s="1"/>
  <c r="AO501" i="20"/>
  <c r="Y402" i="35"/>
  <c r="AO634" i="20"/>
  <c r="AO330" i="20"/>
  <c r="V477" i="20"/>
  <c r="X477" i="20" s="1"/>
  <c r="AO341" i="20"/>
  <c r="AO323" i="20"/>
  <c r="AO321" i="20"/>
  <c r="AG402" i="35"/>
  <c r="AO632" i="20"/>
  <c r="BA491" i="20"/>
  <c r="AO315" i="20"/>
  <c r="AM328" i="35"/>
  <c r="Y412" i="35"/>
  <c r="AO154" i="20"/>
  <c r="AO643" i="20"/>
  <c r="AO49" i="20"/>
  <c r="AA509" i="20"/>
  <c r="AO433" i="20"/>
  <c r="AI246" i="20"/>
  <c r="AE246" i="20"/>
  <c r="V246" i="20"/>
  <c r="X246" i="20" s="1"/>
  <c r="AA246" i="20"/>
  <c r="AA249" i="20"/>
  <c r="AI249" i="20"/>
  <c r="AK249" i="20"/>
  <c r="AC249" i="20"/>
  <c r="AM249" i="20"/>
  <c r="AG207" i="20"/>
  <c r="AC207" i="20"/>
  <c r="AY207" i="20"/>
  <c r="AI207" i="20"/>
  <c r="AI34" i="20"/>
  <c r="AG34" i="20"/>
  <c r="U34" i="20"/>
  <c r="AE34" i="20"/>
  <c r="AY34" i="20"/>
  <c r="AM34" i="20"/>
  <c r="BA34" i="20"/>
  <c r="AY252" i="20"/>
  <c r="BA252" i="20"/>
  <c r="AE255" i="20"/>
  <c r="AC255" i="20"/>
  <c r="AC184" i="20"/>
  <c r="V184" i="20"/>
  <c r="X184" i="20" s="1"/>
  <c r="AG184" i="20"/>
  <c r="AA65" i="20"/>
  <c r="AG65" i="20"/>
  <c r="AY65" i="20"/>
  <c r="U65" i="20"/>
  <c r="AC68" i="20"/>
  <c r="V68" i="20"/>
  <c r="X68" i="20" s="1"/>
  <c r="AE68" i="20"/>
  <c r="AK68" i="20"/>
  <c r="AG71" i="20"/>
  <c r="V71" i="20"/>
  <c r="X71" i="20" s="1"/>
  <c r="AE71" i="20"/>
  <c r="AA71" i="20"/>
  <c r="U71" i="20"/>
  <c r="U31" i="20"/>
  <c r="AA31" i="20"/>
  <c r="AI31" i="20"/>
  <c r="AG31" i="20"/>
  <c r="AC31" i="20"/>
  <c r="AE31" i="20"/>
  <c r="AC190" i="20"/>
  <c r="AG190" i="20"/>
  <c r="AA190" i="20"/>
  <c r="U190" i="20"/>
  <c r="AM190" i="20"/>
  <c r="AA357" i="20"/>
  <c r="AM357" i="20"/>
  <c r="U433" i="20"/>
  <c r="AK433" i="20"/>
  <c r="AM433" i="20"/>
  <c r="AC433" i="20"/>
  <c r="AG433" i="20"/>
  <c r="AA433" i="20"/>
  <c r="V433" i="20"/>
  <c r="X433" i="20" s="1"/>
  <c r="AY433" i="20"/>
  <c r="AE433" i="20"/>
  <c r="AA480" i="20"/>
  <c r="AK480" i="20"/>
  <c r="AM480" i="20"/>
  <c r="U480" i="20"/>
  <c r="AA511" i="20"/>
  <c r="AK511" i="20"/>
  <c r="AE511" i="20"/>
  <c r="AA583" i="20"/>
  <c r="AG583" i="20"/>
  <c r="V583" i="20"/>
  <c r="X583" i="20" s="1"/>
  <c r="AI583" i="20"/>
  <c r="U610" i="20"/>
  <c r="AY610" i="20"/>
  <c r="AG610" i="20"/>
  <c r="AI621" i="20"/>
  <c r="AY621" i="20"/>
  <c r="V621" i="20"/>
  <c r="X621" i="20" s="1"/>
  <c r="AK621" i="20"/>
  <c r="U621" i="20"/>
  <c r="AC621" i="20"/>
  <c r="AM621" i="20"/>
  <c r="AE621" i="20"/>
  <c r="AI639" i="20"/>
  <c r="AG639" i="20"/>
  <c r="AA639" i="20"/>
  <c r="BA639" i="20"/>
  <c r="U335" i="20"/>
  <c r="AY335" i="20"/>
  <c r="AM335" i="20"/>
  <c r="AI170" i="20"/>
  <c r="BA170" i="20"/>
  <c r="AM170" i="20"/>
  <c r="U173" i="20"/>
  <c r="AC173" i="20"/>
  <c r="AM173" i="20"/>
  <c r="AE173" i="20"/>
  <c r="AE227" i="20"/>
  <c r="AI227" i="20"/>
  <c r="AG227" i="20"/>
  <c r="AM227" i="20"/>
  <c r="V227" i="20"/>
  <c r="X227" i="20" s="1"/>
  <c r="AK227" i="20"/>
  <c r="U227" i="20"/>
  <c r="AE73" i="20"/>
  <c r="AA73" i="20"/>
  <c r="BA73" i="20"/>
  <c r="AK76" i="20"/>
  <c r="AG76" i="20"/>
  <c r="AE76" i="20"/>
  <c r="AI79" i="20"/>
  <c r="U79" i="20"/>
  <c r="BA79" i="20"/>
  <c r="AI82" i="20"/>
  <c r="AA82" i="20"/>
  <c r="AY82" i="20"/>
  <c r="AE85" i="20"/>
  <c r="U85" i="20"/>
  <c r="AE88" i="20"/>
  <c r="U88" i="20"/>
  <c r="V88" i="20"/>
  <c r="X88" i="20" s="1"/>
  <c r="U94" i="20"/>
  <c r="AI94" i="20"/>
  <c r="AY94" i="20"/>
  <c r="AM97" i="20"/>
  <c r="AI97" i="20"/>
  <c r="AM100" i="20"/>
  <c r="U100" i="20"/>
  <c r="AG100" i="20"/>
  <c r="AA100" i="20"/>
  <c r="U103" i="20"/>
  <c r="AY103" i="20"/>
  <c r="AA103" i="20"/>
  <c r="AE103" i="20"/>
  <c r="AC106" i="20"/>
  <c r="AE106" i="20"/>
  <c r="AA106" i="20"/>
  <c r="AG106" i="20"/>
  <c r="V109" i="20"/>
  <c r="X109" i="20" s="1"/>
  <c r="AK109" i="20"/>
  <c r="AA109" i="20"/>
  <c r="AG109" i="20"/>
  <c r="AK112" i="20"/>
  <c r="AI112" i="20"/>
  <c r="AC112" i="20"/>
  <c r="AM115" i="20"/>
  <c r="AC115" i="20"/>
  <c r="AM118" i="20"/>
  <c r="AC118" i="20"/>
  <c r="AE121" i="20"/>
  <c r="U121" i="20"/>
  <c r="AC121" i="20"/>
  <c r="AG121" i="20"/>
  <c r="AA121" i="20"/>
  <c r="AY121" i="20"/>
  <c r="BA121" i="20"/>
  <c r="AC124" i="20"/>
  <c r="AG124" i="20"/>
  <c r="AE124" i="20"/>
  <c r="AK124" i="20"/>
  <c r="AA124" i="20"/>
  <c r="AM124" i="20"/>
  <c r="V127" i="20"/>
  <c r="X127" i="20" s="1"/>
  <c r="AE127" i="20"/>
  <c r="AM127" i="20"/>
  <c r="AC127" i="20"/>
  <c r="AI127" i="20"/>
  <c r="AK127" i="20"/>
  <c r="AG130" i="20"/>
  <c r="AE130" i="20"/>
  <c r="AY130" i="20"/>
  <c r="AI130" i="20"/>
  <c r="AC130" i="20"/>
  <c r="U130" i="20"/>
  <c r="AI133" i="20"/>
  <c r="AA133" i="20"/>
  <c r="AC133" i="20"/>
  <c r="AE133" i="20"/>
  <c r="U133" i="20"/>
  <c r="AY133" i="20"/>
  <c r="AM133" i="20"/>
  <c r="V175" i="20"/>
  <c r="X175" i="20" s="1"/>
  <c r="AI175" i="20"/>
  <c r="AA175" i="20"/>
  <c r="AG175" i="20"/>
  <c r="AK175" i="20"/>
  <c r="AK378" i="20"/>
  <c r="AA378" i="20"/>
  <c r="AM378" i="20"/>
  <c r="BA378" i="20"/>
  <c r="AY378" i="20"/>
  <c r="AA381" i="20"/>
  <c r="AE381" i="20"/>
  <c r="AC381" i="20"/>
  <c r="BA381" i="20"/>
  <c r="AM381" i="20"/>
  <c r="AE384" i="20"/>
  <c r="AI384" i="20"/>
  <c r="U384" i="20"/>
  <c r="AG384" i="20"/>
  <c r="AM384" i="20"/>
  <c r="BA384" i="20"/>
  <c r="V384" i="20"/>
  <c r="X384" i="20" s="1"/>
  <c r="AC232" i="20"/>
  <c r="AM232" i="20"/>
  <c r="AE232" i="20"/>
  <c r="V232" i="20"/>
  <c r="X232" i="20" s="1"/>
  <c r="AY232" i="20"/>
  <c r="AG232" i="20"/>
  <c r="AK232" i="20"/>
  <c r="AA232" i="20"/>
  <c r="U216" i="20"/>
  <c r="AC216" i="20"/>
  <c r="AA216" i="20"/>
  <c r="AY216" i="20"/>
  <c r="V216" i="20"/>
  <c r="X216" i="20" s="1"/>
  <c r="AE140" i="20"/>
  <c r="AA140" i="20"/>
  <c r="AY140" i="20"/>
  <c r="AK140" i="20"/>
  <c r="AI140" i="20"/>
  <c r="AA143" i="20"/>
  <c r="AI143" i="20"/>
  <c r="AK143" i="20"/>
  <c r="U204" i="20"/>
  <c r="AK204" i="20"/>
  <c r="AI204" i="20"/>
  <c r="V204" i="20"/>
  <c r="X204" i="20" s="1"/>
  <c r="AE204" i="20"/>
  <c r="U178" i="20"/>
  <c r="AK178" i="20"/>
  <c r="AY178" i="20"/>
  <c r="AE178" i="20"/>
  <c r="AG178" i="20"/>
  <c r="AA178" i="20"/>
  <c r="U314" i="20"/>
  <c r="V314" i="20"/>
  <c r="X314" i="20" s="1"/>
  <c r="AA314" i="20"/>
  <c r="AK314" i="20"/>
  <c r="BA314" i="20"/>
  <c r="AC317" i="20"/>
  <c r="AA317" i="20"/>
  <c r="U320" i="20"/>
  <c r="V320" i="20"/>
  <c r="X320" i="20" s="1"/>
  <c r="AK320" i="20"/>
  <c r="V372" i="20"/>
  <c r="X372" i="20" s="1"/>
  <c r="AI372" i="20"/>
  <c r="AC325" i="20"/>
  <c r="AA325" i="20"/>
  <c r="AM325" i="20"/>
  <c r="AG325" i="20"/>
  <c r="AM331" i="20"/>
  <c r="AC331" i="20"/>
  <c r="AI331" i="20"/>
  <c r="AK331" i="20"/>
  <c r="V331" i="20"/>
  <c r="X331" i="20" s="1"/>
  <c r="AM366" i="20"/>
  <c r="AC366" i="20"/>
  <c r="AE366" i="20"/>
  <c r="AO369" i="20"/>
  <c r="BA369" i="20"/>
  <c r="AA376" i="20"/>
  <c r="AE376" i="20"/>
  <c r="AK376" i="20"/>
  <c r="V376" i="20"/>
  <c r="X376" i="20" s="1"/>
  <c r="AK62" i="20"/>
  <c r="AM62" i="20"/>
  <c r="AA62" i="20"/>
  <c r="U62" i="20"/>
  <c r="V618" i="20"/>
  <c r="X618" i="20" s="1"/>
  <c r="AM618" i="20"/>
  <c r="AK618" i="20"/>
  <c r="V600" i="20"/>
  <c r="X600" i="20" s="1"/>
  <c r="AY600" i="20"/>
  <c r="AI600" i="20"/>
  <c r="AM579" i="20"/>
  <c r="AI579" i="20"/>
  <c r="U579" i="20"/>
  <c r="AE579" i="20"/>
  <c r="M289" i="20"/>
  <c r="P289" i="20"/>
  <c r="AQ417" i="35"/>
  <c r="AK154" i="20"/>
  <c r="AY154" i="20"/>
  <c r="AC154" i="20"/>
  <c r="U154" i="20"/>
  <c r="BA154" i="20"/>
  <c r="AI154" i="20"/>
  <c r="AM154" i="20"/>
  <c r="AM462" i="20"/>
  <c r="AY462" i="20"/>
  <c r="AI462" i="20"/>
  <c r="AA462" i="20"/>
  <c r="AG462" i="20"/>
  <c r="AK462" i="20"/>
  <c r="V462" i="20"/>
  <c r="X462" i="20" s="1"/>
  <c r="AE462" i="20"/>
  <c r="AC471" i="20"/>
  <c r="AM471" i="20"/>
  <c r="AK471" i="20"/>
  <c r="AY471" i="20"/>
  <c r="AI471" i="20"/>
  <c r="AG471" i="20"/>
  <c r="AE471" i="20"/>
  <c r="U471" i="20"/>
  <c r="U485" i="20"/>
  <c r="AK485" i="20"/>
  <c r="AC485" i="20"/>
  <c r="AM485" i="20"/>
  <c r="AA485" i="20"/>
  <c r="AY485" i="20"/>
  <c r="AI485" i="20"/>
  <c r="AG485" i="20"/>
  <c r="V485" i="20"/>
  <c r="X485" i="20" s="1"/>
  <c r="AM500" i="20"/>
  <c r="AY500" i="20"/>
  <c r="AK500" i="20"/>
  <c r="U500" i="20"/>
  <c r="AI500" i="20"/>
  <c r="AC500" i="20"/>
  <c r="V500" i="20"/>
  <c r="X500" i="20" s="1"/>
  <c r="AE500" i="20"/>
  <c r="V523" i="20"/>
  <c r="AO523" i="20" s="1"/>
  <c r="U523" i="20"/>
  <c r="U564" i="20"/>
  <c r="V564" i="20"/>
  <c r="AA564" i="20" s="1"/>
  <c r="AI586" i="20"/>
  <c r="AG586" i="20"/>
  <c r="AM586" i="20"/>
  <c r="V586" i="20"/>
  <c r="X586" i="20" s="1"/>
  <c r="U586" i="20"/>
  <c r="AA586" i="20"/>
  <c r="AE586" i="20"/>
  <c r="AK647" i="20"/>
  <c r="AC647" i="20"/>
  <c r="BA647" i="20"/>
  <c r="AA647" i="20"/>
  <c r="AI647" i="20"/>
  <c r="AA533" i="20"/>
  <c r="AI533" i="20"/>
  <c r="U533" i="20"/>
  <c r="AY533" i="20"/>
  <c r="AC533" i="20"/>
  <c r="AG539" i="20"/>
  <c r="AC539" i="20"/>
  <c r="U539" i="20"/>
  <c r="AM539" i="20"/>
  <c r="AA539" i="20"/>
  <c r="AE539" i="20"/>
  <c r="V539" i="20"/>
  <c r="X539" i="20" s="1"/>
  <c r="AK539" i="20"/>
  <c r="AI333" i="35"/>
  <c r="AK222" i="35"/>
  <c r="AE386" i="20"/>
  <c r="AM647" i="20"/>
  <c r="AO372" i="20"/>
  <c r="AK397" i="20"/>
  <c r="AO627" i="20"/>
  <c r="AO207" i="20"/>
  <c r="AO246" i="20"/>
  <c r="AX33" i="40"/>
  <c r="AE491" i="20"/>
  <c r="BA485" i="20"/>
  <c r="AC503" i="20"/>
  <c r="AQ256" i="35"/>
  <c r="AO416" i="20"/>
  <c r="AO531" i="20"/>
  <c r="AG154" i="20"/>
  <c r="AO21" i="20"/>
  <c r="AO135" i="20"/>
  <c r="AO383" i="20"/>
  <c r="AI539" i="20"/>
  <c r="AO67" i="20"/>
  <c r="AK11" i="20"/>
  <c r="AA11" i="20"/>
  <c r="AI11" i="20"/>
  <c r="AM193" i="20"/>
  <c r="V193" i="20"/>
  <c r="X193" i="20" s="1"/>
  <c r="AC193" i="20"/>
  <c r="AI193" i="20"/>
  <c r="AK193" i="20"/>
  <c r="AA193" i="20"/>
  <c r="AC403" i="20"/>
  <c r="AK403" i="20"/>
  <c r="AG403" i="20"/>
  <c r="AY459" i="20"/>
  <c r="AG459" i="20"/>
  <c r="AM459" i="20"/>
  <c r="AI459" i="20"/>
  <c r="U459" i="20"/>
  <c r="AE459" i="20"/>
  <c r="AA459" i="20"/>
  <c r="AK474" i="20"/>
  <c r="AM474" i="20"/>
  <c r="AA474" i="20"/>
  <c r="AG474" i="20"/>
  <c r="AY474" i="20"/>
  <c r="AE474" i="20"/>
  <c r="U474" i="20"/>
  <c r="AI474" i="20"/>
  <c r="V474" i="20"/>
  <c r="X474" i="20" s="1"/>
  <c r="AG488" i="20"/>
  <c r="AA488" i="20"/>
  <c r="AI488" i="20"/>
  <c r="AE488" i="20"/>
  <c r="V497" i="20"/>
  <c r="X497" i="20" s="1"/>
  <c r="AI497" i="20"/>
  <c r="AM497" i="20"/>
  <c r="U497" i="20"/>
  <c r="AA497" i="20"/>
  <c r="AC497" i="20"/>
  <c r="AY497" i="20"/>
  <c r="AG497" i="20"/>
  <c r="AG509" i="20"/>
  <c r="AE509" i="20"/>
  <c r="V509" i="20"/>
  <c r="X509" i="20" s="1"/>
  <c r="U509" i="20"/>
  <c r="AK509" i="20"/>
  <c r="AC509" i="20"/>
  <c r="AY514" i="20"/>
  <c r="AG514" i="20"/>
  <c r="AM514" i="20"/>
  <c r="V514" i="20"/>
  <c r="X514" i="20" s="1"/>
  <c r="AE514" i="20"/>
  <c r="AI514" i="20"/>
  <c r="V520" i="20"/>
  <c r="AG520" i="20" s="1"/>
  <c r="U520" i="20"/>
  <c r="U529" i="20"/>
  <c r="V529" i="20"/>
  <c r="AK529" i="20" s="1"/>
  <c r="U549" i="20"/>
  <c r="V549" i="20"/>
  <c r="AM549" i="20" s="1"/>
  <c r="U552" i="20"/>
  <c r="V552" i="20"/>
  <c r="BS552" i="20" s="1"/>
  <c r="U561" i="20"/>
  <c r="V561" i="20"/>
  <c r="BA561" i="20" s="1"/>
  <c r="V623" i="20"/>
  <c r="X623" i="20" s="1"/>
  <c r="AA623" i="20"/>
  <c r="AY623" i="20"/>
  <c r="AE623" i="20"/>
  <c r="BA623" i="20"/>
  <c r="U623" i="20"/>
  <c r="V641" i="20"/>
  <c r="X641" i="20" s="1"/>
  <c r="AY641" i="20"/>
  <c r="AC641" i="20"/>
  <c r="AG641" i="20"/>
  <c r="AA641" i="20"/>
  <c r="AA530" i="20"/>
  <c r="V530" i="20"/>
  <c r="X530" i="20" s="1"/>
  <c r="AY530" i="20"/>
  <c r="AC530" i="20"/>
  <c r="U530" i="20"/>
  <c r="AK530" i="20"/>
  <c r="BA530" i="20"/>
  <c r="AM530" i="20"/>
  <c r="AI545" i="20"/>
  <c r="AK545" i="20"/>
  <c r="Z222" i="35"/>
  <c r="AB222" i="35" s="1"/>
  <c r="AK465" i="35"/>
  <c r="Z333" i="35"/>
  <c r="AB333" i="35" s="1"/>
  <c r="BC465" i="35"/>
  <c r="Z290" i="35"/>
  <c r="AB290" i="35" s="1"/>
  <c r="AI222" i="35"/>
  <c r="AY545" i="20"/>
  <c r="AO505" i="20"/>
  <c r="Y328" i="35"/>
  <c r="AI523" i="35"/>
  <c r="AO343" i="20"/>
  <c r="AO223" i="20"/>
  <c r="V647" i="20"/>
  <c r="X647" i="20" s="1"/>
  <c r="AO129" i="20"/>
  <c r="AI397" i="20"/>
  <c r="U641" i="20"/>
  <c r="AG623" i="20"/>
  <c r="AC491" i="20"/>
  <c r="BA641" i="20"/>
  <c r="AG503" i="20"/>
  <c r="AO146" i="20"/>
  <c r="T266" i="35"/>
  <c r="Z256" i="35"/>
  <c r="AB256" i="35" s="1"/>
  <c r="AO401" i="20"/>
  <c r="AO546" i="20"/>
  <c r="AO392" i="20"/>
  <c r="AO363" i="20"/>
  <c r="AO236" i="20"/>
  <c r="U360" i="20"/>
  <c r="AG500" i="20"/>
  <c r="U468" i="20"/>
  <c r="AA468" i="20"/>
  <c r="AI468" i="20"/>
  <c r="AM468" i="20"/>
  <c r="AG482" i="20"/>
  <c r="AA482" i="20"/>
  <c r="AE482" i="20"/>
  <c r="AG494" i="20"/>
  <c r="AE494" i="20"/>
  <c r="U494" i="20"/>
  <c r="AK494" i="20"/>
  <c r="AA494" i="20"/>
  <c r="AI494" i="20"/>
  <c r="AA506" i="20"/>
  <c r="AK506" i="20"/>
  <c r="AI506" i="20"/>
  <c r="V517" i="20"/>
  <c r="AA517" i="20" s="1"/>
  <c r="U517" i="20"/>
  <c r="V555" i="20"/>
  <c r="AO555" i="20" s="1"/>
  <c r="U555" i="20"/>
  <c r="U580" i="20"/>
  <c r="AC580" i="20"/>
  <c r="AY580" i="20"/>
  <c r="V580" i="20"/>
  <c r="X580" i="20" s="1"/>
  <c r="BA580" i="20"/>
  <c r="AM626" i="20"/>
  <c r="U626" i="20"/>
  <c r="AI626" i="20"/>
  <c r="AY626" i="20"/>
  <c r="AK626" i="20"/>
  <c r="V626" i="20"/>
  <c r="X626" i="20" s="1"/>
  <c r="AE626" i="20"/>
  <c r="AE56" i="20"/>
  <c r="AA56" i="20"/>
  <c r="AI56" i="20"/>
  <c r="AM56" i="20"/>
  <c r="AY56" i="20"/>
  <c r="AG56" i="20"/>
  <c r="V536" i="20"/>
  <c r="X536" i="20" s="1"/>
  <c r="AK536" i="20"/>
  <c r="AY536" i="20"/>
  <c r="U536" i="20"/>
  <c r="AC536" i="20"/>
  <c r="AI536" i="20"/>
  <c r="AS222" i="35"/>
  <c r="AM545" i="20"/>
  <c r="Y523" i="35"/>
  <c r="AG647" i="20"/>
  <c r="AG397" i="20"/>
  <c r="AI641" i="20"/>
  <c r="AK623" i="20"/>
  <c r="AM234" i="35"/>
  <c r="AO376" i="20"/>
  <c r="Y246" i="35"/>
  <c r="BA59" i="20"/>
  <c r="P266" i="35"/>
  <c r="AO462" i="20"/>
  <c r="AO605" i="20"/>
  <c r="AO119" i="20"/>
  <c r="U462" i="20"/>
  <c r="AC586" i="20"/>
  <c r="AG626" i="20"/>
  <c r="AE536" i="20"/>
  <c r="AA580" i="20"/>
  <c r="AM43" i="20"/>
  <c r="AG580" i="20"/>
  <c r="AO438" i="20"/>
  <c r="AO587" i="20"/>
  <c r="AO407" i="20"/>
  <c r="AO101" i="20"/>
  <c r="AO498" i="20"/>
  <c r="AO235" i="20"/>
  <c r="AO83" i="20"/>
  <c r="AO368" i="20"/>
  <c r="AO290" i="20"/>
  <c r="AO264" i="20"/>
  <c r="AO243" i="20"/>
  <c r="AO410" i="20"/>
  <c r="AO170" i="20"/>
  <c r="AO543" i="20"/>
  <c r="AO409" i="20"/>
  <c r="AO279" i="20"/>
  <c r="AO60" i="20"/>
  <c r="AO234" i="20"/>
  <c r="AO10" i="20"/>
  <c r="AO436" i="20"/>
  <c r="AO390" i="20"/>
  <c r="AO92" i="20"/>
  <c r="AO362" i="20"/>
  <c r="AO357" i="20"/>
  <c r="AO578" i="20"/>
  <c r="AO296" i="20"/>
  <c r="AO201" i="20"/>
  <c r="AO222" i="20"/>
  <c r="AO510" i="20"/>
  <c r="AO495" i="20"/>
  <c r="AO175" i="20"/>
  <c r="AO272" i="20"/>
  <c r="AO646" i="20"/>
  <c r="AO267" i="20"/>
  <c r="AO303" i="20"/>
  <c r="AO497" i="20"/>
  <c r="AO471" i="20"/>
  <c r="AO586" i="20"/>
  <c r="AO111" i="20"/>
  <c r="AO227" i="20"/>
  <c r="AO171" i="20"/>
  <c r="AO244" i="20"/>
  <c r="AO340" i="20"/>
  <c r="AO309" i="20"/>
  <c r="AO412" i="20"/>
  <c r="AO212" i="20"/>
  <c r="AO346" i="20"/>
  <c r="AO310" i="20"/>
  <c r="AO349" i="20"/>
  <c r="AO509" i="20"/>
  <c r="AO107" i="20"/>
  <c r="AO13" i="20"/>
  <c r="AO379" i="20"/>
  <c r="AO596" i="20"/>
  <c r="AO280" i="20"/>
  <c r="AO648" i="20"/>
  <c r="AO607" i="20"/>
  <c r="AO394" i="20"/>
  <c r="AO487" i="20"/>
  <c r="AO217" i="20"/>
  <c r="AO618" i="20"/>
  <c r="AO635" i="20"/>
  <c r="AO629" i="20"/>
  <c r="AO491" i="20"/>
  <c r="AO631" i="20"/>
  <c r="AO356" i="20"/>
  <c r="AO364" i="20"/>
  <c r="AO397" i="20"/>
  <c r="AO271" i="20"/>
  <c r="AO454" i="20"/>
  <c r="AO139" i="20"/>
  <c r="AO494" i="20"/>
  <c r="AO626" i="20"/>
  <c r="AO399" i="20"/>
  <c r="AO492" i="20"/>
  <c r="AO183" i="20"/>
  <c r="AO396" i="20"/>
  <c r="AO239" i="20"/>
  <c r="AO53" i="20"/>
  <c r="AO136" i="20"/>
  <c r="AO104" i="20"/>
  <c r="AO473" i="20"/>
  <c r="AO499" i="20"/>
  <c r="AO642" i="20"/>
  <c r="AO385" i="20"/>
  <c r="AO393" i="20"/>
  <c r="AO164" i="20"/>
  <c r="AO80" i="20"/>
  <c r="AO482" i="20"/>
  <c r="AO508" i="20"/>
  <c r="AO645" i="20"/>
  <c r="AO625" i="20"/>
  <c r="AO425" i="20"/>
  <c r="AO480" i="20"/>
  <c r="AO422" i="20"/>
  <c r="AO133" i="20"/>
  <c r="AO257" i="20"/>
  <c r="AO127" i="20"/>
  <c r="AO384" i="20"/>
  <c r="AO490" i="20"/>
  <c r="AO623" i="20"/>
  <c r="AO540" i="20"/>
  <c r="AO118" i="20"/>
  <c r="AO381" i="20"/>
  <c r="AO288" i="20"/>
  <c r="AO451" i="20"/>
  <c r="AO484" i="20"/>
  <c r="AO641" i="20"/>
  <c r="AO187" i="20"/>
  <c r="AO76" i="20"/>
  <c r="AO615" i="20"/>
  <c r="AO470" i="20"/>
  <c r="AO466" i="20"/>
  <c r="AO440" i="20"/>
  <c r="AO515" i="20"/>
  <c r="AO150" i="20"/>
  <c r="AO88" i="20"/>
  <c r="AO282" i="20"/>
  <c r="AO636" i="20"/>
  <c r="AO147" i="20"/>
  <c r="AO298" i="20"/>
  <c r="AO57" i="20"/>
  <c r="AO584" i="20"/>
  <c r="AO173" i="20"/>
  <c r="AO475" i="20"/>
  <c r="AO613" i="20"/>
  <c r="AO31" i="20"/>
  <c r="AO415" i="20"/>
  <c r="AO449" i="20"/>
  <c r="AO122" i="20"/>
  <c r="AO34" i="20"/>
  <c r="AO418" i="20"/>
  <c r="AO61" i="20"/>
  <c r="AO456" i="20"/>
  <c r="AO191" i="20"/>
  <c r="AO365" i="20"/>
  <c r="AO7" i="20"/>
  <c r="AO110" i="20"/>
  <c r="AO616" i="20"/>
  <c r="AO371" i="20"/>
  <c r="AO327" i="20"/>
  <c r="AO377" i="20"/>
  <c r="AO610" i="20"/>
  <c r="AO82" i="20"/>
  <c r="AO488" i="20"/>
  <c r="AO493" i="20"/>
  <c r="AO73" i="20"/>
  <c r="AO477" i="20"/>
  <c r="AM465" i="20"/>
  <c r="AC465" i="20"/>
  <c r="AY465" i="20"/>
  <c r="V465" i="20"/>
  <c r="X465" i="20" s="1"/>
  <c r="AI465" i="20"/>
  <c r="U465" i="20"/>
  <c r="AA465" i="20"/>
  <c r="AK465" i="20"/>
  <c r="AY477" i="20"/>
  <c r="AA477" i="20"/>
  <c r="AI477" i="20"/>
  <c r="AE477" i="20"/>
  <c r="AG477" i="20"/>
  <c r="AM491" i="20"/>
  <c r="V491" i="20"/>
  <c r="X491" i="20" s="1"/>
  <c r="AG491" i="20"/>
  <c r="AA491" i="20"/>
  <c r="V503" i="20"/>
  <c r="X503" i="20" s="1"/>
  <c r="AY503" i="20"/>
  <c r="AK503" i="20"/>
  <c r="AM503" i="20"/>
  <c r="V567" i="20"/>
  <c r="AO567" i="20" s="1"/>
  <c r="U567" i="20"/>
  <c r="AI612" i="20"/>
  <c r="AG612" i="20"/>
  <c r="AC612" i="20"/>
  <c r="AK612" i="20"/>
  <c r="AY612" i="20"/>
  <c r="U612" i="20"/>
  <c r="AE612" i="20"/>
  <c r="V59" i="20"/>
  <c r="X59" i="20" s="1"/>
  <c r="AK59" i="20"/>
  <c r="AC59" i="20"/>
  <c r="U59" i="20"/>
  <c r="AE59" i="20"/>
  <c r="AA59" i="20"/>
  <c r="AM59" i="20"/>
  <c r="AI59" i="20"/>
  <c r="AY542" i="20"/>
  <c r="AM542" i="20"/>
  <c r="AE542" i="20"/>
  <c r="V542" i="20"/>
  <c r="X542" i="20" s="1"/>
  <c r="AK542" i="20"/>
  <c r="AG542" i="20"/>
  <c r="AC542" i="20"/>
  <c r="U542" i="20"/>
  <c r="AI542" i="20"/>
  <c r="AO333" i="35"/>
  <c r="Y222" i="35"/>
  <c r="AE333" i="35"/>
  <c r="AO633" i="20"/>
  <c r="BE234" i="35"/>
  <c r="AO431" i="20"/>
  <c r="U545" i="20"/>
  <c r="BA503" i="20"/>
  <c r="AO328" i="35"/>
  <c r="AG523" i="35"/>
  <c r="AO46" i="20"/>
  <c r="AK641" i="20"/>
  <c r="AM623" i="20"/>
  <c r="AO190" i="20"/>
  <c r="AO234" i="35"/>
  <c r="BC314" i="35"/>
  <c r="AQ489" i="35"/>
  <c r="AY491" i="20"/>
  <c r="AI246" i="35"/>
  <c r="AA542" i="20"/>
  <c r="BA477" i="20"/>
  <c r="AE503" i="20"/>
  <c r="AO39" i="20"/>
  <c r="AO489" i="20"/>
  <c r="AO595" i="20"/>
  <c r="U477" i="20"/>
  <c r="AO56" i="20"/>
  <c r="AC462" i="20"/>
  <c r="AE530" i="20"/>
  <c r="AY586" i="20"/>
  <c r="AO232" i="20"/>
  <c r="AC626" i="20"/>
  <c r="AM536" i="20"/>
  <c r="AO366" i="20"/>
  <c r="BA177" i="20"/>
  <c r="BA578" i="20"/>
  <c r="BA238" i="20"/>
  <c r="BA7" i="20"/>
  <c r="BA348" i="20"/>
  <c r="BA471" i="20"/>
  <c r="BA27" i="20"/>
  <c r="BA587" i="20"/>
  <c r="BA361" i="20"/>
  <c r="BA210" i="20"/>
  <c r="BA380" i="20"/>
  <c r="BA281" i="20"/>
  <c r="BA110" i="20"/>
  <c r="BA266" i="20"/>
  <c r="BA340" i="20"/>
  <c r="BA319" i="20"/>
  <c r="BA54" i="20"/>
  <c r="BA510" i="20"/>
  <c r="BA99" i="20"/>
  <c r="BA118" i="20"/>
  <c r="BA257" i="20"/>
  <c r="BA280" i="20"/>
  <c r="BA354" i="20"/>
  <c r="BA25" i="20"/>
  <c r="BA532" i="20"/>
  <c r="BA305" i="20"/>
  <c r="BA263" i="20"/>
  <c r="BA615" i="20"/>
  <c r="BA171" i="20"/>
  <c r="BA296" i="20"/>
  <c r="BA479" i="20"/>
  <c r="BA176" i="20"/>
  <c r="BA317" i="20"/>
  <c r="BA470" i="20"/>
  <c r="BA57" i="20"/>
  <c r="BA390" i="20"/>
  <c r="BA442" i="20"/>
  <c r="BA355" i="20"/>
  <c r="BA204" i="20"/>
  <c r="BA374" i="20"/>
  <c r="BA489" i="20"/>
  <c r="BA499" i="20"/>
  <c r="BA367" i="20"/>
  <c r="BA80" i="20"/>
  <c r="BA71" i="20"/>
  <c r="BA486" i="20"/>
  <c r="BA143" i="20"/>
  <c r="BA278" i="20"/>
  <c r="BA199" i="20"/>
  <c r="BA464" i="20"/>
  <c r="BA180" i="20"/>
  <c r="BA276" i="20"/>
  <c r="BA30" i="20"/>
  <c r="BA462" i="20"/>
  <c r="BA141" i="20"/>
  <c r="BA174" i="20"/>
  <c r="BA31" i="20"/>
  <c r="BA494" i="20"/>
  <c r="BA320" i="20"/>
  <c r="BA76" i="20"/>
  <c r="BA493" i="20"/>
  <c r="BA585" i="20"/>
  <c r="BA606" i="20"/>
  <c r="BA249" i="20"/>
  <c r="BA601" i="20"/>
  <c r="BA463" i="20"/>
  <c r="BA459" i="20"/>
  <c r="BA472" i="20"/>
  <c r="BA58" i="20"/>
  <c r="BA91" i="20"/>
  <c r="BA243" i="20"/>
  <c r="BA418" i="20"/>
  <c r="BA125" i="20"/>
  <c r="BA53" i="20"/>
  <c r="BA546" i="20"/>
  <c r="BA416" i="20"/>
  <c r="BA302" i="20"/>
  <c r="BA139" i="20"/>
  <c r="BA650" i="20"/>
  <c r="BA385" i="20"/>
  <c r="BA301" i="20"/>
  <c r="BA223" i="20"/>
  <c r="BA544" i="20"/>
  <c r="BA413" i="20"/>
  <c r="BA284" i="20"/>
  <c r="BA222" i="20"/>
  <c r="BA198" i="20"/>
  <c r="BA447" i="20"/>
  <c r="BA178" i="20"/>
  <c r="BA220" i="20"/>
  <c r="BC4" i="20"/>
  <c r="BC326" i="20" s="1"/>
  <c r="BA151" i="20"/>
  <c r="BA631" i="20"/>
  <c r="BA592" i="20"/>
  <c r="AC7" i="20"/>
  <c r="AG7" i="20"/>
  <c r="U7" i="20"/>
  <c r="AI7" i="20"/>
  <c r="AY7" i="20"/>
  <c r="V7" i="20"/>
  <c r="X7" i="20" s="1"/>
  <c r="AA10" i="20"/>
  <c r="AI10" i="20"/>
  <c r="AC10" i="20"/>
  <c r="AK258" i="20"/>
  <c r="V258" i="20"/>
  <c r="X258" i="20" s="1"/>
  <c r="AY258" i="20"/>
  <c r="AA258" i="20"/>
  <c r="AM258" i="20"/>
  <c r="U258" i="20"/>
  <c r="AE258" i="20"/>
  <c r="AY264" i="20"/>
  <c r="AK264" i="20"/>
  <c r="AA264" i="20"/>
  <c r="V264" i="20"/>
  <c r="X264" i="20" s="1"/>
  <c r="AI264" i="20"/>
  <c r="AG264" i="20"/>
  <c r="AC264" i="20"/>
  <c r="AM264" i="20"/>
  <c r="AK348" i="20"/>
  <c r="AC348" i="20"/>
  <c r="U348" i="20"/>
  <c r="AG348" i="20"/>
  <c r="AI294" i="20"/>
  <c r="AE294" i="20"/>
  <c r="AA303" i="20"/>
  <c r="AG303" i="20"/>
  <c r="V352" i="20"/>
  <c r="X352" i="20" s="1"/>
  <c r="AY352" i="20"/>
  <c r="U352" i="20"/>
  <c r="U392" i="20"/>
  <c r="AC392" i="20"/>
  <c r="AK392" i="20"/>
  <c r="AI392" i="20"/>
  <c r="AM412" i="20"/>
  <c r="AI412" i="20"/>
  <c r="AK412" i="20"/>
  <c r="AY412" i="20"/>
  <c r="V412" i="20"/>
  <c r="X412" i="20" s="1"/>
  <c r="AA412" i="20"/>
  <c r="AI415" i="20"/>
  <c r="U415" i="20"/>
  <c r="AC415" i="20"/>
  <c r="AK415" i="20"/>
  <c r="AG415" i="20"/>
  <c r="U418" i="20"/>
  <c r="AA418" i="20"/>
  <c r="AI418" i="20"/>
  <c r="AC418" i="20"/>
  <c r="AY418" i="20"/>
  <c r="AK418" i="20"/>
  <c r="V418" i="20"/>
  <c r="X418" i="20" s="1"/>
  <c r="AA421" i="20"/>
  <c r="AI421" i="20"/>
  <c r="AC421" i="20"/>
  <c r="V421" i="20"/>
  <c r="X421" i="20" s="1"/>
  <c r="AE421" i="20"/>
  <c r="AK421" i="20"/>
  <c r="AC424" i="20"/>
  <c r="AK424" i="20"/>
  <c r="AA424" i="20"/>
  <c r="AI424" i="20"/>
  <c r="V424" i="20"/>
  <c r="X424" i="20" s="1"/>
  <c r="AK448" i="20"/>
  <c r="AI448" i="20"/>
  <c r="V448" i="20"/>
  <c r="X448" i="20" s="1"/>
  <c r="AG448" i="20"/>
  <c r="AE451" i="20"/>
  <c r="AA451" i="20"/>
  <c r="AY451" i="20"/>
  <c r="AC454" i="20"/>
  <c r="AY454" i="20"/>
  <c r="AM454" i="20"/>
  <c r="AA454" i="20"/>
  <c r="AA389" i="20"/>
  <c r="Z29" i="35"/>
  <c r="AB29" i="35" s="1"/>
  <c r="AM29" i="35"/>
  <c r="AG48" i="35"/>
  <c r="BC48" i="35"/>
  <c r="AO48" i="35"/>
  <c r="AM94" i="35"/>
  <c r="AO94" i="35"/>
  <c r="AM106" i="35"/>
  <c r="AQ106" i="35"/>
  <c r="AM174" i="35"/>
  <c r="AE174" i="35"/>
  <c r="BC174" i="35"/>
  <c r="BC410" i="35"/>
  <c r="AK410" i="35"/>
  <c r="AE410" i="35"/>
  <c r="AI410" i="35"/>
  <c r="Z441" i="35"/>
  <c r="AM441" i="35" s="1"/>
  <c r="Y441" i="35"/>
  <c r="AM497" i="35"/>
  <c r="AK497" i="35"/>
  <c r="AI497" i="35"/>
  <c r="BC118" i="35"/>
  <c r="AI22" i="35"/>
  <c r="AI48" i="35"/>
  <c r="Y410" i="35"/>
  <c r="AQ10" i="35"/>
  <c r="Z10" i="35"/>
  <c r="AB10" i="35" s="1"/>
  <c r="AI20" i="35"/>
  <c r="AK20" i="35"/>
  <c r="AI65" i="35"/>
  <c r="AK65" i="35"/>
  <c r="AE36" i="35"/>
  <c r="AI60" i="35"/>
  <c r="AI106" i="35"/>
  <c r="Z94" i="35"/>
  <c r="AB94" i="35" s="1"/>
  <c r="AE29" i="35"/>
  <c r="BC29" i="35"/>
  <c r="AI94" i="35"/>
  <c r="AI29" i="35"/>
  <c r="AO29" i="35"/>
  <c r="AK29" i="35"/>
  <c r="AM281" i="35"/>
  <c r="AQ281" i="35"/>
  <c r="AE281" i="35"/>
  <c r="AE303" i="35"/>
  <c r="AI303" i="35"/>
  <c r="Y303" i="35"/>
  <c r="AO303" i="35"/>
  <c r="AE370" i="35"/>
  <c r="AI370" i="35"/>
  <c r="AO208" i="20"/>
  <c r="BA253" i="20"/>
  <c r="AO72" i="20"/>
  <c r="AA72" i="20"/>
  <c r="BE23" i="35"/>
  <c r="BE336" i="35"/>
  <c r="BE376" i="35"/>
  <c r="BE305" i="35"/>
  <c r="AA12" i="20"/>
  <c r="AK155" i="20"/>
  <c r="AA155" i="20"/>
  <c r="AG199" i="20"/>
  <c r="AY199" i="20"/>
  <c r="U199" i="20"/>
  <c r="AC242" i="20"/>
  <c r="V242" i="20"/>
  <c r="X242" i="20" s="1"/>
  <c r="AY242" i="20"/>
  <c r="AK242" i="20"/>
  <c r="BA52" i="20"/>
  <c r="AM303" i="35"/>
  <c r="AE12" i="20"/>
  <c r="AM12" i="20"/>
  <c r="V12" i="20"/>
  <c r="X12" i="20" s="1"/>
  <c r="AG346" i="35"/>
  <c r="AK387" i="20"/>
  <c r="AG387" i="20"/>
  <c r="AC393" i="20"/>
  <c r="AG393" i="20"/>
  <c r="AE393" i="20"/>
  <c r="U404" i="20"/>
  <c r="AI404" i="20"/>
  <c r="AM404" i="20"/>
  <c r="AM410" i="20"/>
  <c r="AE410" i="20"/>
  <c r="V410" i="20"/>
  <c r="X410" i="20" s="1"/>
  <c r="AG413" i="20"/>
  <c r="AC413" i="20"/>
  <c r="AY416" i="20"/>
  <c r="AK416" i="20"/>
  <c r="AC416" i="20"/>
  <c r="AG419" i="20"/>
  <c r="AA419" i="20"/>
  <c r="AI419" i="20"/>
  <c r="AG422" i="20"/>
  <c r="AY422" i="20"/>
  <c r="AK422" i="20"/>
  <c r="V422" i="20"/>
  <c r="X422" i="20" s="1"/>
  <c r="AE422" i="20"/>
  <c r="AC452" i="20"/>
  <c r="V452" i="20"/>
  <c r="X452" i="20" s="1"/>
  <c r="AK420" i="35"/>
  <c r="AM228" i="20"/>
  <c r="AC228" i="20"/>
  <c r="AG89" i="20"/>
  <c r="AY89" i="20"/>
  <c r="AC89" i="20"/>
  <c r="AK98" i="20"/>
  <c r="AI98" i="20"/>
  <c r="AM107" i="20"/>
  <c r="AE107" i="20"/>
  <c r="U107" i="20"/>
  <c r="AY113" i="20"/>
  <c r="AK113" i="20"/>
  <c r="U116" i="20"/>
  <c r="AE116" i="20"/>
  <c r="AC128" i="20"/>
  <c r="U128" i="20"/>
  <c r="AA134" i="20"/>
  <c r="AY134" i="20"/>
  <c r="AM134" i="20"/>
  <c r="AG230" i="20"/>
  <c r="AA230" i="20"/>
  <c r="AI217" i="20"/>
  <c r="AE217" i="20"/>
  <c r="U373" i="20"/>
  <c r="AG373" i="20"/>
  <c r="P3" i="35"/>
  <c r="P2" i="35" s="1"/>
  <c r="BE225" i="35"/>
  <c r="BC317" i="35"/>
  <c r="AI317" i="35"/>
  <c r="BC324" i="35"/>
  <c r="AI324" i="35"/>
  <c r="AQ324" i="35"/>
  <c r="Z324" i="35"/>
  <c r="AB324" i="35" s="1"/>
  <c r="AE336" i="35"/>
  <c r="AQ336" i="35"/>
  <c r="Z348" i="35"/>
  <c r="AB348" i="35" s="1"/>
  <c r="AK348" i="35"/>
  <c r="AM131" i="35"/>
  <c r="AQ131" i="35"/>
  <c r="Y296" i="35"/>
  <c r="BC296" i="35"/>
  <c r="AI327" i="35"/>
  <c r="AG327" i="35"/>
  <c r="AO339" i="35"/>
  <c r="AG339" i="35"/>
  <c r="Y394" i="35"/>
  <c r="Z394" i="35"/>
  <c r="AM394" i="35" s="1"/>
  <c r="AQ418" i="35"/>
  <c r="Z418" i="35"/>
  <c r="AB418" i="35" s="1"/>
  <c r="AO418" i="35"/>
  <c r="AO459" i="35"/>
  <c r="Z459" i="35"/>
  <c r="AB459" i="35" s="1"/>
  <c r="U80" i="20"/>
  <c r="AY125" i="20"/>
  <c r="AC107" i="20"/>
  <c r="AA89" i="20"/>
  <c r="AI74" i="20"/>
  <c r="AG113" i="20"/>
  <c r="AG141" i="20"/>
  <c r="AC313" i="20"/>
  <c r="AM313" i="20"/>
  <c r="AY316" i="20"/>
  <c r="AA316" i="20"/>
  <c r="AI371" i="20"/>
  <c r="AG371" i="20"/>
  <c r="AM327" i="20"/>
  <c r="AY327" i="20"/>
  <c r="AC330" i="20"/>
  <c r="AK330" i="20"/>
  <c r="AC365" i="20"/>
  <c r="AM365" i="20"/>
  <c r="AG61" i="20"/>
  <c r="V61" i="20"/>
  <c r="X61" i="20" s="1"/>
  <c r="U61" i="20"/>
  <c r="AI61" i="20"/>
  <c r="AK61" i="20"/>
  <c r="AK441" i="20"/>
  <c r="V441" i="20"/>
  <c r="X441" i="20" s="1"/>
  <c r="AG441" i="20"/>
  <c r="Z360" i="35"/>
  <c r="AB360" i="35" s="1"/>
  <c r="AQ363" i="35"/>
  <c r="AM308" i="35"/>
  <c r="Z317" i="35"/>
  <c r="AB317" i="35" s="1"/>
  <c r="AK141" i="20"/>
  <c r="AC77" i="20"/>
  <c r="AI125" i="20"/>
  <c r="V107" i="20"/>
  <c r="X107" i="20" s="1"/>
  <c r="AA74" i="20"/>
  <c r="AI113" i="20"/>
  <c r="AM80" i="20"/>
  <c r="AK145" i="20"/>
  <c r="V145" i="20"/>
  <c r="X145" i="20" s="1"/>
  <c r="AC145" i="20"/>
  <c r="AC349" i="20"/>
  <c r="U349" i="20"/>
  <c r="AM336" i="35"/>
  <c r="Y324" i="35"/>
  <c r="Z336" i="35"/>
  <c r="AB336" i="35" s="1"/>
  <c r="Y139" i="35"/>
  <c r="AQ139" i="35"/>
  <c r="Z139" i="35"/>
  <c r="AB139" i="35" s="1"/>
  <c r="BC139" i="35"/>
  <c r="AG226" i="35"/>
  <c r="AK226" i="35"/>
  <c r="AM238" i="35"/>
  <c r="AK238" i="35"/>
  <c r="AG238" i="35"/>
  <c r="AG260" i="35"/>
  <c r="Z260" i="35"/>
  <c r="AB260" i="35" s="1"/>
  <c r="AO260" i="35"/>
  <c r="AQ272" i="35"/>
  <c r="Y272" i="35"/>
  <c r="AE272" i="35"/>
  <c r="AK272" i="35"/>
  <c r="AI311" i="20"/>
  <c r="AK311" i="20"/>
  <c r="AG311" i="20"/>
  <c r="AK428" i="20"/>
  <c r="V428" i="20"/>
  <c r="X428" i="20" s="1"/>
  <c r="AG351" i="35"/>
  <c r="Y336" i="35"/>
  <c r="AO320" i="35"/>
  <c r="BA267" i="20"/>
  <c r="AK359" i="20"/>
  <c r="AQ33" i="40"/>
  <c r="AO326" i="35"/>
  <c r="AO208" i="35"/>
  <c r="AE123" i="35"/>
  <c r="AQ225" i="35"/>
  <c r="AQ51" i="35"/>
  <c r="AQ167" i="35"/>
  <c r="AS107" i="35"/>
  <c r="AS36" i="35"/>
  <c r="BE116" i="35"/>
  <c r="AS283" i="35"/>
  <c r="BE51" i="35"/>
  <c r="AG167" i="35"/>
  <c r="AS186" i="35"/>
  <c r="AE116" i="35"/>
  <c r="BE14" i="35"/>
  <c r="AQ290" i="35"/>
  <c r="AG290" i="35"/>
  <c r="AI290" i="35"/>
  <c r="BC290" i="35"/>
  <c r="AE290" i="35"/>
  <c r="AK290" i="35"/>
  <c r="AO290" i="35"/>
  <c r="Z302" i="35"/>
  <c r="AB302" i="35" s="1"/>
  <c r="AK302" i="35"/>
  <c r="AG302" i="35"/>
  <c r="AE302" i="35"/>
  <c r="AM302" i="35"/>
  <c r="AQ302" i="35"/>
  <c r="AI369" i="35"/>
  <c r="AG369" i="35"/>
  <c r="AM369" i="35"/>
  <c r="AK369" i="35"/>
  <c r="AQ369" i="35"/>
  <c r="Z369" i="35"/>
  <c r="AB369" i="35" s="1"/>
  <c r="BC369" i="35"/>
  <c r="AO369" i="35"/>
  <c r="AE369" i="35"/>
  <c r="Y369" i="35"/>
  <c r="AM145" i="35"/>
  <c r="BC145" i="35"/>
  <c r="Z145" i="35"/>
  <c r="AB145" i="35" s="1"/>
  <c r="Y145" i="35"/>
  <c r="AI145" i="35"/>
  <c r="AG145" i="35"/>
  <c r="AQ145" i="35"/>
  <c r="AK145" i="35"/>
  <c r="AO189" i="35"/>
  <c r="AI189" i="35"/>
  <c r="AK189" i="35"/>
  <c r="AM189" i="35"/>
  <c r="Y189" i="35"/>
  <c r="AE189" i="35"/>
  <c r="AG189" i="35"/>
  <c r="AQ189" i="35"/>
  <c r="BC189" i="35"/>
  <c r="Z189" i="35"/>
  <c r="AB189" i="35" s="1"/>
  <c r="AM244" i="35"/>
  <c r="AO244" i="35"/>
  <c r="AQ244" i="35"/>
  <c r="AE244" i="35"/>
  <c r="AM338" i="35"/>
  <c r="AE338" i="35"/>
  <c r="AM362" i="35"/>
  <c r="AO362" i="35"/>
  <c r="AG362" i="35"/>
  <c r="AO374" i="35"/>
  <c r="AQ374" i="35"/>
  <c r="Z374" i="35"/>
  <c r="AB374" i="35" s="1"/>
  <c r="Z388" i="35"/>
  <c r="AB388" i="35" s="1"/>
  <c r="AQ388" i="35"/>
  <c r="Z400" i="35"/>
  <c r="AO400" i="35" s="1"/>
  <c r="Y400" i="35"/>
  <c r="BI114" i="39"/>
  <c r="BD63" i="40"/>
  <c r="AZ6" i="40"/>
  <c r="BC111" i="35"/>
  <c r="AS20" i="35"/>
  <c r="AS8" i="35"/>
  <c r="AS24" i="35"/>
  <c r="AS19" i="35"/>
  <c r="AS128" i="35"/>
  <c r="AS49" i="35"/>
  <c r="AS63" i="35"/>
  <c r="AS200" i="35"/>
  <c r="AS307" i="35"/>
  <c r="AS11" i="35"/>
  <c r="AS177" i="35"/>
  <c r="AS59" i="35"/>
  <c r="AS167" i="35"/>
  <c r="AS90" i="35"/>
  <c r="AS312" i="35"/>
  <c r="AS202" i="35"/>
  <c r="AS29" i="35"/>
  <c r="AS12" i="35"/>
  <c r="AS30" i="35"/>
  <c r="AS112" i="35"/>
  <c r="AS293" i="35"/>
  <c r="AS61" i="35"/>
  <c r="AS39" i="35"/>
  <c r="AS14" i="35"/>
  <c r="AS96" i="35"/>
  <c r="AS173" i="35"/>
  <c r="AS38" i="35"/>
  <c r="AS131" i="35"/>
  <c r="AS52" i="35"/>
  <c r="AS354" i="35"/>
  <c r="AS91" i="35"/>
  <c r="AS154" i="35"/>
  <c r="AS458" i="35"/>
  <c r="AS494" i="35"/>
  <c r="AS463" i="35"/>
  <c r="AS88" i="35"/>
  <c r="AS40" i="35"/>
  <c r="AS440" i="35"/>
  <c r="AS26" i="35"/>
  <c r="AS9" i="35"/>
  <c r="AS424" i="35"/>
  <c r="AS276" i="35"/>
  <c r="AS43" i="35"/>
  <c r="AS368" i="35"/>
  <c r="AS33" i="35"/>
  <c r="AS31" i="35"/>
  <c r="AS152" i="35"/>
  <c r="AS95" i="35"/>
  <c r="AS158" i="35"/>
  <c r="AS146" i="35"/>
  <c r="AS397" i="35"/>
  <c r="AS155" i="35"/>
  <c r="AS76" i="35"/>
  <c r="AS246" i="35"/>
  <c r="AS271" i="35"/>
  <c r="AS138" i="35"/>
  <c r="AS234" i="35"/>
  <c r="AS115" i="35"/>
  <c r="AS35" i="35"/>
  <c r="AS13" i="35"/>
  <c r="AS151" i="35"/>
  <c r="AS521" i="35"/>
  <c r="AS197" i="35"/>
  <c r="AS223" i="35"/>
  <c r="AS28" i="35"/>
  <c r="AS258" i="35"/>
  <c r="AS386" i="35"/>
  <c r="AS421" i="35"/>
  <c r="AS399" i="35"/>
  <c r="AS207" i="35"/>
  <c r="AS434" i="35"/>
  <c r="AS168" i="35"/>
  <c r="AS206" i="35"/>
  <c r="AS299" i="35"/>
  <c r="AS114" i="35"/>
  <c r="AS89" i="35"/>
  <c r="AS17" i="35"/>
  <c r="AS109" i="35"/>
  <c r="AS324" i="35"/>
  <c r="AS215" i="35"/>
  <c r="AS469" i="35"/>
  <c r="AS97" i="35"/>
  <c r="AS269" i="35"/>
  <c r="AS239" i="35"/>
  <c r="AS182" i="35"/>
  <c r="AS118" i="35"/>
  <c r="AS69" i="35"/>
  <c r="AS474" i="35"/>
  <c r="AS48" i="35"/>
  <c r="AS180" i="35"/>
  <c r="AS298" i="35"/>
  <c r="AS255" i="35"/>
  <c r="AS15" i="35"/>
  <c r="AS159" i="35"/>
  <c r="AS51" i="35"/>
  <c r="AS471" i="35"/>
  <c r="AS79" i="35"/>
  <c r="AS451" i="35"/>
  <c r="AS314" i="35"/>
  <c r="AS254" i="35"/>
  <c r="AS87" i="35"/>
  <c r="AS240" i="35"/>
  <c r="AS501" i="35"/>
  <c r="AK25" i="35"/>
  <c r="AE25" i="35"/>
  <c r="Z25" i="35"/>
  <c r="AB25" i="35" s="1"/>
  <c r="Y25" i="35"/>
  <c r="AO25" i="35"/>
  <c r="AI25" i="35"/>
  <c r="BC25" i="35"/>
  <c r="BC39" i="35"/>
  <c r="AO39" i="35"/>
  <c r="Z39" i="35"/>
  <c r="AB39" i="35" s="1"/>
  <c r="AQ39" i="35"/>
  <c r="AI39" i="35"/>
  <c r="Y39" i="35"/>
  <c r="AG39" i="35"/>
  <c r="AK39" i="35"/>
  <c r="AM39" i="35"/>
  <c r="AK104" i="35"/>
  <c r="Y104" i="35"/>
  <c r="AG104" i="35"/>
  <c r="Y160" i="35"/>
  <c r="AI160" i="35"/>
  <c r="BC160" i="35"/>
  <c r="AG160" i="35"/>
  <c r="AQ160" i="35"/>
  <c r="AK160" i="35"/>
  <c r="AM160" i="35"/>
  <c r="AO516" i="35"/>
  <c r="AG516" i="35"/>
  <c r="AQ516" i="35"/>
  <c r="AE516" i="35"/>
  <c r="Y516" i="35"/>
  <c r="AI516" i="35"/>
  <c r="Z516" i="35"/>
  <c r="AB516" i="35" s="1"/>
  <c r="BC516" i="35"/>
  <c r="AM516" i="35"/>
  <c r="AK516" i="35"/>
  <c r="AS408" i="35"/>
  <c r="AS279" i="35"/>
  <c r="AM374" i="35"/>
  <c r="AS124" i="35"/>
  <c r="Z68" i="35"/>
  <c r="AB68" i="35" s="1"/>
  <c r="AQ68" i="35"/>
  <c r="AE68" i="35"/>
  <c r="Y68" i="35"/>
  <c r="AO68" i="35"/>
  <c r="BC68" i="35"/>
  <c r="AM68" i="35"/>
  <c r="AI68" i="35"/>
  <c r="AI75" i="35"/>
  <c r="AQ75" i="35"/>
  <c r="Z75" i="35"/>
  <c r="AB75" i="35" s="1"/>
  <c r="AG75" i="35"/>
  <c r="AO75" i="35"/>
  <c r="AE75" i="35"/>
  <c r="AK97" i="35"/>
  <c r="AI97" i="35"/>
  <c r="AE97" i="35"/>
  <c r="BC97" i="35"/>
  <c r="Z97" i="35"/>
  <c r="AB97" i="35" s="1"/>
  <c r="AO97" i="35"/>
  <c r="AG97" i="35"/>
  <c r="Y97" i="35"/>
  <c r="AG121" i="35"/>
  <c r="AO121" i="35"/>
  <c r="AK121" i="35"/>
  <c r="Y121" i="35"/>
  <c r="AE121" i="35"/>
  <c r="AQ143" i="35"/>
  <c r="Z143" i="35"/>
  <c r="AB143" i="35" s="1"/>
  <c r="AI143" i="35"/>
  <c r="AK143" i="35"/>
  <c r="AI175" i="35"/>
  <c r="AE175" i="35"/>
  <c r="AM175" i="35"/>
  <c r="AO175" i="35"/>
  <c r="Z175" i="35"/>
  <c r="AB175" i="35" s="1"/>
  <c r="BC175" i="35"/>
  <c r="AQ175" i="35"/>
  <c r="AO276" i="35"/>
  <c r="AE276" i="35"/>
  <c r="AM283" i="35"/>
  <c r="BC283" i="35"/>
  <c r="AO283" i="35"/>
  <c r="AE283" i="35"/>
  <c r="Z283" i="35"/>
  <c r="AB283" i="35" s="1"/>
  <c r="AG521" i="35"/>
  <c r="AM521" i="35"/>
  <c r="BC521" i="35"/>
  <c r="Z521" i="35"/>
  <c r="AB521" i="35" s="1"/>
  <c r="AK521" i="35"/>
  <c r="AI521" i="35"/>
  <c r="AO521" i="35"/>
  <c r="AS333" i="35"/>
  <c r="AI111" i="35"/>
  <c r="AS402" i="35"/>
  <c r="AS178" i="35"/>
  <c r="BE460" i="35"/>
  <c r="BE365" i="35"/>
  <c r="BE468" i="35"/>
  <c r="BE411" i="35"/>
  <c r="BE315" i="35"/>
  <c r="BE294" i="35"/>
  <c r="BE420" i="35"/>
  <c r="BE214" i="35"/>
  <c r="BE463" i="35"/>
  <c r="BE244" i="35"/>
  <c r="BE520" i="35"/>
  <c r="BE290" i="35"/>
  <c r="AS248" i="35"/>
  <c r="AK155" i="35"/>
  <c r="AS288" i="35"/>
  <c r="Z138" i="35"/>
  <c r="AB138" i="35" s="1"/>
  <c r="BE82" i="35"/>
  <c r="AS295" i="35"/>
  <c r="BE343" i="35"/>
  <c r="AM157" i="35"/>
  <c r="BE32" i="35"/>
  <c r="AS72" i="35"/>
  <c r="Y283" i="35"/>
  <c r="AM121" i="35"/>
  <c r="BE31" i="35"/>
  <c r="AS7" i="35"/>
  <c r="Z121" i="35"/>
  <c r="AB121" i="35" s="1"/>
  <c r="AK68" i="35"/>
  <c r="AS54" i="35"/>
  <c r="BE502" i="35"/>
  <c r="AI34" i="35"/>
  <c r="Z34" i="35"/>
  <c r="AB34" i="35" s="1"/>
  <c r="AQ34" i="35"/>
  <c r="AK208" i="35"/>
  <c r="AG343" i="35"/>
  <c r="AO343" i="35"/>
  <c r="Y343" i="35"/>
  <c r="AQ343" i="35"/>
  <c r="AK343" i="35"/>
  <c r="BC343" i="35"/>
  <c r="AS98" i="35"/>
  <c r="AS291" i="35"/>
  <c r="AI343" i="35"/>
  <c r="AE157" i="35"/>
  <c r="Z32" i="35"/>
  <c r="AB32" i="35" s="1"/>
  <c r="AS412" i="35"/>
  <c r="BE152" i="35"/>
  <c r="AE39" i="35"/>
  <c r="BE7" i="35"/>
  <c r="AI121" i="35"/>
  <c r="AS68" i="35"/>
  <c r="AG153" i="20"/>
  <c r="AA153" i="20"/>
  <c r="AY153" i="20"/>
  <c r="BA153" i="20"/>
  <c r="AM153" i="20"/>
  <c r="BA156" i="20"/>
  <c r="U156" i="20"/>
  <c r="AC200" i="20"/>
  <c r="AA200" i="20"/>
  <c r="AE200" i="20"/>
  <c r="AY200" i="20"/>
  <c r="AG200" i="20"/>
  <c r="AO200" i="20"/>
  <c r="AM265" i="20"/>
  <c r="AY265" i="20"/>
  <c r="AG265" i="20"/>
  <c r="AI265" i="20"/>
  <c r="AE265" i="20"/>
  <c r="AK265" i="20"/>
  <c r="V265" i="20"/>
  <c r="X265" i="20" s="1"/>
  <c r="AC265" i="20"/>
  <c r="U265" i="20"/>
  <c r="AG277" i="20"/>
  <c r="BA277" i="20"/>
  <c r="AI277" i="20"/>
  <c r="U277" i="20"/>
  <c r="AK277" i="20"/>
  <c r="AO277" i="20"/>
  <c r="AK169" i="20"/>
  <c r="V169" i="20"/>
  <c r="X169" i="20" s="1"/>
  <c r="AA169" i="20"/>
  <c r="AI169" i="20"/>
  <c r="AY169" i="20"/>
  <c r="AC169" i="20"/>
  <c r="AE169" i="20"/>
  <c r="U169" i="20"/>
  <c r="BA169" i="20"/>
  <c r="AI172" i="20"/>
  <c r="AK172" i="20"/>
  <c r="AE172" i="20"/>
  <c r="BA172" i="20"/>
  <c r="AA172" i="20"/>
  <c r="AY172" i="20"/>
  <c r="U172" i="20"/>
  <c r="AC172" i="20"/>
  <c r="AO172" i="20"/>
  <c r="V172" i="20"/>
  <c r="X172" i="20" s="1"/>
  <c r="AG214" i="20"/>
  <c r="AI214" i="20"/>
  <c r="AY214" i="20"/>
  <c r="U214" i="20"/>
  <c r="AC214" i="20"/>
  <c r="V229" i="20"/>
  <c r="X229" i="20" s="1"/>
  <c r="AM229" i="20"/>
  <c r="AY229" i="20"/>
  <c r="U229" i="20"/>
  <c r="AC229" i="20"/>
  <c r="AA229" i="20"/>
  <c r="BA229" i="20"/>
  <c r="AK229" i="20"/>
  <c r="AG229" i="20"/>
  <c r="AE229" i="20"/>
  <c r="AG75" i="20"/>
  <c r="AO75" i="20"/>
  <c r="AM75" i="20"/>
  <c r="V75" i="20"/>
  <c r="X75" i="20" s="1"/>
  <c r="AY75" i="20"/>
  <c r="BA75" i="20"/>
  <c r="U75" i="20"/>
  <c r="AC75" i="20"/>
  <c r="AI75" i="20"/>
  <c r="V78" i="20"/>
  <c r="X78" i="20" s="1"/>
  <c r="AI78" i="20"/>
  <c r="AG78" i="20"/>
  <c r="AA78" i="20"/>
  <c r="AY78" i="20"/>
  <c r="AO78" i="20"/>
  <c r="U78" i="20"/>
  <c r="AC78" i="20"/>
  <c r="AM78" i="20"/>
  <c r="BA78" i="20"/>
  <c r="AK78" i="20"/>
  <c r="AA81" i="20"/>
  <c r="AI81" i="20"/>
  <c r="U81" i="20"/>
  <c r="AY81" i="20"/>
  <c r="AM81" i="20"/>
  <c r="V81" i="20"/>
  <c r="X81" i="20" s="1"/>
  <c r="AK81" i="20"/>
  <c r="AI84" i="20"/>
  <c r="AY84" i="20"/>
  <c r="AK84" i="20"/>
  <c r="AA84" i="20"/>
  <c r="V84" i="20"/>
  <c r="X84" i="20" s="1"/>
  <c r="AM84" i="20"/>
  <c r="AO84" i="20"/>
  <c r="U84" i="20"/>
  <c r="BA84" i="20"/>
  <c r="AG84" i="20"/>
  <c r="AC84" i="20"/>
  <c r="V87" i="20"/>
  <c r="X87" i="20" s="1"/>
  <c r="AG87" i="20"/>
  <c r="AY87" i="20"/>
  <c r="AA87" i="20"/>
  <c r="U87" i="20"/>
  <c r="AM87" i="20"/>
  <c r="AC87" i="20"/>
  <c r="AI87" i="20"/>
  <c r="AO87" i="20"/>
  <c r="U90" i="20"/>
  <c r="AG90" i="20"/>
  <c r="AM90" i="20"/>
  <c r="AY90" i="20"/>
  <c r="AK90" i="20"/>
  <c r="V90" i="20"/>
  <c r="X90" i="20" s="1"/>
  <c r="AO90" i="20"/>
  <c r="AE90" i="20"/>
  <c r="AC90" i="20"/>
  <c r="AY93" i="20"/>
  <c r="V93" i="20"/>
  <c r="X93" i="20" s="1"/>
  <c r="AG93" i="20"/>
  <c r="BA93" i="20"/>
  <c r="AI96" i="20"/>
  <c r="U96" i="20"/>
  <c r="AC96" i="20"/>
  <c r="AA96" i="20"/>
  <c r="AY96" i="20"/>
  <c r="AO96" i="20"/>
  <c r="AK96" i="20"/>
  <c r="AG96" i="20"/>
  <c r="AE96" i="20"/>
  <c r="AM96" i="20"/>
  <c r="V96" i="20"/>
  <c r="X96" i="20" s="1"/>
  <c r="AE99" i="20"/>
  <c r="V99" i="20"/>
  <c r="X99" i="20" s="1"/>
  <c r="AI99" i="20"/>
  <c r="AY99" i="20"/>
  <c r="AG99" i="20"/>
  <c r="AM99" i="20"/>
  <c r="AO99" i="20"/>
  <c r="AC99" i="20"/>
  <c r="AM249" i="35"/>
  <c r="Y150" i="35"/>
  <c r="AE150" i="35"/>
  <c r="AI150" i="35"/>
  <c r="AO150" i="35"/>
  <c r="AG182" i="35"/>
  <c r="AE182" i="35"/>
  <c r="Y182" i="35"/>
  <c r="AM182" i="35"/>
  <c r="BC182" i="35"/>
  <c r="AK182" i="35"/>
  <c r="AI182" i="35"/>
  <c r="AQ182" i="35"/>
  <c r="AO182" i="35"/>
  <c r="AQ259" i="35"/>
  <c r="AG259" i="35"/>
  <c r="AI259" i="35"/>
  <c r="AO259" i="35"/>
  <c r="BC259" i="35"/>
  <c r="Y259" i="35"/>
  <c r="AK259" i="35"/>
  <c r="AI528" i="35"/>
  <c r="AE528" i="35"/>
  <c r="AK528" i="35"/>
  <c r="Y528" i="35"/>
  <c r="AO528" i="35"/>
  <c r="Z528" i="35"/>
  <c r="AB528" i="35" s="1"/>
  <c r="BC528" i="35"/>
  <c r="AQ528" i="35"/>
  <c r="AI109" i="35"/>
  <c r="Y109" i="35"/>
  <c r="AQ109" i="35"/>
  <c r="BC109" i="35"/>
  <c r="AK109" i="35"/>
  <c r="AO109" i="35"/>
  <c r="AG109" i="35"/>
  <c r="AM109" i="35"/>
  <c r="AS18" i="35"/>
  <c r="BE494" i="35"/>
  <c r="BE469" i="35"/>
  <c r="BE62" i="35"/>
  <c r="BC165" i="35"/>
  <c r="AS104" i="35"/>
  <c r="AS262" i="35"/>
  <c r="BE110" i="35"/>
  <c r="BC138" i="35"/>
  <c r="AS194" i="35"/>
  <c r="BC244" i="35"/>
  <c r="AS25" i="35"/>
  <c r="AS343" i="35"/>
  <c r="BE206" i="35"/>
  <c r="AS231" i="35"/>
  <c r="BC121" i="35"/>
  <c r="Z182" i="35"/>
  <c r="AB182" i="35" s="1"/>
  <c r="Z177" i="35"/>
  <c r="AB177" i="35" s="1"/>
  <c r="AG177" i="35"/>
  <c r="AM177" i="35"/>
  <c r="AE177" i="35"/>
  <c r="BC51" i="35"/>
  <c r="AK51" i="35"/>
  <c r="Y51" i="35"/>
  <c r="AI51" i="35"/>
  <c r="AE51" i="35"/>
  <c r="AO82" i="35"/>
  <c r="AQ82" i="35"/>
  <c r="Z82" i="35"/>
  <c r="AB82" i="35" s="1"/>
  <c r="AK82" i="35"/>
  <c r="AI128" i="35"/>
  <c r="AE128" i="35"/>
  <c r="Y128" i="35"/>
  <c r="AK128" i="35"/>
  <c r="Z128" i="35"/>
  <c r="AB128" i="35" s="1"/>
  <c r="AO128" i="35"/>
  <c r="AM128" i="35"/>
  <c r="AG128" i="35"/>
  <c r="AQ128" i="35"/>
  <c r="BC128" i="35"/>
  <c r="Z225" i="35"/>
  <c r="AB225" i="35" s="1"/>
  <c r="AO225" i="35"/>
  <c r="AM225" i="35"/>
  <c r="Y225" i="35"/>
  <c r="AG225" i="35"/>
  <c r="AI225" i="35"/>
  <c r="AE225" i="35"/>
  <c r="BC225" i="35"/>
  <c r="AK225" i="35"/>
  <c r="AI288" i="35"/>
  <c r="AO288" i="35"/>
  <c r="Y288" i="35"/>
  <c r="AM288" i="35"/>
  <c r="AQ288" i="35"/>
  <c r="AI367" i="35"/>
  <c r="AQ367" i="35"/>
  <c r="Z367" i="35"/>
  <c r="AB367" i="35" s="1"/>
  <c r="Y367" i="35"/>
  <c r="AO367" i="35"/>
  <c r="AM367" i="35"/>
  <c r="AE367" i="35"/>
  <c r="BC6" i="40"/>
  <c r="AS282" i="35"/>
  <c r="AS22" i="35"/>
  <c r="AG82" i="35"/>
  <c r="AG32" i="35"/>
  <c r="AO32" i="35"/>
  <c r="BC32" i="35"/>
  <c r="Y32" i="35"/>
  <c r="AQ32" i="35"/>
  <c r="AI32" i="35"/>
  <c r="AK32" i="35"/>
  <c r="Y155" i="35"/>
  <c r="AQ155" i="35"/>
  <c r="Z155" i="35"/>
  <c r="AB155" i="35" s="1"/>
  <c r="AE155" i="35"/>
  <c r="AM155" i="35"/>
  <c r="AO155" i="35"/>
  <c r="AI155" i="35"/>
  <c r="AQ293" i="35"/>
  <c r="AG293" i="35"/>
  <c r="AI293" i="35"/>
  <c r="AO293" i="35"/>
  <c r="AK293" i="35"/>
  <c r="AM293" i="35"/>
  <c r="Z305" i="35"/>
  <c r="AB305" i="35" s="1"/>
  <c r="AG305" i="35"/>
  <c r="BC509" i="35"/>
  <c r="AQ509" i="35"/>
  <c r="AM509" i="35"/>
  <c r="AG509" i="35"/>
  <c r="Z509" i="35"/>
  <c r="AB509" i="35" s="1"/>
  <c r="AI509" i="35"/>
  <c r="BE379" i="35"/>
  <c r="BE416" i="35"/>
  <c r="BE331" i="35"/>
  <c r="BE266" i="35"/>
  <c r="BE232" i="35"/>
  <c r="BE155" i="35"/>
  <c r="Z201" i="35"/>
  <c r="AB201" i="35" s="1"/>
  <c r="AQ77" i="35"/>
  <c r="AS208" i="35"/>
  <c r="AK338" i="35"/>
  <c r="BE9" i="35"/>
  <c r="BE45" i="35"/>
  <c r="BE454" i="35"/>
  <c r="BE505" i="35"/>
  <c r="BE459" i="35"/>
  <c r="BE335" i="35"/>
  <c r="BE451" i="35"/>
  <c r="BE264" i="35"/>
  <c r="BE273" i="35"/>
  <c r="BE381" i="35"/>
  <c r="AE201" i="35"/>
  <c r="BC133" i="35"/>
  <c r="AS212" i="35"/>
  <c r="AI77" i="35"/>
  <c r="AQ338" i="35"/>
  <c r="BE108" i="35"/>
  <c r="BE36" i="35"/>
  <c r="BE130" i="35"/>
  <c r="BE522" i="35"/>
  <c r="BE495" i="35"/>
  <c r="BE506" i="35"/>
  <c r="BE355" i="35"/>
  <c r="BE490" i="35"/>
  <c r="BE270" i="35"/>
  <c r="BE531" i="35"/>
  <c r="BE311" i="35"/>
  <c r="BE90" i="35"/>
  <c r="BE369" i="35"/>
  <c r="BC155" i="35"/>
  <c r="AS165" i="35"/>
  <c r="AI104" i="35"/>
  <c r="AS110" i="35"/>
  <c r="AG440" i="35"/>
  <c r="BW440" i="35"/>
  <c r="AI244" i="35"/>
  <c r="BE230" i="35"/>
  <c r="AQ25" i="35"/>
  <c r="BE442" i="35"/>
  <c r="AM343" i="35"/>
  <c r="BE195" i="35"/>
  <c r="BE157" i="35"/>
  <c r="AE32" i="35"/>
  <c r="AS42" i="35"/>
  <c r="AS75" i="35"/>
  <c r="AI63" i="35"/>
  <c r="Y46" i="35"/>
  <c r="AK46" i="35"/>
  <c r="AO46" i="35"/>
  <c r="BC46" i="35"/>
  <c r="AQ46" i="35"/>
  <c r="AG46" i="35"/>
  <c r="AI46" i="35"/>
  <c r="AG99" i="35"/>
  <c r="AI99" i="35"/>
  <c r="Z196" i="35"/>
  <c r="AB196" i="35" s="1"/>
  <c r="AO196" i="35"/>
  <c r="Y196" i="35"/>
  <c r="AE196" i="35"/>
  <c r="AK196" i="35"/>
  <c r="BC196" i="35"/>
  <c r="AI196" i="35"/>
  <c r="AK381" i="35"/>
  <c r="AM381" i="35"/>
  <c r="AE381" i="35"/>
  <c r="AG381" i="35"/>
  <c r="BC381" i="35"/>
  <c r="AQ381" i="35"/>
  <c r="Z381" i="35"/>
  <c r="AB381" i="35" s="1"/>
  <c r="AQ8" i="35"/>
  <c r="BC8" i="35"/>
  <c r="AM8" i="35"/>
  <c r="AK8" i="35"/>
  <c r="Y8" i="35"/>
  <c r="AE8" i="35"/>
  <c r="AO8" i="35"/>
  <c r="AG8" i="35"/>
  <c r="Z8" i="35"/>
  <c r="AB8" i="35" s="1"/>
  <c r="Z18" i="35"/>
  <c r="AB18" i="35" s="1"/>
  <c r="AI18" i="35"/>
  <c r="BC18" i="35"/>
  <c r="Y237" i="35"/>
  <c r="AE237" i="35"/>
  <c r="AM237" i="35"/>
  <c r="AI312" i="35"/>
  <c r="Z312" i="35"/>
  <c r="AB312" i="35" s="1"/>
  <c r="AO312" i="35"/>
  <c r="AQ312" i="35"/>
  <c r="BC355" i="35"/>
  <c r="AI355" i="35"/>
  <c r="AG355" i="35"/>
  <c r="Y355" i="35"/>
  <c r="AO355" i="35"/>
  <c r="AE355" i="35"/>
  <c r="AM355" i="35"/>
  <c r="AK355" i="35"/>
  <c r="AQ355" i="35"/>
  <c r="AG51" i="35"/>
  <c r="AO13" i="35"/>
  <c r="AI13" i="35"/>
  <c r="AM13" i="35"/>
  <c r="AQ13" i="35"/>
  <c r="Y13" i="35"/>
  <c r="Z13" i="35"/>
  <c r="AB13" i="35" s="1"/>
  <c r="H10" i="34"/>
  <c r="BC77" i="35"/>
  <c r="Z237" i="35"/>
  <c r="AB237" i="35" s="1"/>
  <c r="BE303" i="35"/>
  <c r="AS260" i="35"/>
  <c r="AS16" i="35"/>
  <c r="AQ201" i="35"/>
  <c r="AQ196" i="35"/>
  <c r="AE77" i="35"/>
  <c r="AK13" i="35"/>
  <c r="AO145" i="35"/>
  <c r="AS403" i="35"/>
  <c r="AS480" i="35"/>
  <c r="BE153" i="35"/>
  <c r="BE77" i="35"/>
  <c r="BE114" i="35"/>
  <c r="BE84" i="35"/>
  <c r="BE516" i="35"/>
  <c r="BE513" i="35"/>
  <c r="BE498" i="35"/>
  <c r="BE499" i="35"/>
  <c r="BE280" i="35"/>
  <c r="BE71" i="35"/>
  <c r="BE289" i="35"/>
  <c r="BE102" i="35"/>
  <c r="BE310" i="35"/>
  <c r="AS418" i="35"/>
  <c r="BE156" i="35"/>
  <c r="AS251" i="35"/>
  <c r="BE104" i="35"/>
  <c r="AS346" i="35"/>
  <c r="AS425" i="35"/>
  <c r="BE11" i="35"/>
  <c r="BE145" i="35"/>
  <c r="AM25" i="35"/>
  <c r="BE483" i="35"/>
  <c r="BE332" i="35"/>
  <c r="AS157" i="35"/>
  <c r="AS193" i="35"/>
  <c r="BE275" i="35"/>
  <c r="AW6" i="40"/>
  <c r="AG63" i="35"/>
  <c r="Y63" i="35"/>
  <c r="AQ63" i="35"/>
  <c r="AE63" i="35"/>
  <c r="AK63" i="35"/>
  <c r="Z63" i="35"/>
  <c r="AB63" i="35" s="1"/>
  <c r="BC213" i="35"/>
  <c r="AO213" i="35"/>
  <c r="AQ213" i="35"/>
  <c r="AI213" i="35"/>
  <c r="Y213" i="35"/>
  <c r="AM213" i="35"/>
  <c r="AK249" i="35"/>
  <c r="Z249" i="35"/>
  <c r="AB249" i="35" s="1"/>
  <c r="BC249" i="35"/>
  <c r="AO249" i="35"/>
  <c r="AE249" i="35"/>
  <c r="AG300" i="35"/>
  <c r="AO300" i="35"/>
  <c r="K114" i="39"/>
  <c r="AK111" i="35"/>
  <c r="AS119" i="35"/>
  <c r="AG528" i="35"/>
  <c r="BE49" i="35"/>
  <c r="BE262" i="35"/>
  <c r="BE205" i="35"/>
  <c r="BE73" i="35"/>
  <c r="BE392" i="35"/>
  <c r="BE142" i="35"/>
  <c r="BE43" i="35"/>
  <c r="BE281" i="35"/>
  <c r="BE39" i="35"/>
  <c r="BE54" i="35"/>
  <c r="BE337" i="35"/>
  <c r="BE248" i="35"/>
  <c r="BE223" i="35"/>
  <c r="BE109" i="35"/>
  <c r="BE474" i="35"/>
  <c r="BE503" i="35"/>
  <c r="BE180" i="35"/>
  <c r="BE417" i="35"/>
  <c r="BE397" i="35"/>
  <c r="BE462" i="35"/>
  <c r="BE207" i="35"/>
  <c r="BE52" i="35"/>
  <c r="BE24" i="35"/>
  <c r="BE287" i="35"/>
  <c r="BE29" i="35"/>
  <c r="BE96" i="35"/>
  <c r="BE197" i="35"/>
  <c r="BE293" i="35"/>
  <c r="BE377" i="35"/>
  <c r="BE508" i="35"/>
  <c r="BE528" i="35"/>
  <c r="BE477" i="35"/>
  <c r="BE10" i="35"/>
  <c r="BE259" i="35"/>
  <c r="BE42" i="35"/>
  <c r="BE26" i="35"/>
  <c r="BE269" i="35"/>
  <c r="BE304" i="35"/>
  <c r="BE121" i="35"/>
  <c r="BE131" i="35"/>
  <c r="BE33" i="35"/>
  <c r="BE200" i="35"/>
  <c r="BE403" i="35"/>
  <c r="BE28" i="35"/>
  <c r="BE491" i="35"/>
  <c r="BE138" i="35"/>
  <c r="BE249" i="35"/>
  <c r="BE493" i="35"/>
  <c r="BE125" i="35"/>
  <c r="BE30" i="35"/>
  <c r="BE186" i="35"/>
  <c r="BE17" i="35"/>
  <c r="BE59" i="35"/>
  <c r="BE179" i="35"/>
  <c r="BE76" i="35"/>
  <c r="BE370" i="35"/>
  <c r="BE425" i="35"/>
  <c r="BE88" i="35"/>
  <c r="BE422" i="35"/>
  <c r="BE183" i="35"/>
  <c r="BE199" i="35"/>
  <c r="BE68" i="35"/>
  <c r="BE117" i="35"/>
  <c r="BE89" i="35"/>
  <c r="BE106" i="35"/>
  <c r="BE15" i="35"/>
  <c r="BE8" i="35"/>
  <c r="BE182" i="35"/>
  <c r="BE112" i="35"/>
  <c r="BE78" i="35"/>
  <c r="BE91" i="35"/>
  <c r="BE97" i="35"/>
  <c r="BE57" i="35"/>
  <c r="BE271" i="35"/>
  <c r="BE409" i="35"/>
  <c r="BE167" i="35"/>
  <c r="BE288" i="35"/>
  <c r="BE64" i="35"/>
  <c r="BE368" i="35"/>
  <c r="BE53" i="35"/>
  <c r="BE63" i="35"/>
  <c r="BE25" i="35"/>
  <c r="BE113" i="35"/>
  <c r="BE27" i="35"/>
  <c r="BE526" i="35"/>
  <c r="BE353" i="35"/>
  <c r="BE212" i="35"/>
  <c r="BE497" i="35"/>
  <c r="BE342" i="35"/>
  <c r="BE201" i="35"/>
  <c r="BE519" i="35"/>
  <c r="BE383" i="35"/>
  <c r="BE241" i="35"/>
  <c r="BE80" i="35"/>
  <c r="BE390" i="35"/>
  <c r="BE478" i="35"/>
  <c r="BE178" i="35"/>
  <c r="BE464" i="35"/>
  <c r="BE198" i="35"/>
  <c r="BE382" i="35"/>
  <c r="BE118" i="35"/>
  <c r="BE345" i="35"/>
  <c r="BE86" i="35"/>
  <c r="BE260" i="35"/>
  <c r="BE81" i="35"/>
  <c r="BE236" i="35"/>
  <c r="BE20" i="35"/>
  <c r="BE128" i="35"/>
  <c r="BE60" i="35"/>
  <c r="BE246" i="35"/>
  <c r="BE189" i="35"/>
  <c r="BE298" i="35"/>
  <c r="BE251" i="35"/>
  <c r="BE517" i="35"/>
  <c r="BE344" i="35"/>
  <c r="BE226" i="35"/>
  <c r="BE504" i="35"/>
  <c r="BE329" i="35"/>
  <c r="BE166" i="35"/>
  <c r="BE514" i="35"/>
  <c r="BE359" i="35"/>
  <c r="BE224" i="35"/>
  <c r="BE530" i="35"/>
  <c r="BE386" i="35"/>
  <c r="BE472" i="35"/>
  <c r="BE204" i="35"/>
  <c r="BE419" i="35"/>
  <c r="BE233" i="35"/>
  <c r="BE346" i="35"/>
  <c r="BE126" i="35"/>
  <c r="BE318" i="35"/>
  <c r="BE523" i="35"/>
  <c r="BE254" i="35"/>
  <c r="BE529" i="35"/>
  <c r="BE250" i="35"/>
  <c r="BE507" i="35"/>
  <c r="BE334" i="35"/>
  <c r="BE202" i="35"/>
  <c r="BE484" i="35"/>
  <c r="BE362" i="35"/>
  <c r="BE211" i="35"/>
  <c r="BE496" i="35"/>
  <c r="BE350" i="35"/>
  <c r="BE209" i="35"/>
  <c r="BE515" i="35"/>
  <c r="BE375" i="35"/>
  <c r="BE453" i="35"/>
  <c r="BE163" i="35"/>
  <c r="BE413" i="35"/>
  <c r="BE147" i="35"/>
  <c r="BE319" i="35"/>
  <c r="BE74" i="35"/>
  <c r="BE312" i="35"/>
  <c r="BE501" i="35"/>
  <c r="BE237" i="35"/>
  <c r="BE521" i="35"/>
  <c r="BE227" i="35"/>
  <c r="BE95" i="35"/>
  <c r="BE19" i="35"/>
  <c r="BE173" i="35"/>
  <c r="BE256" i="35"/>
  <c r="BE412" i="35"/>
  <c r="BE122" i="35"/>
  <c r="BE349" i="35"/>
  <c r="BE44" i="35"/>
  <c r="BE146" i="35"/>
  <c r="BE216" i="35"/>
  <c r="BE218" i="35"/>
  <c r="BE79" i="35"/>
  <c r="BE509" i="35"/>
  <c r="BE360" i="35"/>
  <c r="BE168" i="35"/>
  <c r="BE470" i="35"/>
  <c r="BE309" i="35"/>
  <c r="BE184" i="35"/>
  <c r="BE500" i="35"/>
  <c r="BE340" i="35"/>
  <c r="BE175" i="35"/>
  <c r="BE512" i="35"/>
  <c r="BE358" i="35"/>
  <c r="BE407" i="35"/>
  <c r="BE187" i="35"/>
  <c r="BE388" i="35"/>
  <c r="BE123" i="35"/>
  <c r="BE333" i="35"/>
  <c r="BE35" i="35"/>
  <c r="BE272" i="35"/>
  <c r="BE476" i="35"/>
  <c r="BE210" i="35"/>
  <c r="BE479" i="35"/>
  <c r="BE208" i="35"/>
  <c r="BE488" i="35"/>
  <c r="BE326" i="35"/>
  <c r="BE220" i="35"/>
  <c r="BE457" i="35"/>
  <c r="BE301" i="35"/>
  <c r="BE150" i="35"/>
  <c r="BE473" i="35"/>
  <c r="BE330" i="35"/>
  <c r="BE164" i="35"/>
  <c r="BE510" i="35"/>
  <c r="BE385" i="35"/>
  <c r="BE137" i="35"/>
  <c r="BE347" i="35"/>
  <c r="BE127" i="35"/>
  <c r="BE285" i="35"/>
  <c r="BE40" i="35"/>
  <c r="BE255" i="35"/>
  <c r="BE466" i="35"/>
  <c r="BE171" i="35"/>
  <c r="BE486" i="35"/>
  <c r="BE170" i="35"/>
  <c r="BE471" i="35"/>
  <c r="BE105" i="35"/>
  <c r="BE61" i="35"/>
  <c r="BE154" i="35"/>
  <c r="BE151" i="35"/>
  <c r="BE307" i="35"/>
  <c r="BE489" i="35"/>
  <c r="BE283" i="35"/>
  <c r="BE348" i="35"/>
  <c r="BE72" i="35"/>
  <c r="Z56" i="35"/>
  <c r="AB56" i="35" s="1"/>
  <c r="AI56" i="35"/>
  <c r="AG56" i="35"/>
  <c r="AM56" i="35"/>
  <c r="AQ56" i="35"/>
  <c r="Y56" i="35"/>
  <c r="AQ165" i="35"/>
  <c r="AE165" i="35"/>
  <c r="AG165" i="35"/>
  <c r="AK165" i="35"/>
  <c r="Z343" i="35"/>
  <c r="AB343" i="35" s="1"/>
  <c r="Y123" i="35"/>
  <c r="AS393" i="35"/>
  <c r="BE487" i="35"/>
  <c r="BE92" i="35"/>
  <c r="BC104" i="35"/>
  <c r="AS371" i="35"/>
  <c r="AE288" i="35"/>
  <c r="AI116" i="35"/>
  <c r="AS45" i="35"/>
  <c r="AG25" i="35"/>
  <c r="AM97" i="35"/>
  <c r="BE69" i="35"/>
  <c r="BE169" i="35"/>
  <c r="AM528" i="35"/>
  <c r="Y77" i="35"/>
  <c r="AG77" i="35"/>
  <c r="AO87" i="35"/>
  <c r="AI87" i="35"/>
  <c r="BC87" i="35"/>
  <c r="AG123" i="35"/>
  <c r="Z123" i="35"/>
  <c r="AB123" i="35" s="1"/>
  <c r="AK123" i="35"/>
  <c r="BC123" i="35"/>
  <c r="AM123" i="35"/>
  <c r="AQ157" i="35"/>
  <c r="AO157" i="35"/>
  <c r="Y157" i="35"/>
  <c r="Z157" i="35"/>
  <c r="AB157" i="35" s="1"/>
  <c r="BC157" i="35"/>
  <c r="AK157" i="35"/>
  <c r="AG157" i="35"/>
  <c r="AI167" i="35"/>
  <c r="AM167" i="35"/>
  <c r="BC167" i="35"/>
  <c r="AO167" i="35"/>
  <c r="Y208" i="35"/>
  <c r="AM208" i="35"/>
  <c r="BC208" i="35"/>
  <c r="AG208" i="35"/>
  <c r="AQ208" i="35"/>
  <c r="Z208" i="35"/>
  <c r="AB208" i="35" s="1"/>
  <c r="AM220" i="35"/>
  <c r="AQ220" i="35"/>
  <c r="AG220" i="35"/>
  <c r="AI220" i="35"/>
  <c r="BC220" i="35"/>
  <c r="AO232" i="35"/>
  <c r="BC232" i="35"/>
  <c r="AM232" i="35"/>
  <c r="Z232" i="35"/>
  <c r="AB232" i="35" s="1"/>
  <c r="AE232" i="35"/>
  <c r="AQ232" i="35"/>
  <c r="BC254" i="35"/>
  <c r="Z254" i="35"/>
  <c r="AB254" i="35" s="1"/>
  <c r="AG254" i="35"/>
  <c r="AQ254" i="35"/>
  <c r="Z271" i="35"/>
  <c r="AB271" i="35" s="1"/>
  <c r="AM271" i="35"/>
  <c r="AG271" i="35"/>
  <c r="BC271" i="35"/>
  <c r="AO271" i="35"/>
  <c r="AE271" i="35"/>
  <c r="AK271" i="35"/>
  <c r="AS196" i="35"/>
  <c r="BE374" i="35"/>
  <c r="AI254" i="35"/>
  <c r="AE167" i="35"/>
  <c r="AG138" i="35"/>
  <c r="AE138" i="35"/>
  <c r="AQ138" i="35"/>
  <c r="AK138" i="35"/>
  <c r="Y138" i="35"/>
  <c r="Y167" i="35"/>
  <c r="AQ177" i="35"/>
  <c r="AS32" i="35"/>
  <c r="AS121" i="35"/>
  <c r="AS23" i="35"/>
  <c r="AS229" i="35"/>
  <c r="AS132" i="35"/>
  <c r="BE402" i="35"/>
  <c r="AI338" i="35"/>
  <c r="BE83" i="35"/>
  <c r="BE485" i="35"/>
  <c r="BE320" i="35"/>
  <c r="BE455" i="35"/>
  <c r="BE458" i="35"/>
  <c r="BE525" i="35"/>
  <c r="AK312" i="35"/>
  <c r="AI201" i="35"/>
  <c r="AQ18" i="35"/>
  <c r="AE13" i="35"/>
  <c r="AI405" i="35"/>
  <c r="AB405" i="35"/>
  <c r="AO143" i="35"/>
  <c r="BE190" i="35"/>
  <c r="BE111" i="35"/>
  <c r="BE135" i="35"/>
  <c r="BE144" i="35"/>
  <c r="BE511" i="35"/>
  <c r="BE55" i="35"/>
  <c r="BE527" i="35"/>
  <c r="BE286" i="35"/>
  <c r="BE65" i="35"/>
  <c r="BE352" i="35"/>
  <c r="BE120" i="35"/>
  <c r="BE414" i="35"/>
  <c r="AM196" i="35"/>
  <c r="AE343" i="35"/>
  <c r="AI208" i="35"/>
  <c r="AS392" i="35"/>
  <c r="AQ123" i="35"/>
  <c r="AS428" i="35"/>
  <c r="AE143" i="35"/>
  <c r="BE297" i="35"/>
  <c r="BE133" i="35"/>
  <c r="BE228" i="35"/>
  <c r="BE229" i="35"/>
  <c r="BE56" i="35"/>
  <c r="BE37" i="35"/>
  <c r="BE21" i="35"/>
  <c r="BE16" i="35"/>
  <c r="BE299" i="35"/>
  <c r="BE12" i="35"/>
  <c r="BE384" i="35"/>
  <c r="BE132" i="35"/>
  <c r="BE461" i="35"/>
  <c r="AI123" i="35"/>
  <c r="AE111" i="35"/>
  <c r="AQ283" i="35"/>
  <c r="BE418" i="35"/>
  <c r="AS286" i="35"/>
  <c r="Z104" i="35"/>
  <c r="AB104" i="35" s="1"/>
  <c r="BE314" i="35"/>
  <c r="BE371" i="35"/>
  <c r="Z288" i="35"/>
  <c r="AB288" i="35" s="1"/>
  <c r="Y75" i="35"/>
  <c r="BE107" i="35"/>
  <c r="BE129" i="35"/>
  <c r="AQ97" i="35"/>
  <c r="AQ35" i="39"/>
  <c r="AS377" i="35"/>
  <c r="AS216" i="35"/>
  <c r="AQ121" i="35"/>
  <c r="BE160" i="35"/>
  <c r="BW407" i="35"/>
  <c r="AQ407" i="35"/>
  <c r="AB407" i="35"/>
  <c r="AM407" i="35"/>
  <c r="Y450" i="35"/>
  <c r="Z450" i="35"/>
  <c r="AS450" i="35" s="1"/>
  <c r="AI460" i="35"/>
  <c r="AM460" i="35"/>
  <c r="AE460" i="35"/>
  <c r="Y460" i="35"/>
  <c r="Z460" i="35"/>
  <c r="AB460" i="35" s="1"/>
  <c r="AQ460" i="35"/>
  <c r="BC460" i="35"/>
  <c r="AO460" i="35"/>
  <c r="Z470" i="35"/>
  <c r="AB470" i="35" s="1"/>
  <c r="AQ470" i="35"/>
  <c r="AM470" i="35"/>
  <c r="AG470" i="35"/>
  <c r="BC470" i="35"/>
  <c r="AK470" i="35"/>
  <c r="AO470" i="35"/>
  <c r="AE470" i="35"/>
  <c r="AI470" i="35"/>
  <c r="Y470" i="35"/>
  <c r="AE482" i="35"/>
  <c r="AG482" i="35"/>
  <c r="AQ482" i="35"/>
  <c r="Y482" i="35"/>
  <c r="Z482" i="35"/>
  <c r="AB482" i="35" s="1"/>
  <c r="AK482" i="35"/>
  <c r="BC482" i="35"/>
  <c r="AM482" i="35"/>
  <c r="AI482" i="35"/>
  <c r="AV6" i="40"/>
  <c r="BC407" i="35"/>
  <c r="Z438" i="35"/>
  <c r="AO438" i="35" s="1"/>
  <c r="AK240" i="20"/>
  <c r="AC240" i="20"/>
  <c r="AI240" i="20"/>
  <c r="AG240" i="20"/>
  <c r="BA240" i="20"/>
  <c r="AM240" i="20"/>
  <c r="AE240" i="20"/>
  <c r="AY240" i="20"/>
  <c r="AA240" i="20"/>
  <c r="AM281" i="20"/>
  <c r="AE281" i="20"/>
  <c r="U281" i="20"/>
  <c r="AY281" i="20"/>
  <c r="AY284" i="20"/>
  <c r="AK284" i="20"/>
  <c r="AA284" i="20"/>
  <c r="AM284" i="20"/>
  <c r="AE284" i="20"/>
  <c r="AG284" i="20"/>
  <c r="V284" i="20"/>
  <c r="X284" i="20" s="1"/>
  <c r="AI284" i="20"/>
  <c r="AA287" i="20"/>
  <c r="AI287" i="20"/>
  <c r="AG287" i="20"/>
  <c r="AM314" i="20"/>
  <c r="AY314" i="20"/>
  <c r="AE314" i="20"/>
  <c r="AK317" i="20"/>
  <c r="U317" i="20"/>
  <c r="V317" i="20"/>
  <c r="X317" i="20" s="1"/>
  <c r="AE317" i="20"/>
  <c r="AM317" i="20"/>
  <c r="AI320" i="20"/>
  <c r="AY320" i="20"/>
  <c r="AA320" i="20"/>
  <c r="AG320" i="20"/>
  <c r="AM320" i="20"/>
  <c r="AE320" i="20"/>
  <c r="AC320" i="20"/>
  <c r="AA322" i="20"/>
  <c r="AK322" i="20"/>
  <c r="AK325" i="20"/>
  <c r="V325" i="20"/>
  <c r="X325" i="20" s="1"/>
  <c r="AI325" i="20"/>
  <c r="AY325" i="20"/>
  <c r="AE331" i="20"/>
  <c r="AY331" i="20"/>
  <c r="AI366" i="20"/>
  <c r="AY366" i="20"/>
  <c r="U366" i="20"/>
  <c r="AK366" i="20"/>
  <c r="BA366" i="20"/>
  <c r="AK369" i="20"/>
  <c r="AC369" i="20"/>
  <c r="AM369" i="20"/>
  <c r="AI369" i="20"/>
  <c r="AY369" i="20"/>
  <c r="AI376" i="20"/>
  <c r="AY376" i="20"/>
  <c r="AY62" i="20"/>
  <c r="V62" i="20"/>
  <c r="X62" i="20" s="1"/>
  <c r="AC62" i="20"/>
  <c r="AE62" i="20"/>
  <c r="AG388" i="20"/>
  <c r="U388" i="20"/>
  <c r="AA388" i="20"/>
  <c r="V388" i="20"/>
  <c r="X388" i="20" s="1"/>
  <c r="AC388" i="20"/>
  <c r="AM388" i="20"/>
  <c r="AC391" i="20"/>
  <c r="AM391" i="20"/>
  <c r="AO411" i="20"/>
  <c r="V411" i="20"/>
  <c r="X411" i="20" s="1"/>
  <c r="AI420" i="20"/>
  <c r="AK420" i="20"/>
  <c r="AG450" i="20"/>
  <c r="AM450" i="20"/>
  <c r="AI450" i="20"/>
  <c r="AI453" i="20"/>
  <c r="V453" i="20"/>
  <c r="X453" i="20" s="1"/>
  <c r="AI35" i="35"/>
  <c r="BC35" i="35"/>
  <c r="Y35" i="35"/>
  <c r="AO35" i="35"/>
  <c r="BC59" i="35"/>
  <c r="AG59" i="35"/>
  <c r="Y59" i="35"/>
  <c r="Z59" i="35"/>
  <c r="AB59" i="35" s="1"/>
  <c r="AG71" i="35"/>
  <c r="AQ71" i="35"/>
  <c r="BC71" i="35"/>
  <c r="AE71" i="35"/>
  <c r="AO71" i="35"/>
  <c r="Z71" i="35"/>
  <c r="AB71" i="35" s="1"/>
  <c r="AQ78" i="35"/>
  <c r="Z78" i="35"/>
  <c r="AB78" i="35" s="1"/>
  <c r="AI78" i="35"/>
  <c r="AO78" i="35"/>
  <c r="AK100" i="35"/>
  <c r="AE100" i="35"/>
  <c r="Y100" i="35"/>
  <c r="AO112" i="35"/>
  <c r="BC112" i="35"/>
  <c r="Y112" i="35"/>
  <c r="AE112" i="35"/>
  <c r="AM112" i="35"/>
  <c r="AO146" i="35"/>
  <c r="AM146" i="35"/>
  <c r="Z168" i="35"/>
  <c r="AB168" i="35" s="1"/>
  <c r="AI168" i="35"/>
  <c r="Z375" i="35"/>
  <c r="AB375" i="35" s="1"/>
  <c r="AQ375" i="35"/>
  <c r="AI375" i="35"/>
  <c r="Y375" i="35"/>
  <c r="AM375" i="35"/>
  <c r="AK375" i="35"/>
  <c r="AE382" i="35"/>
  <c r="AG382" i="35"/>
  <c r="AI382" i="35"/>
  <c r="AG389" i="35"/>
  <c r="AK389" i="35"/>
  <c r="AE389" i="35"/>
  <c r="AM389" i="35"/>
  <c r="Z401" i="35"/>
  <c r="BC401" i="35" s="1"/>
  <c r="Y401" i="35"/>
  <c r="AI420" i="35"/>
  <c r="AG420" i="35"/>
  <c r="AQ420" i="35"/>
  <c r="AE420" i="35"/>
  <c r="Z432" i="35"/>
  <c r="Y432" i="35"/>
  <c r="Y444" i="35"/>
  <c r="Z444" i="35"/>
  <c r="BC454" i="35"/>
  <c r="AE454" i="35"/>
  <c r="AM454" i="35"/>
  <c r="AK476" i="35"/>
  <c r="AI476" i="35"/>
  <c r="AG476" i="35"/>
  <c r="Y476" i="35"/>
  <c r="AO488" i="35"/>
  <c r="Z488" i="35"/>
  <c r="AB488" i="35" s="1"/>
  <c r="BC488" i="35"/>
  <c r="AM488" i="35"/>
  <c r="Y488" i="35"/>
  <c r="AE488" i="35"/>
  <c r="AI488" i="35"/>
  <c r="AK488" i="35"/>
  <c r="AG488" i="35"/>
  <c r="AG314" i="20"/>
  <c r="AG62" i="20"/>
  <c r="AG317" i="20"/>
  <c r="AM287" i="20"/>
  <c r="V196" i="20"/>
  <c r="X196" i="20" s="1"/>
  <c r="AO196" i="20"/>
  <c r="AE196" i="20"/>
  <c r="AA244" i="20"/>
  <c r="AG244" i="20"/>
  <c r="AC272" i="20"/>
  <c r="AG272" i="20"/>
  <c r="AI272" i="20"/>
  <c r="AI18" i="20"/>
  <c r="U18" i="20"/>
  <c r="AI391" i="20"/>
  <c r="U152" i="20"/>
  <c r="AC152" i="20"/>
  <c r="BA152" i="20"/>
  <c r="BA247" i="20"/>
  <c r="AC247" i="20"/>
  <c r="AA247" i="20"/>
  <c r="AI247" i="20"/>
  <c r="AY247" i="20"/>
  <c r="AO247" i="20"/>
  <c r="AE66" i="20"/>
  <c r="AA66" i="20"/>
  <c r="U66" i="20"/>
  <c r="V191" i="20"/>
  <c r="X191" i="20" s="1"/>
  <c r="U191" i="20"/>
  <c r="AC358" i="20"/>
  <c r="AI358" i="20"/>
  <c r="AO434" i="20"/>
  <c r="AA434" i="20"/>
  <c r="BA434" i="20"/>
  <c r="V481" i="20"/>
  <c r="X481" i="20" s="1"/>
  <c r="AI481" i="20"/>
  <c r="U165" i="20"/>
  <c r="AI165" i="20"/>
  <c r="AE168" i="20"/>
  <c r="AK168" i="20"/>
  <c r="AY38" i="20"/>
  <c r="AA38" i="20"/>
  <c r="AC38" i="20"/>
  <c r="AK38" i="20"/>
  <c r="Z389" i="35"/>
  <c r="AB389" i="35" s="1"/>
  <c r="AA391" i="20"/>
  <c r="AY450" i="20"/>
  <c r="AA366" i="20"/>
  <c r="AA618" i="20"/>
  <c r="AG618" i="20"/>
  <c r="AG651" i="20"/>
  <c r="V651" i="20"/>
  <c r="X651" i="20" s="1"/>
  <c r="AQ389" i="35"/>
  <c r="AY453" i="20"/>
  <c r="AC281" i="20"/>
  <c r="AO490" i="35"/>
  <c r="AE490" i="35"/>
  <c r="AK490" i="35"/>
  <c r="AI490" i="35"/>
  <c r="BC490" i="35"/>
  <c r="AM490" i="35"/>
  <c r="Y490" i="35"/>
  <c r="AM502" i="35"/>
  <c r="AO502" i="35"/>
  <c r="AM526" i="35"/>
  <c r="Z526" i="35"/>
  <c r="AB526" i="35" s="1"/>
  <c r="AE23" i="35"/>
  <c r="AG42" i="20"/>
  <c r="AC42" i="20"/>
  <c r="AK42" i="20"/>
  <c r="AI42" i="20"/>
  <c r="AA42" i="20"/>
  <c r="AI44" i="20"/>
  <c r="U44" i="20"/>
  <c r="AO47" i="20"/>
  <c r="V47" i="20"/>
  <c r="X47" i="20" s="1"/>
  <c r="AA47" i="20"/>
  <c r="V262" i="20"/>
  <c r="X262" i="20" s="1"/>
  <c r="AY262" i="20"/>
  <c r="AI346" i="20"/>
  <c r="AY346" i="20"/>
  <c r="Z490" i="35"/>
  <c r="AB490" i="35" s="1"/>
  <c r="AM95" i="35"/>
  <c r="Z95" i="35"/>
  <c r="AB95" i="35" s="1"/>
  <c r="BC119" i="35"/>
  <c r="AM119" i="35"/>
  <c r="AE153" i="35"/>
  <c r="Z153" i="35"/>
  <c r="AB153" i="35" s="1"/>
  <c r="AM204" i="35"/>
  <c r="AQ204" i="35"/>
  <c r="Y408" i="35"/>
  <c r="AE408" i="35"/>
  <c r="AI471" i="35"/>
  <c r="AQ471" i="35"/>
  <c r="AM471" i="35"/>
  <c r="BC471" i="35"/>
  <c r="AG483" i="35"/>
  <c r="Y483" i="35"/>
  <c r="AO495" i="35"/>
  <c r="AG495" i="35"/>
  <c r="BC495" i="35"/>
  <c r="AI495" i="35"/>
  <c r="Z495" i="35"/>
  <c r="AB495" i="35" s="1"/>
  <c r="AM495" i="35"/>
  <c r="AG507" i="35"/>
  <c r="Z507" i="35"/>
  <c r="AB507" i="35" s="1"/>
  <c r="AE507" i="35"/>
  <c r="AO507" i="35"/>
  <c r="AM507" i="35"/>
  <c r="BC507" i="35"/>
  <c r="AK507" i="35"/>
  <c r="AM243" i="20"/>
  <c r="AK243" i="20"/>
  <c r="U243" i="20"/>
  <c r="AI243" i="20"/>
  <c r="AG490" i="35"/>
  <c r="AI26" i="35"/>
  <c r="AK26" i="35"/>
  <c r="AE223" i="35"/>
  <c r="Y19" i="35"/>
  <c r="BC23" i="35"/>
  <c r="AM26" i="35"/>
  <c r="AE360" i="20"/>
  <c r="AE354" i="20"/>
  <c r="AI212" i="20"/>
  <c r="AM234" i="20"/>
  <c r="AK54" i="20"/>
  <c r="Z483" i="35"/>
  <c r="AB483" i="35" s="1"/>
  <c r="AQ507" i="35"/>
  <c r="Y502" i="35"/>
  <c r="U548" i="20"/>
  <c r="AI499" i="20"/>
  <c r="AM360" i="20"/>
  <c r="AC342" i="20"/>
  <c r="AY237" i="20"/>
  <c r="AE495" i="35"/>
  <c r="AQ483" i="35"/>
  <c r="Y507" i="35"/>
  <c r="Z502" i="35"/>
  <c r="AB502" i="35" s="1"/>
  <c r="AY212" i="20"/>
  <c r="Z26" i="35"/>
  <c r="AB26" i="35" s="1"/>
  <c r="AG44" i="20"/>
  <c r="U342" i="20"/>
  <c r="AG54" i="20"/>
  <c r="Z514" i="35"/>
  <c r="AB514" i="35" s="1"/>
  <c r="AI483" i="35"/>
  <c r="AI408" i="35"/>
  <c r="AI223" i="35"/>
  <c r="AC341" i="20"/>
  <c r="U341" i="20"/>
  <c r="AA341" i="20"/>
  <c r="AI341" i="20"/>
  <c r="AK273" i="20"/>
  <c r="AA273" i="20"/>
  <c r="AI273" i="20"/>
  <c r="AY234" i="20"/>
  <c r="AE234" i="20"/>
  <c r="AC234" i="20"/>
  <c r="U234" i="20"/>
  <c r="AE237" i="20"/>
  <c r="U237" i="20"/>
  <c r="V237" i="20"/>
  <c r="X237" i="20" s="1"/>
  <c r="AK237" i="20"/>
  <c r="AC360" i="20"/>
  <c r="AK360" i="20"/>
  <c r="AY360" i="20"/>
  <c r="V354" i="20"/>
  <c r="X354" i="20" s="1"/>
  <c r="AK354" i="20"/>
  <c r="V402" i="20"/>
  <c r="X402" i="20" s="1"/>
  <c r="U402" i="20"/>
  <c r="AC402" i="20"/>
  <c r="AC428" i="20"/>
  <c r="AY428" i="20"/>
  <c r="AA458" i="20"/>
  <c r="BA458" i="20"/>
  <c r="AY487" i="20"/>
  <c r="AM487" i="20"/>
  <c r="AE544" i="20"/>
  <c r="U544" i="20"/>
  <c r="AE95" i="35"/>
  <c r="AY105" i="20"/>
  <c r="AI105" i="20"/>
  <c r="AC177" i="20"/>
  <c r="AM177" i="20"/>
  <c r="AG177" i="20"/>
  <c r="AC427" i="20"/>
  <c r="AE427" i="20"/>
  <c r="Y418" i="35"/>
  <c r="AI418" i="35"/>
  <c r="AM418" i="35"/>
  <c r="Z437" i="35"/>
  <c r="Y437" i="35"/>
  <c r="AG148" i="20"/>
  <c r="AC148" i="20"/>
  <c r="AM349" i="20"/>
  <c r="V349" i="20"/>
  <c r="X349" i="20" s="1"/>
  <c r="AG398" i="20"/>
  <c r="V398" i="20"/>
  <c r="X398" i="20" s="1"/>
  <c r="V457" i="20"/>
  <c r="X457" i="20" s="1"/>
  <c r="AM457" i="20"/>
  <c r="AY469" i="20"/>
  <c r="AM469" i="20"/>
  <c r="U469" i="20"/>
  <c r="AK469" i="20"/>
  <c r="AC475" i="20"/>
  <c r="V475" i="20"/>
  <c r="X475" i="20" s="1"/>
  <c r="AY478" i="20"/>
  <c r="AG478" i="20"/>
  <c r="AC478" i="20"/>
  <c r="U478" i="20"/>
  <c r="AK478" i="20"/>
  <c r="AE489" i="20"/>
  <c r="AK489" i="20"/>
  <c r="V489" i="20"/>
  <c r="X489" i="20" s="1"/>
  <c r="AG489" i="20"/>
  <c r="U489" i="20"/>
  <c r="AG504" i="20"/>
  <c r="U504" i="20"/>
  <c r="AM624" i="20"/>
  <c r="AE624" i="20"/>
  <c r="AE60" i="20"/>
  <c r="AM60" i="20"/>
  <c r="AK534" i="20"/>
  <c r="AE534" i="20"/>
  <c r="BA534" i="20"/>
  <c r="AG534" i="20"/>
  <c r="AM546" i="20"/>
  <c r="AG546" i="20"/>
  <c r="AG306" i="35"/>
  <c r="AE306" i="35"/>
  <c r="Y522" i="35"/>
  <c r="AI522" i="35"/>
  <c r="AM522" i="35"/>
  <c r="AQ66" i="39"/>
  <c r="AQ54" i="39"/>
  <c r="AE203" i="20"/>
  <c r="AI215" i="20"/>
  <c r="U105" i="20"/>
  <c r="AO113" i="20"/>
  <c r="AO220" i="20"/>
  <c r="AO284" i="20"/>
  <c r="AO375" i="20"/>
  <c r="AM416" i="20"/>
  <c r="AG416" i="20"/>
  <c r="AM217" i="35"/>
  <c r="BC217" i="35"/>
  <c r="AK217" i="35"/>
  <c r="Y241" i="35"/>
  <c r="AM241" i="35"/>
  <c r="AQ275" i="35"/>
  <c r="AI275" i="35"/>
  <c r="AG299" i="35"/>
  <c r="Y299" i="35"/>
  <c r="AO299" i="35"/>
  <c r="AE311" i="35"/>
  <c r="AO311" i="35"/>
  <c r="AK311" i="35"/>
  <c r="AO330" i="35"/>
  <c r="AE330" i="35"/>
  <c r="AM330" i="35"/>
  <c r="BC330" i="35"/>
  <c r="AQ330" i="35"/>
  <c r="AI330" i="35"/>
  <c r="AG330" i="35"/>
  <c r="AO342" i="35"/>
  <c r="AG342" i="35"/>
  <c r="AO515" i="35"/>
  <c r="BC515" i="35"/>
  <c r="Y527" i="35"/>
  <c r="AK527" i="35"/>
  <c r="Z527" i="35"/>
  <c r="AB527" i="35" s="1"/>
  <c r="AG105" i="20"/>
  <c r="AA446" i="20"/>
  <c r="AC406" i="20"/>
  <c r="AY446" i="20"/>
  <c r="V203" i="20"/>
  <c r="X203" i="20" s="1"/>
  <c r="AA350" i="20"/>
  <c r="AO258" i="20"/>
  <c r="AO25" i="20"/>
  <c r="AO287" i="20"/>
  <c r="AM489" i="20"/>
  <c r="U475" i="20"/>
  <c r="AC469" i="20"/>
  <c r="AK398" i="20"/>
  <c r="AG483" i="20"/>
  <c r="AE457" i="20"/>
  <c r="AG249" i="20"/>
  <c r="AE249" i="20"/>
  <c r="U249" i="20"/>
  <c r="V34" i="20"/>
  <c r="X34" i="20" s="1"/>
  <c r="AA34" i="20"/>
  <c r="AA255" i="20"/>
  <c r="AI255" i="20"/>
  <c r="V31" i="20"/>
  <c r="X31" i="20" s="1"/>
  <c r="AK31" i="20"/>
  <c r="AI357" i="20"/>
  <c r="AE357" i="20"/>
  <c r="V511" i="20"/>
  <c r="X511" i="20" s="1"/>
  <c r="AI511" i="20"/>
  <c r="U43" i="20"/>
  <c r="AK43" i="20"/>
  <c r="AM257" i="20"/>
  <c r="AY257" i="20"/>
  <c r="AQ27" i="35"/>
  <c r="BC27" i="35"/>
  <c r="BC89" i="35"/>
  <c r="Z89" i="35"/>
  <c r="AB89" i="35" s="1"/>
  <c r="AM125" i="35"/>
  <c r="AK125" i="35"/>
  <c r="BC125" i="35"/>
  <c r="AE125" i="35"/>
  <c r="AK210" i="35"/>
  <c r="AQ210" i="35"/>
  <c r="AQ234" i="35"/>
  <c r="AI234" i="35"/>
  <c r="AK246" i="35"/>
  <c r="AM246" i="35"/>
  <c r="AE304" i="35"/>
  <c r="AM304" i="35"/>
  <c r="BC335" i="35"/>
  <c r="AG335" i="35"/>
  <c r="AK335" i="35"/>
  <c r="AI335" i="35"/>
  <c r="AM385" i="35"/>
  <c r="Y385" i="35"/>
  <c r="AQ385" i="35"/>
  <c r="AW397" i="35"/>
  <c r="BW397" i="35"/>
  <c r="AO397" i="35"/>
  <c r="AO156" i="20"/>
  <c r="AO465" i="20"/>
  <c r="AO331" i="20"/>
  <c r="AO314" i="20"/>
  <c r="AO342" i="20"/>
  <c r="AO48" i="20"/>
  <c r="AO74" i="20"/>
  <c r="AO43" i="20"/>
  <c r="AO583" i="20"/>
  <c r="AO537" i="20"/>
  <c r="AO463" i="20"/>
  <c r="AO455" i="20"/>
  <c r="AO360" i="20"/>
  <c r="AO350" i="20"/>
  <c r="AO230" i="20"/>
  <c r="AO229" i="20"/>
  <c r="AO42" i="20"/>
  <c r="AQ4" i="20"/>
  <c r="AQ595" i="20" s="1"/>
  <c r="AO534" i="20"/>
  <c r="AO459" i="20"/>
  <c r="AO427" i="20"/>
  <c r="AO311" i="20"/>
  <c r="AO178" i="20"/>
  <c r="AO130" i="20"/>
  <c r="AO228" i="20"/>
  <c r="AO45" i="20"/>
  <c r="AO530" i="20"/>
  <c r="AO457" i="20"/>
  <c r="AO391" i="20"/>
  <c r="AO352" i="20"/>
  <c r="AO203" i="20"/>
  <c r="AO124" i="20"/>
  <c r="AO214" i="20"/>
  <c r="AO9" i="20"/>
  <c r="AO533" i="20"/>
  <c r="AO483" i="20"/>
  <c r="AO421" i="20"/>
  <c r="AO237" i="20"/>
  <c r="AO115" i="20"/>
  <c r="AO100" i="20"/>
  <c r="AO169" i="20"/>
  <c r="AO249" i="20"/>
  <c r="AC159" i="20"/>
  <c r="AY159" i="20"/>
  <c r="AQ152" i="35"/>
  <c r="BC152" i="35"/>
  <c r="Z162" i="35"/>
  <c r="AB162" i="35" s="1"/>
  <c r="Y162" i="35"/>
  <c r="AK184" i="35"/>
  <c r="AM184" i="35"/>
  <c r="AG203" i="35"/>
  <c r="AM203" i="35"/>
  <c r="BE215" i="35"/>
  <c r="Z261" i="35"/>
  <c r="AB261" i="35" s="1"/>
  <c r="AM261" i="35"/>
  <c r="Y280" i="35"/>
  <c r="Z280" i="35"/>
  <c r="AB280" i="35" s="1"/>
  <c r="AE287" i="35"/>
  <c r="AQ287" i="35"/>
  <c r="Y287" i="35"/>
  <c r="AI287" i="35"/>
  <c r="Y297" i="35"/>
  <c r="AG297" i="35"/>
  <c r="AM297" i="35"/>
  <c r="AO421" i="35"/>
  <c r="Z421" i="35"/>
  <c r="AB421" i="35" s="1"/>
  <c r="BC421" i="35"/>
  <c r="AK455" i="35"/>
  <c r="AM455" i="35"/>
  <c r="Z467" i="35"/>
  <c r="AB467" i="35" s="1"/>
  <c r="AK467" i="35"/>
  <c r="Y467" i="35"/>
  <c r="BC489" i="35"/>
  <c r="AK489" i="35"/>
  <c r="AK501" i="35"/>
  <c r="AO501" i="35"/>
  <c r="Y501" i="35"/>
  <c r="AO193" i="20"/>
  <c r="N6" i="23"/>
  <c r="O11" i="39"/>
  <c r="AQ88" i="39"/>
  <c r="AQ81" i="39"/>
  <c r="AQ40" i="40"/>
  <c r="AO197" i="20"/>
  <c r="BE67" i="35"/>
  <c r="Z263" i="35"/>
  <c r="AB263" i="35" s="1"/>
  <c r="AE263" i="35"/>
  <c r="AI263" i="35"/>
  <c r="Y263" i="35"/>
  <c r="AK263" i="35"/>
  <c r="BC263" i="35"/>
  <c r="AG263" i="35"/>
  <c r="AQ263" i="35"/>
  <c r="AM263" i="35"/>
  <c r="Z268" i="35"/>
  <c r="AB268" i="35" s="1"/>
  <c r="AQ268" i="35"/>
  <c r="AM268" i="35"/>
  <c r="BE268" i="35"/>
  <c r="BC284" i="35"/>
  <c r="AG284" i="35"/>
  <c r="AK284" i="35"/>
  <c r="Z284" i="35"/>
  <c r="AB284" i="35" s="1"/>
  <c r="AO284" i="35"/>
  <c r="AA405" i="20"/>
  <c r="U405" i="20"/>
  <c r="AM405" i="20"/>
  <c r="AG405" i="20"/>
  <c r="AE405" i="20"/>
  <c r="V405" i="20"/>
  <c r="X405" i="20" s="1"/>
  <c r="AK405" i="20"/>
  <c r="AO426" i="20"/>
  <c r="V426" i="20"/>
  <c r="X426" i="20" s="1"/>
  <c r="AM426" i="20"/>
  <c r="U426" i="20"/>
  <c r="AE426" i="20"/>
  <c r="AY426" i="20"/>
  <c r="AK426" i="20"/>
  <c r="AG426" i="20"/>
  <c r="AC601" i="20"/>
  <c r="AI601" i="20"/>
  <c r="AG601" i="20"/>
  <c r="V589" i="20"/>
  <c r="X589" i="20" s="1"/>
  <c r="AO589" i="20"/>
  <c r="AE589" i="20"/>
  <c r="AG589" i="20"/>
  <c r="AC589" i="20"/>
  <c r="AO366" i="35"/>
  <c r="Z366" i="35"/>
  <c r="AB366" i="35" s="1"/>
  <c r="BC366" i="35"/>
  <c r="Y366" i="35"/>
  <c r="AE366" i="35"/>
  <c r="AM366" i="35"/>
  <c r="AG366" i="35"/>
  <c r="AQ366" i="35"/>
  <c r="AK366" i="35"/>
  <c r="AI380" i="35"/>
  <c r="AG380" i="35"/>
  <c r="AG553" i="20"/>
  <c r="X553" i="20"/>
  <c r="AM553" i="20"/>
  <c r="AY553" i="20"/>
  <c r="U179" i="20"/>
  <c r="AC179" i="20"/>
  <c r="AI179" i="20"/>
  <c r="AK179" i="20"/>
  <c r="AE179" i="20"/>
  <c r="BA179" i="20"/>
  <c r="AK291" i="20"/>
  <c r="AA291" i="20"/>
  <c r="AC291" i="20"/>
  <c r="U291" i="20"/>
  <c r="AI291" i="20"/>
  <c r="AM291" i="20"/>
  <c r="AY291" i="20"/>
  <c r="AA300" i="20"/>
  <c r="U300" i="20"/>
  <c r="AI300" i="20"/>
  <c r="AG300" i="20"/>
  <c r="BA300" i="20"/>
  <c r="AK437" i="20"/>
  <c r="U437" i="20"/>
  <c r="V630" i="20"/>
  <c r="X630" i="20" s="1"/>
  <c r="AM630" i="20"/>
  <c r="AY630" i="20"/>
  <c r="AI630" i="20"/>
  <c r="AA630" i="20"/>
  <c r="BA630" i="20"/>
  <c r="AC630" i="20"/>
  <c r="U630" i="20"/>
  <c r="AK630" i="20"/>
  <c r="V629" i="20"/>
  <c r="X629" i="20" s="1"/>
  <c r="AM589" i="20"/>
  <c r="V179" i="20"/>
  <c r="X179" i="20" s="1"/>
  <c r="AA179" i="20"/>
  <c r="V160" i="20"/>
  <c r="X160" i="20" s="1"/>
  <c r="BA160" i="20"/>
  <c r="AC336" i="20"/>
  <c r="AA336" i="20"/>
  <c r="AM336" i="20"/>
  <c r="AI336" i="20"/>
  <c r="AG336" i="20"/>
  <c r="AE336" i="20"/>
  <c r="AY336" i="20"/>
  <c r="U336" i="20"/>
  <c r="AK336" i="20"/>
  <c r="BA48" i="20"/>
  <c r="AI48" i="20"/>
  <c r="AO221" i="20"/>
  <c r="V221" i="20"/>
  <c r="X221" i="20" s="1"/>
  <c r="AY221" i="20"/>
  <c r="U221" i="20"/>
  <c r="BA221" i="20"/>
  <c r="AM224" i="20"/>
  <c r="AC224" i="20"/>
  <c r="AO224" i="20"/>
  <c r="BA224" i="20"/>
  <c r="AM210" i="20"/>
  <c r="AY210" i="20"/>
  <c r="AG210" i="20"/>
  <c r="BA23" i="20"/>
  <c r="V23" i="20"/>
  <c r="X23" i="20" s="1"/>
  <c r="AM26" i="20"/>
  <c r="AE26" i="20"/>
  <c r="U26" i="20"/>
  <c r="AG26" i="20"/>
  <c r="BA26" i="20"/>
  <c r="AA26" i="20"/>
  <c r="U29" i="20"/>
  <c r="AI29" i="20"/>
  <c r="AK29" i="20"/>
  <c r="AA29" i="20"/>
  <c r="AM29" i="20"/>
  <c r="V29" i="20"/>
  <c r="X29" i="20" s="1"/>
  <c r="AE29" i="20"/>
  <c r="AC138" i="20"/>
  <c r="V138" i="20"/>
  <c r="X138" i="20" s="1"/>
  <c r="AM144" i="20"/>
  <c r="AK144" i="20"/>
  <c r="U144" i="20"/>
  <c r="AO144" i="20"/>
  <c r="AC144" i="20"/>
  <c r="AI144" i="20"/>
  <c r="BA144" i="20"/>
  <c r="AA147" i="20"/>
  <c r="AM147" i="20"/>
  <c r="AY147" i="20"/>
  <c r="AI147" i="20"/>
  <c r="AE150" i="20"/>
  <c r="AK150" i="20"/>
  <c r="U150" i="20"/>
  <c r="AY150" i="20"/>
  <c r="BA150" i="20"/>
  <c r="AI235" i="20"/>
  <c r="AY235" i="20"/>
  <c r="AA235" i="20"/>
  <c r="V235" i="20"/>
  <c r="X235" i="20" s="1"/>
  <c r="AG235" i="20"/>
  <c r="AM235" i="20"/>
  <c r="U235" i="20"/>
  <c r="AE235" i="20"/>
  <c r="AK235" i="20"/>
  <c r="BA235" i="20"/>
  <c r="AC235" i="20"/>
  <c r="AO238" i="20"/>
  <c r="U238" i="20"/>
  <c r="AI238" i="20"/>
  <c r="AA238" i="20"/>
  <c r="AE238" i="20"/>
  <c r="V238" i="20"/>
  <c r="X238" i="20" s="1"/>
  <c r="AG238" i="20"/>
  <c r="AI361" i="20"/>
  <c r="U361" i="20"/>
  <c r="AE361" i="20"/>
  <c r="AA361" i="20"/>
  <c r="AM361" i="20"/>
  <c r="V361" i="20"/>
  <c r="X361" i="20" s="1"/>
  <c r="AO361" i="20"/>
  <c r="AC361" i="20"/>
  <c r="AK361" i="20"/>
  <c r="AG361" i="20"/>
  <c r="U370" i="20"/>
  <c r="V370" i="20"/>
  <c r="X370" i="20" s="1"/>
  <c r="AC370" i="20"/>
  <c r="AK352" i="20"/>
  <c r="AG352" i="20"/>
  <c r="AC352" i="20"/>
  <c r="AE352" i="20"/>
  <c r="BA352" i="20"/>
  <c r="AM352" i="20"/>
  <c r="AI352" i="20"/>
  <c r="AC355" i="20"/>
  <c r="AM355" i="20"/>
  <c r="AK355" i="20"/>
  <c r="AI355" i="20"/>
  <c r="AO355" i="20"/>
  <c r="V355" i="20"/>
  <c r="X355" i="20" s="1"/>
  <c r="AG355" i="20"/>
  <c r="U355" i="20"/>
  <c r="AM397" i="20"/>
  <c r="AC397" i="20"/>
  <c r="AA397" i="20"/>
  <c r="AE400" i="20"/>
  <c r="AO400" i="20"/>
  <c r="AI400" i="20"/>
  <c r="AY429" i="20"/>
  <c r="AA429" i="20"/>
  <c r="V429" i="20"/>
  <c r="X429" i="20" s="1"/>
  <c r="AK429" i="20"/>
  <c r="AI429" i="20"/>
  <c r="AM429" i="20"/>
  <c r="AG429" i="20"/>
  <c r="BA429" i="20"/>
  <c r="AC429" i="20"/>
  <c r="U429" i="20"/>
  <c r="R17" i="23"/>
  <c r="Q6" i="23"/>
  <c r="BE380" i="35"/>
  <c r="AA426" i="20"/>
  <c r="AM205" i="20"/>
  <c r="AI205" i="20"/>
  <c r="AC205" i="20"/>
  <c r="U205" i="20"/>
  <c r="V205" i="20"/>
  <c r="X205" i="20" s="1"/>
  <c r="AE205" i="20"/>
  <c r="AG205" i="20"/>
  <c r="AO205" i="20"/>
  <c r="AA205" i="20"/>
  <c r="AY205" i="20"/>
  <c r="AG294" i="20"/>
  <c r="V294" i="20"/>
  <c r="X294" i="20" s="1"/>
  <c r="AA294" i="20"/>
  <c r="AM294" i="20"/>
  <c r="U294" i="20"/>
  <c r="AC294" i="20"/>
  <c r="AY294" i="20"/>
  <c r="BA294" i="20"/>
  <c r="AY297" i="20"/>
  <c r="AG297" i="20"/>
  <c r="U297" i="20"/>
  <c r="AM297" i="20"/>
  <c r="AC297" i="20"/>
  <c r="AK297" i="20"/>
  <c r="AO297" i="20"/>
  <c r="AA297" i="20"/>
  <c r="AE297" i="20"/>
  <c r="V297" i="20"/>
  <c r="X297" i="20" s="1"/>
  <c r="V303" i="20"/>
  <c r="X303" i="20" s="1"/>
  <c r="AY303" i="20"/>
  <c r="AM303" i="20"/>
  <c r="AK303" i="20"/>
  <c r="AE303" i="20"/>
  <c r="BA303" i="20"/>
  <c r="AC303" i="20"/>
  <c r="AK408" i="20"/>
  <c r="AA408" i="20"/>
  <c r="AO408" i="20"/>
  <c r="AY408" i="20"/>
  <c r="AM408" i="20"/>
  <c r="BA408" i="20"/>
  <c r="V408" i="20"/>
  <c r="X408" i="20" s="1"/>
  <c r="AI366" i="35"/>
  <c r="AK387" i="35"/>
  <c r="AK589" i="20"/>
  <c r="AO553" i="20"/>
  <c r="AI408" i="20"/>
  <c r="AE630" i="20"/>
  <c r="AI405" i="20"/>
  <c r="AK205" i="20"/>
  <c r="AK601" i="20"/>
  <c r="AI550" i="20"/>
  <c r="X550" i="20"/>
  <c r="AG550" i="20"/>
  <c r="AK550" i="20"/>
  <c r="AA550" i="20"/>
  <c r="AM550" i="20"/>
  <c r="BA550" i="20"/>
  <c r="AC550" i="20"/>
  <c r="AC426" i="20"/>
  <c r="BC268" i="35"/>
  <c r="AQ284" i="35"/>
  <c r="U601" i="20"/>
  <c r="BE399" i="35"/>
  <c r="AE300" i="20"/>
  <c r="AO630" i="20"/>
  <c r="AI589" i="20"/>
  <c r="AO550" i="20"/>
  <c r="AI303" i="20"/>
  <c r="AI284" i="35"/>
  <c r="Y122" i="35"/>
  <c r="AM122" i="35"/>
  <c r="BC122" i="35"/>
  <c r="AQ122" i="35"/>
  <c r="AK122" i="35"/>
  <c r="Z122" i="35"/>
  <c r="AB122" i="35" s="1"/>
  <c r="AE132" i="35"/>
  <c r="AG132" i="35"/>
  <c r="AQ372" i="35"/>
  <c r="AE372" i="35"/>
  <c r="Y372" i="35"/>
  <c r="BC372" i="35"/>
  <c r="AO372" i="35"/>
  <c r="BE372" i="35"/>
  <c r="AE379" i="35"/>
  <c r="AG379" i="35"/>
  <c r="AK379" i="35"/>
  <c r="BC379" i="35"/>
  <c r="Z386" i="35"/>
  <c r="AB386" i="35" s="1"/>
  <c r="AK386" i="35"/>
  <c r="AG386" i="35"/>
  <c r="AO386" i="35"/>
  <c r="AM386" i="35"/>
  <c r="AE386" i="35"/>
  <c r="Z436" i="35"/>
  <c r="AS436" i="35" s="1"/>
  <c r="Y436" i="35"/>
  <c r="P451" i="35"/>
  <c r="T451" i="35"/>
  <c r="O451" i="35"/>
  <c r="AE458" i="35"/>
  <c r="AM458" i="35"/>
  <c r="AO458" i="35"/>
  <c r="AG458" i="35"/>
  <c r="Z458" i="35"/>
  <c r="AB458" i="35" s="1"/>
  <c r="AQ458" i="35"/>
  <c r="Z480" i="35"/>
  <c r="AB480" i="35" s="1"/>
  <c r="BC480" i="35"/>
  <c r="AK480" i="35"/>
  <c r="AM480" i="35"/>
  <c r="AI480" i="35"/>
  <c r="AK499" i="35"/>
  <c r="BC499" i="35"/>
  <c r="AM499" i="35"/>
  <c r="AG525" i="35"/>
  <c r="Z525" i="35"/>
  <c r="AB525" i="35" s="1"/>
  <c r="AQ525" i="35"/>
  <c r="AO525" i="35"/>
  <c r="AS525" i="35"/>
  <c r="AI525" i="35"/>
  <c r="G110" i="37"/>
  <c r="G114" i="40"/>
  <c r="K114" i="40"/>
  <c r="AQ25" i="40"/>
  <c r="L25" i="40"/>
  <c r="L26" i="40" s="1"/>
  <c r="L27" i="40" s="1"/>
  <c r="L28" i="40" s="1"/>
  <c r="L29" i="40" s="1"/>
  <c r="L30" i="40" s="1"/>
  <c r="L31" i="40" s="1"/>
  <c r="L32" i="40" s="1"/>
  <c r="L33" i="40" s="1"/>
  <c r="L34" i="40" s="1"/>
  <c r="L35" i="40" s="1"/>
  <c r="L36" i="40" s="1"/>
  <c r="L37" i="40" s="1"/>
  <c r="L38" i="40" s="1"/>
  <c r="L39" i="40" s="1"/>
  <c r="L40" i="40" s="1"/>
  <c r="L41" i="40" s="1"/>
  <c r="L42" i="40" s="1"/>
  <c r="L43" i="40" s="1"/>
  <c r="L44" i="40" s="1"/>
  <c r="L45" i="40" s="1"/>
  <c r="L46" i="40" s="1"/>
  <c r="L47" i="40" s="1"/>
  <c r="L48" i="40" s="1"/>
  <c r="L49" i="40" s="1"/>
  <c r="L50" i="40" s="1"/>
  <c r="L51" i="40" s="1"/>
  <c r="L52" i="40" s="1"/>
  <c r="L53" i="40" s="1"/>
  <c r="L54" i="40" s="1"/>
  <c r="L55" i="40" s="1"/>
  <c r="L56" i="40" s="1"/>
  <c r="L57" i="40" s="1"/>
  <c r="L58" i="40" s="1"/>
  <c r="L59" i="40" s="1"/>
  <c r="L60" i="40" s="1"/>
  <c r="L61" i="40" s="1"/>
  <c r="L62" i="40" s="1"/>
  <c r="L63" i="40" s="1"/>
  <c r="L64" i="40" s="1"/>
  <c r="L65" i="40" s="1"/>
  <c r="L66" i="40" s="1"/>
  <c r="L67" i="40" s="1"/>
  <c r="L68" i="40" s="1"/>
  <c r="L69" i="40" s="1"/>
  <c r="L70" i="40" s="1"/>
  <c r="L71" i="40" s="1"/>
  <c r="L72" i="40" s="1"/>
  <c r="L73" i="40" s="1"/>
  <c r="L74" i="40" s="1"/>
  <c r="L75" i="40" s="1"/>
  <c r="L76" i="40" s="1"/>
  <c r="L77" i="40" s="1"/>
  <c r="L78" i="40" s="1"/>
  <c r="L79" i="40" s="1"/>
  <c r="L80" i="40" s="1"/>
  <c r="L81" i="40" s="1"/>
  <c r="L82" i="40" s="1"/>
  <c r="L83" i="40" s="1"/>
  <c r="L84" i="40" s="1"/>
  <c r="L85" i="40" s="1"/>
  <c r="L86" i="40" s="1"/>
  <c r="L87" i="40" s="1"/>
  <c r="L88" i="40" s="1"/>
  <c r="L89" i="40" s="1"/>
  <c r="L90" i="40" s="1"/>
  <c r="L91" i="40" s="1"/>
  <c r="L92" i="40" s="1"/>
  <c r="L93" i="40" s="1"/>
  <c r="L94" i="40" s="1"/>
  <c r="L95" i="40" s="1"/>
  <c r="L96" i="40" s="1"/>
  <c r="L97" i="40" s="1"/>
  <c r="L98" i="40" s="1"/>
  <c r="L99" i="40" s="1"/>
  <c r="L100" i="40" s="1"/>
  <c r="L101" i="40" s="1"/>
  <c r="L102" i="40" s="1"/>
  <c r="L103" i="40" s="1"/>
  <c r="L104" i="40" s="1"/>
  <c r="L105" i="40" s="1"/>
  <c r="L106" i="40" s="1"/>
  <c r="L107" i="40" s="1"/>
  <c r="L108" i="40" s="1"/>
  <c r="L109" i="40" s="1"/>
  <c r="L110" i="40" s="1"/>
  <c r="L111" i="40" s="1"/>
  <c r="L112" i="40" s="1"/>
  <c r="L113" i="40" s="1"/>
  <c r="AE629" i="20"/>
  <c r="U629" i="20"/>
  <c r="AY629" i="20"/>
  <c r="AW399" i="35"/>
  <c r="AK399" i="35"/>
  <c r="BE284" i="35"/>
  <c r="AY300" i="20"/>
  <c r="AY601" i="20"/>
  <c r="AO601" i="20"/>
  <c r="BS550" i="20"/>
  <c r="V291" i="20"/>
  <c r="X291" i="20" s="1"/>
  <c r="AA48" i="20"/>
  <c r="AE284" i="35"/>
  <c r="AB399" i="35"/>
  <c r="BE366" i="35"/>
  <c r="AM300" i="20"/>
  <c r="BA589" i="20"/>
  <c r="AO268" i="35"/>
  <c r="AS550" i="20"/>
  <c r="AS553" i="20"/>
  <c r="AY405" i="20"/>
  <c r="AE291" i="20"/>
  <c r="U617" i="20"/>
  <c r="AY617" i="20"/>
  <c r="AK617" i="20"/>
  <c r="AM617" i="20"/>
  <c r="BA617" i="20"/>
  <c r="V617" i="20"/>
  <c r="X617" i="20" s="1"/>
  <c r="AE617" i="20"/>
  <c r="AO617" i="20"/>
  <c r="AG604" i="20"/>
  <c r="AC604" i="20"/>
  <c r="AM604" i="20"/>
  <c r="AA604" i="20"/>
  <c r="U604" i="20"/>
  <c r="AI604" i="20"/>
  <c r="AY604" i="20"/>
  <c r="AO604" i="20"/>
  <c r="AK592" i="20"/>
  <c r="V592" i="20"/>
  <c r="X592" i="20" s="1"/>
  <c r="AM592" i="20"/>
  <c r="AM652" i="20"/>
  <c r="AC652" i="20"/>
  <c r="AI652" i="20"/>
  <c r="AY652" i="20"/>
  <c r="AO652" i="20"/>
  <c r="AG652" i="20"/>
  <c r="V652" i="20"/>
  <c r="X652" i="20" s="1"/>
  <c r="AA652" i="20"/>
  <c r="AK191" i="20"/>
  <c r="AK165" i="20"/>
  <c r="AO18" i="20"/>
  <c r="AI245" i="20"/>
  <c r="AY245" i="20"/>
  <c r="AK248" i="20"/>
  <c r="AE248" i="20"/>
  <c r="AM248" i="20"/>
  <c r="AY251" i="20"/>
  <c r="AK251" i="20"/>
  <c r="AI183" i="20"/>
  <c r="AY183" i="20"/>
  <c r="AG183" i="20"/>
  <c r="AM183" i="20"/>
  <c r="BA183" i="20"/>
  <c r="AM67" i="20"/>
  <c r="AM70" i="20"/>
  <c r="AG70" i="20"/>
  <c r="U70" i="20"/>
  <c r="AE70" i="20"/>
  <c r="AA189" i="20"/>
  <c r="V189" i="20"/>
  <c r="X189" i="20" s="1"/>
  <c r="AM189" i="20"/>
  <c r="AG189" i="20"/>
  <c r="AM432" i="20"/>
  <c r="AG432" i="20"/>
  <c r="AY432" i="20"/>
  <c r="U479" i="20"/>
  <c r="AE479" i="20"/>
  <c r="AY479" i="20"/>
  <c r="AM479" i="20"/>
  <c r="AI479" i="20"/>
  <c r="AK510" i="20"/>
  <c r="AG510" i="20"/>
  <c r="AI510" i="20"/>
  <c r="AM582" i="20"/>
  <c r="AE582" i="20"/>
  <c r="BA582" i="20"/>
  <c r="AO620" i="20"/>
  <c r="AG620" i="20"/>
  <c r="AC158" i="20"/>
  <c r="AY158" i="20"/>
  <c r="AM158" i="20"/>
  <c r="AK158" i="20"/>
  <c r="AI158" i="20"/>
  <c r="AC163" i="20"/>
  <c r="AK163" i="20"/>
  <c r="AA166" i="20"/>
  <c r="AG166" i="20"/>
  <c r="V166" i="20"/>
  <c r="X166" i="20" s="1"/>
  <c r="AI36" i="20"/>
  <c r="AC36" i="20"/>
  <c r="AE36" i="20"/>
  <c r="AM36" i="20"/>
  <c r="AY39" i="20"/>
  <c r="AK39" i="20"/>
  <c r="U13" i="20"/>
  <c r="AK13" i="20"/>
  <c r="AI19" i="20"/>
  <c r="AK19" i="20"/>
  <c r="AC19" i="20"/>
  <c r="AM19" i="20"/>
  <c r="AA343" i="20"/>
  <c r="AC343" i="20"/>
  <c r="V315" i="20"/>
  <c r="X315" i="20" s="1"/>
  <c r="AM315" i="20"/>
  <c r="AE315" i="20"/>
  <c r="U315" i="20"/>
  <c r="AK315" i="20"/>
  <c r="AG315" i="20"/>
  <c r="AC315" i="20"/>
  <c r="BA315" i="20"/>
  <c r="AE318" i="20"/>
  <c r="U318" i="20"/>
  <c r="AC318" i="20"/>
  <c r="AK321" i="20"/>
  <c r="AC321" i="20"/>
  <c r="AM323" i="20"/>
  <c r="AK323" i="20"/>
  <c r="AK326" i="20"/>
  <c r="AE326" i="20"/>
  <c r="AI326" i="20"/>
  <c r="AG329" i="20"/>
  <c r="AC329" i="20"/>
  <c r="AK329" i="20"/>
  <c r="AY329" i="20"/>
  <c r="AC367" i="20"/>
  <c r="AM367" i="20"/>
  <c r="AA367" i="20"/>
  <c r="U367" i="20"/>
  <c r="AY367" i="20"/>
  <c r="AG367" i="20"/>
  <c r="AK332" i="20"/>
  <c r="AI332" i="20"/>
  <c r="AE332" i="20"/>
  <c r="AC332" i="20"/>
  <c r="AO332" i="20"/>
  <c r="BA332" i="20"/>
  <c r="AC377" i="20"/>
  <c r="U377" i="20"/>
  <c r="V377" i="20"/>
  <c r="X377" i="20" s="1"/>
  <c r="BA377" i="20"/>
  <c r="U63" i="20"/>
  <c r="AK63" i="20"/>
  <c r="AI63" i="20"/>
  <c r="AM63" i="20"/>
  <c r="AO63" i="20"/>
  <c r="AC389" i="20"/>
  <c r="AO389" i="20"/>
  <c r="AE389" i="20"/>
  <c r="AM392" i="20"/>
  <c r="AE392" i="20"/>
  <c r="AY392" i="20"/>
  <c r="AG392" i="20"/>
  <c r="AE440" i="20"/>
  <c r="AC440" i="20"/>
  <c r="AG440" i="20"/>
  <c r="AK440" i="20"/>
  <c r="V440" i="20"/>
  <c r="X440" i="20" s="1"/>
  <c r="AM440" i="20"/>
  <c r="AY440" i="20"/>
  <c r="AE448" i="20"/>
  <c r="AM448" i="20"/>
  <c r="AY448" i="20"/>
  <c r="AC448" i="20"/>
  <c r="AG451" i="20"/>
  <c r="AK451" i="20"/>
  <c r="AC451" i="20"/>
  <c r="V451" i="20"/>
  <c r="X451" i="20" s="1"/>
  <c r="AI451" i="20"/>
  <c r="AM451" i="20"/>
  <c r="U451" i="20"/>
  <c r="AK454" i="20"/>
  <c r="AG454" i="20"/>
  <c r="AE454" i="20"/>
  <c r="AI454" i="20"/>
  <c r="V454" i="20"/>
  <c r="X454" i="20" s="1"/>
  <c r="BA454" i="20"/>
  <c r="U454" i="20"/>
  <c r="Z452" i="35"/>
  <c r="AB452" i="35" s="1"/>
  <c r="AI452" i="35"/>
  <c r="AG452" i="35"/>
  <c r="BE452" i="35"/>
  <c r="AM452" i="35"/>
  <c r="AK464" i="35"/>
  <c r="Z464" i="35"/>
  <c r="AB464" i="35" s="1"/>
  <c r="AM464" i="35"/>
  <c r="AO464" i="35"/>
  <c r="AQ464" i="35"/>
  <c r="Y464" i="35"/>
  <c r="BC474" i="35"/>
  <c r="AK474" i="35"/>
  <c r="AO474" i="35"/>
  <c r="Z474" i="35"/>
  <c r="AB474" i="35" s="1"/>
  <c r="AG474" i="35"/>
  <c r="Y474" i="35"/>
  <c r="AO486" i="35"/>
  <c r="Z486" i="35"/>
  <c r="AB486" i="35" s="1"/>
  <c r="Y486" i="35"/>
  <c r="AK486" i="35"/>
  <c r="AE486" i="35"/>
  <c r="BC486" i="35"/>
  <c r="AI486" i="35"/>
  <c r="AG486" i="35"/>
  <c r="AM486" i="35"/>
  <c r="AG493" i="35"/>
  <c r="AI493" i="35"/>
  <c r="AQ493" i="35"/>
  <c r="AE493" i="35"/>
  <c r="BC505" i="35"/>
  <c r="Z505" i="35"/>
  <c r="AB505" i="35" s="1"/>
  <c r="AE505" i="35"/>
  <c r="AM505" i="35"/>
  <c r="AG505" i="35"/>
  <c r="AO505" i="35"/>
  <c r="AQ505" i="35"/>
  <c r="AK505" i="35"/>
  <c r="AI505" i="35"/>
  <c r="AQ512" i="35"/>
  <c r="Z512" i="35"/>
  <c r="AB512" i="35" s="1"/>
  <c r="AM519" i="35"/>
  <c r="BC519" i="35"/>
  <c r="Z519" i="35"/>
  <c r="AB519" i="35" s="1"/>
  <c r="BI6" i="40"/>
  <c r="AC191" i="20"/>
  <c r="AG18" i="20"/>
  <c r="AC165" i="20"/>
  <c r="AO165" i="20"/>
  <c r="Y302" i="35"/>
  <c r="AI302" i="35"/>
  <c r="BE302" i="35"/>
  <c r="AO302" i="35"/>
  <c r="AS302" i="35"/>
  <c r="BC309" i="35"/>
  <c r="AK309" i="35"/>
  <c r="AE321" i="35"/>
  <c r="AK321" i="35"/>
  <c r="AO321" i="35"/>
  <c r="AM321" i="35"/>
  <c r="BE328" i="35"/>
  <c r="AI328" i="35"/>
  <c r="AG328" i="35"/>
  <c r="Z328" i="35"/>
  <c r="AB328" i="35" s="1"/>
  <c r="BC328" i="35"/>
  <c r="AK340" i="35"/>
  <c r="AI340" i="35"/>
  <c r="AE340" i="35"/>
  <c r="Z340" i="35"/>
  <c r="AB340" i="35" s="1"/>
  <c r="Y340" i="35"/>
  <c r="BC340" i="35"/>
  <c r="AQ352" i="35"/>
  <c r="AK352" i="35"/>
  <c r="AG352" i="35"/>
  <c r="AE352" i="35"/>
  <c r="AO352" i="35"/>
  <c r="Y352" i="35"/>
  <c r="BC352" i="35"/>
  <c r="Z352" i="35"/>
  <c r="AB352" i="35" s="1"/>
  <c r="AM352" i="35"/>
  <c r="AI352" i="35"/>
  <c r="O3" i="35"/>
  <c r="O2" i="35" s="1"/>
  <c r="AE416" i="35"/>
  <c r="AM416" i="35"/>
  <c r="BC416" i="35"/>
  <c r="AO416" i="35"/>
  <c r="Y416" i="35"/>
  <c r="AG416" i="35"/>
  <c r="AK416" i="35"/>
  <c r="AQ416" i="35"/>
  <c r="Z416" i="35"/>
  <c r="AB416" i="35" s="1"/>
  <c r="AI416" i="35"/>
  <c r="AE423" i="35"/>
  <c r="AO423" i="35"/>
  <c r="AK423" i="35"/>
  <c r="AI423" i="35"/>
  <c r="BE423" i="35"/>
  <c r="AG423" i="35"/>
  <c r="Z423" i="35"/>
  <c r="AB423" i="35" s="1"/>
  <c r="Y423" i="35"/>
  <c r="Z435" i="35"/>
  <c r="Y435" i="35"/>
  <c r="Y447" i="35"/>
  <c r="Z447" i="35"/>
  <c r="AB447" i="35" s="1"/>
  <c r="AA600" i="20"/>
  <c r="AC600" i="20"/>
  <c r="AA579" i="20"/>
  <c r="AO579" i="20"/>
  <c r="AK579" i="20"/>
  <c r="AI285" i="35"/>
  <c r="AM285" i="35"/>
  <c r="AG633" i="20"/>
  <c r="AC633" i="20"/>
  <c r="V633" i="20"/>
  <c r="X633" i="20" s="1"/>
  <c r="AG152" i="20"/>
  <c r="AM152" i="20"/>
  <c r="AE152" i="20"/>
  <c r="AY152" i="20"/>
  <c r="AK152" i="20"/>
  <c r="AI152" i="20"/>
  <c r="AA152" i="20"/>
  <c r="AK208" i="20"/>
  <c r="AI208" i="20"/>
  <c r="AO35" i="20"/>
  <c r="BA35" i="20"/>
  <c r="AK253" i="20"/>
  <c r="V253" i="20"/>
  <c r="X253" i="20" s="1"/>
  <c r="AA182" i="20"/>
  <c r="AE182" i="20"/>
  <c r="AC185" i="20"/>
  <c r="AA185" i="20"/>
  <c r="AG185" i="20"/>
  <c r="AI185" i="20"/>
  <c r="AC66" i="20"/>
  <c r="AK66" i="20"/>
  <c r="V66" i="20"/>
  <c r="X66" i="20" s="1"/>
  <c r="BA66" i="20"/>
  <c r="AO66" i="20"/>
  <c r="AO69" i="20"/>
  <c r="AA69" i="20"/>
  <c r="AG69" i="20"/>
  <c r="AY69" i="20"/>
  <c r="BA69" i="20"/>
  <c r="U72" i="20"/>
  <c r="AY72" i="20"/>
  <c r="V72" i="20"/>
  <c r="X72" i="20" s="1"/>
  <c r="AI72" i="20"/>
  <c r="AA32" i="20"/>
  <c r="U32" i="20"/>
  <c r="V32" i="20"/>
  <c r="X32" i="20" s="1"/>
  <c r="AO32" i="20"/>
  <c r="AA191" i="20"/>
  <c r="AI191" i="20"/>
  <c r="AE191" i="20"/>
  <c r="U358" i="20"/>
  <c r="AA358" i="20"/>
  <c r="AM358" i="20"/>
  <c r="AO358" i="20"/>
  <c r="AY358" i="20"/>
  <c r="AE434" i="20"/>
  <c r="AK434" i="20"/>
  <c r="AY512" i="20"/>
  <c r="AA512" i="20"/>
  <c r="AI512" i="20"/>
  <c r="AG512" i="20"/>
  <c r="AM512" i="20"/>
  <c r="AE512" i="20"/>
  <c r="AG611" i="20"/>
  <c r="U611" i="20"/>
  <c r="AI611" i="20"/>
  <c r="AC611" i="20"/>
  <c r="AK622" i="20"/>
  <c r="AY622" i="20"/>
  <c r="BA622" i="20"/>
  <c r="AG640" i="20"/>
  <c r="AO640" i="20"/>
  <c r="AI640" i="20"/>
  <c r="AC640" i="20"/>
  <c r="AM162" i="20"/>
  <c r="AK162" i="20"/>
  <c r="AO162" i="20"/>
  <c r="AI162" i="20"/>
  <c r="AG165" i="20"/>
  <c r="AA165" i="20"/>
  <c r="AY165" i="20"/>
  <c r="V165" i="20"/>
  <c r="X165" i="20" s="1"/>
  <c r="AE165" i="20"/>
  <c r="AM165" i="20"/>
  <c r="AA168" i="20"/>
  <c r="U168" i="20"/>
  <c r="AG38" i="20"/>
  <c r="U38" i="20"/>
  <c r="AE38" i="20"/>
  <c r="V38" i="20"/>
  <c r="X38" i="20" s="1"/>
  <c r="AM38" i="20"/>
  <c r="BA38" i="20"/>
  <c r="U41" i="20"/>
  <c r="AC41" i="20"/>
  <c r="AK41" i="20"/>
  <c r="AM41" i="20"/>
  <c r="AI41" i="20"/>
  <c r="BA41" i="20"/>
  <c r="BA269" i="20"/>
  <c r="AC269" i="20"/>
  <c r="AA269" i="20"/>
  <c r="AK269" i="20"/>
  <c r="AM269" i="20"/>
  <c r="V272" i="20"/>
  <c r="X272" i="20" s="1"/>
  <c r="U272" i="20"/>
  <c r="AK272" i="20"/>
  <c r="AM272" i="20"/>
  <c r="AA272" i="20"/>
  <c r="U15" i="20"/>
  <c r="V15" i="20"/>
  <c r="X15" i="20" s="1"/>
  <c r="AO15" i="20"/>
  <c r="AM15" i="20"/>
  <c r="AE18" i="20"/>
  <c r="AM18" i="20"/>
  <c r="AC18" i="20"/>
  <c r="AY18" i="20"/>
  <c r="AA18" i="20"/>
  <c r="V18" i="20"/>
  <c r="X18" i="20" s="1"/>
  <c r="AK18" i="20"/>
  <c r="AC333" i="20"/>
  <c r="AG333" i="20"/>
  <c r="AE414" i="20"/>
  <c r="AI414" i="20"/>
  <c r="AM414" i="20"/>
  <c r="U417" i="20"/>
  <c r="V417" i="20"/>
  <c r="X417" i="20" s="1"/>
  <c r="AE417" i="20"/>
  <c r="AK450" i="20"/>
  <c r="U450" i="20"/>
  <c r="AC450" i="20"/>
  <c r="AE450" i="20"/>
  <c r="V450" i="20"/>
  <c r="X450" i="20" s="1"/>
  <c r="AO450" i="20"/>
  <c r="BA450" i="20"/>
  <c r="AG453" i="20"/>
  <c r="AK453" i="20"/>
  <c r="U453" i="20"/>
  <c r="AA453" i="20"/>
  <c r="AE453" i="20"/>
  <c r="AM453" i="20"/>
  <c r="AA606" i="20"/>
  <c r="AG606" i="20"/>
  <c r="AM606" i="20"/>
  <c r="AG637" i="20"/>
  <c r="AY156" i="20"/>
  <c r="AK156" i="20"/>
  <c r="AM156" i="20"/>
  <c r="U200" i="20"/>
  <c r="AI200" i="20"/>
  <c r="AM200" i="20"/>
  <c r="AM42" i="20"/>
  <c r="AY42" i="20"/>
  <c r="U42" i="20"/>
  <c r="AY8" i="20"/>
  <c r="AI8" i="20"/>
  <c r="AK8" i="20"/>
  <c r="AM44" i="20"/>
  <c r="AA44" i="20"/>
  <c r="AY44" i="20"/>
  <c r="AO44" i="20"/>
  <c r="AK259" i="20"/>
  <c r="U259" i="20"/>
  <c r="AM259" i="20"/>
  <c r="AM262" i="20"/>
  <c r="AG262" i="20"/>
  <c r="AE262" i="20"/>
  <c r="AI262" i="20"/>
  <c r="AO262" i="20"/>
  <c r="AA262" i="20"/>
  <c r="AC262" i="20"/>
  <c r="AC334" i="20"/>
  <c r="AY334" i="20"/>
  <c r="AM186" i="20"/>
  <c r="AE186" i="20"/>
  <c r="V307" i="20"/>
  <c r="X307" i="20" s="1"/>
  <c r="AK307" i="20"/>
  <c r="AG307" i="20"/>
  <c r="BA310" i="20"/>
  <c r="V310" i="20"/>
  <c r="X310" i="20" s="1"/>
  <c r="AO153" i="35"/>
  <c r="AQ153" i="35"/>
  <c r="Y153" i="35"/>
  <c r="AG153" i="35"/>
  <c r="AI153" i="35"/>
  <c r="AM153" i="35"/>
  <c r="BC153" i="35"/>
  <c r="AK153" i="35"/>
  <c r="AM163" i="35"/>
  <c r="AI163" i="35"/>
  <c r="AO163" i="35"/>
  <c r="Y163" i="35"/>
  <c r="AQ163" i="35"/>
  <c r="AG163" i="35"/>
  <c r="AK163" i="35"/>
  <c r="Z163" i="35"/>
  <c r="AB163" i="35" s="1"/>
  <c r="AE163" i="35"/>
  <c r="BC163" i="35"/>
  <c r="AQ199" i="35"/>
  <c r="Z199" i="35"/>
  <c r="AB199" i="35" s="1"/>
  <c r="Y199" i="35"/>
  <c r="BC199" i="35"/>
  <c r="AG199" i="35"/>
  <c r="AQ211" i="35"/>
  <c r="AM211" i="35"/>
  <c r="AO211" i="35"/>
  <c r="Y211" i="35"/>
  <c r="AQ223" i="35"/>
  <c r="AG223" i="35"/>
  <c r="AK223" i="35"/>
  <c r="BC223" i="35"/>
  <c r="Z235" i="35"/>
  <c r="AB235" i="35" s="1"/>
  <c r="AM235" i="35"/>
  <c r="AQ235" i="35"/>
  <c r="AG235" i="35"/>
  <c r="AI235" i="35"/>
  <c r="Y235" i="35"/>
  <c r="BE235" i="35"/>
  <c r="AQ247" i="35"/>
  <c r="BC247" i="35"/>
  <c r="AE247" i="35"/>
  <c r="AM257" i="35"/>
  <c r="BC257" i="35"/>
  <c r="Y257" i="35"/>
  <c r="Z300" i="35"/>
  <c r="AB300" i="35" s="1"/>
  <c r="AQ300" i="35"/>
  <c r="AM300" i="35"/>
  <c r="Y300" i="35"/>
  <c r="AK300" i="35"/>
  <c r="BC300" i="35"/>
  <c r="AE300" i="35"/>
  <c r="AI300" i="35"/>
  <c r="Z307" i="35"/>
  <c r="AB307" i="35" s="1"/>
  <c r="AM307" i="35"/>
  <c r="AQ307" i="35"/>
  <c r="AI307" i="35"/>
  <c r="BC307" i="35"/>
  <c r="AG307" i="35"/>
  <c r="AK307" i="35"/>
  <c r="AO307" i="35"/>
  <c r="Z350" i="35"/>
  <c r="AB350" i="35" s="1"/>
  <c r="Y350" i="35"/>
  <c r="AG350" i="35"/>
  <c r="AO350" i="35"/>
  <c r="AK385" i="20"/>
  <c r="AC385" i="20"/>
  <c r="BA193" i="20"/>
  <c r="BA255" i="20"/>
  <c r="BA264" i="20"/>
  <c r="BA227" i="20"/>
  <c r="BA11" i="20"/>
  <c r="BA620" i="20"/>
  <c r="BA63" i="20"/>
  <c r="BA441" i="20"/>
  <c r="BA420" i="20"/>
  <c r="BA419" i="20"/>
  <c r="BA392" i="20"/>
  <c r="BA391" i="20"/>
  <c r="BA596" i="20"/>
  <c r="BA326" i="20"/>
  <c r="BA24" i="20"/>
  <c r="BA365" i="20"/>
  <c r="BA133" i="20"/>
  <c r="BA415" i="20"/>
  <c r="BA288" i="20"/>
  <c r="BA191" i="20"/>
  <c r="BA480" i="20"/>
  <c r="BA500" i="20"/>
  <c r="BA411" i="20"/>
  <c r="BA307" i="20"/>
  <c r="BA629" i="20"/>
  <c r="BA515" i="20"/>
  <c r="BA373" i="20"/>
  <c r="BA148" i="20"/>
  <c r="BA339" i="20"/>
  <c r="BA594" i="20"/>
  <c r="BA400" i="20"/>
  <c r="BA290" i="20"/>
  <c r="BA87" i="20"/>
  <c r="BA45" i="20"/>
  <c r="BA537" i="20"/>
  <c r="BA424" i="20"/>
  <c r="BA230" i="20"/>
  <c r="BA214" i="20"/>
  <c r="BA165" i="20"/>
  <c r="BA60" i="20"/>
  <c r="BA487" i="20"/>
  <c r="BA130" i="20"/>
  <c r="BA335" i="20"/>
  <c r="BA65" i="20"/>
  <c r="BA588" i="20"/>
  <c r="BA457" i="20"/>
  <c r="BA306" i="20"/>
  <c r="BA274" i="20"/>
  <c r="BA584" i="20"/>
  <c r="BA506" i="20"/>
  <c r="BA318" i="20"/>
  <c r="AC335" i="20"/>
  <c r="AI335" i="20"/>
  <c r="U170" i="20"/>
  <c r="AC170" i="20"/>
  <c r="AK170" i="20"/>
  <c r="AY170" i="20"/>
  <c r="AA170" i="20"/>
  <c r="AY227" i="20"/>
  <c r="AA227" i="20"/>
  <c r="U76" i="20"/>
  <c r="AA76" i="20"/>
  <c r="AM76" i="20"/>
  <c r="AI76" i="20"/>
  <c r="AY76" i="20"/>
  <c r="AC76" i="20"/>
  <c r="AM79" i="20"/>
  <c r="AK79" i="20"/>
  <c r="AC79" i="20"/>
  <c r="AA79" i="20"/>
  <c r="U82" i="20"/>
  <c r="AC82" i="20"/>
  <c r="V85" i="20"/>
  <c r="X85" i="20" s="1"/>
  <c r="AA85" i="20"/>
  <c r="AC85" i="20"/>
  <c r="AO85" i="20"/>
  <c r="AY85" i="20"/>
  <c r="AI85" i="20"/>
  <c r="AK88" i="20"/>
  <c r="AY88" i="20"/>
  <c r="AE91" i="20"/>
  <c r="AK91" i="20"/>
  <c r="AI91" i="20"/>
  <c r="V91" i="20"/>
  <c r="X91" i="20" s="1"/>
  <c r="AY91" i="20"/>
  <c r="U91" i="20"/>
  <c r="AC91" i="20"/>
  <c r="AM91" i="20"/>
  <c r="AO91" i="20"/>
  <c r="V94" i="20"/>
  <c r="X94" i="20" s="1"/>
  <c r="AK94" i="20"/>
  <c r="AO94" i="20"/>
  <c r="AA94" i="20"/>
  <c r="AM94" i="20"/>
  <c r="AC94" i="20"/>
  <c r="AG94" i="20"/>
  <c r="AC100" i="20"/>
  <c r="AI100" i="20"/>
  <c r="AY100" i="20"/>
  <c r="AK103" i="20"/>
  <c r="V103" i="20"/>
  <c r="X103" i="20" s="1"/>
  <c r="AG103" i="20"/>
  <c r="AI103" i="20"/>
  <c r="AC103" i="20"/>
  <c r="AM103" i="20"/>
  <c r="AI106" i="20"/>
  <c r="AY106" i="20"/>
  <c r="V106" i="20"/>
  <c r="X106" i="20" s="1"/>
  <c r="U109" i="20"/>
  <c r="AI109" i="20"/>
  <c r="AM112" i="20"/>
  <c r="AG112" i="20"/>
  <c r="AA115" i="20"/>
  <c r="AY115" i="20"/>
  <c r="V115" i="20"/>
  <c r="X115" i="20" s="1"/>
  <c r="AG115" i="20"/>
  <c r="AE115" i="20"/>
  <c r="U115" i="20"/>
  <c r="AK118" i="20"/>
  <c r="AE118" i="20"/>
  <c r="V118" i="20"/>
  <c r="X118" i="20" s="1"/>
  <c r="U118" i="20"/>
  <c r="AG118" i="20"/>
  <c r="AY118" i="20"/>
  <c r="AO121" i="20"/>
  <c r="AI121" i="20"/>
  <c r="AK121" i="20"/>
  <c r="U124" i="20"/>
  <c r="V124" i="20"/>
  <c r="X124" i="20" s="1"/>
  <c r="V130" i="20"/>
  <c r="X130" i="20" s="1"/>
  <c r="AA130" i="20"/>
  <c r="AM175" i="20"/>
  <c r="AE175" i="20"/>
  <c r="AY175" i="20"/>
  <c r="U175" i="20"/>
  <c r="U378" i="20"/>
  <c r="AG378" i="20"/>
  <c r="V381" i="20"/>
  <c r="X381" i="20" s="1"/>
  <c r="AG381" i="20"/>
  <c r="AI381" i="20"/>
  <c r="AC384" i="20"/>
  <c r="AY384" i="20"/>
  <c r="AI216" i="20"/>
  <c r="AK216" i="20"/>
  <c r="AE216" i="20"/>
  <c r="U143" i="20"/>
  <c r="V143" i="20"/>
  <c r="X143" i="20" s="1"/>
  <c r="AC143" i="20"/>
  <c r="AO143" i="20"/>
  <c r="AY143" i="20"/>
  <c r="AM178" i="20"/>
  <c r="AI178" i="20"/>
  <c r="AC178" i="20"/>
  <c r="V178" i="20"/>
  <c r="X178" i="20" s="1"/>
  <c r="AK290" i="20"/>
  <c r="AE290" i="20"/>
  <c r="AI290" i="20"/>
  <c r="AE296" i="20"/>
  <c r="AC296" i="20"/>
  <c r="AK296" i="20"/>
  <c r="AM299" i="20"/>
  <c r="U299" i="20"/>
  <c r="AG299" i="20"/>
  <c r="AC302" i="20"/>
  <c r="V302" i="20"/>
  <c r="X302" i="20" s="1"/>
  <c r="AA302" i="20"/>
  <c r="AG576" i="20"/>
  <c r="U576" i="20"/>
  <c r="AA305" i="20"/>
  <c r="AM305" i="20"/>
  <c r="AC305" i="20"/>
  <c r="Y307" i="35"/>
  <c r="AO124" i="35"/>
  <c r="AM124" i="35"/>
  <c r="AE293" i="35"/>
  <c r="Y293" i="35"/>
  <c r="AK573" i="20"/>
  <c r="AO573" i="20"/>
  <c r="AA595" i="20"/>
  <c r="U595" i="20"/>
  <c r="AE595" i="20"/>
  <c r="V595" i="20"/>
  <c r="X595" i="20" s="1"/>
  <c r="AE636" i="20"/>
  <c r="AM636" i="20"/>
  <c r="AG636" i="20"/>
  <c r="AK10" i="35"/>
  <c r="Y10" i="35"/>
  <c r="BE38" i="35"/>
  <c r="AM38" i="35"/>
  <c r="AI74" i="35"/>
  <c r="AO74" i="35"/>
  <c r="Y74" i="35"/>
  <c r="AQ74" i="35"/>
  <c r="BC74" i="35"/>
  <c r="AM74" i="35"/>
  <c r="AM103" i="35"/>
  <c r="Y103" i="35"/>
  <c r="AQ103" i="35"/>
  <c r="Z103" i="35"/>
  <c r="AB103" i="35" s="1"/>
  <c r="AI315" i="35"/>
  <c r="AM315" i="35"/>
  <c r="AE315" i="35"/>
  <c r="Y346" i="35"/>
  <c r="AE346" i="35"/>
  <c r="Z346" i="35"/>
  <c r="AB346" i="35" s="1"/>
  <c r="AE358" i="35"/>
  <c r="Y358" i="35"/>
  <c r="AI358" i="35"/>
  <c r="AG358" i="35"/>
  <c r="AO358" i="35"/>
  <c r="AK358" i="35"/>
  <c r="BC403" i="35"/>
  <c r="AQ403" i="35"/>
  <c r="AI403" i="35"/>
  <c r="AG403" i="35"/>
  <c r="AB403" i="35"/>
  <c r="Z429" i="35"/>
  <c r="Y429" i="35"/>
  <c r="AE22" i="35"/>
  <c r="AK38" i="35"/>
  <c r="AM574" i="20"/>
  <c r="AK196" i="20"/>
  <c r="AA196" i="20"/>
  <c r="V266" i="20"/>
  <c r="X266" i="20" s="1"/>
  <c r="AO266" i="20"/>
  <c r="U338" i="20"/>
  <c r="AG338" i="20"/>
  <c r="AO338" i="20"/>
  <c r="AG220" i="20"/>
  <c r="AA220" i="20"/>
  <c r="BA212" i="20"/>
  <c r="AG212" i="20"/>
  <c r="AA51" i="20"/>
  <c r="AI51" i="20"/>
  <c r="V54" i="20"/>
  <c r="X54" i="20" s="1"/>
  <c r="AA54" i="20"/>
  <c r="U54" i="20"/>
  <c r="AI54" i="20"/>
  <c r="V137" i="20"/>
  <c r="X137" i="20" s="1"/>
  <c r="AM137" i="20"/>
  <c r="AA137" i="20"/>
  <c r="AI137" i="20"/>
  <c r="U428" i="20"/>
  <c r="AI428" i="20"/>
  <c r="AA428" i="20"/>
  <c r="AI643" i="20"/>
  <c r="AC643" i="20"/>
  <c r="AY643" i="20"/>
  <c r="AO535" i="20"/>
  <c r="AA535" i="20"/>
  <c r="AI615" i="20"/>
  <c r="AY615" i="20"/>
  <c r="AA602" i="20"/>
  <c r="AY602" i="20"/>
  <c r="AC304" i="20"/>
  <c r="AY304" i="20"/>
  <c r="AE304" i="20"/>
  <c r="AW403" i="35"/>
  <c r="BW403" i="35"/>
  <c r="Z40" i="35"/>
  <c r="AB40" i="35" s="1"/>
  <c r="Y40" i="35"/>
  <c r="AG105" i="35"/>
  <c r="AE105" i="35"/>
  <c r="AM105" i="35"/>
  <c r="AQ117" i="35"/>
  <c r="AO117" i="35"/>
  <c r="BC161" i="35"/>
  <c r="Z161" i="35"/>
  <c r="AB161" i="35" s="1"/>
  <c r="BC173" i="35"/>
  <c r="AQ173" i="35"/>
  <c r="AE233" i="35"/>
  <c r="Y233" i="35"/>
  <c r="AQ233" i="35"/>
  <c r="AM233" i="35"/>
  <c r="Z233" i="35"/>
  <c r="AB233" i="35" s="1"/>
  <c r="AI233" i="35"/>
  <c r="AO453" i="35"/>
  <c r="Z453" i="35"/>
  <c r="AB453" i="35" s="1"/>
  <c r="BC453" i="35"/>
  <c r="Y453" i="35"/>
  <c r="AQ453" i="35"/>
  <c r="AG465" i="35"/>
  <c r="AM465" i="35"/>
  <c r="Z475" i="35"/>
  <c r="AB475" i="35" s="1"/>
  <c r="AM475" i="35"/>
  <c r="Y475" i="35"/>
  <c r="AG475" i="35"/>
  <c r="AE475" i="35"/>
  <c r="AO475" i="35"/>
  <c r="AE487" i="35"/>
  <c r="AG487" i="35"/>
  <c r="AM487" i="35"/>
  <c r="AQ487" i="35"/>
  <c r="AQ494" i="35"/>
  <c r="AI494" i="35"/>
  <c r="BC494" i="35"/>
  <c r="AG494" i="35"/>
  <c r="Y513" i="35"/>
  <c r="AO513" i="35"/>
  <c r="AM513" i="35"/>
  <c r="BC513" i="35"/>
  <c r="AQ513" i="35"/>
  <c r="AE513" i="35"/>
  <c r="AI513" i="35"/>
  <c r="AI110" i="37"/>
  <c r="G114" i="39"/>
  <c r="BC114" i="39"/>
  <c r="AO444" i="20"/>
  <c r="AO624" i="20"/>
  <c r="AO453" i="20"/>
  <c r="AO405" i="20"/>
  <c r="AO441" i="20"/>
  <c r="AO406" i="20"/>
  <c r="AO281" i="20"/>
  <c r="AO359" i="20"/>
  <c r="AO215" i="20"/>
  <c r="AO137" i="20"/>
  <c r="AO134" i="20"/>
  <c r="AO612" i="20"/>
  <c r="AO460" i="20"/>
  <c r="AO62" i="20"/>
  <c r="AO430" i="20"/>
  <c r="AO317" i="20"/>
  <c r="AO240" i="20"/>
  <c r="AO294" i="20"/>
  <c r="AO116" i="20"/>
  <c r="AO28" i="20"/>
  <c r="AO59" i="20"/>
  <c r="AO469" i="20"/>
  <c r="AO428" i="20"/>
  <c r="AO398" i="20"/>
  <c r="AO305" i="20"/>
  <c r="AO354" i="20"/>
  <c r="AO141" i="20"/>
  <c r="AO138" i="20"/>
  <c r="AO128" i="20"/>
  <c r="AO89" i="20"/>
  <c r="AO174" i="20"/>
  <c r="AO109" i="20"/>
  <c r="AO8" i="20"/>
  <c r="AO68" i="20"/>
  <c r="AO621" i="20"/>
  <c r="AO242" i="20"/>
  <c r="AO155" i="20"/>
  <c r="AO514" i="20"/>
  <c r="AO478" i="20"/>
  <c r="AO388" i="20"/>
  <c r="AO313" i="20"/>
  <c r="AO145" i="20"/>
  <c r="AO218" i="20"/>
  <c r="AO23" i="20"/>
  <c r="AO106" i="20"/>
  <c r="AO81" i="20"/>
  <c r="AO276" i="20"/>
  <c r="AO41" i="20"/>
  <c r="AO253" i="20"/>
  <c r="AO481" i="20"/>
  <c r="AO24" i="20"/>
  <c r="AO593" i="20"/>
  <c r="AO504" i="20"/>
  <c r="AO446" i="20"/>
  <c r="AO387" i="20"/>
  <c r="AO435" i="20"/>
  <c r="AO291" i="20"/>
  <c r="AO216" i="20"/>
  <c r="AO52" i="20"/>
  <c r="AO105" i="20"/>
  <c r="AO79" i="20"/>
  <c r="AO335" i="20"/>
  <c r="AO38" i="20"/>
  <c r="AO255" i="20"/>
  <c r="AO511" i="20"/>
  <c r="AO152" i="20"/>
  <c r="AO536" i="20"/>
  <c r="AO500" i="20"/>
  <c r="AO443" i="20"/>
  <c r="AO402" i="20"/>
  <c r="AO353" i="20"/>
  <c r="AO307" i="20"/>
  <c r="AO333" i="20"/>
  <c r="AO210" i="20"/>
  <c r="AO103" i="20"/>
  <c r="AO77" i="20"/>
  <c r="AO265" i="20"/>
  <c r="AO168" i="20"/>
  <c r="AO185" i="20"/>
  <c r="AO512" i="20"/>
  <c r="AO199" i="20"/>
  <c r="AA43" i="20"/>
  <c r="V43" i="20"/>
  <c r="X43" i="20" s="1"/>
  <c r="AE43" i="20"/>
  <c r="AE9" i="20"/>
  <c r="AA9" i="20"/>
  <c r="AI9" i="20"/>
  <c r="AI313" i="20"/>
  <c r="U313" i="20"/>
  <c r="AA313" i="20"/>
  <c r="AO316" i="20"/>
  <c r="AC316" i="20"/>
  <c r="U316" i="20"/>
  <c r="V319" i="20"/>
  <c r="X319" i="20" s="1"/>
  <c r="AK319" i="20"/>
  <c r="AA371" i="20"/>
  <c r="U371" i="20"/>
  <c r="AY371" i="20"/>
  <c r="V327" i="20"/>
  <c r="X327" i="20" s="1"/>
  <c r="AE327" i="20"/>
  <c r="AC327" i="20"/>
  <c r="V368" i="20"/>
  <c r="X368" i="20" s="1"/>
  <c r="U368" i="20"/>
  <c r="AY368" i="20"/>
  <c r="U375" i="20"/>
  <c r="AA375" i="20"/>
  <c r="AI393" i="20"/>
  <c r="AK393" i="20"/>
  <c r="Z289" i="35"/>
  <c r="AB289" i="35" s="1"/>
  <c r="BC289" i="35"/>
  <c r="AM289" i="35"/>
  <c r="Y289" i="35"/>
  <c r="AO289" i="35"/>
  <c r="AG289" i="35"/>
  <c r="AE289" i="35"/>
  <c r="AK289" i="35"/>
  <c r="AI289" i="35"/>
  <c r="AQ316" i="35"/>
  <c r="AG316" i="35"/>
  <c r="AI316" i="35"/>
  <c r="Y316" i="35"/>
  <c r="AK316" i="35"/>
  <c r="AM347" i="35"/>
  <c r="Y347" i="35"/>
  <c r="AO347" i="35"/>
  <c r="Y359" i="35"/>
  <c r="BC359" i="35"/>
  <c r="AO359" i="35"/>
  <c r="AK392" i="35"/>
  <c r="AI392" i="35"/>
  <c r="AO392" i="35"/>
  <c r="Y392" i="35"/>
  <c r="AM392" i="35"/>
  <c r="AK459" i="35"/>
  <c r="BC459" i="35"/>
  <c r="AQ459" i="35"/>
  <c r="AG459" i="35"/>
  <c r="AM459" i="35"/>
  <c r="AI481" i="35"/>
  <c r="AG481" i="35"/>
  <c r="Z481" i="35"/>
  <c r="AB481" i="35" s="1"/>
  <c r="AE481" i="35"/>
  <c r="AK481" i="35"/>
  <c r="Z500" i="35"/>
  <c r="AB500" i="35" s="1"/>
  <c r="AM500" i="35"/>
  <c r="Y500" i="35"/>
  <c r="BC526" i="35"/>
  <c r="Y526" i="35"/>
  <c r="AI526" i="35"/>
  <c r="AE347" i="35"/>
  <c r="AM129" i="35"/>
  <c r="AI129" i="35"/>
  <c r="AQ146" i="35"/>
  <c r="BC146" i="35"/>
  <c r="AK168" i="35"/>
  <c r="AM168" i="35"/>
  <c r="Z262" i="35"/>
  <c r="AB262" i="35" s="1"/>
  <c r="AM262" i="35"/>
  <c r="AK262" i="35"/>
  <c r="AO262" i="35"/>
  <c r="AG262" i="35"/>
  <c r="AQ409" i="35"/>
  <c r="Z409" i="35"/>
  <c r="AB409" i="35" s="1"/>
  <c r="AE409" i="35"/>
  <c r="Y524" i="35"/>
  <c r="BE524" i="35"/>
  <c r="Z524" i="35"/>
  <c r="AB524" i="35" s="1"/>
  <c r="Z531" i="35"/>
  <c r="AB531" i="35" s="1"/>
  <c r="Y531" i="35"/>
  <c r="AE81" i="20"/>
  <c r="AG81" i="20"/>
  <c r="AG347" i="35"/>
  <c r="AG168" i="35"/>
  <c r="AG139" i="35"/>
  <c r="AQ168" i="35"/>
  <c r="AE86" i="35"/>
  <c r="AO526" i="35"/>
  <c r="Y459" i="35"/>
  <c r="AE82" i="35"/>
  <c r="BC82" i="35"/>
  <c r="AM82" i="35"/>
  <c r="AO116" i="35"/>
  <c r="AQ116" i="35"/>
  <c r="Z133" i="35"/>
  <c r="AB133" i="35" s="1"/>
  <c r="AE133" i="35"/>
  <c r="AO133" i="35"/>
  <c r="AG174" i="35"/>
  <c r="AK174" i="35"/>
  <c r="AQ174" i="35"/>
  <c r="Z174" i="35"/>
  <c r="AB174" i="35" s="1"/>
  <c r="AO174" i="35"/>
  <c r="Y174" i="35"/>
  <c r="AI174" i="35"/>
  <c r="AQ184" i="35"/>
  <c r="BC184" i="35"/>
  <c r="AG184" i="35"/>
  <c r="AI184" i="35"/>
  <c r="AM210" i="35"/>
  <c r="Z210" i="35"/>
  <c r="AB210" i="35" s="1"/>
  <c r="AM256" i="35"/>
  <c r="Y256" i="35"/>
  <c r="AO256" i="35"/>
  <c r="AG256" i="35"/>
  <c r="AG275" i="35"/>
  <c r="Z275" i="35"/>
  <c r="AB275" i="35" s="1"/>
  <c r="Y275" i="35"/>
  <c r="AE294" i="35"/>
  <c r="Y294" i="35"/>
  <c r="AK294" i="35"/>
  <c r="AM294" i="35"/>
  <c r="AG294" i="35"/>
  <c r="BC294" i="35"/>
  <c r="AO308" i="35"/>
  <c r="AK308" i="35"/>
  <c r="Y308" i="35"/>
  <c r="AE308" i="35"/>
  <c r="AI308" i="35"/>
  <c r="BC308" i="35"/>
  <c r="AM327" i="35"/>
  <c r="AK327" i="35"/>
  <c r="AE327" i="35"/>
  <c r="Y327" i="35"/>
  <c r="AI459" i="35"/>
  <c r="AC215" i="20"/>
  <c r="AC81" i="20"/>
  <c r="AA99" i="20"/>
  <c r="AY277" i="20"/>
  <c r="AM438" i="20"/>
  <c r="Y481" i="35"/>
  <c r="AE359" i="35"/>
  <c r="BC129" i="35"/>
  <c r="AE459" i="35"/>
  <c r="AG511" i="20"/>
  <c r="AC511" i="20"/>
  <c r="BA271" i="20"/>
  <c r="AM418" i="20"/>
  <c r="AG418" i="20"/>
  <c r="AM424" i="20"/>
  <c r="AG424" i="20"/>
  <c r="AK580" i="20"/>
  <c r="AM580" i="20"/>
  <c r="AE580" i="20"/>
  <c r="Z150" i="35"/>
  <c r="AB150" i="35" s="1"/>
  <c r="AO227" i="35"/>
  <c r="AK227" i="35"/>
  <c r="AM227" i="35"/>
  <c r="AI227" i="35"/>
  <c r="AO239" i="35"/>
  <c r="AI239" i="35"/>
  <c r="AG239" i="35"/>
  <c r="AK332" i="35"/>
  <c r="BC332" i="35"/>
  <c r="AG344" i="35"/>
  <c r="BC344" i="35"/>
  <c r="AK344" i="35"/>
  <c r="AM415" i="35"/>
  <c r="AO415" i="35"/>
  <c r="Y415" i="35"/>
  <c r="AG415" i="35"/>
  <c r="AM422" i="35"/>
  <c r="AQ422" i="35"/>
  <c r="BC422" i="35"/>
  <c r="Z422" i="35"/>
  <c r="AB422" i="35" s="1"/>
  <c r="BC9" i="35"/>
  <c r="AI9" i="35"/>
  <c r="AQ49" i="35"/>
  <c r="Y49" i="35"/>
  <c r="Y73" i="35"/>
  <c r="AQ73" i="35"/>
  <c r="AO80" i="35"/>
  <c r="AI80" i="35"/>
  <c r="AG143" i="35"/>
  <c r="BE143" i="35"/>
  <c r="BC150" i="35"/>
  <c r="AM150" i="35"/>
  <c r="AG150" i="35"/>
  <c r="AQ150" i="35"/>
  <c r="AE160" i="35"/>
  <c r="Z160" i="35"/>
  <c r="AB160" i="35" s="1"/>
  <c r="Y232" i="35"/>
  <c r="AK232" i="35"/>
  <c r="AM254" i="35"/>
  <c r="Y254" i="35"/>
  <c r="Y271" i="35"/>
  <c r="AI271" i="35"/>
  <c r="AQ271" i="35"/>
  <c r="AG280" i="35"/>
  <c r="AK280" i="35"/>
  <c r="AO280" i="35"/>
  <c r="BC280" i="35"/>
  <c r="BC318" i="35"/>
  <c r="AS318" i="35"/>
  <c r="AO375" i="35"/>
  <c r="AE375" i="35"/>
  <c r="AG375" i="35"/>
  <c r="AQ382" i="35"/>
  <c r="Z382" i="35"/>
  <c r="AB382" i="35" s="1"/>
  <c r="AM408" i="35"/>
  <c r="AG408" i="35"/>
  <c r="Z408" i="35"/>
  <c r="AB408" i="35" s="1"/>
  <c r="BC408" i="35"/>
  <c r="AO408" i="35"/>
  <c r="AO478" i="35"/>
  <c r="Y478" i="35"/>
  <c r="AI478" i="35"/>
  <c r="AG478" i="35"/>
  <c r="AQ497" i="35"/>
  <c r="AO497" i="35"/>
  <c r="AG497" i="35"/>
  <c r="AM523" i="35"/>
  <c r="Z523" i="35"/>
  <c r="AB523" i="35" s="1"/>
  <c r="AQ530" i="35"/>
  <c r="AI530" i="35"/>
  <c r="AE530" i="35"/>
  <c r="V345" i="20"/>
  <c r="X345" i="20" s="1"/>
  <c r="AA345" i="20"/>
  <c r="AE391" i="20"/>
  <c r="AG391" i="20"/>
  <c r="AM455" i="20"/>
  <c r="U455" i="20"/>
  <c r="AK415" i="35"/>
  <c r="BC299" i="35"/>
  <c r="AE239" i="35"/>
  <c r="AK220" i="35"/>
  <c r="Z126" i="35"/>
  <c r="AB126" i="35" s="1"/>
  <c r="AQ126" i="35"/>
  <c r="AG136" i="35"/>
  <c r="AI136" i="35"/>
  <c r="Y136" i="35"/>
  <c r="AM136" i="35"/>
  <c r="BE136" i="35"/>
  <c r="Z165" i="35"/>
  <c r="AB165" i="35" s="1"/>
  <c r="Y165" i="35"/>
  <c r="AK175" i="35"/>
  <c r="Y175" i="35"/>
  <c r="AK213" i="35"/>
  <c r="AE213" i="35"/>
  <c r="AG213" i="35"/>
  <c r="Z213" i="35"/>
  <c r="AB213" i="35" s="1"/>
  <c r="AI249" i="35"/>
  <c r="AQ249" i="35"/>
  <c r="Z259" i="35"/>
  <c r="AB259" i="35" s="1"/>
  <c r="AM259" i="35"/>
  <c r="BC420" i="35"/>
  <c r="AO420" i="35"/>
  <c r="Y420" i="35"/>
  <c r="AM420" i="35"/>
  <c r="Y43" i="35"/>
  <c r="AO43" i="35"/>
  <c r="AI43" i="35"/>
  <c r="Z55" i="35"/>
  <c r="AB55" i="35" s="1"/>
  <c r="Y55" i="35"/>
  <c r="AI84" i="35"/>
  <c r="Z84" i="35"/>
  <c r="AB84" i="35" s="1"/>
  <c r="AM84" i="35"/>
  <c r="Z137" i="35"/>
  <c r="AB137" i="35" s="1"/>
  <c r="AI137" i="35"/>
  <c r="AO156" i="35"/>
  <c r="AG156" i="35"/>
  <c r="Y176" i="35"/>
  <c r="AQ176" i="35"/>
  <c r="AM176" i="35"/>
  <c r="AE176" i="35"/>
  <c r="AG202" i="35"/>
  <c r="AM202" i="35"/>
  <c r="AK281" i="35"/>
  <c r="AG281" i="35"/>
  <c r="AO281" i="35"/>
  <c r="Z281" i="35"/>
  <c r="AB281" i="35" s="1"/>
  <c r="AI305" i="35"/>
  <c r="AK305" i="35"/>
  <c r="AE305" i="35"/>
  <c r="Z395" i="35"/>
  <c r="AO395" i="35" s="1"/>
  <c r="Y395" i="35"/>
  <c r="Y414" i="35"/>
  <c r="AI414" i="35"/>
  <c r="Z433" i="35"/>
  <c r="Y433" i="35"/>
  <c r="AO527" i="20"/>
  <c r="AO261" i="20"/>
  <c r="BC414" i="35"/>
  <c r="BC305" i="35"/>
  <c r="BC156" i="35"/>
  <c r="AS225" i="35"/>
  <c r="AK142" i="35"/>
  <c r="AO142" i="35"/>
  <c r="Y142" i="35"/>
  <c r="AG181" i="35"/>
  <c r="AI181" i="35"/>
  <c r="Y381" i="35"/>
  <c r="AO381" i="35"/>
  <c r="AI381" i="35"/>
  <c r="AM462" i="35"/>
  <c r="AK414" i="35"/>
  <c r="AE414" i="35"/>
  <c r="AM305" i="35"/>
  <c r="AM226" i="35"/>
  <c r="AE156" i="35"/>
  <c r="Y156" i="35"/>
  <c r="BE475" i="35"/>
  <c r="AQ342" i="35"/>
  <c r="AM572" i="20"/>
  <c r="AO572" i="20"/>
  <c r="AK572" i="20"/>
  <c r="AA572" i="20"/>
  <c r="AS572" i="20"/>
  <c r="X572" i="20"/>
  <c r="AG572" i="20"/>
  <c r="AE572" i="20"/>
  <c r="BS572" i="20"/>
  <c r="AC572" i="20"/>
  <c r="AY572" i="20"/>
  <c r="BA572" i="20"/>
  <c r="AC556" i="20"/>
  <c r="AM207" i="35"/>
  <c r="AG207" i="35"/>
  <c r="AI207" i="35"/>
  <c r="Y207" i="35"/>
  <c r="AO207" i="35"/>
  <c r="AQ207" i="35"/>
  <c r="AE207" i="35"/>
  <c r="AK207" i="35"/>
  <c r="BC207" i="35"/>
  <c r="AK219" i="35"/>
  <c r="AO219" i="35"/>
  <c r="AM219" i="35"/>
  <c r="AE219" i="35"/>
  <c r="BC219" i="35"/>
  <c r="BE219" i="35"/>
  <c r="AG219" i="35"/>
  <c r="AQ219" i="35"/>
  <c r="AI219" i="35"/>
  <c r="Y219" i="35"/>
  <c r="Z219" i="35"/>
  <c r="AB219" i="35" s="1"/>
  <c r="BE405" i="35"/>
  <c r="AW405" i="35"/>
  <c r="BW405" i="35"/>
  <c r="AQ405" i="35"/>
  <c r="BS519" i="20"/>
  <c r="AA519" i="20"/>
  <c r="AY519" i="20"/>
  <c r="AI519" i="20"/>
  <c r="AS519" i="20"/>
  <c r="AC519" i="20"/>
  <c r="X519" i="20"/>
  <c r="AO519" i="20"/>
  <c r="AK519" i="20"/>
  <c r="AE519" i="20"/>
  <c r="AM560" i="20"/>
  <c r="AC560" i="20"/>
  <c r="AG560" i="20"/>
  <c r="AO560" i="20"/>
  <c r="BA560" i="20"/>
  <c r="AA560" i="20"/>
  <c r="AE639" i="20"/>
  <c r="AC639" i="20"/>
  <c r="U639" i="20"/>
  <c r="AO639" i="20"/>
  <c r="U209" i="20"/>
  <c r="V209" i="20"/>
  <c r="X209" i="20" s="1"/>
  <c r="AK209" i="20"/>
  <c r="AA209" i="20"/>
  <c r="AI209" i="20"/>
  <c r="AY209" i="20"/>
  <c r="AE209" i="20"/>
  <c r="AO209" i="20"/>
  <c r="AC209" i="20"/>
  <c r="AG161" i="20"/>
  <c r="U161" i="20"/>
  <c r="AC161" i="20"/>
  <c r="AO161" i="20"/>
  <c r="AY161" i="20"/>
  <c r="V161" i="20"/>
  <c r="X161" i="20" s="1"/>
  <c r="BA161" i="20"/>
  <c r="AI161" i="20"/>
  <c r="AE161" i="20"/>
  <c r="AA161" i="20"/>
  <c r="AM161" i="20"/>
  <c r="AE164" i="20"/>
  <c r="AY164" i="20"/>
  <c r="AM164" i="20"/>
  <c r="AC164" i="20"/>
  <c r="U164" i="20"/>
  <c r="AK164" i="20"/>
  <c r="AI164" i="20"/>
  <c r="AG167" i="20"/>
  <c r="AY167" i="20"/>
  <c r="U167" i="20"/>
  <c r="AM167" i="20"/>
  <c r="AK167" i="20"/>
  <c r="AE167" i="20"/>
  <c r="AC167" i="20"/>
  <c r="AO167" i="20"/>
  <c r="AA167" i="20"/>
  <c r="AI167" i="20"/>
  <c r="V167" i="20"/>
  <c r="X167" i="20" s="1"/>
  <c r="AO37" i="20"/>
  <c r="AI37" i="20"/>
  <c r="AE37" i="20"/>
  <c r="V37" i="20"/>
  <c r="X37" i="20" s="1"/>
  <c r="AM37" i="20"/>
  <c r="U37" i="20"/>
  <c r="AC37" i="20"/>
  <c r="AA37" i="20"/>
  <c r="AY37" i="20"/>
  <c r="AG40" i="20"/>
  <c r="V40" i="20"/>
  <c r="X40" i="20" s="1"/>
  <c r="AO40" i="20"/>
  <c r="U40" i="20"/>
  <c r="AM40" i="20"/>
  <c r="AK40" i="20"/>
  <c r="AA40" i="20"/>
  <c r="AY40" i="20"/>
  <c r="AC40" i="20"/>
  <c r="AI40" i="20"/>
  <c r="AE40" i="20"/>
  <c r="AY268" i="20"/>
  <c r="AO268" i="20"/>
  <c r="AK268" i="20"/>
  <c r="AI268" i="20"/>
  <c r="AG268" i="20"/>
  <c r="V268" i="20"/>
  <c r="X268" i="20" s="1"/>
  <c r="AC268" i="20"/>
  <c r="U268" i="20"/>
  <c r="BA268" i="20"/>
  <c r="AM268" i="20"/>
  <c r="AI14" i="20"/>
  <c r="V14" i="20"/>
  <c r="X14" i="20" s="1"/>
  <c r="AK14" i="20"/>
  <c r="AM14" i="20"/>
  <c r="AY14" i="20"/>
  <c r="U14" i="20"/>
  <c r="AO14" i="20"/>
  <c r="AE14" i="20"/>
  <c r="AA14" i="20"/>
  <c r="AA17" i="20"/>
  <c r="AM17" i="20"/>
  <c r="AO17" i="20"/>
  <c r="AI17" i="20"/>
  <c r="AY17" i="20"/>
  <c r="AG20" i="20"/>
  <c r="AO20" i="20"/>
  <c r="U20" i="20"/>
  <c r="V20" i="20"/>
  <c r="X20" i="20" s="1"/>
  <c r="AC20" i="20"/>
  <c r="AI20" i="20"/>
  <c r="AM20" i="20"/>
  <c r="AY20" i="20"/>
  <c r="AE20" i="20"/>
  <c r="AM180" i="20"/>
  <c r="AC180" i="20"/>
  <c r="V180" i="20"/>
  <c r="X180" i="20" s="1"/>
  <c r="AO180" i="20"/>
  <c r="AE180" i="20"/>
  <c r="U180" i="20"/>
  <c r="AK180" i="20"/>
  <c r="AG180" i="20"/>
  <c r="AO289" i="20"/>
  <c r="AY289" i="20"/>
  <c r="AG289" i="20"/>
  <c r="AI289" i="20"/>
  <c r="BA289" i="20"/>
  <c r="AM289" i="20"/>
  <c r="AA289" i="20"/>
  <c r="AC289" i="20"/>
  <c r="U289" i="20"/>
  <c r="AA292" i="20"/>
  <c r="AC292" i="20"/>
  <c r="AM292" i="20"/>
  <c r="V292" i="20"/>
  <c r="X292" i="20" s="1"/>
  <c r="AE292" i="20"/>
  <c r="AM298" i="20"/>
  <c r="AE298" i="20"/>
  <c r="V298" i="20"/>
  <c r="X298" i="20" s="1"/>
  <c r="AI301" i="20"/>
  <c r="AO301" i="20"/>
  <c r="AE301" i="20"/>
  <c r="V301" i="20"/>
  <c r="X301" i="20" s="1"/>
  <c r="AC301" i="20"/>
  <c r="AY301" i="20"/>
  <c r="U301" i="20"/>
  <c r="AK301" i="20"/>
  <c r="AM301" i="20"/>
  <c r="AY395" i="20"/>
  <c r="AI395" i="20"/>
  <c r="AA395" i="20"/>
  <c r="AK395" i="20"/>
  <c r="AO395" i="20"/>
  <c r="U395" i="20"/>
  <c r="AG395" i="20"/>
  <c r="BA395" i="20"/>
  <c r="AM395" i="20"/>
  <c r="AE395" i="20"/>
  <c r="V395" i="20"/>
  <c r="X395" i="20" s="1"/>
  <c r="AI437" i="20"/>
  <c r="AC437" i="20"/>
  <c r="AM437" i="20"/>
  <c r="V437" i="20"/>
  <c r="X437" i="20" s="1"/>
  <c r="AG437" i="20"/>
  <c r="AO437" i="20"/>
  <c r="BA437" i="20"/>
  <c r="AE437" i="20"/>
  <c r="AA437" i="20"/>
  <c r="AY437" i="20"/>
  <c r="AE442" i="20"/>
  <c r="U442" i="20"/>
  <c r="AO442" i="20"/>
  <c r="AM442" i="20"/>
  <c r="AK442" i="20"/>
  <c r="AY442" i="20"/>
  <c r="AG442" i="20"/>
  <c r="AA442" i="20"/>
  <c r="AI442" i="20"/>
  <c r="AG445" i="20"/>
  <c r="AO445" i="20"/>
  <c r="AK445" i="20"/>
  <c r="V445" i="20"/>
  <c r="X445" i="20" s="1"/>
  <c r="AE445" i="20"/>
  <c r="AI445" i="20"/>
  <c r="AY445" i="20"/>
  <c r="AA445" i="20"/>
  <c r="AM639" i="20"/>
  <c r="U192" i="20"/>
  <c r="AY192" i="20"/>
  <c r="AG195" i="20"/>
  <c r="AA195" i="20"/>
  <c r="AC195" i="20"/>
  <c r="AI195" i="20"/>
  <c r="V195" i="20"/>
  <c r="X195" i="20" s="1"/>
  <c r="AK195" i="20"/>
  <c r="U195" i="20"/>
  <c r="AO195" i="20"/>
  <c r="AY195" i="20"/>
  <c r="AK111" i="20"/>
  <c r="AA111" i="20"/>
  <c r="V111" i="20"/>
  <c r="X111" i="20" s="1"/>
  <c r="AM111" i="20"/>
  <c r="AC111" i="20"/>
  <c r="AI111" i="20"/>
  <c r="BA111" i="20"/>
  <c r="AY111" i="20"/>
  <c r="AA114" i="20"/>
  <c r="AK114" i="20"/>
  <c r="V114" i="20"/>
  <c r="X114" i="20" s="1"/>
  <c r="AG114" i="20"/>
  <c r="AM114" i="20"/>
  <c r="AG117" i="20"/>
  <c r="V117" i="20"/>
  <c r="X117" i="20" s="1"/>
  <c r="AO117" i="20"/>
  <c r="AA117" i="20"/>
  <c r="AI117" i="20"/>
  <c r="AC120" i="20"/>
  <c r="AY120" i="20"/>
  <c r="AO120" i="20"/>
  <c r="AK123" i="20"/>
  <c r="AM123" i="20"/>
  <c r="AE123" i="20"/>
  <c r="V123" i="20"/>
  <c r="X123" i="20" s="1"/>
  <c r="U123" i="20"/>
  <c r="AO123" i="20"/>
  <c r="AY126" i="20"/>
  <c r="AE126" i="20"/>
  <c r="AI126" i="20"/>
  <c r="AK126" i="20"/>
  <c r="U126" i="20"/>
  <c r="AG126" i="20"/>
  <c r="AA126" i="20"/>
  <c r="AO126" i="20"/>
  <c r="AC126" i="20"/>
  <c r="AK129" i="20"/>
  <c r="AE129" i="20"/>
  <c r="V129" i="20"/>
  <c r="X129" i="20" s="1"/>
  <c r="AY132" i="20"/>
  <c r="AO132" i="20"/>
  <c r="AM132" i="20"/>
  <c r="AE132" i="20"/>
  <c r="AK132" i="20"/>
  <c r="V132" i="20"/>
  <c r="X132" i="20" s="1"/>
  <c r="AC132" i="20"/>
  <c r="U132" i="20"/>
  <c r="AG132" i="20"/>
  <c r="AK135" i="20"/>
  <c r="AM135" i="20"/>
  <c r="BA135" i="20"/>
  <c r="U135" i="20"/>
  <c r="AI135" i="20"/>
  <c r="AY135" i="20"/>
  <c r="AK241" i="20"/>
  <c r="AM241" i="20"/>
  <c r="AE241" i="20"/>
  <c r="V241" i="20"/>
  <c r="X241" i="20" s="1"/>
  <c r="AC241" i="20"/>
  <c r="U241" i="20"/>
  <c r="AK282" i="20"/>
  <c r="AC282" i="20"/>
  <c r="AE288" i="20"/>
  <c r="AM288" i="20"/>
  <c r="AY288" i="20"/>
  <c r="V288" i="20"/>
  <c r="X288" i="20" s="1"/>
  <c r="AM312" i="20"/>
  <c r="AA312" i="20"/>
  <c r="BA312" i="20"/>
  <c r="U386" i="20"/>
  <c r="AA386" i="20"/>
  <c r="AC386" i="20"/>
  <c r="AO386" i="20"/>
  <c r="V397" i="20"/>
  <c r="X397" i="20" s="1"/>
  <c r="U397" i="20"/>
  <c r="V400" i="20"/>
  <c r="X400" i="20" s="1"/>
  <c r="U400" i="20"/>
  <c r="AA400" i="20"/>
  <c r="AY400" i="20"/>
  <c r="AG400" i="20"/>
  <c r="AC400" i="20"/>
  <c r="V403" i="20"/>
  <c r="X403" i="20" s="1"/>
  <c r="AI403" i="20"/>
  <c r="AE403" i="20"/>
  <c r="AM403" i="20"/>
  <c r="AE411" i="20"/>
  <c r="AI411" i="20"/>
  <c r="U411" i="20"/>
  <c r="AK411" i="20"/>
  <c r="AA414" i="20"/>
  <c r="V414" i="20"/>
  <c r="X414" i="20" s="1"/>
  <c r="AY414" i="20"/>
  <c r="AG414" i="20"/>
  <c r="AC414" i="20"/>
  <c r="AM417" i="20"/>
  <c r="AI417" i="20"/>
  <c r="AG417" i="20"/>
  <c r="AA420" i="20"/>
  <c r="AE420" i="20"/>
  <c r="U420" i="20"/>
  <c r="AM420" i="20"/>
  <c r="AG420" i="20"/>
  <c r="AO420" i="20"/>
  <c r="AM423" i="20"/>
  <c r="AO423" i="20"/>
  <c r="U423" i="20"/>
  <c r="AC423" i="20"/>
  <c r="AG423" i="20"/>
  <c r="V423" i="20"/>
  <c r="X423" i="20" s="1"/>
  <c r="AI423" i="20"/>
  <c r="AY423" i="20"/>
  <c r="AK423" i="20"/>
  <c r="AE439" i="20"/>
  <c r="U439" i="20"/>
  <c r="AG439" i="20"/>
  <c r="AI439" i="20"/>
  <c r="V439" i="20"/>
  <c r="X439" i="20" s="1"/>
  <c r="AO439" i="20"/>
  <c r="AC439" i="20"/>
  <c r="AA439" i="20"/>
  <c r="AM439" i="20"/>
  <c r="AK439" i="20"/>
  <c r="BA439" i="20"/>
  <c r="AY458" i="20"/>
  <c r="AK458" i="20"/>
  <c r="AE458" i="20"/>
  <c r="V458" i="20"/>
  <c r="X458" i="20" s="1"/>
  <c r="U458" i="20"/>
  <c r="AA461" i="20"/>
  <c r="AI461" i="20"/>
  <c r="AY464" i="20"/>
  <c r="AK464" i="20"/>
  <c r="V464" i="20"/>
  <c r="X464" i="20" s="1"/>
  <c r="AO467" i="20"/>
  <c r="AE467" i="20"/>
  <c r="AG467" i="20"/>
  <c r="AI467" i="20"/>
  <c r="U467" i="20"/>
  <c r="AY467" i="20"/>
  <c r="AM467" i="20"/>
  <c r="V467" i="20"/>
  <c r="X467" i="20" s="1"/>
  <c r="AK467" i="20"/>
  <c r="V470" i="20"/>
  <c r="X470" i="20" s="1"/>
  <c r="AG470" i="20"/>
  <c r="AC473" i="20"/>
  <c r="AG473" i="20"/>
  <c r="V473" i="20"/>
  <c r="X473" i="20" s="1"/>
  <c r="AA473" i="20"/>
  <c r="AI473" i="20"/>
  <c r="AG476" i="20"/>
  <c r="AO476" i="20"/>
  <c r="AI476" i="20"/>
  <c r="AI644" i="20"/>
  <c r="AY644" i="20"/>
  <c r="AM644" i="20"/>
  <c r="AI484" i="20"/>
  <c r="AK484" i="20"/>
  <c r="AG487" i="20"/>
  <c r="AA487" i="20"/>
  <c r="AI487" i="20"/>
  <c r="U487" i="20"/>
  <c r="AC487" i="20"/>
  <c r="AG490" i="20"/>
  <c r="AY490" i="20"/>
  <c r="AE490" i="20"/>
  <c r="AI490" i="20"/>
  <c r="AY496" i="20"/>
  <c r="AI496" i="20"/>
  <c r="AA496" i="20"/>
  <c r="AO496" i="20"/>
  <c r="AM496" i="20"/>
  <c r="AC499" i="20"/>
  <c r="AM499" i="20"/>
  <c r="V499" i="20"/>
  <c r="X499" i="20" s="1"/>
  <c r="AA499" i="20"/>
  <c r="AE499" i="20"/>
  <c r="AK499" i="20"/>
  <c r="AO502" i="20"/>
  <c r="AC502" i="20"/>
  <c r="AY502" i="20"/>
  <c r="AK502" i="20"/>
  <c r="BA502" i="20"/>
  <c r="AK508" i="20"/>
  <c r="AG508" i="20"/>
  <c r="AA508" i="20"/>
  <c r="AI508" i="20"/>
  <c r="AI513" i="20"/>
  <c r="AM513" i="20"/>
  <c r="AG513" i="20"/>
  <c r="AE513" i="20"/>
  <c r="AC513" i="20"/>
  <c r="AY513" i="20"/>
  <c r="AO513" i="20"/>
  <c r="AO548" i="20"/>
  <c r="X548" i="20"/>
  <c r="AG548" i="20"/>
  <c r="AS548" i="20"/>
  <c r="BS548" i="20"/>
  <c r="AC548" i="20"/>
  <c r="AI548" i="20"/>
  <c r="AO563" i="20"/>
  <c r="AM563" i="20"/>
  <c r="AY563" i="20"/>
  <c r="V569" i="20"/>
  <c r="U569" i="20"/>
  <c r="AG588" i="20"/>
  <c r="V588" i="20"/>
  <c r="X588" i="20" s="1"/>
  <c r="AA588" i="20"/>
  <c r="AY588" i="20"/>
  <c r="U588" i="20"/>
  <c r="AI588" i="20"/>
  <c r="AK614" i="20"/>
  <c r="V614" i="20"/>
  <c r="X614" i="20" s="1"/>
  <c r="AG614" i="20"/>
  <c r="AM614" i="20"/>
  <c r="AE614" i="20"/>
  <c r="AI614" i="20"/>
  <c r="AC614" i="20"/>
  <c r="AO614" i="20"/>
  <c r="AY614" i="20"/>
  <c r="U614" i="20"/>
  <c r="BA614" i="20"/>
  <c r="AG628" i="20"/>
  <c r="V628" i="20"/>
  <c r="X628" i="20" s="1"/>
  <c r="U628" i="20"/>
  <c r="AI628" i="20"/>
  <c r="AA628" i="20"/>
  <c r="AO628" i="20"/>
  <c r="AM628" i="20"/>
  <c r="AE646" i="20"/>
  <c r="AK646" i="20"/>
  <c r="AC646" i="20"/>
  <c r="U646" i="20"/>
  <c r="V646" i="20"/>
  <c r="X646" i="20" s="1"/>
  <c r="AA646" i="20"/>
  <c r="AM649" i="20"/>
  <c r="U649" i="20"/>
  <c r="AC649" i="20"/>
  <c r="AO649" i="20"/>
  <c r="V649" i="20"/>
  <c r="X649" i="20" s="1"/>
  <c r="BA649" i="20"/>
  <c r="AK532" i="20"/>
  <c r="AE532" i="20"/>
  <c r="AM532" i="20"/>
  <c r="U532" i="20"/>
  <c r="AG532" i="20"/>
  <c r="AC532" i="20"/>
  <c r="AA532" i="20"/>
  <c r="AO532" i="20"/>
  <c r="AC535" i="20"/>
  <c r="AI535" i="20"/>
  <c r="AM535" i="20"/>
  <c r="V535" i="20"/>
  <c r="X535" i="20" s="1"/>
  <c r="AE538" i="20"/>
  <c r="V538" i="20"/>
  <c r="X538" i="20" s="1"/>
  <c r="AK538" i="20"/>
  <c r="AC538" i="20"/>
  <c r="AI538" i="20"/>
  <c r="AG541" i="20"/>
  <c r="AO541" i="20"/>
  <c r="AE541" i="20"/>
  <c r="V541" i="20"/>
  <c r="X541" i="20" s="1"/>
  <c r="AK541" i="20"/>
  <c r="AC541" i="20"/>
  <c r="AA541" i="20"/>
  <c r="AI541" i="20"/>
  <c r="AY541" i="20"/>
  <c r="AY544" i="20"/>
  <c r="AM544" i="20"/>
  <c r="V544" i="20"/>
  <c r="X544" i="20" s="1"/>
  <c r="AO544" i="20"/>
  <c r="AQ107" i="39"/>
  <c r="AK114" i="39"/>
  <c r="AC420" i="20"/>
  <c r="U414" i="20"/>
  <c r="AE282" i="20"/>
  <c r="AI123" i="20"/>
  <c r="AY241" i="20"/>
  <c r="AI590" i="20"/>
  <c r="AM590" i="20"/>
  <c r="AG590" i="20"/>
  <c r="AK590" i="20"/>
  <c r="AC590" i="20"/>
  <c r="J3" i="20"/>
  <c r="J2" i="20" s="1"/>
  <c r="P410" i="20"/>
  <c r="AM274" i="35"/>
  <c r="Z274" i="35"/>
  <c r="AB274" i="35" s="1"/>
  <c r="BC274" i="35"/>
  <c r="AI274" i="35"/>
  <c r="AO274" i="35"/>
  <c r="Y274" i="35"/>
  <c r="AO319" i="35"/>
  <c r="BC319" i="35"/>
  <c r="AE319" i="35"/>
  <c r="Z319" i="35"/>
  <c r="AB319" i="35" s="1"/>
  <c r="Y319" i="35"/>
  <c r="AG319" i="35"/>
  <c r="AI319" i="35"/>
  <c r="Y338" i="35"/>
  <c r="BC338" i="35"/>
  <c r="Z338" i="35"/>
  <c r="AB338" i="35" s="1"/>
  <c r="AG338" i="35"/>
  <c r="AO338" i="35"/>
  <c r="Y357" i="35"/>
  <c r="AK357" i="35"/>
  <c r="Z357" i="35"/>
  <c r="AB357" i="35" s="1"/>
  <c r="AG357" i="35"/>
  <c r="AO357" i="35"/>
  <c r="Y380" i="35"/>
  <c r="BC380" i="35"/>
  <c r="AG387" i="35"/>
  <c r="Z387" i="35"/>
  <c r="AB387" i="35" s="1"/>
  <c r="Y387" i="35"/>
  <c r="AE387" i="35"/>
  <c r="AM387" i="35"/>
  <c r="BC387" i="35"/>
  <c r="AO387" i="35"/>
  <c r="AI387" i="35"/>
  <c r="Z406" i="35"/>
  <c r="Y406" i="35"/>
  <c r="BC413" i="35"/>
  <c r="AE413" i="35"/>
  <c r="AQ413" i="35"/>
  <c r="Y413" i="35"/>
  <c r="Z413" i="35"/>
  <c r="AB413" i="35" s="1"/>
  <c r="AI413" i="35"/>
  <c r="AM413" i="35"/>
  <c r="Z427" i="35"/>
  <c r="Y427" i="35"/>
  <c r="Z446" i="35"/>
  <c r="Y446" i="35"/>
  <c r="AM463" i="35"/>
  <c r="AG463" i="35"/>
  <c r="AI463" i="35"/>
  <c r="AI473" i="35"/>
  <c r="Y473" i="35"/>
  <c r="AE473" i="35"/>
  <c r="AM473" i="35"/>
  <c r="AG473" i="35"/>
  <c r="AO473" i="35"/>
  <c r="BC473" i="35"/>
  <c r="Z473" i="35"/>
  <c r="AB473" i="35" s="1"/>
  <c r="AQ473" i="35"/>
  <c r="BC485" i="35"/>
  <c r="AI485" i="35"/>
  <c r="AG485" i="35"/>
  <c r="AE485" i="35"/>
  <c r="AQ485" i="35"/>
  <c r="Y485" i="35"/>
  <c r="Z485" i="35"/>
  <c r="AB485" i="35" s="1"/>
  <c r="AK485" i="35"/>
  <c r="AM485" i="35"/>
  <c r="AO485" i="35"/>
  <c r="BC492" i="35"/>
  <c r="AI492" i="35"/>
  <c r="AG492" i="35"/>
  <c r="AK492" i="35"/>
  <c r="AQ492" i="35"/>
  <c r="AM492" i="35"/>
  <c r="Z492" i="35"/>
  <c r="AB492" i="35" s="1"/>
  <c r="AE492" i="35"/>
  <c r="BE492" i="35"/>
  <c r="Y492" i="35"/>
  <c r="AI504" i="35"/>
  <c r="AO504" i="35"/>
  <c r="AK504" i="35"/>
  <c r="AM504" i="35"/>
  <c r="Y504" i="35"/>
  <c r="AG504" i="35"/>
  <c r="AE504" i="35"/>
  <c r="AQ504" i="35"/>
  <c r="BC504" i="35"/>
  <c r="Z504" i="35"/>
  <c r="AB504" i="35" s="1"/>
  <c r="BC511" i="35"/>
  <c r="AK511" i="35"/>
  <c r="AO511" i="35"/>
  <c r="AQ511" i="35"/>
  <c r="AM511" i="35"/>
  <c r="Z511" i="35"/>
  <c r="AB511" i="35" s="1"/>
  <c r="AI511" i="35"/>
  <c r="AG511" i="35"/>
  <c r="AE511" i="35"/>
  <c r="AM518" i="35"/>
  <c r="BC518" i="35"/>
  <c r="Z518" i="35"/>
  <c r="AB518" i="35" s="1"/>
  <c r="AE231" i="35"/>
  <c r="BC231" i="35"/>
  <c r="AM231" i="35"/>
  <c r="AI231" i="35"/>
  <c r="Y243" i="35"/>
  <c r="AG243" i="35"/>
  <c r="AO243" i="35"/>
  <c r="AK243" i="35"/>
  <c r="Z253" i="35"/>
  <c r="AB253" i="35" s="1"/>
  <c r="AM253" i="35"/>
  <c r="AQ253" i="35"/>
  <c r="AG253" i="35"/>
  <c r="AM164" i="35"/>
  <c r="AG164" i="35"/>
  <c r="AO164" i="35"/>
  <c r="BC164" i="35"/>
  <c r="AK164" i="35"/>
  <c r="AQ164" i="35"/>
  <c r="Z164" i="35"/>
  <c r="AB164" i="35" s="1"/>
  <c r="Y164" i="35"/>
  <c r="AE164" i="35"/>
  <c r="AI164" i="35"/>
  <c r="AM193" i="35"/>
  <c r="BE193" i="35"/>
  <c r="AK193" i="35"/>
  <c r="AQ193" i="35"/>
  <c r="AG200" i="35"/>
  <c r="BC200" i="35"/>
  <c r="Y200" i="35"/>
  <c r="AM200" i="35"/>
  <c r="BC236" i="35"/>
  <c r="Z236" i="35"/>
  <c r="AB236" i="35" s="1"/>
  <c r="AI236" i="35"/>
  <c r="AE236" i="35"/>
  <c r="AK236" i="35"/>
  <c r="AO236" i="35"/>
  <c r="Y236" i="35"/>
  <c r="AG236" i="35"/>
  <c r="AM236" i="35"/>
  <c r="AQ236" i="35"/>
  <c r="AO253" i="35"/>
  <c r="U117" i="20"/>
  <c r="AY532" i="20"/>
  <c r="AY535" i="20"/>
  <c r="AA467" i="20"/>
  <c r="U519" i="20"/>
  <c r="V420" i="20"/>
  <c r="X420" i="20" s="1"/>
  <c r="U403" i="20"/>
  <c r="V126" i="20"/>
  <c r="X126" i="20" s="1"/>
  <c r="AO114" i="20"/>
  <c r="AM195" i="20"/>
  <c r="AG274" i="35"/>
  <c r="AM46" i="35"/>
  <c r="Z46" i="35"/>
  <c r="AB46" i="35" s="1"/>
  <c r="AE46" i="35"/>
  <c r="BE46" i="35"/>
  <c r="Y87" i="35"/>
  <c r="AK87" i="35"/>
  <c r="Z87" i="35"/>
  <c r="AB87" i="35" s="1"/>
  <c r="AE87" i="35"/>
  <c r="AM87" i="35"/>
  <c r="AQ87" i="35"/>
  <c r="Y111" i="35"/>
  <c r="AO111" i="35"/>
  <c r="AG111" i="35"/>
  <c r="AI130" i="35"/>
  <c r="Z130" i="35"/>
  <c r="AB130" i="35" s="1"/>
  <c r="AQ130" i="35"/>
  <c r="AI140" i="35"/>
  <c r="AQ140" i="35"/>
  <c r="Z140" i="35"/>
  <c r="AB140" i="35" s="1"/>
  <c r="BE140" i="35"/>
  <c r="Y140" i="35"/>
  <c r="AM140" i="35"/>
  <c r="AK140" i="35"/>
  <c r="AM147" i="35"/>
  <c r="AQ147" i="35"/>
  <c r="AI147" i="35"/>
  <c r="Z147" i="35"/>
  <c r="AB147" i="35" s="1"/>
  <c r="AK169" i="35"/>
  <c r="Z169" i="35"/>
  <c r="AB169" i="35" s="1"/>
  <c r="BC169" i="35"/>
  <c r="AO312" i="20"/>
  <c r="AE470" i="20"/>
  <c r="AK400" i="20"/>
  <c r="BA343" i="20"/>
  <c r="AW114" i="39"/>
  <c r="AI253" i="35"/>
  <c r="U560" i="20"/>
  <c r="AA417" i="20"/>
  <c r="AK649" i="20"/>
  <c r="BA644" i="20"/>
  <c r="AM117" i="20"/>
  <c r="AI532" i="20"/>
  <c r="AE535" i="20"/>
  <c r="U513" i="20"/>
  <c r="AY403" i="20"/>
  <c r="AY386" i="20"/>
  <c r="AM126" i="20"/>
  <c r="AE253" i="35"/>
  <c r="BC179" i="35"/>
  <c r="BA417" i="20"/>
  <c r="AA649" i="20"/>
  <c r="AK644" i="20"/>
  <c r="BA117" i="20"/>
  <c r="AE502" i="20"/>
  <c r="AE590" i="20"/>
  <c r="AK513" i="20"/>
  <c r="AA403" i="20"/>
  <c r="AI386" i="20"/>
  <c r="U114" i="20"/>
  <c r="AY114" i="20"/>
  <c r="AI132" i="20"/>
  <c r="BE231" i="35"/>
  <c r="AO414" i="20"/>
  <c r="AO403" i="20"/>
  <c r="AG496" i="20"/>
  <c r="AI544" i="20"/>
  <c r="AY411" i="20"/>
  <c r="AG649" i="20"/>
  <c r="AE644" i="20"/>
  <c r="AM502" i="20"/>
  <c r="AO140" i="35"/>
  <c r="BA590" i="20"/>
  <c r="V554" i="20"/>
  <c r="V525" i="20"/>
  <c r="AA513" i="20"/>
  <c r="AC417" i="20"/>
  <c r="AE111" i="20"/>
  <c r="AC114" i="20"/>
  <c r="AA132" i="20"/>
  <c r="V532" i="20"/>
  <c r="X532" i="20" s="1"/>
  <c r="U644" i="20"/>
  <c r="AI502" i="20"/>
  <c r="AG140" i="35"/>
  <c r="U590" i="20"/>
  <c r="AI646" i="20"/>
  <c r="AA484" i="20"/>
  <c r="AI458" i="20"/>
  <c r="V513" i="20"/>
  <c r="X513" i="20" s="1"/>
  <c r="V120" i="20"/>
  <c r="X120" i="20" s="1"/>
  <c r="AI114" i="20"/>
  <c r="AE114" i="20"/>
  <c r="AO538" i="20"/>
  <c r="AK473" i="35"/>
  <c r="AM449" i="35"/>
  <c r="AE120" i="20"/>
  <c r="AO241" i="20"/>
  <c r="AA245" i="20"/>
  <c r="AO245" i="20"/>
  <c r="U181" i="20"/>
  <c r="AA181" i="20"/>
  <c r="AI181" i="20"/>
  <c r="AO181" i="20"/>
  <c r="AC33" i="20"/>
  <c r="AM33" i="20"/>
  <c r="AO251" i="20"/>
  <c r="AA251" i="20"/>
  <c r="AI251" i="20"/>
  <c r="AM251" i="20"/>
  <c r="AA183" i="20"/>
  <c r="U183" i="20"/>
  <c r="AY64" i="20"/>
  <c r="AA64" i="20"/>
  <c r="AM64" i="20"/>
  <c r="AO64" i="20"/>
  <c r="AC64" i="20"/>
  <c r="AE64" i="20"/>
  <c r="V64" i="20"/>
  <c r="X64" i="20" s="1"/>
  <c r="AO70" i="20"/>
  <c r="AA70" i="20"/>
  <c r="AI70" i="20"/>
  <c r="AK70" i="20"/>
  <c r="AC30" i="20"/>
  <c r="AK30" i="20"/>
  <c r="V30" i="20"/>
  <c r="X30" i="20" s="1"/>
  <c r="AA30" i="20"/>
  <c r="AO30" i="20"/>
  <c r="AO189" i="20"/>
  <c r="AK189" i="20"/>
  <c r="AI189" i="20"/>
  <c r="AC189" i="20"/>
  <c r="AC432" i="20"/>
  <c r="AI432" i="20"/>
  <c r="AO432" i="20"/>
  <c r="V432" i="20"/>
  <c r="X432" i="20" s="1"/>
  <c r="AE432" i="20"/>
  <c r="AA432" i="20"/>
  <c r="AC479" i="20"/>
  <c r="AO479" i="20"/>
  <c r="AG479" i="20"/>
  <c r="AC582" i="20"/>
  <c r="AO582" i="20"/>
  <c r="AA582" i="20"/>
  <c r="AG582" i="20"/>
  <c r="AI609" i="20"/>
  <c r="AC609" i="20"/>
  <c r="AO609" i="20"/>
  <c r="AA609" i="20"/>
  <c r="AE609" i="20"/>
  <c r="AY620" i="20"/>
  <c r="AC620" i="20"/>
  <c r="AK620" i="20"/>
  <c r="AC638" i="20"/>
  <c r="AO638" i="20"/>
  <c r="AE638" i="20"/>
  <c r="AA158" i="20"/>
  <c r="AO158" i="20"/>
  <c r="V158" i="20"/>
  <c r="X158" i="20" s="1"/>
  <c r="AG163" i="20"/>
  <c r="V163" i="20"/>
  <c r="X163" i="20" s="1"/>
  <c r="AE163" i="20"/>
  <c r="AI163" i="20"/>
  <c r="U163" i="20"/>
  <c r="AA163" i="20"/>
  <c r="AY163" i="20"/>
  <c r="AO163" i="20"/>
  <c r="AM163" i="20"/>
  <c r="U166" i="20"/>
  <c r="AC166" i="20"/>
  <c r="AO166" i="20"/>
  <c r="AK36" i="20"/>
  <c r="AG36" i="20"/>
  <c r="AY36" i="20"/>
  <c r="U36" i="20"/>
  <c r="AC39" i="20"/>
  <c r="V39" i="20"/>
  <c r="X39" i="20" s="1"/>
  <c r="AE39" i="20"/>
  <c r="AG39" i="20"/>
  <c r="AM39" i="20"/>
  <c r="AK267" i="20"/>
  <c r="AI267" i="20"/>
  <c r="AM267" i="20"/>
  <c r="AY267" i="20"/>
  <c r="AI270" i="20"/>
  <c r="AG270" i="20"/>
  <c r="AC270" i="20"/>
  <c r="AY270" i="20"/>
  <c r="U270" i="20"/>
  <c r="AE270" i="20"/>
  <c r="AA270" i="20"/>
  <c r="AK270" i="20"/>
  <c r="V270" i="20"/>
  <c r="X270" i="20" s="1"/>
  <c r="AO270" i="20"/>
  <c r="AM270" i="20"/>
  <c r="AM13" i="20"/>
  <c r="AE13" i="20"/>
  <c r="AC13" i="20"/>
  <c r="BA13" i="20"/>
  <c r="V13" i="20"/>
  <c r="X13" i="20" s="1"/>
  <c r="AA13" i="20"/>
  <c r="AG13" i="20"/>
  <c r="AG16" i="20"/>
  <c r="AA16" i="20"/>
  <c r="AO16" i="20"/>
  <c r="AC16" i="20"/>
  <c r="AK16" i="20"/>
  <c r="AI16" i="20"/>
  <c r="V16" i="20"/>
  <c r="X16" i="20" s="1"/>
  <c r="U16" i="20"/>
  <c r="AO19" i="20"/>
  <c r="BA19" i="20"/>
  <c r="AE19" i="20"/>
  <c r="AY593" i="20"/>
  <c r="U593" i="20"/>
  <c r="BA593" i="20"/>
  <c r="AC593" i="20"/>
  <c r="AE593" i="20"/>
  <c r="AK593" i="20"/>
  <c r="AA593" i="20"/>
  <c r="AG231" i="35"/>
  <c r="AS169" i="35"/>
  <c r="AM490" i="20"/>
  <c r="AK487" i="20"/>
  <c r="AC476" i="20"/>
  <c r="AA544" i="20"/>
  <c r="AC411" i="20"/>
  <c r="Y193" i="35"/>
  <c r="AK179" i="35"/>
  <c r="Y463" i="35"/>
  <c r="AI288" i="20"/>
  <c r="AI553" i="20"/>
  <c r="AE553" i="20"/>
  <c r="AA135" i="20"/>
  <c r="AE649" i="20"/>
  <c r="V644" i="20"/>
  <c r="X644" i="20" s="1"/>
  <c r="V502" i="20"/>
  <c r="X502" i="20" s="1"/>
  <c r="AS46" i="35"/>
  <c r="V590" i="20"/>
  <c r="X590" i="20" s="1"/>
  <c r="AY499" i="20"/>
  <c r="AE397" i="20"/>
  <c r="BA548" i="20"/>
  <c r="AM541" i="20"/>
  <c r="AY538" i="20"/>
  <c r="AE628" i="20"/>
  <c r="AY646" i="20"/>
  <c r="AA614" i="20"/>
  <c r="AI470" i="20"/>
  <c r="AA464" i="20"/>
  <c r="AE423" i="20"/>
  <c r="AY420" i="20"/>
  <c r="AM120" i="20"/>
  <c r="AG111" i="20"/>
  <c r="U158" i="20"/>
  <c r="U39" i="20"/>
  <c r="AY470" i="20"/>
  <c r="U153" i="20"/>
  <c r="AI153" i="20"/>
  <c r="AC153" i="20"/>
  <c r="AO153" i="20"/>
  <c r="AG156" i="20"/>
  <c r="V156" i="20"/>
  <c r="X156" i="20" s="1"/>
  <c r="AC156" i="20"/>
  <c r="AI156" i="20"/>
  <c r="AA156" i="20"/>
  <c r="AE156" i="20"/>
  <c r="O6" i="23"/>
  <c r="AI573" i="20"/>
  <c r="AA573" i="20"/>
  <c r="AA629" i="20"/>
  <c r="AM629" i="20"/>
  <c r="AE600" i="20"/>
  <c r="U600" i="20"/>
  <c r="AK288" i="35"/>
  <c r="BC288" i="35"/>
  <c r="AG288" i="35"/>
  <c r="AE525" i="35"/>
  <c r="AK525" i="35"/>
  <c r="BC525" i="35"/>
  <c r="AM525" i="35"/>
  <c r="BA200" i="20"/>
  <c r="V200" i="20"/>
  <c r="X200" i="20" s="1"/>
  <c r="AG603" i="20"/>
  <c r="AC603" i="20"/>
  <c r="AE603" i="20"/>
  <c r="U603" i="20"/>
  <c r="AK603" i="20"/>
  <c r="AE48" i="20"/>
  <c r="AM48" i="20"/>
  <c r="V48" i="20"/>
  <c r="X48" i="20" s="1"/>
  <c r="AK48" i="20"/>
  <c r="AI221" i="20"/>
  <c r="AK221" i="20"/>
  <c r="AG224" i="20"/>
  <c r="AE224" i="20"/>
  <c r="AA224" i="20"/>
  <c r="AI224" i="20"/>
  <c r="V210" i="20"/>
  <c r="X210" i="20" s="1"/>
  <c r="U210" i="20"/>
  <c r="AA210" i="20"/>
  <c r="AI210" i="20"/>
  <c r="AE52" i="20"/>
  <c r="U52" i="20"/>
  <c r="AG52" i="20"/>
  <c r="AE55" i="20"/>
  <c r="AO55" i="20"/>
  <c r="AY23" i="20"/>
  <c r="AK23" i="20"/>
  <c r="AC23" i="20"/>
  <c r="AM23" i="20"/>
  <c r="U23" i="20"/>
  <c r="AA23" i="20"/>
  <c r="AG23" i="20"/>
  <c r="AI23" i="20"/>
  <c r="AE23" i="20"/>
  <c r="BA29" i="20"/>
  <c r="AO29" i="20"/>
  <c r="AG29" i="20"/>
  <c r="AI598" i="20"/>
  <c r="AE598" i="20"/>
  <c r="U139" i="20"/>
  <c r="AI139" i="20"/>
  <c r="AY177" i="20"/>
  <c r="AO177" i="20"/>
  <c r="U177" i="20"/>
  <c r="AA177" i="20"/>
  <c r="AM203" i="20"/>
  <c r="AK203" i="20"/>
  <c r="AY307" i="20"/>
  <c r="AC307" i="20"/>
  <c r="AI307" i="20"/>
  <c r="V318" i="20"/>
  <c r="X318" i="20" s="1"/>
  <c r="AY318" i="20"/>
  <c r="AM318" i="20"/>
  <c r="AI318" i="20"/>
  <c r="AO318" i="20"/>
  <c r="U329" i="20"/>
  <c r="AE329" i="20"/>
  <c r="AA329" i="20"/>
  <c r="V329" i="20"/>
  <c r="X329" i="20" s="1"/>
  <c r="AK367" i="20"/>
  <c r="AO367" i="20"/>
  <c r="AE367" i="20"/>
  <c r="AG377" i="20"/>
  <c r="AE377" i="20"/>
  <c r="AK377" i="20"/>
  <c r="AC63" i="20"/>
  <c r="AG63" i="20"/>
  <c r="AO159" i="20"/>
  <c r="V159" i="20"/>
  <c r="X159" i="20" s="1"/>
  <c r="AG43" i="20"/>
  <c r="AC43" i="20"/>
  <c r="V45" i="20"/>
  <c r="X45" i="20" s="1"/>
  <c r="AI45" i="20"/>
  <c r="AM275" i="20"/>
  <c r="AO275" i="20"/>
  <c r="AK275" i="20"/>
  <c r="AY148" i="20"/>
  <c r="AO148" i="20"/>
  <c r="V148" i="20"/>
  <c r="X148" i="20" s="1"/>
  <c r="AG353" i="20"/>
  <c r="AI353" i="20"/>
  <c r="AA353" i="20"/>
  <c r="AK353" i="20"/>
  <c r="AG304" i="20"/>
  <c r="AO304" i="20"/>
  <c r="AM338" i="20"/>
  <c r="AC338" i="20"/>
  <c r="AE338" i="20"/>
  <c r="AI223" i="20"/>
  <c r="U223" i="20"/>
  <c r="V223" i="20"/>
  <c r="X223" i="20" s="1"/>
  <c r="U51" i="20"/>
  <c r="AO51" i="20"/>
  <c r="AY54" i="20"/>
  <c r="AC54" i="20"/>
  <c r="AM54" i="20"/>
  <c r="AO54" i="20"/>
  <c r="AK22" i="20"/>
  <c r="AO22" i="20"/>
  <c r="AA22" i="20"/>
  <c r="AE25" i="20"/>
  <c r="V25" i="20"/>
  <c r="X25" i="20" s="1"/>
  <c r="AC25" i="20"/>
  <c r="AK381" i="20"/>
  <c r="AY381" i="20"/>
  <c r="AI232" i="20"/>
  <c r="U232" i="20"/>
  <c r="AM216" i="20"/>
  <c r="AG216" i="20"/>
  <c r="AM143" i="20"/>
  <c r="AG143" i="20"/>
  <c r="AI319" i="20"/>
  <c r="AY319" i="20"/>
  <c r="AM368" i="20"/>
  <c r="AE368" i="20"/>
  <c r="AC368" i="20"/>
  <c r="AI387" i="20"/>
  <c r="AM387" i="20"/>
  <c r="AY393" i="20"/>
  <c r="U393" i="20"/>
  <c r="V393" i="20"/>
  <c r="X393" i="20" s="1"/>
  <c r="AM393" i="20"/>
  <c r="AA448" i="20"/>
  <c r="U448" i="20"/>
  <c r="AO448" i="20"/>
  <c r="AC635" i="20"/>
  <c r="AE635" i="20"/>
  <c r="V635" i="20"/>
  <c r="X635" i="20" s="1"/>
  <c r="AM247" i="20"/>
  <c r="AK247" i="20"/>
  <c r="U247" i="20"/>
  <c r="AA208" i="20"/>
  <c r="AE208" i="20"/>
  <c r="AG66" i="20"/>
  <c r="AI66" i="20"/>
  <c r="V69" i="20"/>
  <c r="X69" i="20" s="1"/>
  <c r="AM69" i="20"/>
  <c r="AG72" i="20"/>
  <c r="AE72" i="20"/>
  <c r="AM72" i="20"/>
  <c r="AC72" i="20"/>
  <c r="AK72" i="20"/>
  <c r="AG32" i="20"/>
  <c r="AC32" i="20"/>
  <c r="AI32" i="20"/>
  <c r="AK358" i="20"/>
  <c r="V358" i="20"/>
  <c r="X358" i="20" s="1"/>
  <c r="V434" i="20"/>
  <c r="X434" i="20" s="1"/>
  <c r="AM434" i="20"/>
  <c r="AI434" i="20"/>
  <c r="AY481" i="20"/>
  <c r="AM481" i="20"/>
  <c r="U481" i="20"/>
  <c r="AA481" i="20"/>
  <c r="AE611" i="20"/>
  <c r="AO611" i="20"/>
  <c r="AK611" i="20"/>
  <c r="AA611" i="20"/>
  <c r="AK640" i="20"/>
  <c r="AA640" i="20"/>
  <c r="AG162" i="20"/>
  <c r="AA162" i="20"/>
  <c r="AY162" i="20"/>
  <c r="AI168" i="20"/>
  <c r="AM168" i="20"/>
  <c r="AC168" i="20"/>
  <c r="AG41" i="20"/>
  <c r="AA41" i="20"/>
  <c r="AY41" i="20"/>
  <c r="AE41" i="20"/>
  <c r="AY272" i="20"/>
  <c r="AE272" i="20"/>
  <c r="AC15" i="20"/>
  <c r="AI15" i="20"/>
  <c r="AE333" i="20"/>
  <c r="AY333" i="20"/>
  <c r="AG92" i="35"/>
  <c r="BC92" i="35"/>
  <c r="AO92" i="35"/>
  <c r="AM92" i="35"/>
  <c r="AE92" i="35"/>
  <c r="Y92" i="35"/>
  <c r="AK116" i="35"/>
  <c r="AG116" i="35"/>
  <c r="Y116" i="35"/>
  <c r="AM116" i="35"/>
  <c r="AI133" i="35"/>
  <c r="Y133" i="35"/>
  <c r="AK133" i="35"/>
  <c r="AG133" i="35"/>
  <c r="AK533" i="20"/>
  <c r="V533" i="20"/>
  <c r="X533" i="20" s="1"/>
  <c r="AM533" i="20"/>
  <c r="Z92" i="35"/>
  <c r="AB92" i="35" s="1"/>
  <c r="AQ133" i="35"/>
  <c r="Z16" i="35"/>
  <c r="AB16" i="35" s="1"/>
  <c r="AG16" i="35"/>
  <c r="AQ16" i="35"/>
  <c r="AQ519" i="35"/>
  <c r="AK519" i="35"/>
  <c r="Y519" i="35"/>
  <c r="AG332" i="35"/>
  <c r="Y332" i="35"/>
  <c r="AI332" i="35"/>
  <c r="AQ332" i="35"/>
  <c r="Z332" i="35"/>
  <c r="AB332" i="35" s="1"/>
  <c r="AQ351" i="35"/>
  <c r="AI351" i="35"/>
  <c r="BC351" i="35"/>
  <c r="AO351" i="35"/>
  <c r="Y351" i="35"/>
  <c r="AM363" i="35"/>
  <c r="Z363" i="35"/>
  <c r="AB363" i="35" s="1"/>
  <c r="BC363" i="35"/>
  <c r="AI363" i="35"/>
  <c r="AK363" i="35"/>
  <c r="AE363" i="35"/>
  <c r="Z372" i="35"/>
  <c r="AB372" i="35" s="1"/>
  <c r="AI372" i="35"/>
  <c r="AG372" i="35"/>
  <c r="AK372" i="35"/>
  <c r="Y393" i="35"/>
  <c r="AO393" i="35"/>
  <c r="AE393" i="35"/>
  <c r="Y421" i="35"/>
  <c r="AK421" i="35"/>
  <c r="AQ421" i="35"/>
  <c r="Z457" i="35"/>
  <c r="AB457" i="35" s="1"/>
  <c r="AM457" i="35"/>
  <c r="AO498" i="35"/>
  <c r="AM498" i="35"/>
  <c r="AQ524" i="35"/>
  <c r="AG524" i="35"/>
  <c r="AI524" i="35"/>
  <c r="AO524" i="35"/>
  <c r="AE524" i="35"/>
  <c r="AM524" i="35"/>
  <c r="AK524" i="35"/>
  <c r="BC524" i="35"/>
  <c r="AQ531" i="35"/>
  <c r="AG531" i="35"/>
  <c r="AO531" i="35"/>
  <c r="AI531" i="35"/>
  <c r="AK531" i="35"/>
  <c r="AM531" i="35"/>
  <c r="AE531" i="35"/>
  <c r="BC531" i="35"/>
  <c r="AG155" i="20"/>
  <c r="AM155" i="20"/>
  <c r="AI519" i="35"/>
  <c r="AE519" i="35"/>
  <c r="AG519" i="35"/>
  <c r="AO519" i="35"/>
  <c r="BE292" i="35"/>
  <c r="AM292" i="35"/>
  <c r="AO306" i="35"/>
  <c r="Z306" i="35"/>
  <c r="AB306" i="35" s="1"/>
  <c r="BE306" i="35"/>
  <c r="AM306" i="35"/>
  <c r="AK306" i="35"/>
  <c r="AQ306" i="35"/>
  <c r="AQ318" i="35"/>
  <c r="AI318" i="35"/>
  <c r="AO318" i="35"/>
  <c r="Y318" i="35"/>
  <c r="AK318" i="35"/>
  <c r="AG318" i="35"/>
  <c r="Z318" i="35"/>
  <c r="AB318" i="35" s="1"/>
  <c r="AK325" i="35"/>
  <c r="AE325" i="35"/>
  <c r="AQ325" i="35"/>
  <c r="BC325" i="35"/>
  <c r="Y325" i="35"/>
  <c r="AI325" i="35"/>
  <c r="Z325" i="35"/>
  <c r="AB325" i="35" s="1"/>
  <c r="AQ344" i="35"/>
  <c r="AO344" i="35"/>
  <c r="Y344" i="35"/>
  <c r="AI344" i="35"/>
  <c r="AE344" i="35"/>
  <c r="AO379" i="35"/>
  <c r="AQ379" i="35"/>
  <c r="Z379" i="35"/>
  <c r="AB379" i="35" s="1"/>
  <c r="AI379" i="35"/>
  <c r="Y379" i="35"/>
  <c r="Z398" i="35"/>
  <c r="Y398" i="35"/>
  <c r="Z426" i="35"/>
  <c r="AE426" i="35" s="1"/>
  <c r="Y426" i="35"/>
  <c r="Y445" i="35"/>
  <c r="Z445" i="35"/>
  <c r="BC472" i="35"/>
  <c r="AO472" i="35"/>
  <c r="AO484" i="35"/>
  <c r="Y484" i="35"/>
  <c r="AI484" i="35"/>
  <c r="AG484" i="35"/>
  <c r="AI491" i="35"/>
  <c r="Z491" i="35"/>
  <c r="AB491" i="35" s="1"/>
  <c r="BC510" i="35"/>
  <c r="Z510" i="35"/>
  <c r="AB510" i="35" s="1"/>
  <c r="AK510" i="35"/>
  <c r="AQ510" i="35"/>
  <c r="Y510" i="35"/>
  <c r="AE510" i="35"/>
  <c r="AM510" i="35"/>
  <c r="AO510" i="35"/>
  <c r="AI517" i="35"/>
  <c r="Z517" i="35"/>
  <c r="AB517" i="35" s="1"/>
  <c r="AM517" i="35"/>
  <c r="BC517" i="35"/>
  <c r="AG79" i="20"/>
  <c r="U354" i="20"/>
  <c r="AG354" i="20"/>
  <c r="AM344" i="35"/>
  <c r="AK472" i="35"/>
  <c r="AI510" i="35"/>
  <c r="AG278" i="35"/>
  <c r="BC278" i="35"/>
  <c r="AO278" i="35"/>
  <c r="Y278" i="35"/>
  <c r="AI118" i="20"/>
  <c r="AY79" i="20"/>
  <c r="AC258" i="20"/>
  <c r="AG533" i="20"/>
  <c r="AA118" i="20"/>
  <c r="AE279" i="20"/>
  <c r="AM279" i="20"/>
  <c r="AE83" i="20"/>
  <c r="AK83" i="20"/>
  <c r="AM83" i="20"/>
  <c r="AI116" i="20"/>
  <c r="AK116" i="20"/>
  <c r="AM379" i="35"/>
  <c r="Y363" i="35"/>
  <c r="BC306" i="35"/>
  <c r="AI306" i="35"/>
  <c r="AE332" i="35"/>
  <c r="AE318" i="35"/>
  <c r="AI472" i="35"/>
  <c r="AG247" i="35"/>
  <c r="AO247" i="35"/>
  <c r="AK247" i="35"/>
  <c r="AI247" i="35"/>
  <c r="AM247" i="35"/>
  <c r="Y247" i="35"/>
  <c r="Z247" i="35"/>
  <c r="AB247" i="35" s="1"/>
  <c r="AE257" i="35"/>
  <c r="AG257" i="35"/>
  <c r="Z257" i="35"/>
  <c r="AB257" i="35" s="1"/>
  <c r="AQ269" i="35"/>
  <c r="AE269" i="35"/>
  <c r="Y9" i="35"/>
  <c r="AQ9" i="35"/>
  <c r="Z9" i="35"/>
  <c r="AB9" i="35" s="1"/>
  <c r="AQ305" i="35"/>
  <c r="AO305" i="35"/>
  <c r="AQ456" i="35"/>
  <c r="BC456" i="35"/>
  <c r="Y456" i="35"/>
  <c r="AO468" i="35"/>
  <c r="AI468" i="35"/>
  <c r="Y468" i="35"/>
  <c r="AG468" i="35"/>
  <c r="BC497" i="35"/>
  <c r="Y497" i="35"/>
  <c r="AO472" i="20"/>
  <c r="AO486" i="20"/>
  <c r="Z392" i="35"/>
  <c r="AB392" i="35" s="1"/>
  <c r="AI161" i="35"/>
  <c r="AG142" i="35"/>
  <c r="AO108" i="35"/>
  <c r="AG9" i="35"/>
  <c r="AM478" i="35"/>
  <c r="AO456" i="35"/>
  <c r="AK468" i="35"/>
  <c r="BC311" i="35"/>
  <c r="AE166" i="35"/>
  <c r="AG190" i="35"/>
  <c r="AE362" i="35"/>
  <c r="AK176" i="35"/>
  <c r="AK150" i="35"/>
  <c r="BC177" i="35"/>
  <c r="AI177" i="35"/>
  <c r="AK177" i="35"/>
  <c r="AO177" i="35"/>
  <c r="AO210" i="35"/>
  <c r="BC210" i="35"/>
  <c r="BC246" i="35"/>
  <c r="AO246" i="35"/>
  <c r="AG268" i="35"/>
  <c r="AI268" i="35"/>
  <c r="AQ277" i="35"/>
  <c r="Z277" i="35"/>
  <c r="AB277" i="35" s="1"/>
  <c r="AE277" i="35"/>
  <c r="AO114" i="40"/>
  <c r="AG406" i="20"/>
  <c r="AG412" i="20"/>
  <c r="AQ392" i="35"/>
  <c r="Y161" i="35"/>
  <c r="AI127" i="35"/>
  <c r="Z36" i="35"/>
  <c r="AB36" i="35" s="1"/>
  <c r="BE456" i="35"/>
  <c r="BC468" i="35"/>
  <c r="Y362" i="35"/>
  <c r="Y305" i="35"/>
  <c r="BC190" i="35"/>
  <c r="AK9" i="35"/>
  <c r="AG176" i="35"/>
  <c r="AQ35" i="35"/>
  <c r="AM35" i="35"/>
  <c r="AK126" i="35"/>
  <c r="AM126" i="35"/>
  <c r="BC203" i="35"/>
  <c r="Z203" i="35"/>
  <c r="AB203" i="35" s="1"/>
  <c r="AG227" i="35"/>
  <c r="Y227" i="35"/>
  <c r="AE261" i="35"/>
  <c r="AK261" i="35"/>
  <c r="AE286" i="35"/>
  <c r="BC286" i="35"/>
  <c r="Z286" i="35"/>
  <c r="AB286" i="35" s="1"/>
  <c r="AE296" i="35"/>
  <c r="AI296" i="35"/>
  <c r="AK303" i="35"/>
  <c r="BC303" i="35"/>
  <c r="AM456" i="35"/>
  <c r="AG323" i="35"/>
  <c r="Z287" i="35"/>
  <c r="AB287" i="35" s="1"/>
  <c r="Y177" i="35"/>
  <c r="AO161" i="35"/>
  <c r="AI126" i="35"/>
  <c r="AO136" i="35"/>
  <c r="Z35" i="35"/>
  <c r="AB35" i="35" s="1"/>
  <c r="AM9" i="35"/>
  <c r="Z478" i="35"/>
  <c r="AB478" i="35" s="1"/>
  <c r="Z227" i="35"/>
  <c r="AB227" i="35" s="1"/>
  <c r="Z176" i="35"/>
  <c r="AB176" i="35" s="1"/>
  <c r="AO9" i="35"/>
  <c r="AK522" i="35"/>
  <c r="Z12" i="35"/>
  <c r="AB12" i="35" s="1"/>
  <c r="Y12" i="35"/>
  <c r="AG232" i="35"/>
  <c r="AI232" i="35"/>
  <c r="Z244" i="35"/>
  <c r="AB244" i="35" s="1"/>
  <c r="Y244" i="35"/>
  <c r="AG244" i="35"/>
  <c r="AK244" i="35"/>
  <c r="AQ526" i="35"/>
  <c r="AG526" i="35"/>
  <c r="AS280" i="35"/>
  <c r="AS490" i="35"/>
  <c r="AS486" i="35"/>
  <c r="Y84" i="35"/>
  <c r="AQ84" i="35"/>
  <c r="Y108" i="35"/>
  <c r="AG108" i="35"/>
  <c r="AG144" i="35"/>
  <c r="AI144" i="35"/>
  <c r="AK297" i="35"/>
  <c r="AI297" i="35"/>
  <c r="AK330" i="35"/>
  <c r="Y330" i="35"/>
  <c r="AQ467" i="35"/>
  <c r="BC467" i="35"/>
  <c r="AG467" i="35"/>
  <c r="AK456" i="35"/>
  <c r="Z497" i="35"/>
  <c r="AB497" i="35" s="1"/>
  <c r="BC478" i="35"/>
  <c r="BC79" i="35"/>
  <c r="AM79" i="35"/>
  <c r="Z113" i="35"/>
  <c r="AB113" i="35" s="1"/>
  <c r="Y113" i="35"/>
  <c r="Z149" i="35"/>
  <c r="AB149" i="35" s="1"/>
  <c r="AQ149" i="35"/>
  <c r="AO166" i="35"/>
  <c r="Z166" i="35"/>
  <c r="AB166" i="35" s="1"/>
  <c r="BC233" i="35"/>
  <c r="AG233" i="35"/>
  <c r="AK233" i="35"/>
  <c r="Z316" i="35"/>
  <c r="AB316" i="35" s="1"/>
  <c r="AO316" i="35"/>
  <c r="AE316" i="35"/>
  <c r="AQ335" i="35"/>
  <c r="Y335" i="35"/>
  <c r="AG460" i="35"/>
  <c r="AK460" i="35"/>
  <c r="AO482" i="35"/>
  <c r="BE482" i="35"/>
  <c r="AS203" i="35"/>
  <c r="AE497" i="35"/>
  <c r="AE456" i="35"/>
  <c r="AQ125" i="35"/>
  <c r="AO125" i="35"/>
  <c r="Y125" i="35"/>
  <c r="BC171" i="35"/>
  <c r="AK171" i="35"/>
  <c r="AG171" i="35"/>
  <c r="AQ171" i="35"/>
  <c r="AO181" i="35"/>
  <c r="Y181" i="35"/>
  <c r="AK188" i="35"/>
  <c r="AM188" i="35"/>
  <c r="Z321" i="35"/>
  <c r="AB321" i="35" s="1"/>
  <c r="AG321" i="35"/>
  <c r="AQ340" i="35"/>
  <c r="AO340" i="35"/>
  <c r="AQ347" i="35"/>
  <c r="Z347" i="35"/>
  <c r="AB347" i="35" s="1"/>
  <c r="AK453" i="35"/>
  <c r="AG453" i="35"/>
  <c r="AI453" i="35"/>
  <c r="AI506" i="35"/>
  <c r="AQ506" i="35"/>
  <c r="BE188" i="35"/>
  <c r="BE387" i="35"/>
  <c r="Z124" i="35"/>
  <c r="AB124" i="35" s="1"/>
  <c r="BE408" i="35"/>
  <c r="AQ38" i="40"/>
  <c r="AQ55" i="40"/>
  <c r="AP27" i="40"/>
  <c r="AP28" i="40" s="1"/>
  <c r="AP29" i="40" s="1"/>
  <c r="AP30" i="40" s="1"/>
  <c r="AP31" i="40" s="1"/>
  <c r="AP32" i="40" s="1"/>
  <c r="AP33" i="40" s="1"/>
  <c r="AP34" i="40" s="1"/>
  <c r="AP35" i="40" s="1"/>
  <c r="AP36" i="40" s="1"/>
  <c r="AP37" i="40" s="1"/>
  <c r="AP38" i="40" s="1"/>
  <c r="AP39" i="40" s="1"/>
  <c r="AP40" i="40" s="1"/>
  <c r="AP41" i="40" s="1"/>
  <c r="AP42" i="40" s="1"/>
  <c r="AP43" i="40" s="1"/>
  <c r="AP44" i="40" s="1"/>
  <c r="AP45" i="40" s="1"/>
  <c r="AP46" i="40" s="1"/>
  <c r="AP47" i="40" s="1"/>
  <c r="AP48" i="40" s="1"/>
  <c r="AP49" i="40" s="1"/>
  <c r="AP50" i="40" s="1"/>
  <c r="AP51" i="40" s="1"/>
  <c r="AP52" i="40" s="1"/>
  <c r="AP53" i="40" s="1"/>
  <c r="AP54" i="40" s="1"/>
  <c r="AP55" i="40" s="1"/>
  <c r="AP56" i="40" s="1"/>
  <c r="AP57" i="40" s="1"/>
  <c r="AP58" i="40" s="1"/>
  <c r="AP59" i="40" s="1"/>
  <c r="AP60" i="40" s="1"/>
  <c r="AP61" i="40" s="1"/>
  <c r="AP62" i="40" s="1"/>
  <c r="AP63" i="40" s="1"/>
  <c r="AP64" i="40" s="1"/>
  <c r="AP65" i="40" s="1"/>
  <c r="AP66" i="40" s="1"/>
  <c r="AP67" i="40" s="1"/>
  <c r="AP68" i="40" s="1"/>
  <c r="AP69" i="40" s="1"/>
  <c r="AP70" i="40" s="1"/>
  <c r="AP71" i="40" s="1"/>
  <c r="AP72" i="40" s="1"/>
  <c r="AP73" i="40" s="1"/>
  <c r="AP74" i="40" s="1"/>
  <c r="AP75" i="40" s="1"/>
  <c r="AP76" i="40" s="1"/>
  <c r="AP77" i="40" s="1"/>
  <c r="AP78" i="40" s="1"/>
  <c r="AP79" i="40" s="1"/>
  <c r="AP80" i="40" s="1"/>
  <c r="AP81" i="40" s="1"/>
  <c r="AP82" i="40" s="1"/>
  <c r="AP83" i="40" s="1"/>
  <c r="AP84" i="40" s="1"/>
  <c r="AP85" i="40" s="1"/>
  <c r="AP86" i="40" s="1"/>
  <c r="AP87" i="40" s="1"/>
  <c r="AP88" i="40" s="1"/>
  <c r="AP89" i="40" s="1"/>
  <c r="AP90" i="40" s="1"/>
  <c r="AP91" i="40" s="1"/>
  <c r="AP92" i="40" s="1"/>
  <c r="AP93" i="40" s="1"/>
  <c r="AP94" i="40" s="1"/>
  <c r="AP95" i="40" s="1"/>
  <c r="AP96" i="40" s="1"/>
  <c r="AP97" i="40" s="1"/>
  <c r="AP98" i="40" s="1"/>
  <c r="AP99" i="40" s="1"/>
  <c r="AP100" i="40" s="1"/>
  <c r="AP101" i="40" s="1"/>
  <c r="AP102" i="40" s="1"/>
  <c r="AP103" i="40" s="1"/>
  <c r="AP104" i="40" s="1"/>
  <c r="AP105" i="40" s="1"/>
  <c r="AP106" i="40" s="1"/>
  <c r="AP107" i="40" s="1"/>
  <c r="AP108" i="40" s="1"/>
  <c r="AP109" i="40" s="1"/>
  <c r="AP110" i="40" s="1"/>
  <c r="AP111" i="40" s="1"/>
  <c r="AP112" i="40" s="1"/>
  <c r="AP113" i="40" s="1"/>
  <c r="AQ64" i="39"/>
  <c r="BC114" i="40"/>
  <c r="AQ87" i="39"/>
  <c r="BE296" i="35"/>
  <c r="X556" i="20"/>
  <c r="AI556" i="20"/>
  <c r="AS405" i="35"/>
  <c r="AE405" i="35"/>
  <c r="BC356" i="35"/>
  <c r="AG356" i="35"/>
  <c r="AO356" i="35"/>
  <c r="BE356" i="35"/>
  <c r="Y356" i="35"/>
  <c r="AK356" i="35"/>
  <c r="AE356" i="35"/>
  <c r="Z356" i="35"/>
  <c r="AB356" i="35" s="1"/>
  <c r="AQ356" i="35"/>
  <c r="AM356" i="35"/>
  <c r="AI356" i="35"/>
  <c r="AM556" i="20"/>
  <c r="AK556" i="20"/>
  <c r="BS556" i="20"/>
  <c r="AY556" i="20"/>
  <c r="AE556" i="20"/>
  <c r="AG556" i="20"/>
  <c r="AI440" i="35"/>
  <c r="BC440" i="35"/>
  <c r="AW440" i="35"/>
  <c r="AA556" i="20"/>
  <c r="BE431" i="35"/>
  <c r="AO556" i="20"/>
  <c r="BC405" i="35"/>
  <c r="AG431" i="35"/>
  <c r="AS556" i="20"/>
  <c r="AG405" i="35"/>
  <c r="AW114" i="40"/>
  <c r="BI114" i="40"/>
  <c r="AS516" i="20"/>
  <c r="AO516" i="20"/>
  <c r="AY456" i="20"/>
  <c r="V456" i="20"/>
  <c r="X456" i="20" s="1"/>
  <c r="AK456" i="20"/>
  <c r="AC456" i="20"/>
  <c r="U456" i="20"/>
  <c r="AG456" i="20"/>
  <c r="AE456" i="20"/>
  <c r="AM192" i="35"/>
  <c r="AK192" i="35"/>
  <c r="AG192" i="35"/>
  <c r="AE195" i="35"/>
  <c r="AG195" i="35"/>
  <c r="AM195" i="35"/>
  <c r="AO195" i="35"/>
  <c r="AK198" i="35"/>
  <c r="AG198" i="35"/>
  <c r="AM198" i="35"/>
  <c r="AI206" i="35"/>
  <c r="Y206" i="35"/>
  <c r="AO206" i="35"/>
  <c r="AK206" i="35"/>
  <c r="Z206" i="35"/>
  <c r="AB206" i="35" s="1"/>
  <c r="AK267" i="35"/>
  <c r="AI267" i="35"/>
  <c r="BC267" i="35"/>
  <c r="Z267" i="35"/>
  <c r="AB267" i="35" s="1"/>
  <c r="AM267" i="35"/>
  <c r="BE267" i="35"/>
  <c r="Y267" i="35"/>
  <c r="AO267" i="35"/>
  <c r="AQ267" i="35"/>
  <c r="AE267" i="35"/>
  <c r="AG267" i="35"/>
  <c r="AO273" i="35"/>
  <c r="Z273" i="35"/>
  <c r="AB273" i="35" s="1"/>
  <c r="BC273" i="35"/>
  <c r="AG273" i="35"/>
  <c r="Y276" i="35"/>
  <c r="AK276" i="35"/>
  <c r="BC276" i="35"/>
  <c r="AG276" i="35"/>
  <c r="AO282" i="35"/>
  <c r="AM282" i="35"/>
  <c r="AI298" i="35"/>
  <c r="BC298" i="35"/>
  <c r="AG298" i="35"/>
  <c r="AO301" i="35"/>
  <c r="AE301" i="35"/>
  <c r="AI301" i="35"/>
  <c r="Z301" i="35"/>
  <c r="AB301" i="35" s="1"/>
  <c r="AG301" i="35"/>
  <c r="Y301" i="35"/>
  <c r="AM301" i="35"/>
  <c r="AE312" i="35"/>
  <c r="AM312" i="35"/>
  <c r="BC326" i="35"/>
  <c r="Y326" i="35"/>
  <c r="AE326" i="35"/>
  <c r="AI326" i="35"/>
  <c r="AQ326" i="35"/>
  <c r="Z326" i="35"/>
  <c r="AB326" i="35" s="1"/>
  <c r="AM326" i="35"/>
  <c r="AQ334" i="35"/>
  <c r="Y334" i="35"/>
  <c r="AO334" i="35"/>
  <c r="AI334" i="35"/>
  <c r="AG334" i="35"/>
  <c r="Z334" i="35"/>
  <c r="AB334" i="35" s="1"/>
  <c r="BC334" i="35"/>
  <c r="AM334" i="35"/>
  <c r="AK334" i="35"/>
  <c r="AM345" i="35"/>
  <c r="AQ345" i="35"/>
  <c r="AG345" i="35"/>
  <c r="AI345" i="35"/>
  <c r="AK345" i="35"/>
  <c r="AO345" i="35"/>
  <c r="BC345" i="35"/>
  <c r="AE345" i="35"/>
  <c r="Y345" i="35"/>
  <c r="Z345" i="35"/>
  <c r="AB345" i="35" s="1"/>
  <c r="AQ353" i="35"/>
  <c r="AG353" i="35"/>
  <c r="AO353" i="35"/>
  <c r="AK353" i="35"/>
  <c r="AE353" i="35"/>
  <c r="Y353" i="35"/>
  <c r="AI353" i="35"/>
  <c r="BC353" i="35"/>
  <c r="Z353" i="35"/>
  <c r="AB353" i="35" s="1"/>
  <c r="AQ198" i="35"/>
  <c r="AG310" i="20"/>
  <c r="AM456" i="20"/>
  <c r="U347" i="20"/>
  <c r="AY263" i="20"/>
  <c r="AM373" i="20"/>
  <c r="AY373" i="20"/>
  <c r="AK373" i="20"/>
  <c r="AA373" i="20"/>
  <c r="AI373" i="20"/>
  <c r="AC373" i="20"/>
  <c r="V373" i="20"/>
  <c r="X373" i="20" s="1"/>
  <c r="AO373" i="20"/>
  <c r="AE373" i="20"/>
  <c r="AG322" i="20"/>
  <c r="AC322" i="20"/>
  <c r="U322" i="20"/>
  <c r="AI322" i="20"/>
  <c r="AO322" i="20"/>
  <c r="AM322" i="20"/>
  <c r="AE322" i="20"/>
  <c r="AY322" i="20"/>
  <c r="AC324" i="20"/>
  <c r="U324" i="20"/>
  <c r="AG324" i="20"/>
  <c r="AO324" i="20"/>
  <c r="AK324" i="20"/>
  <c r="AY324" i="20"/>
  <c r="AA324" i="20"/>
  <c r="AI324" i="20"/>
  <c r="AM326" i="20"/>
  <c r="AO326" i="20"/>
  <c r="AY326" i="20"/>
  <c r="U326" i="20"/>
  <c r="AA326" i="20"/>
  <c r="V326" i="20"/>
  <c r="X326" i="20" s="1"/>
  <c r="AG328" i="20"/>
  <c r="AM328" i="20"/>
  <c r="AK328" i="20"/>
  <c r="AO328" i="20"/>
  <c r="AA328" i="20"/>
  <c r="AI328" i="20"/>
  <c r="V328" i="20"/>
  <c r="X328" i="20" s="1"/>
  <c r="AC328" i="20"/>
  <c r="AE328" i="20"/>
  <c r="BC301" i="35"/>
  <c r="AG54" i="35"/>
  <c r="AO54" i="35"/>
  <c r="Z54" i="35"/>
  <c r="AB54" i="35" s="1"/>
  <c r="AM54" i="35"/>
  <c r="AI54" i="35"/>
  <c r="AQ54" i="35"/>
  <c r="AG62" i="35"/>
  <c r="AQ62" i="35"/>
  <c r="AE62" i="35"/>
  <c r="AM62" i="35"/>
  <c r="AK70" i="35"/>
  <c r="AE70" i="35"/>
  <c r="BC70" i="35"/>
  <c r="AQ70" i="35"/>
  <c r="AM70" i="35"/>
  <c r="AI70" i="35"/>
  <c r="AO70" i="35"/>
  <c r="Y70" i="35"/>
  <c r="Z70" i="35"/>
  <c r="AB70" i="35" s="1"/>
  <c r="AG70" i="35"/>
  <c r="AE81" i="35"/>
  <c r="AM81" i="35"/>
  <c r="AK99" i="35"/>
  <c r="Z99" i="35"/>
  <c r="AB99" i="35" s="1"/>
  <c r="AE99" i="35"/>
  <c r="AM99" i="35"/>
  <c r="AO99" i="35"/>
  <c r="BC107" i="35"/>
  <c r="AG107" i="35"/>
  <c r="AO107" i="35"/>
  <c r="AQ107" i="35"/>
  <c r="Y107" i="35"/>
  <c r="Z107" i="35"/>
  <c r="AB107" i="35" s="1"/>
  <c r="AE107" i="35"/>
  <c r="AI198" i="35"/>
  <c r="AA456" i="20"/>
  <c r="AI285" i="20"/>
  <c r="AA285" i="20"/>
  <c r="AM285" i="20"/>
  <c r="AE285" i="20"/>
  <c r="V285" i="20"/>
  <c r="X285" i="20" s="1"/>
  <c r="AK285" i="20"/>
  <c r="AC285" i="20"/>
  <c r="U285" i="20"/>
  <c r="AE287" i="20"/>
  <c r="V287" i="20"/>
  <c r="X287" i="20" s="1"/>
  <c r="AK287" i="20"/>
  <c r="AC287" i="20"/>
  <c r="U287" i="20"/>
  <c r="AY287" i="20"/>
  <c r="AE334" i="35"/>
  <c r="AA261" i="20"/>
  <c r="AI261" i="20"/>
  <c r="AM261" i="20"/>
  <c r="AE261" i="20"/>
  <c r="V261" i="20"/>
  <c r="X261" i="20" s="1"/>
  <c r="AC261" i="20"/>
  <c r="AY261" i="20"/>
  <c r="AO263" i="20"/>
  <c r="AM263" i="20"/>
  <c r="AE263" i="20"/>
  <c r="V263" i="20"/>
  <c r="X263" i="20" s="1"/>
  <c r="AO274" i="20"/>
  <c r="AY274" i="20"/>
  <c r="AG274" i="20"/>
  <c r="AA274" i="20"/>
  <c r="AM274" i="20"/>
  <c r="AI274" i="20"/>
  <c r="AE274" i="20"/>
  <c r="V274" i="20"/>
  <c r="X274" i="20" s="1"/>
  <c r="AK274" i="20"/>
  <c r="AI202" i="20"/>
  <c r="AG202" i="20"/>
  <c r="AE202" i="20"/>
  <c r="AO202" i="20"/>
  <c r="BA202" i="20"/>
  <c r="U202" i="20"/>
  <c r="V202" i="20"/>
  <c r="X202" i="20" s="1"/>
  <c r="AG204" i="20"/>
  <c r="AA204" i="20"/>
  <c r="AY204" i="20"/>
  <c r="AC204" i="20"/>
  <c r="AO204" i="20"/>
  <c r="AI345" i="20"/>
  <c r="AK345" i="20"/>
  <c r="AC345" i="20"/>
  <c r="U345" i="20"/>
  <c r="AY345" i="20"/>
  <c r="AG345" i="20"/>
  <c r="AO345" i="20"/>
  <c r="AM345" i="20"/>
  <c r="AM347" i="20"/>
  <c r="AE347" i="20"/>
  <c r="V347" i="20"/>
  <c r="X347" i="20" s="1"/>
  <c r="AO347" i="20"/>
  <c r="AK347" i="20"/>
  <c r="AA347" i="20"/>
  <c r="AI347" i="20"/>
  <c r="AC347" i="20"/>
  <c r="V186" i="20"/>
  <c r="X186" i="20" s="1"/>
  <c r="AK186" i="20"/>
  <c r="AC186" i="20"/>
  <c r="AO186" i="20"/>
  <c r="U186" i="20"/>
  <c r="AY186" i="20"/>
  <c r="AG186" i="20"/>
  <c r="AG188" i="20"/>
  <c r="AY188" i="20"/>
  <c r="AM188" i="20"/>
  <c r="AO188" i="20"/>
  <c r="AE188" i="20"/>
  <c r="V188" i="20"/>
  <c r="X188" i="20" s="1"/>
  <c r="BA188" i="20"/>
  <c r="AK188" i="20"/>
  <c r="AA188" i="20"/>
  <c r="AI188" i="20"/>
  <c r="AY306" i="20"/>
  <c r="AG306" i="20"/>
  <c r="AM306" i="20"/>
  <c r="AC306" i="20"/>
  <c r="AE306" i="20"/>
  <c r="U306" i="20"/>
  <c r="AO306" i="20"/>
  <c r="V306" i="20"/>
  <c r="X306" i="20" s="1"/>
  <c r="AK306" i="20"/>
  <c r="AY308" i="20"/>
  <c r="AI308" i="20"/>
  <c r="AO308" i="20"/>
  <c r="AM308" i="20"/>
  <c r="AE308" i="20"/>
  <c r="U308" i="20"/>
  <c r="AI310" i="20"/>
  <c r="AC310" i="20"/>
  <c r="AK310" i="20"/>
  <c r="AY310" i="20"/>
  <c r="AA310" i="20"/>
  <c r="AM276" i="35"/>
  <c r="AE310" i="20"/>
  <c r="AA202" i="20"/>
  <c r="AK114" i="40"/>
  <c r="AG308" i="20"/>
  <c r="AY285" i="20"/>
  <c r="AC274" i="20"/>
  <c r="AE11" i="20"/>
  <c r="U11" i="20"/>
  <c r="AY11" i="20"/>
  <c r="AO11" i="20"/>
  <c r="V11" i="20"/>
  <c r="X11" i="20" s="1"/>
  <c r="AA197" i="20"/>
  <c r="AI197" i="20"/>
  <c r="U244" i="20"/>
  <c r="BA244" i="20"/>
  <c r="AE244" i="20"/>
  <c r="AK244" i="20"/>
  <c r="AI244" i="20"/>
  <c r="V244" i="20"/>
  <c r="X244" i="20" s="1"/>
  <c r="AY244" i="20"/>
  <c r="AC202" i="20"/>
  <c r="AI192" i="35"/>
  <c r="AC308" i="20"/>
  <c r="AG285" i="20"/>
  <c r="U188" i="20"/>
  <c r="AO285" i="20"/>
  <c r="AA192" i="20"/>
  <c r="AM192" i="20"/>
  <c r="V192" i="20"/>
  <c r="X192" i="20" s="1"/>
  <c r="AC192" i="20"/>
  <c r="AO192" i="20"/>
  <c r="V250" i="20"/>
  <c r="X250" i="20" s="1"/>
  <c r="AO250" i="20"/>
  <c r="AG33" i="20"/>
  <c r="U33" i="20"/>
  <c r="AA33" i="20"/>
  <c r="AK33" i="20"/>
  <c r="AI33" i="20"/>
  <c r="AY33" i="20"/>
  <c r="AE33" i="20"/>
  <c r="V33" i="20"/>
  <c r="X33" i="20" s="1"/>
  <c r="AO33" i="20"/>
  <c r="BA33" i="20"/>
  <c r="AK35" i="20"/>
  <c r="AE35" i="20"/>
  <c r="U35" i="20"/>
  <c r="AA35" i="20"/>
  <c r="AO252" i="20"/>
  <c r="AA252" i="20"/>
  <c r="AI252" i="20"/>
  <c r="AK252" i="20"/>
  <c r="AO254" i="20"/>
  <c r="AA254" i="20"/>
  <c r="AI254" i="20"/>
  <c r="AG182" i="20"/>
  <c r="AI182" i="20"/>
  <c r="AM182" i="20"/>
  <c r="V182" i="20"/>
  <c r="X182" i="20" s="1"/>
  <c r="AO182" i="20"/>
  <c r="AK184" i="20"/>
  <c r="AA184" i="20"/>
  <c r="AI184" i="20"/>
  <c r="AM184" i="20"/>
  <c r="AO184" i="20"/>
  <c r="AC610" i="20"/>
  <c r="V610" i="20"/>
  <c r="X610" i="20" s="1"/>
  <c r="AA610" i="20"/>
  <c r="AE622" i="20"/>
  <c r="AA622" i="20"/>
  <c r="AI622" i="20"/>
  <c r="AO622" i="20"/>
  <c r="AE160" i="20"/>
  <c r="AO160" i="20"/>
  <c r="AA160" i="20"/>
  <c r="AK160" i="20"/>
  <c r="AI160" i="20"/>
  <c r="AM160" i="20"/>
  <c r="AC160" i="20"/>
  <c r="AG160" i="20"/>
  <c r="V650" i="20"/>
  <c r="X650" i="20" s="1"/>
  <c r="AK650" i="20"/>
  <c r="AM650" i="20"/>
  <c r="AE650" i="20"/>
  <c r="AO650" i="20"/>
  <c r="AA650" i="20"/>
  <c r="U650" i="20"/>
  <c r="AI650" i="20"/>
  <c r="AC650" i="20"/>
  <c r="AY650" i="20"/>
  <c r="AE531" i="20"/>
  <c r="AC531" i="20"/>
  <c r="AA531" i="20"/>
  <c r="AI531" i="20"/>
  <c r="AY531" i="20"/>
  <c r="AG531" i="20"/>
  <c r="AC637" i="20"/>
  <c r="AA637" i="20"/>
  <c r="AE637" i="20"/>
  <c r="AM179" i="20"/>
  <c r="AG179" i="20"/>
  <c r="AM104" i="35"/>
  <c r="AE104" i="35"/>
  <c r="AQ104" i="35"/>
  <c r="AO302" i="20"/>
  <c r="V199" i="20"/>
  <c r="X199" i="20" s="1"/>
  <c r="AM460" i="20"/>
  <c r="U496" i="20"/>
  <c r="AY494" i="20"/>
  <c r="AG486" i="20"/>
  <c r="U472" i="20"/>
  <c r="AE468" i="20"/>
  <c r="AM464" i="20"/>
  <c r="AY338" i="20"/>
  <c r="AK338" i="20"/>
  <c r="V338" i="20"/>
  <c r="X338" i="20" s="1"/>
  <c r="AY48" i="20"/>
  <c r="U48" i="20"/>
  <c r="AG48" i="20"/>
  <c r="AC48" i="20"/>
  <c r="AY224" i="20"/>
  <c r="V224" i="20"/>
  <c r="X224" i="20" s="1"/>
  <c r="AK224" i="20"/>
  <c r="AQ37" i="35"/>
  <c r="AO37" i="35"/>
  <c r="AK37" i="35"/>
  <c r="AI37" i="35"/>
  <c r="Y37" i="35"/>
  <c r="Z37" i="35"/>
  <c r="AB37" i="35" s="1"/>
  <c r="AE37" i="35"/>
  <c r="AM37" i="35"/>
  <c r="BC37" i="35"/>
  <c r="AG37" i="35"/>
  <c r="T3" i="35"/>
  <c r="T2" i="35" s="1"/>
  <c r="AO464" i="20"/>
  <c r="AE199" i="20"/>
  <c r="AK468" i="20"/>
  <c r="AC460" i="20"/>
  <c r="AE496" i="20"/>
  <c r="U486" i="20"/>
  <c r="AK476" i="20"/>
  <c r="AG472" i="20"/>
  <c r="AE466" i="20"/>
  <c r="AC464" i="20"/>
  <c r="AI302" i="20"/>
  <c r="AG540" i="20"/>
  <c r="AA540" i="20"/>
  <c r="AQ67" i="35"/>
  <c r="AO179" i="20"/>
  <c r="AO468" i="20"/>
  <c r="AM199" i="20"/>
  <c r="AC496" i="20"/>
  <c r="V468" i="20"/>
  <c r="X468" i="20" s="1"/>
  <c r="V496" i="20"/>
  <c r="X496" i="20" s="1"/>
  <c r="AG464" i="20"/>
  <c r="AE486" i="20"/>
  <c r="U476" i="20"/>
  <c r="AY472" i="20"/>
  <c r="AE464" i="20"/>
  <c r="U583" i="20"/>
  <c r="AY583" i="20"/>
  <c r="AK583" i="20"/>
  <c r="AC583" i="20"/>
  <c r="AM583" i="20"/>
  <c r="AE583" i="20"/>
  <c r="V609" i="20"/>
  <c r="X609" i="20" s="1"/>
  <c r="U609" i="20"/>
  <c r="BC374" i="35"/>
  <c r="AK374" i="35"/>
  <c r="AI374" i="35"/>
  <c r="AG374" i="35"/>
  <c r="AE374" i="35"/>
  <c r="Y374" i="35"/>
  <c r="Y377" i="35"/>
  <c r="AM377" i="35"/>
  <c r="Z377" i="35"/>
  <c r="AB377" i="35" s="1"/>
  <c r="AK377" i="35"/>
  <c r="AI377" i="35"/>
  <c r="AE380" i="35"/>
  <c r="AO380" i="35"/>
  <c r="AQ380" i="35"/>
  <c r="AK380" i="35"/>
  <c r="Z380" i="35"/>
  <c r="AB380" i="35" s="1"/>
  <c r="AM391" i="35"/>
  <c r="AG391" i="35"/>
  <c r="AQ391" i="35"/>
  <c r="Z391" i="35"/>
  <c r="AB391" i="35" s="1"/>
  <c r="AO391" i="35"/>
  <c r="BA474" i="20"/>
  <c r="AO336" i="20"/>
  <c r="AO458" i="20"/>
  <c r="V494" i="20"/>
  <c r="X494" i="20" s="1"/>
  <c r="AC474" i="20"/>
  <c r="U464" i="20"/>
  <c r="AY486" i="20"/>
  <c r="AK470" i="20"/>
  <c r="AM458" i="20"/>
  <c r="AC494" i="20"/>
  <c r="AE460" i="20"/>
  <c r="AM151" i="20"/>
  <c r="AG151" i="20"/>
  <c r="BC362" i="35"/>
  <c r="AQ362" i="35"/>
  <c r="Z362" i="35"/>
  <c r="AB362" i="35" s="1"/>
  <c r="AI362" i="35"/>
  <c r="AK362" i="35"/>
  <c r="AO368" i="35"/>
  <c r="Z368" i="35"/>
  <c r="AB368" i="35" s="1"/>
  <c r="AI371" i="35"/>
  <c r="BC371" i="35"/>
  <c r="Y388" i="35"/>
  <c r="AK388" i="35"/>
  <c r="AM388" i="35"/>
  <c r="AG388" i="35"/>
  <c r="AI388" i="35"/>
  <c r="AO388" i="35"/>
  <c r="AE388" i="35"/>
  <c r="BC388" i="35"/>
  <c r="AO474" i="20"/>
  <c r="AK466" i="20"/>
  <c r="AG458" i="20"/>
  <c r="AM494" i="20"/>
  <c r="U470" i="20"/>
  <c r="AC458" i="20"/>
  <c r="AK490" i="20"/>
  <c r="AE170" i="20"/>
  <c r="V170" i="20"/>
  <c r="X170" i="20" s="1"/>
  <c r="AM96" i="35"/>
  <c r="AM78" i="35"/>
  <c r="AO201" i="35"/>
  <c r="AM201" i="35"/>
  <c r="Y201" i="35"/>
  <c r="AG201" i="35"/>
  <c r="AK201" i="35"/>
  <c r="AI209" i="35"/>
  <c r="AM209" i="35"/>
  <c r="AG209" i="35"/>
  <c r="BC209" i="35"/>
  <c r="Y209" i="35"/>
  <c r="Z337" i="35"/>
  <c r="AB337" i="35" s="1"/>
  <c r="AM337" i="35"/>
  <c r="AG337" i="35"/>
  <c r="AO337" i="35"/>
  <c r="Y337" i="35"/>
  <c r="AQ348" i="35"/>
  <c r="AM348" i="35"/>
  <c r="AI348" i="35"/>
  <c r="BC348" i="35"/>
  <c r="AG348" i="35"/>
  <c r="AO348" i="35"/>
  <c r="AQ359" i="35"/>
  <c r="Z359" i="35"/>
  <c r="AB359" i="35" s="1"/>
  <c r="AI359" i="35"/>
  <c r="AK359" i="35"/>
  <c r="AM359" i="35"/>
  <c r="AG359" i="35"/>
  <c r="AI16" i="35"/>
  <c r="AM16" i="35"/>
  <c r="BC16" i="35"/>
  <c r="AK16" i="35"/>
  <c r="Y16" i="35"/>
  <c r="AO16" i="35"/>
  <c r="AK18" i="35"/>
  <c r="BE18" i="35"/>
  <c r="AG18" i="35"/>
  <c r="AM34" i="35"/>
  <c r="BC34" i="35"/>
  <c r="AK34" i="35"/>
  <c r="Y34" i="35"/>
  <c r="AO34" i="35"/>
  <c r="AE56" i="35"/>
  <c r="AK56" i="35"/>
  <c r="AO56" i="35"/>
  <c r="BC64" i="35"/>
  <c r="AM64" i="35"/>
  <c r="AG285" i="35"/>
  <c r="AQ285" i="35"/>
  <c r="AE285" i="35"/>
  <c r="AO285" i="35"/>
  <c r="BC285" i="35"/>
  <c r="AM320" i="35"/>
  <c r="AK320" i="35"/>
  <c r="AI331" i="35"/>
  <c r="AK331" i="35"/>
  <c r="Y331" i="35"/>
  <c r="AG331" i="35"/>
  <c r="Z331" i="35"/>
  <c r="AB331" i="35" s="1"/>
  <c r="AQ331" i="35"/>
  <c r="Z339" i="35"/>
  <c r="AB339" i="35" s="1"/>
  <c r="AQ339" i="35"/>
  <c r="AK350" i="35"/>
  <c r="AM350" i="35"/>
  <c r="AQ350" i="35"/>
  <c r="AK479" i="35"/>
  <c r="AE479" i="35"/>
  <c r="BC512" i="35"/>
  <c r="AG512" i="35"/>
  <c r="AG518" i="35"/>
  <c r="AI518" i="35"/>
  <c r="AQ46" i="40"/>
  <c r="AQ47" i="40"/>
  <c r="AQ65" i="40"/>
  <c r="BC529" i="35"/>
  <c r="AI512" i="35"/>
  <c r="AM501" i="35"/>
  <c r="AM493" i="35"/>
  <c r="Z515" i="35"/>
  <c r="AB515" i="35" s="1"/>
  <c r="Z493" i="35"/>
  <c r="AB493" i="35" s="1"/>
  <c r="Z479" i="35"/>
  <c r="AB479" i="35" s="1"/>
  <c r="Y479" i="35"/>
  <c r="Z471" i="35"/>
  <c r="AB471" i="35" s="1"/>
  <c r="BC342" i="35"/>
  <c r="AQ323" i="35"/>
  <c r="AQ317" i="35"/>
  <c r="BC295" i="35"/>
  <c r="Y285" i="35"/>
  <c r="AM479" i="35"/>
  <c r="AE342" i="35"/>
  <c r="AM21" i="35"/>
  <c r="AO21" i="35"/>
  <c r="AI21" i="35"/>
  <c r="AI165" i="35"/>
  <c r="AM165" i="35"/>
  <c r="BE165" i="35"/>
  <c r="AK253" i="35"/>
  <c r="Y253" i="35"/>
  <c r="BC253" i="35"/>
  <c r="AM278" i="35"/>
  <c r="AK278" i="35"/>
  <c r="AI278" i="35"/>
  <c r="AE278" i="35"/>
  <c r="AQ303" i="35"/>
  <c r="Z303" i="35"/>
  <c r="AB303" i="35" s="1"/>
  <c r="AE314" i="35"/>
  <c r="AQ314" i="35"/>
  <c r="AG466" i="35"/>
  <c r="AQ466" i="35"/>
  <c r="BC487" i="35"/>
  <c r="AO487" i="35"/>
  <c r="Z498" i="35"/>
  <c r="AB498" i="35" s="1"/>
  <c r="AE498" i="35"/>
  <c r="AG498" i="35"/>
  <c r="BC506" i="35"/>
  <c r="Z506" i="35"/>
  <c r="AB506" i="35" s="1"/>
  <c r="AK506" i="35"/>
  <c r="AE506" i="35"/>
  <c r="Y506" i="35"/>
  <c r="AO506" i="35"/>
  <c r="AK509" i="35"/>
  <c r="Y509" i="35"/>
  <c r="AE509" i="35"/>
  <c r="AO509" i="35"/>
  <c r="AE523" i="35"/>
  <c r="AK523" i="35"/>
  <c r="AK526" i="35"/>
  <c r="AE526" i="35"/>
  <c r="AM529" i="35"/>
  <c r="Y515" i="35"/>
  <c r="AQ515" i="35"/>
  <c r="AK471" i="35"/>
  <c r="BC350" i="35"/>
  <c r="AI342" i="35"/>
  <c r="AM295" i="35"/>
  <c r="AE309" i="35"/>
  <c r="AE323" i="35"/>
  <c r="AQ309" i="35"/>
  <c r="Z285" i="35"/>
  <c r="AB285" i="35" s="1"/>
  <c r="AM339" i="35"/>
  <c r="AO493" i="35"/>
  <c r="AE501" i="35"/>
  <c r="AS464" i="35"/>
  <c r="AS310" i="35"/>
  <c r="AS181" i="35"/>
  <c r="AS419" i="35"/>
  <c r="AS292" i="35"/>
  <c r="AS179" i="35"/>
  <c r="AS420" i="35"/>
  <c r="AS281" i="35"/>
  <c r="AS139" i="35"/>
  <c r="AS414" i="35"/>
  <c r="AS273" i="35"/>
  <c r="AS106" i="35"/>
  <c r="BC162" i="35"/>
  <c r="AE162" i="35"/>
  <c r="AQ162" i="35"/>
  <c r="AG170" i="35"/>
  <c r="AK170" i="35"/>
  <c r="AE170" i="35"/>
  <c r="AQ170" i="35"/>
  <c r="AO237" i="35"/>
  <c r="AG237" i="35"/>
  <c r="AK237" i="35"/>
  <c r="BC237" i="35"/>
  <c r="AI237" i="35"/>
  <c r="AE248" i="35"/>
  <c r="Z248" i="35"/>
  <c r="AB248" i="35" s="1"/>
  <c r="AQ455" i="35"/>
  <c r="BC455" i="35"/>
  <c r="AO455" i="35"/>
  <c r="AO481" i="35"/>
  <c r="BC481" i="35"/>
  <c r="AI520" i="35"/>
  <c r="AQ520" i="35"/>
  <c r="AG520" i="35"/>
  <c r="AG14" i="20"/>
  <c r="AE515" i="35"/>
  <c r="AO471" i="35"/>
  <c r="AI350" i="35"/>
  <c r="AI309" i="35"/>
  <c r="Z323" i="35"/>
  <c r="AB323" i="35" s="1"/>
  <c r="Z309" i="35"/>
  <c r="AB309" i="35" s="1"/>
  <c r="AK285" i="35"/>
  <c r="AE264" i="35"/>
  <c r="AG162" i="35"/>
  <c r="AS349" i="35"/>
  <c r="AI455" i="35"/>
  <c r="AK520" i="35"/>
  <c r="AE331" i="35"/>
  <c r="AE295" i="35"/>
  <c r="AI27" i="35"/>
  <c r="AK339" i="35"/>
  <c r="P132" i="35"/>
  <c r="O132" i="35"/>
  <c r="T132" i="35"/>
  <c r="AK135" i="35"/>
  <c r="AQ135" i="35"/>
  <c r="Z135" i="35"/>
  <c r="AB135" i="35" s="1"/>
  <c r="Y135" i="35"/>
  <c r="Y143" i="35"/>
  <c r="AM143" i="35"/>
  <c r="BC143" i="35"/>
  <c r="AG146" i="35"/>
  <c r="Z146" i="35"/>
  <c r="AB146" i="35" s="1"/>
  <c r="Z439" i="35"/>
  <c r="AW439" i="35" s="1"/>
  <c r="Y439" i="35"/>
  <c r="Y452" i="35"/>
  <c r="AQ452" i="35"/>
  <c r="AE452" i="35"/>
  <c r="AO452" i="35"/>
  <c r="BC452" i="35"/>
  <c r="AK452" i="35"/>
  <c r="Z529" i="35"/>
  <c r="AB529" i="35" s="1"/>
  <c r="AE512" i="35"/>
  <c r="AG515" i="35"/>
  <c r="AQ479" i="35"/>
  <c r="Y471" i="35"/>
  <c r="AM461" i="35"/>
  <c r="Y342" i="35"/>
  <c r="Z342" i="35"/>
  <c r="AB342" i="35" s="1"/>
  <c r="Y323" i="35"/>
  <c r="AO309" i="35"/>
  <c r="AM323" i="35"/>
  <c r="AI323" i="35"/>
  <c r="AG320" i="35"/>
  <c r="AG295" i="35"/>
  <c r="AM180" i="35"/>
  <c r="AI180" i="35"/>
  <c r="BC149" i="35"/>
  <c r="AK162" i="35"/>
  <c r="AS111" i="35"/>
  <c r="AS362" i="35"/>
  <c r="BE278" i="35"/>
  <c r="AQ501" i="35"/>
  <c r="AE455" i="35"/>
  <c r="AE520" i="35"/>
  <c r="BC320" i="35"/>
  <c r="AO331" i="35"/>
  <c r="AE16" i="35"/>
  <c r="AI245" i="35"/>
  <c r="AQ278" i="35"/>
  <c r="AG34" i="35"/>
  <c r="Z118" i="35"/>
  <c r="AB118" i="35" s="1"/>
  <c r="AK113" i="35"/>
  <c r="AO113" i="35"/>
  <c r="AQ127" i="35"/>
  <c r="AQ132" i="35"/>
  <c r="Z132" i="35"/>
  <c r="AB132" i="35" s="1"/>
  <c r="Y132" i="35"/>
  <c r="AK132" i="35"/>
  <c r="AQ57" i="39"/>
  <c r="Y512" i="35"/>
  <c r="AO512" i="35"/>
  <c r="AI515" i="35"/>
  <c r="AG479" i="35"/>
  <c r="AI339" i="35"/>
  <c r="Y309" i="35"/>
  <c r="AM309" i="35"/>
  <c r="Y295" i="35"/>
  <c r="Y320" i="35"/>
  <c r="AG149" i="35"/>
  <c r="AI162" i="35"/>
  <c r="AS86" i="35"/>
  <c r="AS378" i="35"/>
  <c r="AE34" i="35"/>
  <c r="AG501" i="35"/>
  <c r="Y442" i="35"/>
  <c r="AO520" i="35"/>
  <c r="BC331" i="35"/>
  <c r="Y317" i="35"/>
  <c r="AE73" i="35"/>
  <c r="AI73" i="35"/>
  <c r="AG76" i="35"/>
  <c r="AQ76" i="35"/>
  <c r="AM102" i="35"/>
  <c r="AG102" i="35"/>
  <c r="AE102" i="35"/>
  <c r="AG110" i="35"/>
  <c r="AO110" i="35"/>
  <c r="AI124" i="35"/>
  <c r="AG124" i="35"/>
  <c r="Y220" i="35"/>
  <c r="AE220" i="35"/>
  <c r="AO220" i="35"/>
  <c r="BC228" i="35"/>
  <c r="AM228" i="35"/>
  <c r="Y228" i="35"/>
  <c r="AG228" i="35"/>
  <c r="AK365" i="35"/>
  <c r="AM365" i="35"/>
  <c r="Z430" i="35"/>
  <c r="Y430" i="35"/>
  <c r="BE47" i="35"/>
  <c r="Y407" i="35"/>
  <c r="AQ50" i="40"/>
  <c r="AQ67" i="40"/>
  <c r="BE161" i="35"/>
  <c r="BE222" i="35"/>
  <c r="AQ82" i="40"/>
  <c r="AQ29" i="39"/>
  <c r="AQ85" i="39"/>
  <c r="AQ73" i="40"/>
  <c r="AQ74" i="40"/>
  <c r="O7" i="1"/>
  <c r="O58" i="1"/>
  <c r="O5" i="1"/>
  <c r="AE47" i="35"/>
  <c r="AS47" i="35"/>
  <c r="Z41" i="35"/>
  <c r="AB41" i="35" s="1"/>
  <c r="AM41" i="35"/>
  <c r="AI41" i="35"/>
  <c r="AQ41" i="35"/>
  <c r="Y41" i="35"/>
  <c r="BC41" i="35"/>
  <c r="AO41" i="35"/>
  <c r="AE41" i="35"/>
  <c r="AG41" i="35"/>
  <c r="BE41" i="35"/>
  <c r="AK41" i="35"/>
  <c r="Y47" i="35"/>
  <c r="Z47" i="35"/>
  <c r="AB47" i="35" s="1"/>
  <c r="BC47" i="35"/>
  <c r="AK47" i="35"/>
  <c r="AI47" i="35"/>
  <c r="AO47" i="35"/>
  <c r="AM47" i="35"/>
  <c r="AG47" i="35"/>
  <c r="AQ47" i="35"/>
  <c r="AE50" i="35"/>
  <c r="AI50" i="35"/>
  <c r="AS50" i="35"/>
  <c r="AO50" i="35"/>
  <c r="BC50" i="35"/>
  <c r="Y50" i="35"/>
  <c r="Z50" i="35"/>
  <c r="AB50" i="35" s="1"/>
  <c r="AK50" i="35"/>
  <c r="AM50" i="35"/>
  <c r="AQ50" i="35"/>
  <c r="AG50" i="35"/>
  <c r="BE50" i="35"/>
  <c r="AK58" i="35"/>
  <c r="AQ58" i="35"/>
  <c r="Z58" i="35"/>
  <c r="AB58" i="35" s="1"/>
  <c r="AM58" i="35"/>
  <c r="Y58" i="35"/>
  <c r="AI58" i="35"/>
  <c r="BC58" i="35"/>
  <c r="AO58" i="35"/>
  <c r="AG58" i="35"/>
  <c r="BE58" i="35"/>
  <c r="BC66" i="35"/>
  <c r="AI66" i="35"/>
  <c r="Z66" i="35"/>
  <c r="AB66" i="35" s="1"/>
  <c r="AS66" i="35"/>
  <c r="AM66" i="35"/>
  <c r="AK66" i="35"/>
  <c r="AE66" i="35"/>
  <c r="AG66" i="35"/>
  <c r="AQ66" i="35"/>
  <c r="Y66" i="35"/>
  <c r="BE66" i="35"/>
  <c r="AO66" i="35"/>
  <c r="Z85" i="35"/>
  <c r="AB85" i="35" s="1"/>
  <c r="BE85" i="35"/>
  <c r="AQ85" i="35"/>
  <c r="AK85" i="35"/>
  <c r="AM85" i="35"/>
  <c r="BC85" i="35"/>
  <c r="AG85" i="35"/>
  <c r="AI85" i="35"/>
  <c r="AS85" i="35"/>
  <c r="Y85" i="35"/>
  <c r="AE85" i="35"/>
  <c r="AK93" i="35"/>
  <c r="AM93" i="35"/>
  <c r="BE93" i="35"/>
  <c r="AI93" i="35"/>
  <c r="AS93" i="35"/>
  <c r="AE93" i="35"/>
  <c r="AO93" i="35"/>
  <c r="Z93" i="35"/>
  <c r="AB93" i="35" s="1"/>
  <c r="AQ93" i="35"/>
  <c r="BC93" i="35"/>
  <c r="Y93" i="35"/>
  <c r="AG93" i="35"/>
  <c r="AO101" i="35"/>
  <c r="BE101" i="35"/>
  <c r="AQ101" i="35"/>
  <c r="AK101" i="35"/>
  <c r="AI101" i="35"/>
  <c r="AG101" i="35"/>
  <c r="BC101" i="35"/>
  <c r="Y101" i="35"/>
  <c r="Z101" i="35"/>
  <c r="AB101" i="35" s="1"/>
  <c r="AM101" i="35"/>
  <c r="AE101" i="35"/>
  <c r="AS101" i="35"/>
  <c r="AK134" i="35"/>
  <c r="AE134" i="35"/>
  <c r="AQ134" i="35"/>
  <c r="Z134" i="35"/>
  <c r="AB134" i="35" s="1"/>
  <c r="Y134" i="35"/>
  <c r="AO134" i="35"/>
  <c r="AM134" i="35"/>
  <c r="AG134" i="35"/>
  <c r="BC134" i="35"/>
  <c r="BE134" i="35"/>
  <c r="AI134" i="35"/>
  <c r="AK148" i="35"/>
  <c r="AO148" i="35"/>
  <c r="AM148" i="35"/>
  <c r="BC148" i="35"/>
  <c r="AE148" i="35"/>
  <c r="Z148" i="35"/>
  <c r="AB148" i="35" s="1"/>
  <c r="Y148" i="35"/>
  <c r="AI148" i="35"/>
  <c r="AQ148" i="35"/>
  <c r="AG148" i="35"/>
  <c r="BE148" i="35"/>
  <c r="AS148" i="35"/>
  <c r="AO172" i="35"/>
  <c r="AI172" i="35"/>
  <c r="BC172" i="35"/>
  <c r="AE172" i="35"/>
  <c r="AG172" i="35"/>
  <c r="AQ172" i="35"/>
  <c r="Z172" i="35"/>
  <c r="AB172" i="35" s="1"/>
  <c r="AK172" i="35"/>
  <c r="BE172" i="35"/>
  <c r="AM172" i="35"/>
  <c r="Y172" i="35"/>
  <c r="BC185" i="35"/>
  <c r="AG185" i="35"/>
  <c r="Z185" i="35"/>
  <c r="AB185" i="35" s="1"/>
  <c r="AO185" i="35"/>
  <c r="AM185" i="35"/>
  <c r="AQ185" i="35"/>
  <c r="Y185" i="35"/>
  <c r="AK185" i="35"/>
  <c r="AI185" i="35"/>
  <c r="AE185" i="35"/>
  <c r="BE185" i="35"/>
  <c r="Z191" i="35"/>
  <c r="AB191" i="35" s="1"/>
  <c r="AM191" i="35"/>
  <c r="AE191" i="35"/>
  <c r="AI191" i="35"/>
  <c r="AG191" i="35"/>
  <c r="AQ191" i="35"/>
  <c r="BC191" i="35"/>
  <c r="BE191" i="35"/>
  <c r="AO191" i="35"/>
  <c r="AK191" i="35"/>
  <c r="Y191" i="35"/>
  <c r="AS191" i="35"/>
  <c r="AK252" i="35"/>
  <c r="AO252" i="35"/>
  <c r="AI252" i="35"/>
  <c r="AE252" i="35"/>
  <c r="AM252" i="35"/>
  <c r="BC252" i="35"/>
  <c r="AG252" i="35"/>
  <c r="Y252" i="35"/>
  <c r="AQ252" i="35"/>
  <c r="BE252" i="35"/>
  <c r="Z252" i="35"/>
  <c r="AB252" i="35" s="1"/>
  <c r="AI322" i="35"/>
  <c r="AQ322" i="35"/>
  <c r="Y322" i="35"/>
  <c r="AE322" i="35"/>
  <c r="AM322" i="35"/>
  <c r="BE322" i="35"/>
  <c r="BC322" i="35"/>
  <c r="AO322" i="35"/>
  <c r="Z322" i="35"/>
  <c r="AB322" i="35" s="1"/>
  <c r="AG322" i="35"/>
  <c r="AG361" i="35"/>
  <c r="AQ361" i="35"/>
  <c r="AO361" i="35"/>
  <c r="AM361" i="35"/>
  <c r="Z361" i="35"/>
  <c r="AB361" i="35" s="1"/>
  <c r="AS361" i="35"/>
  <c r="AI361" i="35"/>
  <c r="BE361" i="35"/>
  <c r="AE361" i="35"/>
  <c r="AK361" i="35"/>
  <c r="BC361" i="35"/>
  <c r="Y361" i="35"/>
  <c r="AO364" i="35"/>
  <c r="AQ364" i="35"/>
  <c r="AM364" i="35"/>
  <c r="Z364" i="35"/>
  <c r="AB364" i="35" s="1"/>
  <c r="AI364" i="35"/>
  <c r="AK364" i="35"/>
  <c r="BC364" i="35"/>
  <c r="AE364" i="35"/>
  <c r="AG364" i="35"/>
  <c r="Y364" i="35"/>
  <c r="BE364" i="35"/>
  <c r="AM373" i="35"/>
  <c r="AK373" i="35"/>
  <c r="AO373" i="35"/>
  <c r="AI373" i="35"/>
  <c r="Y373" i="35"/>
  <c r="AG373" i="35"/>
  <c r="BC373" i="35"/>
  <c r="AQ373" i="35"/>
  <c r="Z373" i="35"/>
  <c r="AB373" i="35" s="1"/>
  <c r="AE373" i="35"/>
  <c r="BE373" i="35"/>
  <c r="AE58" i="35"/>
  <c r="AO405" i="35"/>
  <c r="U337" i="20"/>
  <c r="AM337" i="20"/>
  <c r="AA337" i="20"/>
  <c r="V337" i="20"/>
  <c r="X337" i="20" s="1"/>
  <c r="V276" i="20"/>
  <c r="X276" i="20" s="1"/>
  <c r="AI276" i="20"/>
  <c r="AY276" i="20"/>
  <c r="U276" i="20"/>
  <c r="AC276" i="20"/>
  <c r="AA276" i="20"/>
  <c r="V278" i="20"/>
  <c r="X278" i="20" s="1"/>
  <c r="AG278" i="20"/>
  <c r="AA278" i="20"/>
  <c r="AO278" i="20"/>
  <c r="AI278" i="20"/>
  <c r="U278" i="20"/>
  <c r="AK278" i="20"/>
  <c r="AC278" i="20"/>
  <c r="AY312" i="20"/>
  <c r="AE312" i="20"/>
  <c r="U312" i="20"/>
  <c r="V312" i="20"/>
  <c r="X312" i="20" s="1"/>
  <c r="AG312" i="20"/>
  <c r="AC312" i="20"/>
  <c r="AI312" i="20"/>
  <c r="AK312" i="20"/>
  <c r="AC372" i="20"/>
  <c r="U372" i="20"/>
  <c r="AG372" i="20"/>
  <c r="AY372" i="20"/>
  <c r="AM372" i="20"/>
  <c r="AE372" i="20"/>
  <c r="AA372" i="20"/>
  <c r="AK372" i="20"/>
  <c r="AI58" i="20"/>
  <c r="U58" i="20"/>
  <c r="AG58" i="20"/>
  <c r="V58" i="20"/>
  <c r="X58" i="20" s="1"/>
  <c r="AY58" i="20"/>
  <c r="AK58" i="20"/>
  <c r="AA58" i="20"/>
  <c r="AO58" i="20"/>
  <c r="AC58" i="20"/>
  <c r="AC512" i="20"/>
  <c r="AK512" i="20"/>
  <c r="AK100" i="20"/>
  <c r="AE100" i="20"/>
  <c r="AG366" i="20"/>
  <c r="V366" i="20"/>
  <c r="X366" i="20" s="1"/>
  <c r="AC55" i="20"/>
  <c r="U255" i="20"/>
  <c r="AK255" i="20"/>
  <c r="V255" i="20"/>
  <c r="X255" i="20" s="1"/>
  <c r="AA120" i="20"/>
  <c r="U120" i="20"/>
  <c r="AK120" i="20"/>
  <c r="AG120" i="20"/>
  <c r="AM445" i="20"/>
  <c r="U445" i="20"/>
  <c r="AC445" i="20"/>
  <c r="AK28" i="20"/>
  <c r="AY197" i="20"/>
  <c r="AC197" i="20"/>
  <c r="AG197" i="20"/>
  <c r="AM197" i="20"/>
  <c r="U197" i="20"/>
  <c r="AK197" i="20"/>
  <c r="AA107" i="20"/>
  <c r="AK107" i="20"/>
  <c r="AI107" i="20"/>
  <c r="AM172" i="20"/>
  <c r="AG172" i="20"/>
  <c r="AG174" i="20"/>
  <c r="V174" i="20"/>
  <c r="X174" i="20" s="1"/>
  <c r="AI115" i="20"/>
  <c r="AK115" i="20"/>
  <c r="AY466" i="20"/>
  <c r="U466" i="20"/>
  <c r="AE472" i="20"/>
  <c r="AM472" i="20"/>
  <c r="V472" i="20"/>
  <c r="X472" i="20" s="1"/>
  <c r="V531" i="20"/>
  <c r="X531" i="20" s="1"/>
  <c r="AK531" i="20"/>
  <c r="AM531" i="20"/>
  <c r="AG399" i="35"/>
  <c r="BC399" i="35"/>
  <c r="BW399" i="35"/>
  <c r="AI399" i="35"/>
  <c r="AQ411" i="35"/>
  <c r="Z411" i="35"/>
  <c r="AB411" i="35" s="1"/>
  <c r="AG411" i="35"/>
  <c r="BC411" i="35"/>
  <c r="AI411" i="35"/>
  <c r="Y411" i="35"/>
  <c r="BA624" i="20"/>
  <c r="AS247" i="35"/>
  <c r="AU4" i="35"/>
  <c r="AU431" i="35" s="1"/>
  <c r="AS21" i="35"/>
  <c r="AS56" i="35"/>
  <c r="AS102" i="35"/>
  <c r="AS530" i="35"/>
  <c r="AS520" i="35"/>
  <c r="AS34" i="35"/>
  <c r="AS58" i="35"/>
  <c r="AS528" i="35"/>
  <c r="AS518" i="35"/>
  <c r="AS507" i="35"/>
  <c r="AS498" i="35"/>
  <c r="AS37" i="35"/>
  <c r="AS62" i="35"/>
  <c r="AS527" i="35"/>
  <c r="AS517" i="35"/>
  <c r="AS506" i="35"/>
  <c r="AS497" i="35"/>
  <c r="AS44" i="35"/>
  <c r="AS80" i="35"/>
  <c r="AS99" i="35"/>
  <c r="AS523" i="35"/>
  <c r="AS512" i="35"/>
  <c r="AS503" i="35"/>
  <c r="AS513" i="35"/>
  <c r="AS529" i="35"/>
  <c r="AS509" i="35"/>
  <c r="AS515" i="35"/>
  <c r="AS482" i="35"/>
  <c r="AS460" i="35"/>
  <c r="AS491" i="35"/>
  <c r="AS488" i="35"/>
  <c r="AS413" i="35"/>
  <c r="AS417" i="35"/>
  <c r="AS384" i="35"/>
  <c r="AS381" i="35"/>
  <c r="AS367" i="35"/>
  <c r="AS356" i="35"/>
  <c r="AS316" i="35"/>
  <c r="AS344" i="35"/>
  <c r="AS303" i="35"/>
  <c r="AS340" i="35"/>
  <c r="AS321" i="35"/>
  <c r="AS265" i="35"/>
  <c r="AS266" i="35"/>
  <c r="AS259" i="35"/>
  <c r="AS285" i="35"/>
  <c r="AS176" i="35"/>
  <c r="AS201" i="35"/>
  <c r="AS236" i="35"/>
  <c r="AS241" i="35"/>
  <c r="AS188" i="35"/>
  <c r="AS230" i="35"/>
  <c r="AS134" i="35"/>
  <c r="AS125" i="35"/>
  <c r="AS164" i="35"/>
  <c r="AS84" i="35"/>
  <c r="AS73" i="35"/>
  <c r="AS55" i="35"/>
  <c r="AS526" i="35"/>
  <c r="AS508" i="35"/>
  <c r="AS511" i="35"/>
  <c r="AS470" i="35"/>
  <c r="AS459" i="35"/>
  <c r="AS487" i="35"/>
  <c r="AS484" i="35"/>
  <c r="AS391" i="35"/>
  <c r="AS411" i="35"/>
  <c r="AS376" i="35"/>
  <c r="AS373" i="35"/>
  <c r="AS350" i="35"/>
  <c r="AS348" i="35"/>
  <c r="AS338" i="35"/>
  <c r="AS351" i="35"/>
  <c r="AS301" i="35"/>
  <c r="AS322" i="35"/>
  <c r="AS315" i="35"/>
  <c r="AS264" i="35"/>
  <c r="AS257" i="35"/>
  <c r="AS284" i="35"/>
  <c r="AS263" i="35"/>
  <c r="AS228" i="35"/>
  <c r="AS199" i="35"/>
  <c r="AS195" i="35"/>
  <c r="AS235" i="35"/>
  <c r="AS185" i="35"/>
  <c r="AS226" i="35"/>
  <c r="AS133" i="35"/>
  <c r="AS172" i="35"/>
  <c r="AS116" i="35"/>
  <c r="AS136" i="35"/>
  <c r="AS71" i="35"/>
  <c r="AS94" i="35"/>
  <c r="AS57" i="35"/>
  <c r="AS524" i="35"/>
  <c r="AS505" i="35"/>
  <c r="AS489" i="35"/>
  <c r="AS468" i="35"/>
  <c r="AS457" i="35"/>
  <c r="AS483" i="35"/>
  <c r="AS477" i="35"/>
  <c r="AS390" i="35"/>
  <c r="AS423" i="35"/>
  <c r="AS360" i="35"/>
  <c r="AS365" i="35"/>
  <c r="AS342" i="35"/>
  <c r="AS363" i="35"/>
  <c r="AS334" i="35"/>
  <c r="AS323" i="35"/>
  <c r="AS300" i="35"/>
  <c r="AS317" i="35"/>
  <c r="AS309" i="35"/>
  <c r="AS289" i="35"/>
  <c r="AS256" i="35"/>
  <c r="AS287" i="35"/>
  <c r="AS275" i="35"/>
  <c r="AS220" i="35"/>
  <c r="AS198" i="35"/>
  <c r="AS156" i="35"/>
  <c r="AS227" i="35"/>
  <c r="AS184" i="35"/>
  <c r="AS218" i="35"/>
  <c r="AS166" i="35"/>
  <c r="AS142" i="35"/>
  <c r="AS108" i="35"/>
  <c r="AS83" i="35"/>
  <c r="AS70" i="35"/>
  <c r="AS27" i="35"/>
  <c r="AS64" i="35"/>
  <c r="AS77" i="35"/>
  <c r="AS522" i="35"/>
  <c r="AS504" i="35"/>
  <c r="AS485" i="35"/>
  <c r="AS467" i="35"/>
  <c r="AS456" i="35"/>
  <c r="AS479" i="35"/>
  <c r="AS473" i="35"/>
  <c r="AS389" i="35"/>
  <c r="AS410" i="35"/>
  <c r="AS383" i="35"/>
  <c r="AS380" i="35"/>
  <c r="AS335" i="35"/>
  <c r="AS359" i="35"/>
  <c r="AS331" i="35"/>
  <c r="AS337" i="35"/>
  <c r="AS297" i="35"/>
  <c r="AS311" i="35"/>
  <c r="AS308" i="35"/>
  <c r="AS274" i="35"/>
  <c r="AS253" i="35"/>
  <c r="AS278" i="35"/>
  <c r="AS268" i="35"/>
  <c r="AS210" i="35"/>
  <c r="AS175" i="35"/>
  <c r="AS153" i="35"/>
  <c r="AS219" i="35"/>
  <c r="AS224" i="35"/>
  <c r="AS174" i="35"/>
  <c r="AS143" i="35"/>
  <c r="AS123" i="35"/>
  <c r="AS92" i="35"/>
  <c r="AS82" i="35"/>
  <c r="AS67" i="35"/>
  <c r="AS100" i="35"/>
  <c r="AS519" i="35"/>
  <c r="AS502" i="35"/>
  <c r="AS481" i="35"/>
  <c r="AS466" i="35"/>
  <c r="AS455" i="35"/>
  <c r="AS472" i="35"/>
  <c r="AS388" i="35"/>
  <c r="AS416" i="35"/>
  <c r="AS375" i="35"/>
  <c r="AS372" i="35"/>
  <c r="AS358" i="35"/>
  <c r="AS355" i="35"/>
  <c r="AS353" i="35"/>
  <c r="AS319" i="35"/>
  <c r="AS296" i="35"/>
  <c r="AS336" i="35"/>
  <c r="AS306" i="35"/>
  <c r="AS267" i="35"/>
  <c r="AS252" i="35"/>
  <c r="AS245" i="35"/>
  <c r="AS232" i="35"/>
  <c r="AS209" i="35"/>
  <c r="AS238" i="35"/>
  <c r="AS150" i="35"/>
  <c r="AS217" i="35"/>
  <c r="AS242" i="35"/>
  <c r="AS170" i="35"/>
  <c r="AS130" i="35"/>
  <c r="AS122" i="35"/>
  <c r="AS117" i="35"/>
  <c r="AS81" i="35"/>
  <c r="AS10" i="35"/>
  <c r="AS41" i="35"/>
  <c r="AS516" i="35"/>
  <c r="AS500" i="35"/>
  <c r="AS476" i="35"/>
  <c r="AS465" i="35"/>
  <c r="AS454" i="35"/>
  <c r="AS495" i="35"/>
  <c r="AS415" i="35"/>
  <c r="AS387" i="35"/>
  <c r="AS409" i="35"/>
  <c r="AS382" i="35"/>
  <c r="AS379" i="35"/>
  <c r="AS357" i="35"/>
  <c r="AS347" i="35"/>
  <c r="AS345" i="35"/>
  <c r="AS304" i="35"/>
  <c r="AS294" i="35"/>
  <c r="AS329" i="35"/>
  <c r="AS325" i="35"/>
  <c r="AS261" i="35"/>
  <c r="AS250" i="35"/>
  <c r="AS277" i="35"/>
  <c r="AS243" i="35"/>
  <c r="AS204" i="35"/>
  <c r="AS237" i="35"/>
  <c r="AS149" i="35"/>
  <c r="AS192" i="35"/>
  <c r="AS221" i="35"/>
  <c r="AS163" i="35"/>
  <c r="AS129" i="35"/>
  <c r="AS162" i="35"/>
  <c r="AS113" i="35"/>
  <c r="AS126" i="35"/>
  <c r="AM44" i="35"/>
  <c r="AK44" i="35"/>
  <c r="BC44" i="35"/>
  <c r="AQ44" i="35"/>
  <c r="AE44" i="35"/>
  <c r="Y44" i="35"/>
  <c r="AO44" i="35"/>
  <c r="Z44" i="35"/>
  <c r="AB44" i="35" s="1"/>
  <c r="AI88" i="35"/>
  <c r="BC88" i="35"/>
  <c r="AK88" i="35"/>
  <c r="Y159" i="35"/>
  <c r="AI159" i="35"/>
  <c r="Z255" i="35"/>
  <c r="AB255" i="35" s="1"/>
  <c r="BC255" i="35"/>
  <c r="Y255" i="35"/>
  <c r="Z264" i="35"/>
  <c r="AB264" i="35" s="1"/>
  <c r="AI264" i="35"/>
  <c r="AG264" i="35"/>
  <c r="AK264" i="35"/>
  <c r="AM264" i="35"/>
  <c r="BC264" i="35"/>
  <c r="Y264" i="35"/>
  <c r="AE266" i="35"/>
  <c r="AO266" i="35"/>
  <c r="AQ266" i="35"/>
  <c r="Y266" i="35"/>
  <c r="Z266" i="35"/>
  <c r="AB266" i="35" s="1"/>
  <c r="AM266" i="35"/>
  <c r="AG266" i="35"/>
  <c r="BC266" i="35"/>
  <c r="BC503" i="35"/>
  <c r="AO503" i="35"/>
  <c r="AM503" i="35"/>
  <c r="U598" i="20"/>
  <c r="AI266" i="35"/>
  <c r="AS141" i="35"/>
  <c r="AS189" i="35"/>
  <c r="AS213" i="35"/>
  <c r="AS305" i="35"/>
  <c r="AS352" i="35"/>
  <c r="AS366" i="35"/>
  <c r="AS478" i="35"/>
  <c r="AS496" i="35"/>
  <c r="AE411" i="35"/>
  <c r="AG44" i="35"/>
  <c r="AY439" i="20"/>
  <c r="AK598" i="20"/>
  <c r="AQ264" i="35"/>
  <c r="AM255" i="35"/>
  <c r="AS171" i="35"/>
  <c r="AS190" i="35"/>
  <c r="AS233" i="35"/>
  <c r="AS320" i="35"/>
  <c r="AS364" i="35"/>
  <c r="AS374" i="35"/>
  <c r="AS493" i="35"/>
  <c r="AS499" i="35"/>
  <c r="AS161" i="35"/>
  <c r="AS144" i="35"/>
  <c r="AS244" i="35"/>
  <c r="AS326" i="35"/>
  <c r="AS332" i="35"/>
  <c r="AS369" i="35"/>
  <c r="AS452" i="35"/>
  <c r="AS510" i="35"/>
  <c r="Y425" i="35"/>
  <c r="AS127" i="35"/>
  <c r="AS147" i="35"/>
  <c r="AS270" i="35"/>
  <c r="AS327" i="35"/>
  <c r="AS339" i="35"/>
  <c r="AS385" i="35"/>
  <c r="AS453" i="35"/>
  <c r="AS514" i="35"/>
  <c r="AS74" i="35"/>
  <c r="AS135" i="35"/>
  <c r="AS211" i="35"/>
  <c r="AS272" i="35"/>
  <c r="AS330" i="35"/>
  <c r="AS341" i="35"/>
  <c r="AS422" i="35"/>
  <c r="AS461" i="35"/>
  <c r="AS531" i="35"/>
  <c r="AO55" i="35"/>
  <c r="BC55" i="35"/>
  <c r="AK55" i="35"/>
  <c r="AM55" i="35"/>
  <c r="AI257" i="35"/>
  <c r="AQ257" i="35"/>
  <c r="AK257" i="35"/>
  <c r="AO257" i="35"/>
  <c r="AK319" i="35"/>
  <c r="AQ319" i="35"/>
  <c r="BC358" i="35"/>
  <c r="AM358" i="35"/>
  <c r="AQ358" i="35"/>
  <c r="AK500" i="35"/>
  <c r="AG500" i="35"/>
  <c r="AI500" i="35"/>
  <c r="AQ500" i="35"/>
  <c r="AE517" i="35"/>
  <c r="AO517" i="35"/>
  <c r="AK517" i="35"/>
  <c r="AQ517" i="35"/>
  <c r="Y517" i="35"/>
  <c r="AG517" i="35"/>
  <c r="AQ35" i="40"/>
  <c r="Z77" i="35"/>
  <c r="AB77" i="35" s="1"/>
  <c r="AO77" i="35"/>
  <c r="AM77" i="35"/>
  <c r="BC241" i="35"/>
  <c r="Z241" i="35"/>
  <c r="AB241" i="35" s="1"/>
  <c r="AQ241" i="35"/>
  <c r="AK254" i="35"/>
  <c r="AO254" i="35"/>
  <c r="AE254" i="35"/>
  <c r="AK283" i="35"/>
  <c r="AI283" i="35"/>
  <c r="AQ57" i="40"/>
  <c r="AQ88" i="40"/>
  <c r="AM40" i="35"/>
  <c r="AK40" i="35"/>
  <c r="AK92" i="35"/>
  <c r="AQ92" i="35"/>
  <c r="Z100" i="35"/>
  <c r="AB100" i="35" s="1"/>
  <c r="AG100" i="35"/>
  <c r="AG147" i="35"/>
  <c r="AE147" i="35"/>
  <c r="AK190" i="35"/>
  <c r="AQ190" i="35"/>
  <c r="AI190" i="35"/>
  <c r="AO190" i="35"/>
  <c r="Y190" i="35"/>
  <c r="AE190" i="35"/>
  <c r="AI202" i="35"/>
  <c r="AK202" i="35"/>
  <c r="AO235" i="35"/>
  <c r="AK235" i="35"/>
  <c r="AM360" i="35"/>
  <c r="BC360" i="35"/>
  <c r="AE360" i="35"/>
  <c r="AG472" i="35"/>
  <c r="Y472" i="35"/>
  <c r="AM472" i="35"/>
  <c r="Z472" i="35"/>
  <c r="AB472" i="35" s="1"/>
  <c r="AO480" i="35"/>
  <c r="BE480" i="35"/>
  <c r="AG502" i="35"/>
  <c r="BC502" i="35"/>
  <c r="AI502" i="35"/>
  <c r="AK502" i="35"/>
  <c r="AE502" i="35"/>
  <c r="AQ87" i="40"/>
  <c r="P175" i="35"/>
  <c r="T175" i="35"/>
  <c r="Y315" i="35"/>
  <c r="BC315" i="35"/>
  <c r="AQ315" i="35"/>
  <c r="AO315" i="35"/>
  <c r="AG315" i="35"/>
  <c r="AK351" i="35"/>
  <c r="Z351" i="35"/>
  <c r="AB351" i="35" s="1"/>
  <c r="AM351" i="35"/>
  <c r="BE351" i="35"/>
  <c r="BC357" i="35"/>
  <c r="AE357" i="35"/>
  <c r="AE412" i="35"/>
  <c r="AG412" i="35"/>
  <c r="AI499" i="35"/>
  <c r="Z499" i="35"/>
  <c r="AB499" i="35" s="1"/>
  <c r="AQ499" i="35"/>
  <c r="AG499" i="35"/>
  <c r="AO499" i="35"/>
  <c r="AE499" i="35"/>
  <c r="Y499" i="35"/>
  <c r="AQ82" i="39"/>
  <c r="AO149" i="35"/>
  <c r="AK149" i="35"/>
  <c r="Y149" i="35"/>
  <c r="AM149" i="35"/>
  <c r="AI149" i="35"/>
  <c r="Y312" i="35"/>
  <c r="BC312" i="35"/>
  <c r="AG312" i="35"/>
  <c r="AG13" i="35"/>
  <c r="BC13" i="35"/>
  <c r="Z21" i="35"/>
  <c r="AB21" i="35" s="1"/>
  <c r="Y21" i="35"/>
  <c r="BC21" i="35"/>
  <c r="AG21" i="35"/>
  <c r="AE64" i="35"/>
  <c r="AG64" i="35"/>
  <c r="AI64" i="35"/>
  <c r="AQ64" i="35"/>
  <c r="BC99" i="35"/>
  <c r="AQ99" i="35"/>
  <c r="Y99" i="35"/>
  <c r="Z215" i="35"/>
  <c r="AB215" i="35" s="1"/>
  <c r="AO215" i="35"/>
  <c r="AQ231" i="35"/>
  <c r="Z231" i="35"/>
  <c r="AB231" i="35" s="1"/>
  <c r="AQ461" i="35"/>
  <c r="AE461" i="35"/>
  <c r="Y518" i="35"/>
  <c r="AO518" i="35"/>
  <c r="AK518" i="35"/>
  <c r="BE518" i="35"/>
  <c r="AQ37" i="40"/>
  <c r="AQ58" i="40"/>
  <c r="AQ29" i="40"/>
  <c r="AQ34" i="40"/>
  <c r="AQ66" i="40"/>
  <c r="AQ61" i="39"/>
  <c r="AQ45" i="39"/>
  <c r="AQ37" i="39"/>
  <c r="AQ60" i="40"/>
  <c r="AQ63" i="40"/>
  <c r="AQ78" i="40"/>
  <c r="AQ79" i="40"/>
  <c r="AQ89" i="40"/>
  <c r="AQ52" i="39"/>
  <c r="AE9" i="35"/>
  <c r="AQ58" i="39"/>
  <c r="AQ42" i="39"/>
  <c r="AQ44" i="40"/>
  <c r="AQ45" i="40"/>
  <c r="AQ90" i="40"/>
  <c r="BW431" i="35"/>
  <c r="AB431" i="35"/>
  <c r="AO431" i="35"/>
  <c r="AW431" i="35"/>
  <c r="BC431" i="35"/>
  <c r="AQ431" i="35"/>
  <c r="AI431" i="35"/>
  <c r="AS431" i="35"/>
  <c r="AM431" i="35"/>
  <c r="AM405" i="35"/>
  <c r="BE440" i="35"/>
  <c r="AE440" i="35"/>
  <c r="AK440" i="35"/>
  <c r="AC553" i="20"/>
  <c r="AS560" i="20"/>
  <c r="AK553" i="20"/>
  <c r="BS553" i="20"/>
  <c r="BA553" i="20"/>
  <c r="BS560" i="20"/>
  <c r="AE560" i="20"/>
  <c r="AK560" i="20"/>
  <c r="U344" i="20"/>
  <c r="BA70" i="20"/>
  <c r="AA253" i="20"/>
  <c r="BA196" i="20"/>
  <c r="BA10" i="20"/>
  <c r="BA120" i="20"/>
  <c r="BA107" i="20"/>
  <c r="BA127" i="20"/>
  <c r="BA351" i="20"/>
  <c r="BA444" i="20"/>
  <c r="BA426" i="20"/>
  <c r="BA628" i="20"/>
  <c r="AO344" i="20"/>
  <c r="U242" i="20"/>
  <c r="AA242" i="20"/>
  <c r="AE181" i="20"/>
  <c r="AG181" i="20"/>
  <c r="V181" i="20"/>
  <c r="X181" i="20" s="1"/>
  <c r="AY181" i="20"/>
  <c r="AK181" i="20"/>
  <c r="AM181" i="20"/>
  <c r="U160" i="20"/>
  <c r="AE401" i="20"/>
  <c r="AK401" i="20"/>
  <c r="AG401" i="20"/>
  <c r="BA563" i="20"/>
  <c r="V413" i="20"/>
  <c r="X413" i="20" s="1"/>
  <c r="AK413" i="20"/>
  <c r="AC344" i="20"/>
  <c r="BA68" i="20"/>
  <c r="BA209" i="20"/>
  <c r="BA114" i="20"/>
  <c r="BA115" i="20"/>
  <c r="BA128" i="20"/>
  <c r="BA308" i="20"/>
  <c r="BA455" i="20"/>
  <c r="BA451" i="20"/>
  <c r="BA56" i="20"/>
  <c r="BA201" i="20"/>
  <c r="AC253" i="20"/>
  <c r="U253" i="20"/>
  <c r="AG192" i="20"/>
  <c r="AK192" i="20"/>
  <c r="AI192" i="20"/>
  <c r="AE192" i="20"/>
  <c r="AY362" i="20"/>
  <c r="U362" i="20"/>
  <c r="AM253" i="20"/>
  <c r="AG253" i="20"/>
  <c r="BA527" i="20"/>
  <c r="U413" i="20"/>
  <c r="AM166" i="20"/>
  <c r="AK166" i="20"/>
  <c r="AA151" i="20"/>
  <c r="BA112" i="20"/>
  <c r="BA74" i="20"/>
  <c r="BA349" i="20"/>
  <c r="BA217" i="20"/>
  <c r="BA324" i="20"/>
  <c r="BA409" i="20"/>
  <c r="BA643" i="20"/>
  <c r="BA541" i="20"/>
  <c r="AA154" i="20"/>
  <c r="AE154" i="20"/>
  <c r="AY357" i="20"/>
  <c r="AG357" i="20"/>
  <c r="AC357" i="20"/>
  <c r="V9" i="20"/>
  <c r="X9" i="20" s="1"/>
  <c r="AY9" i="20"/>
  <c r="AK9" i="20"/>
  <c r="V344" i="20"/>
  <c r="X344" i="20" s="1"/>
  <c r="BA261" i="20"/>
  <c r="BA81" i="20"/>
  <c r="BA234" i="20"/>
  <c r="BA205" i="20"/>
  <c r="BA328" i="20"/>
  <c r="BA421" i="20"/>
  <c r="BA469" i="20"/>
  <c r="V151" i="20"/>
  <c r="X151" i="20" s="1"/>
  <c r="AC151" i="20"/>
  <c r="AK151" i="20"/>
  <c r="AE550" i="20"/>
  <c r="AY413" i="20"/>
  <c r="AY374" i="20"/>
  <c r="AE344" i="20"/>
  <c r="BA17" i="20"/>
  <c r="BA82" i="20"/>
  <c r="BA297" i="20"/>
  <c r="BA353" i="20"/>
  <c r="BA389" i="20"/>
  <c r="BA445" i="20"/>
  <c r="BA488" i="20"/>
  <c r="AO151" i="20"/>
  <c r="AA243" i="20"/>
  <c r="AC243" i="20"/>
  <c r="AY243" i="20"/>
  <c r="AM409" i="20"/>
  <c r="AG409" i="20"/>
  <c r="AI413" i="20"/>
  <c r="AA344" i="20"/>
  <c r="AM344" i="20"/>
  <c r="BA481" i="20"/>
  <c r="BA162" i="20"/>
  <c r="BA55" i="20"/>
  <c r="BA83" i="20"/>
  <c r="BA362" i="20"/>
  <c r="BA342" i="20"/>
  <c r="BA329" i="20"/>
  <c r="BA402" i="20"/>
  <c r="BA586" i="20"/>
  <c r="AE253" i="20"/>
  <c r="AM77" i="20"/>
  <c r="AE77" i="20"/>
  <c r="AI281" i="20"/>
  <c r="AA281" i="20"/>
  <c r="AI344" i="20"/>
  <c r="AG344" i="20"/>
  <c r="BA189" i="20"/>
  <c r="AI253" i="20"/>
  <c r="BA37" i="20"/>
  <c r="BA18" i="20"/>
  <c r="BA89" i="20"/>
  <c r="BA126" i="20"/>
  <c r="BA291" i="20"/>
  <c r="BA61" i="20"/>
  <c r="BA403" i="20"/>
  <c r="AO413" i="20"/>
  <c r="U182" i="20"/>
  <c r="AC182" i="20"/>
  <c r="AK182" i="20"/>
  <c r="AY32" i="20"/>
  <c r="AE32" i="20"/>
  <c r="AM32" i="20"/>
  <c r="AK32" i="20"/>
  <c r="AM386" i="20"/>
  <c r="AG386" i="20"/>
  <c r="AK402" i="35"/>
  <c r="BW402" i="35"/>
  <c r="AQ402" i="35"/>
  <c r="AE78" i="20"/>
  <c r="AM25" i="20"/>
  <c r="V247" i="20"/>
  <c r="X247" i="20" s="1"/>
  <c r="AA377" i="20"/>
  <c r="V322" i="20"/>
  <c r="X322" i="20" s="1"/>
  <c r="AO597" i="20"/>
  <c r="AE533" i="20"/>
  <c r="AK25" i="20"/>
  <c r="U25" i="20"/>
  <c r="AG91" i="20"/>
  <c r="AY25" i="20"/>
  <c r="V603" i="20"/>
  <c r="X603" i="20" s="1"/>
  <c r="AK407" i="35"/>
  <c r="AS407" i="35"/>
  <c r="AW407" i="35"/>
  <c r="AI603" i="20"/>
  <c r="AI442" i="35"/>
  <c r="AS442" i="35"/>
  <c r="AO85" i="35"/>
  <c r="AS145" i="35"/>
  <c r="AS492" i="35"/>
  <c r="AS65" i="35"/>
  <c r="AS328" i="35"/>
  <c r="AS137" i="35"/>
  <c r="AM380" i="35"/>
  <c r="AS187" i="35"/>
  <c r="O9" i="1"/>
  <c r="O152" i="1"/>
  <c r="O116" i="1"/>
  <c r="O17" i="1"/>
  <c r="O147" i="1"/>
  <c r="O138" i="1"/>
  <c r="O47" i="1"/>
  <c r="O64" i="1"/>
  <c r="O181" i="1"/>
  <c r="O63" i="1"/>
  <c r="O197" i="1"/>
  <c r="O57" i="1"/>
  <c r="O6" i="1"/>
  <c r="O153" i="1"/>
  <c r="O128" i="1"/>
  <c r="O18" i="1"/>
  <c r="O21" i="1"/>
  <c r="O29" i="1"/>
  <c r="O56" i="1"/>
  <c r="O94" i="1"/>
  <c r="O133" i="1"/>
  <c r="O27" i="1"/>
  <c r="O167" i="1"/>
  <c r="O118" i="1"/>
  <c r="O88" i="1"/>
  <c r="O176" i="1"/>
  <c r="O84" i="1"/>
  <c r="O49" i="1"/>
  <c r="O177" i="1"/>
  <c r="O70" i="1"/>
  <c r="O184" i="1"/>
  <c r="O141" i="1"/>
  <c r="O136" i="1"/>
  <c r="O46" i="1"/>
  <c r="O13" i="1"/>
  <c r="O129" i="1"/>
  <c r="O203" i="1"/>
  <c r="O148" i="1"/>
  <c r="O25" i="1"/>
  <c r="O165" i="1"/>
  <c r="O170" i="1"/>
  <c r="O93" i="1"/>
  <c r="O54" i="1"/>
  <c r="O204" i="1"/>
  <c r="O159" i="1"/>
  <c r="O108" i="1"/>
  <c r="O53" i="1"/>
  <c r="O190" i="1"/>
  <c r="O110" i="1"/>
  <c r="O145" i="1"/>
  <c r="O123" i="1"/>
  <c r="O162" i="1"/>
  <c r="O202" i="1"/>
  <c r="O169" i="1"/>
  <c r="O115" i="1"/>
  <c r="O193" i="1"/>
  <c r="O182" i="1"/>
  <c r="O117" i="1"/>
  <c r="O82" i="1"/>
  <c r="O59" i="1"/>
  <c r="O196" i="1"/>
  <c r="O45" i="1"/>
  <c r="O35" i="1"/>
  <c r="O102" i="1"/>
  <c r="O143" i="1"/>
  <c r="N4" i="19"/>
  <c r="N3" i="19"/>
  <c r="AB394" i="35" l="1"/>
  <c r="AY521" i="20"/>
  <c r="N3" i="20"/>
  <c r="X558" i="20"/>
  <c r="AS396" i="35"/>
  <c r="AC565" i="20"/>
  <c r="AG449" i="35"/>
  <c r="AE449" i="35"/>
  <c r="BS568" i="20"/>
  <c r="BW449" i="35"/>
  <c r="BC449" i="35"/>
  <c r="AS568" i="20"/>
  <c r="AQ449" i="35"/>
  <c r="AB449" i="35"/>
  <c r="AE518" i="20"/>
  <c r="AO568" i="20"/>
  <c r="AY568" i="20"/>
  <c r="AO449" i="35"/>
  <c r="BA568" i="20"/>
  <c r="AS449" i="35"/>
  <c r="AW449" i="35"/>
  <c r="AI449" i="35"/>
  <c r="AK449" i="35"/>
  <c r="AC524" i="20"/>
  <c r="AO565" i="20"/>
  <c r="AI394" i="35"/>
  <c r="AM524" i="20"/>
  <c r="AS4" i="20"/>
  <c r="AS394" i="20" s="1"/>
  <c r="AQ606" i="20"/>
  <c r="AQ584" i="20"/>
  <c r="BF7" i="23"/>
  <c r="BH7" i="23" s="1"/>
  <c r="BJ7" i="23" s="1"/>
  <c r="BJ10" i="23" s="1"/>
  <c r="AR13" i="39"/>
  <c r="AR14" i="39" s="1"/>
  <c r="O14" i="39" s="1"/>
  <c r="AS571" i="20"/>
  <c r="X568" i="20"/>
  <c r="AG571" i="20"/>
  <c r="AO571" i="20"/>
  <c r="AE566" i="20"/>
  <c r="AQ239" i="20"/>
  <c r="AK571" i="20"/>
  <c r="AI571" i="20"/>
  <c r="AG566" i="20"/>
  <c r="BS571" i="20"/>
  <c r="BA571" i="20"/>
  <c r="AM571" i="20"/>
  <c r="X571" i="20"/>
  <c r="AG568" i="20"/>
  <c r="AQ519" i="20"/>
  <c r="AS551" i="20"/>
  <c r="BS521" i="20"/>
  <c r="AY558" i="20"/>
  <c r="AQ142" i="20"/>
  <c r="AQ74" i="20"/>
  <c r="AM551" i="20"/>
  <c r="AQ581" i="20"/>
  <c r="AQ137" i="20"/>
  <c r="AQ147" i="20"/>
  <c r="AQ210" i="20"/>
  <c r="AY551" i="20"/>
  <c r="AQ345" i="20"/>
  <c r="AQ83" i="20"/>
  <c r="AI551" i="20"/>
  <c r="AQ111" i="20"/>
  <c r="AE551" i="20"/>
  <c r="AQ204" i="20"/>
  <c r="AO551" i="20"/>
  <c r="AQ66" i="20"/>
  <c r="AI521" i="20"/>
  <c r="AQ279" i="20"/>
  <c r="X551" i="20"/>
  <c r="AK521" i="20"/>
  <c r="AQ227" i="20"/>
  <c r="AG551" i="20"/>
  <c r="AQ38" i="20"/>
  <c r="AQ249" i="20"/>
  <c r="AG524" i="20"/>
  <c r="AS521" i="20"/>
  <c r="BS558" i="20"/>
  <c r="X557" i="20"/>
  <c r="AM521" i="20"/>
  <c r="X521" i="20"/>
  <c r="AE565" i="20"/>
  <c r="BC620" i="20"/>
  <c r="AC521" i="20"/>
  <c r="BW400" i="35"/>
  <c r="AE521" i="20"/>
  <c r="AM526" i="20"/>
  <c r="AO521" i="20"/>
  <c r="X526" i="20"/>
  <c r="AG521" i="20"/>
  <c r="AA521" i="20"/>
  <c r="AI524" i="20"/>
  <c r="AE524" i="20"/>
  <c r="AK404" i="35"/>
  <c r="AY565" i="20"/>
  <c r="AO524" i="20"/>
  <c r="AS524" i="20"/>
  <c r="AK524" i="20"/>
  <c r="AA551" i="20"/>
  <c r="AI565" i="20"/>
  <c r="X524" i="20"/>
  <c r="BS551" i="20"/>
  <c r="AG565" i="20"/>
  <c r="BA524" i="20"/>
  <c r="AM568" i="20"/>
  <c r="AY524" i="20"/>
  <c r="AK568" i="20"/>
  <c r="BA551" i="20"/>
  <c r="AI568" i="20"/>
  <c r="BG159" i="35"/>
  <c r="BS566" i="20"/>
  <c r="AA566" i="20"/>
  <c r="AK558" i="20"/>
  <c r="AC571" i="20"/>
  <c r="BG515" i="35"/>
  <c r="BA517" i="20"/>
  <c r="AC558" i="20"/>
  <c r="BG366" i="35"/>
  <c r="BG194" i="35"/>
  <c r="BW448" i="35"/>
  <c r="AI558" i="20"/>
  <c r="BG120" i="35"/>
  <c r="BG41" i="35"/>
  <c r="BG50" i="35"/>
  <c r="BE448" i="35"/>
  <c r="AS558" i="20"/>
  <c r="BG23" i="35"/>
  <c r="BG148" i="35"/>
  <c r="AG448" i="35"/>
  <c r="BG382" i="35"/>
  <c r="BG134" i="35"/>
  <c r="BG101" i="35"/>
  <c r="AQ448" i="35"/>
  <c r="BG344" i="35"/>
  <c r="BG81" i="35"/>
  <c r="AK518" i="20"/>
  <c r="AQ575" i="20"/>
  <c r="AQ208" i="20"/>
  <c r="AQ148" i="20"/>
  <c r="BG56" i="35"/>
  <c r="BG297" i="35"/>
  <c r="AO518" i="20"/>
  <c r="AQ265" i="20"/>
  <c r="BG342" i="35"/>
  <c r="AQ235" i="20"/>
  <c r="BC74" i="20"/>
  <c r="BG368" i="35"/>
  <c r="AQ17" i="20"/>
  <c r="AQ193" i="20"/>
  <c r="AQ404" i="20"/>
  <c r="BG298" i="35"/>
  <c r="AQ651" i="20"/>
  <c r="AQ102" i="20"/>
  <c r="BC23" i="20"/>
  <c r="BG63" i="35"/>
  <c r="AQ642" i="20"/>
  <c r="AQ495" i="20"/>
  <c r="AQ613" i="20"/>
  <c r="BG247" i="35"/>
  <c r="BG44" i="35"/>
  <c r="AQ188" i="20"/>
  <c r="BG356" i="35"/>
  <c r="AQ76" i="20"/>
  <c r="BC267" i="20"/>
  <c r="BG440" i="35"/>
  <c r="X523" i="20"/>
  <c r="AQ472" i="20"/>
  <c r="AQ247" i="20"/>
  <c r="BG301" i="35"/>
  <c r="AQ633" i="20"/>
  <c r="BG506" i="35"/>
  <c r="BG525" i="35"/>
  <c r="BG328" i="35"/>
  <c r="AE571" i="20"/>
  <c r="AA571" i="20"/>
  <c r="BG33" i="35"/>
  <c r="AQ187" i="20"/>
  <c r="AQ23" i="20"/>
  <c r="AQ308" i="20"/>
  <c r="AQ120" i="20"/>
  <c r="BG250" i="35"/>
  <c r="AA523" i="20"/>
  <c r="AQ90" i="20"/>
  <c r="AQ272" i="20"/>
  <c r="AQ624" i="20"/>
  <c r="AQ217" i="20"/>
  <c r="AQ592" i="20"/>
  <c r="AQ10" i="20"/>
  <c r="BG259" i="35"/>
  <c r="AC523" i="20"/>
  <c r="AQ20" i="20"/>
  <c r="AQ500" i="20"/>
  <c r="BG378" i="35"/>
  <c r="AG526" i="20"/>
  <c r="AQ504" i="20"/>
  <c r="AQ16" i="20"/>
  <c r="BG391" i="35"/>
  <c r="AI555" i="20"/>
  <c r="AQ201" i="20"/>
  <c r="AQ200" i="20"/>
  <c r="BG59" i="35"/>
  <c r="BG507" i="35"/>
  <c r="BA526" i="20"/>
  <c r="AA568" i="20"/>
  <c r="AC568" i="20"/>
  <c r="BG70" i="35"/>
  <c r="AQ155" i="20"/>
  <c r="AQ360" i="20"/>
  <c r="AQ19" i="20"/>
  <c r="AQ114" i="20"/>
  <c r="BG467" i="35"/>
  <c r="AQ378" i="20"/>
  <c r="AQ24" i="20"/>
  <c r="BG272" i="35"/>
  <c r="BG518" i="35"/>
  <c r="BG121" i="35"/>
  <c r="BG449" i="35"/>
  <c r="AQ537" i="20"/>
  <c r="AQ13" i="20"/>
  <c r="BG280" i="35"/>
  <c r="AI518" i="20"/>
  <c r="BG24" i="35"/>
  <c r="AA524" i="20"/>
  <c r="AS400" i="35"/>
  <c r="BC98" i="20"/>
  <c r="AE547" i="20"/>
  <c r="BC285" i="20"/>
  <c r="BC609" i="20"/>
  <c r="BC297" i="20"/>
  <c r="BC497" i="20"/>
  <c r="AW400" i="35"/>
  <c r="AK551" i="20"/>
  <c r="BC275" i="20"/>
  <c r="BC42" i="20"/>
  <c r="AO547" i="20"/>
  <c r="BC306" i="20"/>
  <c r="AB400" i="35"/>
  <c r="AM404" i="35"/>
  <c r="BC118" i="20"/>
  <c r="BC441" i="20"/>
  <c r="BC48" i="20"/>
  <c r="AI404" i="35"/>
  <c r="AA547" i="20"/>
  <c r="BC361" i="20"/>
  <c r="AS404" i="35"/>
  <c r="BS547" i="20"/>
  <c r="BE400" i="35"/>
  <c r="BC27" i="20"/>
  <c r="AS547" i="20"/>
  <c r="AG529" i="20"/>
  <c r="BC206" i="20"/>
  <c r="AB404" i="35"/>
  <c r="BG390" i="35"/>
  <c r="AQ139" i="20"/>
  <c r="BG306" i="35"/>
  <c r="BG524" i="35"/>
  <c r="BG350" i="35"/>
  <c r="BG376" i="35"/>
  <c r="BG207" i="35"/>
  <c r="BG336" i="35"/>
  <c r="BG113" i="35"/>
  <c r="BG339" i="35"/>
  <c r="BG238" i="35"/>
  <c r="BG414" i="35"/>
  <c r="BG500" i="35"/>
  <c r="BG471" i="35"/>
  <c r="BG145" i="35"/>
  <c r="BG483" i="35"/>
  <c r="BG459" i="35"/>
  <c r="AM558" i="20"/>
  <c r="BA558" i="20"/>
  <c r="BG341" i="35"/>
  <c r="BS518" i="20"/>
  <c r="BG315" i="35"/>
  <c r="BG117" i="35"/>
  <c r="BG93" i="35"/>
  <c r="BG138" i="35"/>
  <c r="BG45" i="35"/>
  <c r="BG108" i="35"/>
  <c r="BG80" i="35"/>
  <c r="BG132" i="35"/>
  <c r="BC394" i="35"/>
  <c r="BG365" i="35"/>
  <c r="BG27" i="35"/>
  <c r="BG115" i="35"/>
  <c r="BG139" i="35"/>
  <c r="BG18" i="35"/>
  <c r="BG387" i="35"/>
  <c r="BG141" i="35"/>
  <c r="BG508" i="35"/>
  <c r="AS394" i="35"/>
  <c r="AQ220" i="20"/>
  <c r="BG434" i="35"/>
  <c r="AQ526" i="20"/>
  <c r="AQ33" i="20"/>
  <c r="BG318" i="35"/>
  <c r="BG510" i="35"/>
  <c r="BG494" i="35"/>
  <c r="BG291" i="35"/>
  <c r="BG452" i="35"/>
  <c r="BG237" i="35"/>
  <c r="AQ91" i="20"/>
  <c r="AQ424" i="20"/>
  <c r="AQ198" i="20"/>
  <c r="AQ489" i="20"/>
  <c r="AQ580" i="20"/>
  <c r="BA565" i="20"/>
  <c r="AY518" i="20"/>
  <c r="BG431" i="35"/>
  <c r="BG488" i="35"/>
  <c r="BG125" i="35"/>
  <c r="BG463" i="35"/>
  <c r="BG146" i="35"/>
  <c r="BG217" i="35"/>
  <c r="BG393" i="35"/>
  <c r="BG202" i="35"/>
  <c r="AS448" i="35"/>
  <c r="X547" i="20"/>
  <c r="AI523" i="20"/>
  <c r="AQ238" i="20"/>
  <c r="AQ339" i="20"/>
  <c r="AQ514" i="20"/>
  <c r="AQ511" i="20"/>
  <c r="AQ327" i="20"/>
  <c r="AQ173" i="20"/>
  <c r="AO570" i="20"/>
  <c r="BG163" i="35"/>
  <c r="BG111" i="35"/>
  <c r="BG38" i="35"/>
  <c r="BG277" i="35"/>
  <c r="BG399" i="35"/>
  <c r="BG428" i="35"/>
  <c r="BG519" i="35"/>
  <c r="BG243" i="35"/>
  <c r="AY526" i="20"/>
  <c r="BG167" i="35"/>
  <c r="BG489" i="35"/>
  <c r="BG527" i="35"/>
  <c r="AK526" i="20"/>
  <c r="BS564" i="20"/>
  <c r="BG357" i="35"/>
  <c r="BG203" i="35"/>
  <c r="BG212" i="35"/>
  <c r="BG171" i="35"/>
  <c r="BG32" i="35"/>
  <c r="BG287" i="35"/>
  <c r="BG282" i="35"/>
  <c r="BG477" i="35"/>
  <c r="BG85" i="35"/>
  <c r="BA518" i="20"/>
  <c r="X518" i="20"/>
  <c r="BG392" i="35"/>
  <c r="BG157" i="35"/>
  <c r="AE448" i="35"/>
  <c r="AM547" i="20"/>
  <c r="AQ96" i="20"/>
  <c r="BG347" i="35"/>
  <c r="BG279" i="35"/>
  <c r="AQ94" i="20"/>
  <c r="AQ82" i="20"/>
  <c r="BG380" i="35"/>
  <c r="BG260" i="35"/>
  <c r="BG30" i="35"/>
  <c r="AQ428" i="20"/>
  <c r="AQ331" i="20"/>
  <c r="AQ534" i="20"/>
  <c r="BG258" i="35"/>
  <c r="BG218" i="35"/>
  <c r="BG353" i="35"/>
  <c r="BG314" i="35"/>
  <c r="BG69" i="35"/>
  <c r="BG402" i="35"/>
  <c r="BG34" i="35"/>
  <c r="BC448" i="35"/>
  <c r="BA547" i="20"/>
  <c r="BS523" i="20"/>
  <c r="AQ380" i="20"/>
  <c r="AQ610" i="20"/>
  <c r="AQ131" i="20"/>
  <c r="AQ634" i="20"/>
  <c r="AQ650" i="20"/>
  <c r="AQ205" i="20"/>
  <c r="AI570" i="20"/>
  <c r="BG422" i="35"/>
  <c r="BG65" i="35"/>
  <c r="BG161" i="35"/>
  <c r="BG215" i="35"/>
  <c r="BG311" i="35"/>
  <c r="BG299" i="35"/>
  <c r="BG235" i="35"/>
  <c r="BG170" i="35"/>
  <c r="BG444" i="35"/>
  <c r="BG308" i="35"/>
  <c r="BG58" i="35"/>
  <c r="BG409" i="35"/>
  <c r="BG155" i="35"/>
  <c r="BG233" i="35"/>
  <c r="BG379" i="35"/>
  <c r="BG20" i="35"/>
  <c r="BG107" i="35"/>
  <c r="BG172" i="35"/>
  <c r="BG54" i="35"/>
  <c r="BG7" i="35"/>
  <c r="BG221" i="35"/>
  <c r="BG90" i="35"/>
  <c r="BG169" i="35"/>
  <c r="BG470" i="35"/>
  <c r="BG144" i="35"/>
  <c r="BG37" i="35"/>
  <c r="BG252" i="35"/>
  <c r="AB448" i="35"/>
  <c r="AG547" i="20"/>
  <c r="BG404" i="35"/>
  <c r="BG64" i="35"/>
  <c r="BG165" i="35"/>
  <c r="AQ543" i="20"/>
  <c r="BG338" i="35"/>
  <c r="AQ376" i="20"/>
  <c r="AO517" i="20"/>
  <c r="AQ389" i="20"/>
  <c r="AQ535" i="20"/>
  <c r="AQ577" i="20"/>
  <c r="BG248" i="35"/>
  <c r="BG373" i="35"/>
  <c r="AQ582" i="20"/>
  <c r="AQ153" i="20"/>
  <c r="AQ267" i="20"/>
  <c r="BG499" i="35"/>
  <c r="BG142" i="35"/>
  <c r="BG377" i="35"/>
  <c r="BG249" i="35"/>
  <c r="R6" i="23"/>
  <c r="H3" i="23" s="1"/>
  <c r="H4" i="23" s="1"/>
  <c r="AG558" i="20"/>
  <c r="BG126" i="35"/>
  <c r="AQ228" i="20"/>
  <c r="AQ486" i="20"/>
  <c r="AQ34" i="20"/>
  <c r="AQ328" i="20"/>
  <c r="AQ284" i="20"/>
  <c r="AQ426" i="20"/>
  <c r="AQ476" i="20"/>
  <c r="X565" i="20"/>
  <c r="BG509" i="35"/>
  <c r="BG374" i="35"/>
  <c r="BG262" i="35"/>
  <c r="BG29" i="35"/>
  <c r="BG334" i="35"/>
  <c r="BG321" i="35"/>
  <c r="BG384" i="35"/>
  <c r="BG84" i="35"/>
  <c r="BG448" i="35"/>
  <c r="AM523" i="20"/>
  <c r="AQ42" i="20"/>
  <c r="AQ446" i="20"/>
  <c r="AQ348" i="20"/>
  <c r="AQ318" i="20"/>
  <c r="AQ170" i="20"/>
  <c r="AQ367" i="20"/>
  <c r="AS570" i="20"/>
  <c r="BG55" i="35"/>
  <c r="BG288" i="35"/>
  <c r="BG352" i="35"/>
  <c r="BG410" i="35"/>
  <c r="BG375" i="35"/>
  <c r="BG242" i="35"/>
  <c r="BG123" i="35"/>
  <c r="BG367" i="35"/>
  <c r="AA529" i="20"/>
  <c r="AA518" i="20"/>
  <c r="BG340" i="35"/>
  <c r="AE558" i="20"/>
  <c r="BG307" i="35"/>
  <c r="AC547" i="20"/>
  <c r="AS518" i="20"/>
  <c r="BG517" i="35"/>
  <c r="BG396" i="35"/>
  <c r="AQ71" i="20"/>
  <c r="AQ261" i="20"/>
  <c r="AQ433" i="20"/>
  <c r="AQ612" i="20"/>
  <c r="AQ9" i="20"/>
  <c r="BG201" i="35"/>
  <c r="AW448" i="35"/>
  <c r="AQ242" i="20"/>
  <c r="AQ115" i="20"/>
  <c r="BG39" i="35"/>
  <c r="AQ259" i="20"/>
  <c r="BG284" i="35"/>
  <c r="BG154" i="35"/>
  <c r="BG358" i="35"/>
  <c r="BG359" i="35"/>
  <c r="BG52" i="35"/>
  <c r="BG479" i="35"/>
  <c r="BG453" i="35"/>
  <c r="BG265" i="35"/>
  <c r="BG164" i="35"/>
  <c r="BG228" i="35"/>
  <c r="BG386" i="35"/>
  <c r="BG475" i="35"/>
  <c r="BG411" i="35"/>
  <c r="BG442" i="35"/>
  <c r="BG177" i="35"/>
  <c r="BG223" i="35"/>
  <c r="BG478" i="35"/>
  <c r="BW394" i="35"/>
  <c r="BW439" i="35"/>
  <c r="BG322" i="35"/>
  <c r="BG26" i="35"/>
  <c r="BG319" i="35"/>
  <c r="BG127" i="35"/>
  <c r="BG316" i="35"/>
  <c r="BG420" i="35"/>
  <c r="AQ124" i="20"/>
  <c r="AQ175" i="20"/>
  <c r="BG130" i="35"/>
  <c r="BG441" i="35"/>
  <c r="AI547" i="20"/>
  <c r="AQ607" i="20"/>
  <c r="AQ319" i="20"/>
  <c r="AQ53" i="20"/>
  <c r="AQ458" i="20"/>
  <c r="BG199" i="35"/>
  <c r="BG152" i="35"/>
  <c r="BG185" i="35"/>
  <c r="BG151" i="35"/>
  <c r="BG204" i="35"/>
  <c r="BG451" i="35"/>
  <c r="BG135" i="35"/>
  <c r="AI448" i="35"/>
  <c r="AM448" i="35"/>
  <c r="AK523" i="20"/>
  <c r="AQ632" i="20"/>
  <c r="AQ181" i="20"/>
  <c r="AQ125" i="20"/>
  <c r="AQ203" i="20"/>
  <c r="AQ448" i="20"/>
  <c r="AG394" i="35"/>
  <c r="AK570" i="20"/>
  <c r="BG25" i="35"/>
  <c r="BG337" i="35"/>
  <c r="BG495" i="35"/>
  <c r="BG104" i="35"/>
  <c r="BG468" i="35"/>
  <c r="AI441" i="35"/>
  <c r="AA549" i="20"/>
  <c r="AG518" i="20"/>
  <c r="BS570" i="20"/>
  <c r="AQ544" i="20"/>
  <c r="AQ301" i="20"/>
  <c r="AQ289" i="20"/>
  <c r="AQ50" i="20"/>
  <c r="AQ402" i="20"/>
  <c r="BG188" i="35"/>
  <c r="BG83" i="35"/>
  <c r="BG270" i="35"/>
  <c r="BG100" i="35"/>
  <c r="BG394" i="35"/>
  <c r="BG361" i="35"/>
  <c r="BG71" i="35"/>
  <c r="BG225" i="35"/>
  <c r="AO448" i="35"/>
  <c r="AQ394" i="35"/>
  <c r="AE523" i="20"/>
  <c r="AQ230" i="20"/>
  <c r="AQ104" i="20"/>
  <c r="AQ55" i="20"/>
  <c r="AQ487" i="20"/>
  <c r="AQ377" i="20"/>
  <c r="AY570" i="20"/>
  <c r="BG275" i="35"/>
  <c r="BG119" i="35"/>
  <c r="BG180" i="35"/>
  <c r="BG424" i="35"/>
  <c r="BG234" i="35"/>
  <c r="BG168" i="35"/>
  <c r="BA529" i="20"/>
  <c r="AS549" i="20"/>
  <c r="AC518" i="20"/>
  <c r="BG372" i="35"/>
  <c r="BG8" i="35"/>
  <c r="BG196" i="35"/>
  <c r="AO558" i="20"/>
  <c r="BG295" i="35"/>
  <c r="BC40" i="20"/>
  <c r="BC606" i="20"/>
  <c r="BC171" i="20"/>
  <c r="BC319" i="20"/>
  <c r="BC99" i="20"/>
  <c r="BC62" i="20"/>
  <c r="BC413" i="20"/>
  <c r="BC168" i="20"/>
  <c r="BC250" i="20"/>
  <c r="BC421" i="20"/>
  <c r="BC153" i="20"/>
  <c r="AA559" i="20"/>
  <c r="AG559" i="20"/>
  <c r="AC559" i="20"/>
  <c r="BC117" i="20"/>
  <c r="BC576" i="20"/>
  <c r="BC280" i="20"/>
  <c r="BC491" i="20"/>
  <c r="BC375" i="20"/>
  <c r="BC55" i="20"/>
  <c r="BC20" i="20"/>
  <c r="BC619" i="20"/>
  <c r="BC423" i="20"/>
  <c r="BC409" i="20"/>
  <c r="BC635" i="20"/>
  <c r="BC177" i="20"/>
  <c r="BC155" i="20"/>
  <c r="BC8" i="20"/>
  <c r="BC180" i="20"/>
  <c r="BC24" i="20"/>
  <c r="BC240" i="20"/>
  <c r="BC352" i="20"/>
  <c r="BC215" i="20"/>
  <c r="AA522" i="20"/>
  <c r="BA522" i="20"/>
  <c r="AC522" i="20"/>
  <c r="AY522" i="20"/>
  <c r="AE522" i="20"/>
  <c r="X522" i="20"/>
  <c r="BS522" i="20"/>
  <c r="AG522" i="20"/>
  <c r="AS522" i="20"/>
  <c r="AI522" i="20"/>
  <c r="AM522" i="20"/>
  <c r="BC611" i="20"/>
  <c r="BC368" i="20"/>
  <c r="BC622" i="20"/>
  <c r="BC532" i="20"/>
  <c r="BC213" i="20"/>
  <c r="BC312" i="20"/>
  <c r="AO528" i="20"/>
  <c r="BA528" i="20"/>
  <c r="BC592" i="20"/>
  <c r="BC174" i="20"/>
  <c r="BC119" i="20"/>
  <c r="BC610" i="20"/>
  <c r="BC290" i="20"/>
  <c r="BC543" i="20"/>
  <c r="BC186" i="20"/>
  <c r="BC331" i="20"/>
  <c r="BC431" i="20"/>
  <c r="BC455" i="20"/>
  <c r="BC617" i="20"/>
  <c r="BC129" i="20"/>
  <c r="BC66" i="20"/>
  <c r="BC104" i="20"/>
  <c r="AK520" i="20"/>
  <c r="AO522" i="20"/>
  <c r="BC135" i="20"/>
  <c r="BC65" i="20"/>
  <c r="BC101" i="20"/>
  <c r="BC164" i="20"/>
  <c r="BC47" i="20"/>
  <c r="BC512" i="20"/>
  <c r="BC349" i="20"/>
  <c r="BC130" i="20"/>
  <c r="BC255" i="20"/>
  <c r="BC156" i="20"/>
  <c r="BC14" i="20"/>
  <c r="BC378" i="20"/>
  <c r="BC549" i="20"/>
  <c r="BC292" i="20"/>
  <c r="BC478" i="20"/>
  <c r="BC88" i="20"/>
  <c r="BC172" i="20"/>
  <c r="BC123" i="20"/>
  <c r="BC399" i="20"/>
  <c r="BC313" i="20"/>
  <c r="BC571" i="20"/>
  <c r="BC107" i="20"/>
  <c r="BC218" i="20"/>
  <c r="BC176" i="20"/>
  <c r="BC531" i="20"/>
  <c r="BC418" i="20"/>
  <c r="BC380" i="20"/>
  <c r="BC589" i="20"/>
  <c r="BC477" i="20"/>
  <c r="BC367" i="20"/>
  <c r="BC268" i="20"/>
  <c r="BC595" i="20"/>
  <c r="BC224" i="20"/>
  <c r="BC165" i="20"/>
  <c r="BC499" i="20"/>
  <c r="BC304" i="20"/>
  <c r="BC612" i="20"/>
  <c r="BC628" i="20"/>
  <c r="BC21" i="20"/>
  <c r="BE4" i="20"/>
  <c r="BE382" i="20" s="1"/>
  <c r="BC396" i="20"/>
  <c r="BC9" i="20"/>
  <c r="BC470" i="20"/>
  <c r="BC75" i="20"/>
  <c r="BC147" i="20"/>
  <c r="BC26" i="20"/>
  <c r="BC274" i="20"/>
  <c r="BC167" i="20"/>
  <c r="BC513" i="20"/>
  <c r="BC161" i="20"/>
  <c r="BC414" i="20"/>
  <c r="BC615" i="20"/>
  <c r="BC214" i="20"/>
  <c r="BC93" i="20"/>
  <c r="BC69" i="20"/>
  <c r="BC225" i="20"/>
  <c r="BC169" i="20"/>
  <c r="BC60" i="20"/>
  <c r="BC541" i="20"/>
  <c r="BC561" i="20"/>
  <c r="BC354" i="20"/>
  <c r="BC429" i="20"/>
  <c r="BC31" i="20"/>
  <c r="BC148" i="20"/>
  <c r="BC137" i="20"/>
  <c r="BC166" i="20"/>
  <c r="BC640" i="20"/>
  <c r="BC158" i="20"/>
  <c r="BC79" i="20"/>
  <c r="BC15" i="20"/>
  <c r="BC600" i="20"/>
  <c r="BC496" i="20"/>
  <c r="BC439" i="20"/>
  <c r="BC22" i="20"/>
  <c r="BC323" i="20"/>
  <c r="BC249" i="20"/>
  <c r="BC437" i="20"/>
  <c r="BC432" i="20"/>
  <c r="BC310" i="20"/>
  <c r="BC322" i="20"/>
  <c r="BC631" i="20"/>
  <c r="BC261" i="20"/>
  <c r="BC314" i="20"/>
  <c r="BC11" i="20"/>
  <c r="BC277" i="20"/>
  <c r="BC212" i="20"/>
  <c r="BC199" i="20"/>
  <c r="BC136" i="20"/>
  <c r="BC473" i="20"/>
  <c r="BC548" i="20"/>
  <c r="BC410" i="20"/>
  <c r="BC630" i="20"/>
  <c r="BC178" i="20"/>
  <c r="BC373" i="20"/>
  <c r="BC417" i="20"/>
  <c r="BC460" i="20"/>
  <c r="BC89" i="20"/>
  <c r="BC134" i="20"/>
  <c r="BC526" i="20"/>
  <c r="BC650" i="20"/>
  <c r="BC604" i="20"/>
  <c r="BC577" i="20"/>
  <c r="BC196" i="20"/>
  <c r="BC77" i="20"/>
  <c r="BC597" i="20"/>
  <c r="BC269" i="20"/>
  <c r="BC580" i="20"/>
  <c r="BC372" i="20"/>
  <c r="BC328" i="20"/>
  <c r="BC493" i="20"/>
  <c r="BC501" i="20"/>
  <c r="BC327" i="20"/>
  <c r="BC133" i="20"/>
  <c r="BC376" i="20"/>
  <c r="BC467" i="20"/>
  <c r="BC173" i="20"/>
  <c r="BC563" i="20"/>
  <c r="BC359" i="20"/>
  <c r="BC438" i="20"/>
  <c r="BC90" i="20"/>
  <c r="BC639" i="20"/>
  <c r="BC379" i="20"/>
  <c r="BC63" i="20"/>
  <c r="BC594" i="20"/>
  <c r="BC529" i="20"/>
  <c r="BC278" i="20"/>
  <c r="BC509" i="20"/>
  <c r="BC138" i="20"/>
  <c r="BC524" i="20"/>
  <c r="BC587" i="20"/>
  <c r="BC194" i="20"/>
  <c r="BC192" i="20"/>
  <c r="BC245" i="20"/>
  <c r="BC520" i="20"/>
  <c r="BC288" i="20"/>
  <c r="BC112" i="20"/>
  <c r="BC252" i="20"/>
  <c r="BC308" i="20"/>
  <c r="BC18" i="20"/>
  <c r="BC457" i="20"/>
  <c r="BC425" i="20"/>
  <c r="BC187" i="20"/>
  <c r="BC565" i="20"/>
  <c r="BC459" i="20"/>
  <c r="BC49" i="20"/>
  <c r="BC484" i="20"/>
  <c r="BC591" i="20"/>
  <c r="BC113" i="20"/>
  <c r="BC246" i="20"/>
  <c r="BC560" i="20"/>
  <c r="BC204" i="20"/>
  <c r="BC262" i="20"/>
  <c r="BC505" i="20"/>
  <c r="BC387" i="20"/>
  <c r="BC38" i="20"/>
  <c r="BC124" i="20"/>
  <c r="BC601" i="20"/>
  <c r="BC29" i="20"/>
  <c r="BC244" i="20"/>
  <c r="BC602" i="20"/>
  <c r="BC472" i="20"/>
  <c r="BC386" i="20"/>
  <c r="BC528" i="20"/>
  <c r="BC302" i="20"/>
  <c r="BC623" i="20"/>
  <c r="BC13" i="20"/>
  <c r="BC294" i="20"/>
  <c r="BC266" i="20"/>
  <c r="BC53" i="20"/>
  <c r="BC492" i="20"/>
  <c r="BC336" i="20"/>
  <c r="BC185" i="20"/>
  <c r="BC381" i="20"/>
  <c r="BC81" i="20"/>
  <c r="BC555" i="20"/>
  <c r="BC449" i="20"/>
  <c r="BC647" i="20"/>
  <c r="BC374" i="20"/>
  <c r="BC157" i="20"/>
  <c r="BC356" i="20"/>
  <c r="BC335" i="20"/>
  <c r="BC350" i="20"/>
  <c r="BC91" i="20"/>
  <c r="BC25" i="20"/>
  <c r="BC342" i="20"/>
  <c r="BC369" i="20"/>
  <c r="BC295" i="20"/>
  <c r="BC500" i="20"/>
  <c r="BC363" i="20"/>
  <c r="BC456" i="20"/>
  <c r="BC566" i="20"/>
  <c r="BC311" i="20"/>
  <c r="BC217" i="20"/>
  <c r="BC195" i="20"/>
  <c r="BC578" i="20"/>
  <c r="BC232" i="20"/>
  <c r="BC527" i="20"/>
  <c r="BC170" i="20"/>
  <c r="BC568" i="20"/>
  <c r="BC383" i="20"/>
  <c r="BC235" i="20"/>
  <c r="BC355" i="20"/>
  <c r="BC202" i="20"/>
  <c r="BC652" i="20"/>
  <c r="BC96" i="20"/>
  <c r="BC462" i="20"/>
  <c r="BC102" i="20"/>
  <c r="BC428" i="20"/>
  <c r="BC454" i="20"/>
  <c r="BC451" i="20"/>
  <c r="BC263" i="20"/>
  <c r="BC58" i="20"/>
  <c r="BC116" i="20"/>
  <c r="BC258" i="20"/>
  <c r="BC339" i="20"/>
  <c r="BC546" i="20"/>
  <c r="BC539" i="20"/>
  <c r="BC211" i="20"/>
  <c r="BC482" i="20"/>
  <c r="BC649" i="20"/>
  <c r="BC333" i="20"/>
  <c r="BC82" i="20"/>
  <c r="BC71" i="20"/>
  <c r="BC121" i="20"/>
  <c r="BC382" i="20"/>
  <c r="BC598" i="20"/>
  <c r="BC636" i="20"/>
  <c r="BC644" i="20"/>
  <c r="BC45" i="20"/>
  <c r="BC151" i="20"/>
  <c r="BC534" i="20"/>
  <c r="BC85" i="20"/>
  <c r="BC325" i="20"/>
  <c r="BC35" i="20"/>
  <c r="BC490" i="20"/>
  <c r="BC605" i="20"/>
  <c r="BC115" i="20"/>
  <c r="BC495" i="20"/>
  <c r="BC585" i="20"/>
  <c r="BC447" i="20"/>
  <c r="BC145" i="20"/>
  <c r="BC236" i="20"/>
  <c r="BC223" i="20"/>
  <c r="BC521" i="20"/>
  <c r="BC341" i="20"/>
  <c r="BC590" i="20"/>
  <c r="BC317" i="20"/>
  <c r="BC253" i="20"/>
  <c r="BC46" i="20"/>
  <c r="BC183" i="20"/>
  <c r="BC377" i="20"/>
  <c r="BC584" i="20"/>
  <c r="BC407" i="20"/>
  <c r="BC127" i="20"/>
  <c r="BC105" i="20"/>
  <c r="BC625" i="20"/>
  <c r="BC574" i="20"/>
  <c r="BC247" i="20"/>
  <c r="BC648" i="20"/>
  <c r="BC193" i="20"/>
  <c r="BC73" i="20"/>
  <c r="BC83" i="20"/>
  <c r="BC330" i="20"/>
  <c r="BC332" i="20"/>
  <c r="BC37" i="20"/>
  <c r="BC458" i="20"/>
  <c r="BC125" i="20"/>
  <c r="BC498" i="20"/>
  <c r="BC248" i="20"/>
  <c r="BC416" i="20"/>
  <c r="BC646" i="20"/>
  <c r="BC97" i="20"/>
  <c r="BC626" i="20"/>
  <c r="BC402" i="20"/>
  <c r="BC537" i="20"/>
  <c r="BC593" i="20"/>
  <c r="BC348" i="20"/>
  <c r="BC316" i="20"/>
  <c r="BC210" i="20"/>
  <c r="BC72" i="20"/>
  <c r="BC309" i="20"/>
  <c r="BC68" i="20"/>
  <c r="BC19" i="20"/>
  <c r="BC371" i="20"/>
  <c r="BC357" i="20"/>
  <c r="BC468" i="20"/>
  <c r="BC388" i="20"/>
  <c r="BC146" i="20"/>
  <c r="BC572" i="20"/>
  <c r="BC408" i="20"/>
  <c r="BC334" i="20"/>
  <c r="BC84" i="20"/>
  <c r="BC43" i="20"/>
  <c r="BC28" i="20"/>
  <c r="BC273" i="20"/>
  <c r="BC67" i="20"/>
  <c r="BC270" i="20"/>
  <c r="BC422" i="20"/>
  <c r="BC100" i="20"/>
  <c r="BC621" i="20"/>
  <c r="BC12" i="20"/>
  <c r="BC550" i="20"/>
  <c r="BC92" i="20"/>
  <c r="BC51" i="20"/>
  <c r="BC424" i="20"/>
  <c r="BC44" i="20"/>
  <c r="BC203" i="20"/>
  <c r="BC242" i="20"/>
  <c r="BC16" i="20"/>
  <c r="BC362" i="20"/>
  <c r="BC570" i="20"/>
  <c r="BC415" i="20"/>
  <c r="BC557" i="20"/>
  <c r="BC114" i="20"/>
  <c r="BC94" i="20"/>
  <c r="BC404" i="20"/>
  <c r="BC575" i="20"/>
  <c r="BC57" i="20"/>
  <c r="BC227" i="20"/>
  <c r="BC479" i="20"/>
  <c r="BC433" i="20"/>
  <c r="BC307" i="20"/>
  <c r="BC109" i="20"/>
  <c r="BC291" i="20"/>
  <c r="BC487" i="20"/>
  <c r="BC430" i="20"/>
  <c r="BC197" i="20"/>
  <c r="BC347" i="20"/>
  <c r="BC641" i="20"/>
  <c r="BC216" i="20"/>
  <c r="BC506" i="20"/>
  <c r="BC54" i="20"/>
  <c r="BC7" i="20"/>
  <c r="BC80" i="20"/>
  <c r="BC538" i="20"/>
  <c r="BC243" i="20"/>
  <c r="BC175" i="20"/>
  <c r="BC581" i="20"/>
  <c r="BC394" i="20"/>
  <c r="BC108" i="20"/>
  <c r="BC442" i="20"/>
  <c r="BC366" i="20"/>
  <c r="BC337" i="20"/>
  <c r="BC582" i="20"/>
  <c r="BC184" i="20"/>
  <c r="BC324" i="20"/>
  <c r="BC638" i="20"/>
  <c r="BC444" i="20"/>
  <c r="BC511" i="20"/>
  <c r="BC365" i="20"/>
  <c r="BC234" i="20"/>
  <c r="BC364" i="20"/>
  <c r="BC411" i="20"/>
  <c r="BC384" i="20"/>
  <c r="BC305" i="20"/>
  <c r="BC579" i="20"/>
  <c r="BC440" i="20"/>
  <c r="BC160" i="20"/>
  <c r="BC122" i="20"/>
  <c r="BC489" i="20"/>
  <c r="BC265" i="20"/>
  <c r="BC642" i="20"/>
  <c r="BC86" i="20"/>
  <c r="BC400" i="20"/>
  <c r="BC300" i="20"/>
  <c r="BC162" i="20"/>
  <c r="BC345" i="20"/>
  <c r="BC426" i="20"/>
  <c r="BC403" i="20"/>
  <c r="BC515" i="20"/>
  <c r="BC346" i="20"/>
  <c r="BC338" i="20"/>
  <c r="BC494" i="20"/>
  <c r="BC318" i="20"/>
  <c r="BC321" i="20"/>
  <c r="BC391" i="20"/>
  <c r="BC50" i="20"/>
  <c r="BC179" i="20"/>
  <c r="BC553" i="20"/>
  <c r="BC435" i="20"/>
  <c r="BC182" i="20"/>
  <c r="BC231" i="20"/>
  <c r="BC397" i="20"/>
  <c r="BC343" i="20"/>
  <c r="BC221" i="20"/>
  <c r="BC469" i="20"/>
  <c r="BC289" i="20"/>
  <c r="BC446" i="20"/>
  <c r="AY520" i="20"/>
  <c r="AO520" i="20"/>
  <c r="AS520" i="20"/>
  <c r="AA520" i="20"/>
  <c r="BC264" i="20"/>
  <c r="BC627" i="20"/>
  <c r="BC159" i="20"/>
  <c r="BC632" i="20"/>
  <c r="BC464" i="20"/>
  <c r="BC420" i="20"/>
  <c r="BC530" i="20"/>
  <c r="BC271" i="20"/>
  <c r="AO561" i="20"/>
  <c r="AC561" i="20"/>
  <c r="AM561" i="20"/>
  <c r="X561" i="20"/>
  <c r="AA561" i="20"/>
  <c r="BC406" i="20"/>
  <c r="BC507" i="20"/>
  <c r="BC32" i="20"/>
  <c r="BC474" i="20"/>
  <c r="BC633" i="20"/>
  <c r="BC395" i="20"/>
  <c r="BC510" i="20"/>
  <c r="BC241" i="20"/>
  <c r="BC480" i="20"/>
  <c r="BC10" i="20"/>
  <c r="BC111" i="20"/>
  <c r="AM520" i="20"/>
  <c r="BA520" i="20"/>
  <c r="AY528" i="20"/>
  <c r="BC556" i="20"/>
  <c r="AI520" i="20"/>
  <c r="BC516" i="20"/>
  <c r="BC110" i="20"/>
  <c r="BC149" i="20"/>
  <c r="BC599" i="20"/>
  <c r="BC583" i="20"/>
  <c r="BC229" i="20"/>
  <c r="BC398" i="20"/>
  <c r="BC103" i="20"/>
  <c r="BC637" i="20"/>
  <c r="BC616" i="20"/>
  <c r="BC282" i="20"/>
  <c r="BC284" i="20"/>
  <c r="BC259" i="20"/>
  <c r="BC52" i="20"/>
  <c r="BC70" i="20"/>
  <c r="BC36" i="20"/>
  <c r="BC120" i="20"/>
  <c r="BC64" i="20"/>
  <c r="BC144" i="20"/>
  <c r="BC61" i="20"/>
  <c r="BC448" i="20"/>
  <c r="BC201" i="20"/>
  <c r="BC624" i="20"/>
  <c r="BC465" i="20"/>
  <c r="BC131" i="20"/>
  <c r="BC209" i="20"/>
  <c r="BC230" i="20"/>
  <c r="BC226" i="20"/>
  <c r="BC287" i="20"/>
  <c r="BC360" i="20"/>
  <c r="BC471" i="20"/>
  <c r="BC463" i="20"/>
  <c r="BC56" i="20"/>
  <c r="BC588" i="20"/>
  <c r="BC518" i="20"/>
  <c r="BC596" i="20"/>
  <c r="BC522" i="20"/>
  <c r="AK522" i="20"/>
  <c r="BC238" i="20"/>
  <c r="BC634" i="20"/>
  <c r="BC419" i="20"/>
  <c r="BC34" i="20"/>
  <c r="BC533" i="20"/>
  <c r="BC220" i="20"/>
  <c r="BC614" i="20"/>
  <c r="BC607" i="20"/>
  <c r="BC200" i="20"/>
  <c r="BC239" i="20"/>
  <c r="BC154" i="20"/>
  <c r="BC443" i="20"/>
  <c r="BC453" i="20"/>
  <c r="BC544" i="20"/>
  <c r="BC140" i="20"/>
  <c r="BC139" i="20"/>
  <c r="BC329" i="20"/>
  <c r="BC405" i="20"/>
  <c r="BC525" i="20"/>
  <c r="BC189" i="20"/>
  <c r="BC485" i="20"/>
  <c r="BC608" i="20"/>
  <c r="BC643" i="20"/>
  <c r="BC41" i="20"/>
  <c r="BC436" i="20"/>
  <c r="AE559" i="20"/>
  <c r="BC59" i="20"/>
  <c r="BC629" i="20"/>
  <c r="AQ420" i="20"/>
  <c r="AQ338" i="20"/>
  <c r="AQ492" i="20"/>
  <c r="AQ611" i="20"/>
  <c r="AQ117" i="20"/>
  <c r="AQ269" i="20"/>
  <c r="AQ215" i="20"/>
  <c r="AQ63" i="20"/>
  <c r="AQ513" i="20"/>
  <c r="AQ112" i="20"/>
  <c r="AQ615" i="20"/>
  <c r="AQ241" i="20"/>
  <c r="AQ506" i="20"/>
  <c r="AQ477" i="20"/>
  <c r="AQ299" i="20"/>
  <c r="AQ644" i="20"/>
  <c r="AQ464" i="20"/>
  <c r="AQ141" i="20"/>
  <c r="AQ617" i="20"/>
  <c r="AQ375" i="20"/>
  <c r="AQ324" i="20"/>
  <c r="AQ451" i="20"/>
  <c r="AQ255" i="20"/>
  <c r="AQ251" i="20"/>
  <c r="AQ594" i="20"/>
  <c r="AQ520" i="20"/>
  <c r="AQ436" i="20"/>
  <c r="AQ388" i="20"/>
  <c r="AQ11" i="20"/>
  <c r="AQ382" i="20"/>
  <c r="AQ277" i="20"/>
  <c r="AQ336" i="20"/>
  <c r="AQ65" i="20"/>
  <c r="AQ281" i="20"/>
  <c r="AQ454" i="20"/>
  <c r="AQ107" i="20"/>
  <c r="AQ639" i="20"/>
  <c r="AQ156" i="20"/>
  <c r="AQ36" i="20"/>
  <c r="AQ168" i="20"/>
  <c r="AQ629" i="20"/>
  <c r="AQ391" i="20"/>
  <c r="AQ143" i="20"/>
  <c r="AQ466" i="20"/>
  <c r="AQ172" i="20"/>
  <c r="AQ530" i="20"/>
  <c r="AQ294" i="20"/>
  <c r="AQ212" i="20"/>
  <c r="AQ559" i="20"/>
  <c r="AQ355" i="20"/>
  <c r="AQ191" i="20"/>
  <c r="AQ149" i="20"/>
  <c r="AQ232" i="20"/>
  <c r="AQ273" i="20"/>
  <c r="AQ599" i="20"/>
  <c r="AQ455" i="20"/>
  <c r="AQ551" i="20"/>
  <c r="AQ499" i="20"/>
  <c r="AQ296" i="20"/>
  <c r="AQ123" i="20"/>
  <c r="AQ598" i="20"/>
  <c r="AQ439" i="20"/>
  <c r="AQ276" i="20"/>
  <c r="AQ100" i="20"/>
  <c r="AQ649" i="20"/>
  <c r="AQ282" i="20"/>
  <c r="AQ459" i="20"/>
  <c r="AQ262" i="20"/>
  <c r="AQ387" i="20"/>
  <c r="AQ132" i="20"/>
  <c r="AQ614" i="20"/>
  <c r="AQ609" i="20"/>
  <c r="AQ405" i="20"/>
  <c r="AQ410" i="20"/>
  <c r="AQ223" i="20"/>
  <c r="AQ626" i="20"/>
  <c r="AQ177" i="20"/>
  <c r="AQ522" i="20"/>
  <c r="AQ596" i="20"/>
  <c r="AQ171" i="20"/>
  <c r="AQ412" i="20"/>
  <c r="AQ538" i="20"/>
  <c r="AQ307" i="20"/>
  <c r="AQ39" i="20"/>
  <c r="AQ292" i="20"/>
  <c r="AQ18" i="20"/>
  <c r="AQ565" i="20"/>
  <c r="AQ631" i="20"/>
  <c r="AQ542" i="20"/>
  <c r="AQ347" i="20"/>
  <c r="AQ406" i="20"/>
  <c r="AQ652" i="20"/>
  <c r="AQ512" i="20"/>
  <c r="AQ161" i="20"/>
  <c r="AQ160" i="20"/>
  <c r="AQ630" i="20"/>
  <c r="AQ432" i="20"/>
  <c r="AQ283" i="20"/>
  <c r="AQ119" i="20"/>
  <c r="AQ252" i="20"/>
  <c r="AQ110" i="20"/>
  <c r="AQ150" i="20"/>
  <c r="AQ309" i="20"/>
  <c r="AQ600" i="20"/>
  <c r="AQ85" i="20"/>
  <c r="AQ445" i="20"/>
  <c r="AQ216" i="20"/>
  <c r="AQ222" i="20"/>
  <c r="AQ546" i="20"/>
  <c r="AQ416" i="20"/>
  <c r="AQ460" i="20"/>
  <c r="AQ320" i="20"/>
  <c r="AQ383" i="20"/>
  <c r="AQ49" i="20"/>
  <c r="AQ291" i="20"/>
  <c r="AQ493" i="20"/>
  <c r="AQ574" i="20"/>
  <c r="AQ169" i="20"/>
  <c r="AQ509" i="20"/>
  <c r="AQ80" i="20"/>
  <c r="AQ523" i="20"/>
  <c r="AQ176" i="20"/>
  <c r="AQ134" i="20"/>
  <c r="AQ349" i="20"/>
  <c r="AQ192" i="20"/>
  <c r="AQ179" i="20"/>
  <c r="AQ243" i="20"/>
  <c r="AQ297" i="20"/>
  <c r="AQ68" i="20"/>
  <c r="AQ321" i="20"/>
  <c r="AQ108" i="20"/>
  <c r="AQ467" i="20"/>
  <c r="AQ31" i="20"/>
  <c r="AQ368" i="20"/>
  <c r="AQ362" i="20"/>
  <c r="AQ184" i="20"/>
  <c r="AQ370" i="20"/>
  <c r="AQ510" i="20"/>
  <c r="AQ313" i="20"/>
  <c r="AQ214" i="20"/>
  <c r="AQ498" i="20"/>
  <c r="AQ407" i="20"/>
  <c r="AQ35" i="20"/>
  <c r="AQ589" i="20"/>
  <c r="AQ322" i="20"/>
  <c r="AQ314" i="20"/>
  <c r="AQ442" i="20"/>
  <c r="AQ254" i="20"/>
  <c r="AQ48" i="20"/>
  <c r="AQ317" i="20"/>
  <c r="AQ244" i="20"/>
  <c r="AQ496" i="20"/>
  <c r="AQ566" i="20"/>
  <c r="AQ444" i="20"/>
  <c r="AQ79" i="20"/>
  <c r="AQ449" i="20"/>
  <c r="AQ337" i="20"/>
  <c r="AQ253" i="20"/>
  <c r="AQ41" i="20"/>
  <c r="AQ52" i="20"/>
  <c r="AQ361" i="20"/>
  <c r="AQ12" i="20"/>
  <c r="AQ202" i="20"/>
  <c r="AQ628" i="20"/>
  <c r="AQ550" i="20"/>
  <c r="AQ531" i="20"/>
  <c r="AQ340" i="20"/>
  <c r="AQ270" i="20"/>
  <c r="AQ101" i="20"/>
  <c r="AQ483" i="20"/>
  <c r="AQ474" i="20"/>
  <c r="AQ73" i="20"/>
  <c r="AQ286" i="20"/>
  <c r="AQ189" i="20"/>
  <c r="AQ359" i="20"/>
  <c r="AQ357" i="20"/>
  <c r="AQ304" i="20"/>
  <c r="AQ164" i="20"/>
  <c r="AQ395" i="20"/>
  <c r="AQ89" i="20"/>
  <c r="AQ540" i="20"/>
  <c r="AQ384" i="20"/>
  <c r="AQ425" i="20"/>
  <c r="AQ571" i="20"/>
  <c r="AQ557" i="20"/>
  <c r="AQ130" i="20"/>
  <c r="AQ397" i="20"/>
  <c r="AQ197" i="20"/>
  <c r="AQ152" i="20"/>
  <c r="AQ488" i="20"/>
  <c r="AQ186" i="20"/>
  <c r="AQ316" i="20"/>
  <c r="AQ59" i="20"/>
  <c r="AQ21" i="20"/>
  <c r="AQ109" i="20"/>
  <c r="AQ263" i="20"/>
  <c r="AQ306" i="20"/>
  <c r="AQ315" i="20"/>
  <c r="AQ604" i="20"/>
  <c r="AQ452" i="20"/>
  <c r="AQ621" i="20"/>
  <c r="AQ329" i="20"/>
  <c r="AQ162" i="20"/>
  <c r="AQ369" i="20"/>
  <c r="AQ271" i="20"/>
  <c r="AQ422" i="20"/>
  <c r="AQ341" i="20"/>
  <c r="AQ116" i="20"/>
  <c r="AQ392" i="20"/>
  <c r="AQ300" i="20"/>
  <c r="AQ26" i="20"/>
  <c r="AQ234" i="20"/>
  <c r="AQ547" i="20"/>
  <c r="AQ561" i="20"/>
  <c r="AQ423" i="20"/>
  <c r="AQ151" i="20"/>
  <c r="AQ163" i="20"/>
  <c r="AQ61" i="20"/>
  <c r="AQ352" i="20"/>
  <c r="AQ366" i="20"/>
  <c r="AQ81" i="20"/>
  <c r="AQ553" i="20"/>
  <c r="AQ473" i="20"/>
  <c r="AQ456" i="20"/>
  <c r="AQ518" i="20"/>
  <c r="AQ159" i="20"/>
  <c r="AQ411" i="20"/>
  <c r="AQ640" i="20"/>
  <c r="AQ414" i="20"/>
  <c r="AQ264" i="20"/>
  <c r="AQ462" i="20"/>
  <c r="AQ22" i="20"/>
  <c r="AQ127" i="20"/>
  <c r="AQ469" i="20"/>
  <c r="AQ399" i="20"/>
  <c r="AQ312" i="20"/>
  <c r="AQ245" i="20"/>
  <c r="AQ578" i="20"/>
  <c r="AQ419" i="20"/>
  <c r="BC358" i="20"/>
  <c r="BC351" i="20"/>
  <c r="BC205" i="20"/>
  <c r="BC237" i="20"/>
  <c r="BC389" i="20"/>
  <c r="BC150" i="20"/>
  <c r="BC535" i="20"/>
  <c r="BC303" i="20"/>
  <c r="BC645" i="20"/>
  <c r="BC228" i="20"/>
  <c r="BC445" i="20"/>
  <c r="BC276" i="20"/>
  <c r="AC566" i="20"/>
  <c r="AS566" i="20"/>
  <c r="AO566" i="20"/>
  <c r="AK566" i="20"/>
  <c r="X566" i="20"/>
  <c r="AY566" i="20"/>
  <c r="AM566" i="20"/>
  <c r="BC390" i="20"/>
  <c r="BC450" i="20"/>
  <c r="BC30" i="20"/>
  <c r="AE520" i="20"/>
  <c r="BC392" i="20"/>
  <c r="BC412" i="20"/>
  <c r="BC488" i="20"/>
  <c r="BC551" i="20"/>
  <c r="BC486" i="20"/>
  <c r="BC618" i="20"/>
  <c r="BC344" i="20"/>
  <c r="BC523" i="20"/>
  <c r="BC286" i="20"/>
  <c r="BC188" i="20"/>
  <c r="BC586" i="20"/>
  <c r="AI566" i="20"/>
  <c r="BC461" i="20"/>
  <c r="BC466" i="20"/>
  <c r="BC132" i="20"/>
  <c r="BC39" i="20"/>
  <c r="BC502" i="20"/>
  <c r="BC370" i="20"/>
  <c r="BC198" i="20"/>
  <c r="BC191" i="20"/>
  <c r="BC141" i="20"/>
  <c r="BC540" i="20"/>
  <c r="AQ601" i="20"/>
  <c r="AQ174" i="20"/>
  <c r="AQ257" i="20"/>
  <c r="AQ266" i="20"/>
  <c r="AQ182" i="20"/>
  <c r="AQ381" i="20"/>
  <c r="AQ57" i="20"/>
  <c r="BC536" i="20"/>
  <c r="BC481" i="20"/>
  <c r="BC401" i="20"/>
  <c r="BC545" i="20"/>
  <c r="BC128" i="20"/>
  <c r="BC483" i="20"/>
  <c r="BC299" i="20"/>
  <c r="BC393" i="20"/>
  <c r="BE394" i="35"/>
  <c r="AE394" i="35"/>
  <c r="AO394" i="35"/>
  <c r="AS441" i="35"/>
  <c r="BW441" i="35"/>
  <c r="AR14" i="40"/>
  <c r="AR15" i="40" s="1"/>
  <c r="O13" i="40"/>
  <c r="P3" i="20"/>
  <c r="P2" i="20" s="1"/>
  <c r="BG443" i="35"/>
  <c r="AS443" i="35"/>
  <c r="AO526" i="20"/>
  <c r="AE526" i="20"/>
  <c r="AA526" i="20"/>
  <c r="R5" i="23"/>
  <c r="AT7" i="23"/>
  <c r="AR10" i="23"/>
  <c r="AO404" i="35"/>
  <c r="T11" i="23"/>
  <c r="BD11" i="23" s="1"/>
  <c r="AE404" i="35"/>
  <c r="BE404" i="35"/>
  <c r="BC404" i="35"/>
  <c r="AA562" i="20"/>
  <c r="AI562" i="20"/>
  <c r="AC562" i="20"/>
  <c r="AE562" i="20"/>
  <c r="AK562" i="20"/>
  <c r="AG562" i="20"/>
  <c r="X562" i="20"/>
  <c r="BS562" i="20"/>
  <c r="AS562" i="20"/>
  <c r="AM562" i="20"/>
  <c r="AY562" i="20"/>
  <c r="BA552" i="20"/>
  <c r="AY529" i="20"/>
  <c r="BG450" i="35"/>
  <c r="BI4" i="35"/>
  <c r="BI386" i="35" s="1"/>
  <c r="BG176" i="35"/>
  <c r="BG241" i="35"/>
  <c r="BG383" i="35"/>
  <c r="BG222" i="35"/>
  <c r="BG407" i="35"/>
  <c r="BG503" i="35"/>
  <c r="BG88" i="35"/>
  <c r="BG264" i="35"/>
  <c r="BG516" i="35"/>
  <c r="BG271" i="35"/>
  <c r="BG484" i="35"/>
  <c r="BG162" i="35"/>
  <c r="BS528" i="20"/>
  <c r="AE528" i="20"/>
  <c r="X528" i="20"/>
  <c r="AC528" i="20"/>
  <c r="AM528" i="20"/>
  <c r="AG528" i="20"/>
  <c r="AI528" i="20"/>
  <c r="AA528" i="20"/>
  <c r="AS528" i="20"/>
  <c r="AK528" i="20"/>
  <c r="BS559" i="20"/>
  <c r="AK559" i="20"/>
  <c r="X559" i="20"/>
  <c r="AY559" i="20"/>
  <c r="AO559" i="20"/>
  <c r="BG498" i="35"/>
  <c r="BG351" i="35"/>
  <c r="BG486" i="35"/>
  <c r="AQ401" i="35"/>
  <c r="BG456" i="35"/>
  <c r="BG131" i="35"/>
  <c r="BG369" i="35"/>
  <c r="BG137" i="35"/>
  <c r="BG124" i="35"/>
  <c r="BG60" i="35"/>
  <c r="BG66" i="35"/>
  <c r="BG371" i="35"/>
  <c r="BG19" i="35"/>
  <c r="BG281" i="35"/>
  <c r="AY523" i="20"/>
  <c r="AQ326" i="20"/>
  <c r="AQ30" i="20"/>
  <c r="AQ461" i="20"/>
  <c r="AQ401" i="20"/>
  <c r="AQ437" i="20"/>
  <c r="AQ44" i="20"/>
  <c r="AQ40" i="20"/>
  <c r="AQ323" i="20"/>
  <c r="AQ302" i="20"/>
  <c r="AQ372" i="20"/>
  <c r="AQ415" i="20"/>
  <c r="AQ533" i="20"/>
  <c r="AQ443" i="20"/>
  <c r="AQ371" i="20"/>
  <c r="AQ497" i="20"/>
  <c r="AQ350" i="20"/>
  <c r="AQ585" i="20"/>
  <c r="AQ603" i="20"/>
  <c r="AQ484" i="20"/>
  <c r="AQ105" i="20"/>
  <c r="AQ330" i="20"/>
  <c r="AQ310" i="20"/>
  <c r="AQ70" i="20"/>
  <c r="AQ32" i="20"/>
  <c r="AQ502" i="20"/>
  <c r="AQ29" i="20"/>
  <c r="AQ573" i="20"/>
  <c r="AQ400" i="20"/>
  <c r="AQ435" i="20"/>
  <c r="AQ342" i="20"/>
  <c r="AQ258" i="20"/>
  <c r="BG446" i="35"/>
  <c r="BG240" i="35"/>
  <c r="BG31" i="35"/>
  <c r="BG481" i="35"/>
  <c r="BG91" i="35"/>
  <c r="BG226" i="35"/>
  <c r="BG292" i="35"/>
  <c r="BG511" i="35"/>
  <c r="BG485" i="35"/>
  <c r="BG472" i="35"/>
  <c r="BG492" i="35"/>
  <c r="BG329" i="35"/>
  <c r="BG198" i="35"/>
  <c r="BG150" i="35"/>
  <c r="BG312" i="35"/>
  <c r="BG419" i="35"/>
  <c r="BG385" i="35"/>
  <c r="BG466" i="35"/>
  <c r="BG42" i="35"/>
  <c r="BG286" i="35"/>
  <c r="AO529" i="20"/>
  <c r="BG513" i="35"/>
  <c r="BG86" i="35"/>
  <c r="BG323" i="35"/>
  <c r="AC570" i="20"/>
  <c r="BG530" i="35"/>
  <c r="BG360" i="35"/>
  <c r="BG333" i="35"/>
  <c r="BG206" i="35"/>
  <c r="BG209" i="35"/>
  <c r="BG418" i="35"/>
  <c r="BG245" i="35"/>
  <c r="BG493" i="35"/>
  <c r="BG290" i="35"/>
  <c r="AO562" i="20"/>
  <c r="BG77" i="35"/>
  <c r="BG36" i="35"/>
  <c r="BG346" i="35"/>
  <c r="BG348" i="35"/>
  <c r="AY547" i="20"/>
  <c r="BC552" i="20"/>
  <c r="BG458" i="35"/>
  <c r="BG49" i="35"/>
  <c r="BG67" i="35"/>
  <c r="BG528" i="35"/>
  <c r="BG61" i="35"/>
  <c r="BG425" i="35"/>
  <c r="BG213" i="35"/>
  <c r="BG48" i="35"/>
  <c r="BG10" i="35"/>
  <c r="BG219" i="35"/>
  <c r="BG179" i="35"/>
  <c r="BG416" i="35"/>
  <c r="BG254" i="35"/>
  <c r="BG413" i="35"/>
  <c r="BG454" i="35"/>
  <c r="BG363" i="35"/>
  <c r="BG118" i="35"/>
  <c r="BG480" i="35"/>
  <c r="AM529" i="20"/>
  <c r="BG476" i="35"/>
  <c r="BG293" i="35"/>
  <c r="BG255" i="35"/>
  <c r="BG96" i="35"/>
  <c r="BG78" i="35"/>
  <c r="BG187" i="35"/>
  <c r="BG497" i="35"/>
  <c r="BG11" i="35"/>
  <c r="BG415" i="35"/>
  <c r="BG253" i="35"/>
  <c r="BG303" i="35"/>
  <c r="O12" i="40"/>
  <c r="BG335" i="35"/>
  <c r="BG370" i="35"/>
  <c r="BG122" i="35"/>
  <c r="BG412" i="35"/>
  <c r="BG320" i="35"/>
  <c r="BG22" i="35"/>
  <c r="BG68" i="35"/>
  <c r="BG186" i="35"/>
  <c r="BG482" i="35"/>
  <c r="BG400" i="35"/>
  <c r="BG28" i="35"/>
  <c r="BG343" i="35"/>
  <c r="BG421" i="35"/>
  <c r="BG35" i="35"/>
  <c r="BG193" i="35"/>
  <c r="BG190" i="35"/>
  <c r="BG89" i="35"/>
  <c r="BG197" i="35"/>
  <c r="BG317" i="35"/>
  <c r="BG143" i="35"/>
  <c r="BG502" i="35"/>
  <c r="BG230" i="35"/>
  <c r="BG512" i="35"/>
  <c r="BG46" i="35"/>
  <c r="BG181" i="35"/>
  <c r="BG523" i="35"/>
  <c r="BG246" i="35"/>
  <c r="BG208" i="35"/>
  <c r="BG229" i="35"/>
  <c r="BG251" i="35"/>
  <c r="BG487" i="35"/>
  <c r="BG268" i="35"/>
  <c r="BG267" i="35"/>
  <c r="BG325" i="35"/>
  <c r="BG173" i="35"/>
  <c r="BG166" i="35"/>
  <c r="BG526" i="35"/>
  <c r="BG531" i="35"/>
  <c r="BG326" i="35"/>
  <c r="BG17" i="35"/>
  <c r="BG276" i="35"/>
  <c r="BG505" i="35"/>
  <c r="BG256" i="35"/>
  <c r="BG330" i="35"/>
  <c r="BG53" i="35"/>
  <c r="BG57" i="35"/>
  <c r="BG455" i="35"/>
  <c r="BG514" i="35"/>
  <c r="BG214" i="35"/>
  <c r="BG116" i="35"/>
  <c r="BG15" i="35"/>
  <c r="BG408" i="35"/>
  <c r="BG160" i="35"/>
  <c r="BG501" i="35"/>
  <c r="BG192" i="35"/>
  <c r="BG153" i="35"/>
  <c r="BG82" i="35"/>
  <c r="BG147" i="35"/>
  <c r="BG354" i="35"/>
  <c r="BG473" i="35"/>
  <c r="BG460" i="35"/>
  <c r="AI557" i="20"/>
  <c r="BS557" i="20"/>
  <c r="AO557" i="20"/>
  <c r="AA557" i="20"/>
  <c r="BA557" i="20"/>
  <c r="AG557" i="20"/>
  <c r="AM557" i="20"/>
  <c r="AY557" i="20"/>
  <c r="AC557" i="20"/>
  <c r="AK557" i="20"/>
  <c r="AE557" i="20"/>
  <c r="AA552" i="20"/>
  <c r="BG504" i="35"/>
  <c r="BG158" i="35"/>
  <c r="BG232" i="35"/>
  <c r="BG74" i="35"/>
  <c r="BG129" i="35"/>
  <c r="BG112" i="35"/>
  <c r="BG381" i="35"/>
  <c r="BG236" i="35"/>
  <c r="BG313" i="35"/>
  <c r="BG87" i="35"/>
  <c r="BG200" i="35"/>
  <c r="BG98" i="35"/>
  <c r="BG327" i="35"/>
  <c r="BG94" i="35"/>
  <c r="BG99" i="35"/>
  <c r="BS565" i="20"/>
  <c r="AS565" i="20"/>
  <c r="AM565" i="20"/>
  <c r="AA565" i="20"/>
  <c r="BW395" i="35"/>
  <c r="AS523" i="20"/>
  <c r="BA523" i="20"/>
  <c r="BG304" i="35"/>
  <c r="BG114" i="35"/>
  <c r="BG355" i="35"/>
  <c r="BG331" i="35"/>
  <c r="BG461" i="35"/>
  <c r="BG521" i="35"/>
  <c r="BG520" i="35"/>
  <c r="BG227" i="35"/>
  <c r="BG16" i="35"/>
  <c r="BG324" i="35"/>
  <c r="BG529" i="35"/>
  <c r="BG302" i="35"/>
  <c r="BG184" i="35"/>
  <c r="BG105" i="35"/>
  <c r="BG401" i="35"/>
  <c r="BG239" i="35"/>
  <c r="BG136" i="35"/>
  <c r="BG216" i="35"/>
  <c r="BG14" i="35"/>
  <c r="BG92" i="35"/>
  <c r="BG178" i="35"/>
  <c r="BG40" i="35"/>
  <c r="BG47" i="35"/>
  <c r="BG430" i="35"/>
  <c r="AG523" i="20"/>
  <c r="AQ570" i="20"/>
  <c r="AQ403" i="20"/>
  <c r="AQ541" i="20"/>
  <c r="AQ133" i="20"/>
  <c r="AQ593" i="20"/>
  <c r="AQ290" i="20"/>
  <c r="AQ572" i="20"/>
  <c r="AQ37" i="20"/>
  <c r="AQ490" i="20"/>
  <c r="AQ468" i="20"/>
  <c r="AQ463" i="20"/>
  <c r="AQ15" i="20"/>
  <c r="AQ507" i="20"/>
  <c r="AQ485" i="20"/>
  <c r="AQ563" i="20"/>
  <c r="AQ185" i="20"/>
  <c r="AQ121" i="20"/>
  <c r="AQ471" i="20"/>
  <c r="AQ240" i="20"/>
  <c r="AQ646" i="20"/>
  <c r="AQ648" i="20"/>
  <c r="AQ43" i="20"/>
  <c r="AQ398" i="20"/>
  <c r="AQ453" i="20"/>
  <c r="AQ8" i="20"/>
  <c r="AQ46" i="20"/>
  <c r="AQ268" i="20"/>
  <c r="AQ27" i="20"/>
  <c r="BG51" i="35"/>
  <c r="BG231" i="35"/>
  <c r="BG491" i="35"/>
  <c r="BG110" i="35"/>
  <c r="BG389" i="35"/>
  <c r="BG156" i="35"/>
  <c r="BG294" i="35"/>
  <c r="BG464" i="35"/>
  <c r="BG263" i="35"/>
  <c r="BG462" i="35"/>
  <c r="BG9" i="35"/>
  <c r="BG300" i="35"/>
  <c r="BG13" i="35"/>
  <c r="BG269" i="35"/>
  <c r="BG522" i="35"/>
  <c r="BG469" i="35"/>
  <c r="BG474" i="35"/>
  <c r="BG261" i="35"/>
  <c r="R536" i="35"/>
  <c r="AQ638" i="20"/>
  <c r="AM559" i="20"/>
  <c r="BG133" i="35"/>
  <c r="BG436" i="35"/>
  <c r="BG109" i="35"/>
  <c r="AI400" i="35"/>
  <c r="BG75" i="35"/>
  <c r="BG106" i="35"/>
  <c r="BG43" i="35"/>
  <c r="BG345" i="35"/>
  <c r="BG140" i="35"/>
  <c r="BG62" i="35"/>
  <c r="BG149" i="35"/>
  <c r="BG103" i="35"/>
  <c r="BG128" i="35"/>
  <c r="BG285" i="35"/>
  <c r="AI559" i="20"/>
  <c r="AS401" i="35"/>
  <c r="BC559" i="20"/>
  <c r="AQ552" i="20"/>
  <c r="BG309" i="35"/>
  <c r="BG183" i="35"/>
  <c r="BG496" i="35"/>
  <c r="AS444" i="35"/>
  <c r="BG296" i="35"/>
  <c r="BG417" i="35"/>
  <c r="BG189" i="35"/>
  <c r="BG95" i="35"/>
  <c r="BG457" i="35"/>
  <c r="BG76" i="35"/>
  <c r="BG79" i="35"/>
  <c r="BG273" i="35"/>
  <c r="BG21" i="35"/>
  <c r="BG274" i="35"/>
  <c r="BG364" i="35"/>
  <c r="AO3" i="35"/>
  <c r="BG191" i="35"/>
  <c r="AQ146" i="20"/>
  <c r="AQ608" i="20"/>
  <c r="AQ113" i="20"/>
  <c r="AQ99" i="20"/>
  <c r="AQ136" i="20"/>
  <c r="AQ643" i="20"/>
  <c r="AQ288" i="20"/>
  <c r="AQ393" i="20"/>
  <c r="AQ636" i="20"/>
  <c r="AQ548" i="20"/>
  <c r="AQ379" i="20"/>
  <c r="AQ280" i="20"/>
  <c r="AQ158" i="20"/>
  <c r="AQ635" i="20"/>
  <c r="AQ647" i="20"/>
  <c r="AQ84" i="20"/>
  <c r="AQ118" i="20"/>
  <c r="AQ396" i="20"/>
  <c r="AQ354" i="20"/>
  <c r="AQ45" i="20"/>
  <c r="AQ590" i="20"/>
  <c r="AQ14" i="20"/>
  <c r="AQ494" i="20"/>
  <c r="AQ505" i="20"/>
  <c r="AQ229" i="20"/>
  <c r="AQ77" i="20"/>
  <c r="AQ88" i="20"/>
  <c r="AQ620" i="20"/>
  <c r="BG210" i="35"/>
  <c r="BG403" i="35"/>
  <c r="BG224" i="35"/>
  <c r="BG490" i="35"/>
  <c r="BG465" i="35"/>
  <c r="BG405" i="35"/>
  <c r="BG397" i="35"/>
  <c r="BG102" i="35"/>
  <c r="BG220" i="35"/>
  <c r="BG289" i="35"/>
  <c r="BG310" i="35"/>
  <c r="BG388" i="35"/>
  <c r="BG182" i="35"/>
  <c r="BG423" i="35"/>
  <c r="BG211" i="35"/>
  <c r="BG257" i="35"/>
  <c r="BG244" i="35"/>
  <c r="BG433" i="35"/>
  <c r="AQ25" i="20"/>
  <c r="AS559" i="20"/>
  <c r="AK400" i="35"/>
  <c r="BG73" i="35"/>
  <c r="BG97" i="35"/>
  <c r="BG305" i="35"/>
  <c r="BG195" i="35"/>
  <c r="BG72" i="35"/>
  <c r="BG278" i="35"/>
  <c r="BG349" i="35"/>
  <c r="BG362" i="35"/>
  <c r="BG12" i="35"/>
  <c r="BG205" i="35"/>
  <c r="BG174" i="35"/>
  <c r="BG332" i="35"/>
  <c r="M3" i="20"/>
  <c r="BG266" i="35"/>
  <c r="BG283" i="35"/>
  <c r="AW404" i="35"/>
  <c r="AG404" i="35"/>
  <c r="BW404" i="35"/>
  <c r="BS517" i="20"/>
  <c r="AQ413" i="20"/>
  <c r="AC552" i="20"/>
  <c r="BC152" i="20"/>
  <c r="AI526" i="20"/>
  <c r="AC526" i="20"/>
  <c r="BS526" i="20"/>
  <c r="AC517" i="20"/>
  <c r="AI517" i="20"/>
  <c r="AG517" i="20"/>
  <c r="AY517" i="20"/>
  <c r="AQ560" i="20"/>
  <c r="AQ478" i="20"/>
  <c r="AQ138" i="20"/>
  <c r="AQ358" i="20"/>
  <c r="AQ332" i="20"/>
  <c r="AQ194" i="20"/>
  <c r="AQ154" i="20"/>
  <c r="AQ298" i="20"/>
  <c r="AQ69" i="20"/>
  <c r="AQ54" i="20"/>
  <c r="AQ225" i="20"/>
  <c r="AQ597" i="20"/>
  <c r="AQ417" i="20"/>
  <c r="AQ482" i="20"/>
  <c r="AQ465" i="20"/>
  <c r="AQ450" i="20"/>
  <c r="AQ237" i="20"/>
  <c r="AQ218" i="20"/>
  <c r="AQ353" i="20"/>
  <c r="AQ64" i="20"/>
  <c r="AQ374" i="20"/>
  <c r="AQ562" i="20"/>
  <c r="AQ529" i="20"/>
  <c r="AQ438" i="20"/>
  <c r="AQ47" i="20"/>
  <c r="AQ122" i="20"/>
  <c r="AQ126" i="20"/>
  <c r="AQ311" i="20"/>
  <c r="AQ285" i="20"/>
  <c r="AQ390" i="20"/>
  <c r="AQ587" i="20"/>
  <c r="AQ62" i="20"/>
  <c r="AQ51" i="20"/>
  <c r="AQ539" i="20"/>
  <c r="AQ430" i="20"/>
  <c r="AG450" i="35"/>
  <c r="BC504" i="20"/>
  <c r="BC222" i="20"/>
  <c r="BC340" i="20"/>
  <c r="AE561" i="20"/>
  <c r="BC257" i="20"/>
  <c r="BC78" i="20"/>
  <c r="BC475" i="20"/>
  <c r="BC476" i="20"/>
  <c r="BC142" i="20"/>
  <c r="BC353" i="20"/>
  <c r="AI450" i="35"/>
  <c r="AM552" i="20"/>
  <c r="AQ517" i="20"/>
  <c r="AK517" i="20"/>
  <c r="AB450" i="35"/>
  <c r="AQ439" i="35"/>
  <c r="AM517" i="20"/>
  <c r="AQ481" i="20"/>
  <c r="AE552" i="20"/>
  <c r="X517" i="20"/>
  <c r="AE517" i="20"/>
  <c r="AQ87" i="20"/>
  <c r="AI552" i="20"/>
  <c r="BC33" i="20"/>
  <c r="BC181" i="20"/>
  <c r="AM439" i="35"/>
  <c r="AQ521" i="20"/>
  <c r="AQ409" i="20"/>
  <c r="AQ351" i="20"/>
  <c r="AQ622" i="20"/>
  <c r="AQ144" i="20"/>
  <c r="AQ129" i="20"/>
  <c r="AQ616" i="20"/>
  <c r="AQ303" i="20"/>
  <c r="AQ605" i="20"/>
  <c r="AQ470" i="20"/>
  <c r="AQ343" i="20"/>
  <c r="AQ527" i="20"/>
  <c r="AQ221" i="20"/>
  <c r="AQ180" i="20"/>
  <c r="AQ195" i="20"/>
  <c r="AQ475" i="20"/>
  <c r="AQ602" i="20"/>
  <c r="AQ86" i="20"/>
  <c r="AQ278" i="20"/>
  <c r="AQ274" i="20"/>
  <c r="AQ373" i="20"/>
  <c r="AQ92" i="20"/>
  <c r="AQ641" i="20"/>
  <c r="AQ429" i="20"/>
  <c r="AQ333" i="20"/>
  <c r="AQ166" i="20"/>
  <c r="AQ363" i="20"/>
  <c r="AQ196" i="20"/>
  <c r="AQ346" i="20"/>
  <c r="AQ434" i="20"/>
  <c r="AQ7" i="20"/>
  <c r="AQ479" i="20"/>
  <c r="AQ618" i="20"/>
  <c r="AS517" i="20"/>
  <c r="AQ199" i="20"/>
  <c r="AQ167" i="20"/>
  <c r="AQ556" i="20"/>
  <c r="AQ98" i="20"/>
  <c r="AQ637" i="20"/>
  <c r="BC298" i="20"/>
  <c r="BC143" i="20"/>
  <c r="BC434" i="20"/>
  <c r="BC427" i="20"/>
  <c r="AG552" i="20"/>
  <c r="BC508" i="20"/>
  <c r="BC519" i="20"/>
  <c r="BC651" i="20"/>
  <c r="BC254" i="20"/>
  <c r="BC573" i="20"/>
  <c r="BC315" i="20"/>
  <c r="BC385" i="20"/>
  <c r="BC517" i="20"/>
  <c r="AQ554" i="20"/>
  <c r="AQ480" i="20"/>
  <c r="AQ103" i="20"/>
  <c r="BC503" i="20"/>
  <c r="BC452" i="20"/>
  <c r="BC17" i="20"/>
  <c r="BC126" i="20"/>
  <c r="BC208" i="20"/>
  <c r="BC106" i="20"/>
  <c r="BC603" i="20"/>
  <c r="BC272" i="20"/>
  <c r="AI549" i="20"/>
  <c r="AK549" i="20"/>
  <c r="BS549" i="20"/>
  <c r="AE549" i="20"/>
  <c r="AY549" i="20"/>
  <c r="AC549" i="20"/>
  <c r="AO549" i="20"/>
  <c r="AG549" i="20"/>
  <c r="AQ433" i="35"/>
  <c r="AC564" i="20"/>
  <c r="BE450" i="35"/>
  <c r="BE444" i="35"/>
  <c r="X552" i="20"/>
  <c r="AK552" i="20"/>
  <c r="AS552" i="20"/>
  <c r="AY552" i="20"/>
  <c r="AQ396" i="35"/>
  <c r="AO396" i="35"/>
  <c r="BW396" i="35"/>
  <c r="AK396" i="35"/>
  <c r="AE396" i="35"/>
  <c r="BC396" i="35"/>
  <c r="AW396" i="35"/>
  <c r="AM396" i="35"/>
  <c r="AG396" i="35"/>
  <c r="AB396" i="35"/>
  <c r="AI396" i="35"/>
  <c r="X549" i="20"/>
  <c r="BC554" i="20"/>
  <c r="BC564" i="20"/>
  <c r="AS438" i="35"/>
  <c r="AK394" i="35"/>
  <c r="AW394" i="35"/>
  <c r="AQ441" i="35"/>
  <c r="AG441" i="35"/>
  <c r="AW441" i="35"/>
  <c r="AK441" i="35"/>
  <c r="BC441" i="35"/>
  <c r="AE441" i="35"/>
  <c r="AO441" i="35"/>
  <c r="BE441" i="35"/>
  <c r="AB441" i="35"/>
  <c r="AS529" i="20"/>
  <c r="AI529" i="20"/>
  <c r="X529" i="20"/>
  <c r="AC529" i="20"/>
  <c r="AE529" i="20"/>
  <c r="BS529" i="20"/>
  <c r="AW426" i="35"/>
  <c r="BA549" i="20"/>
  <c r="AU445" i="35"/>
  <c r="BW438" i="35"/>
  <c r="AI443" i="35"/>
  <c r="AW443" i="35"/>
  <c r="AO443" i="35"/>
  <c r="AM443" i="35"/>
  <c r="AB443" i="35"/>
  <c r="BC443" i="35"/>
  <c r="AG443" i="35"/>
  <c r="AE443" i="35"/>
  <c r="AQ443" i="35"/>
  <c r="AK443" i="35"/>
  <c r="BW443" i="35"/>
  <c r="AE570" i="20"/>
  <c r="X570" i="20"/>
  <c r="BA570" i="20"/>
  <c r="AM570" i="20"/>
  <c r="AA570" i="20"/>
  <c r="BG438" i="35"/>
  <c r="AM564" i="20"/>
  <c r="AI438" i="35"/>
  <c r="AO552" i="20"/>
  <c r="X520" i="20"/>
  <c r="AC520" i="20"/>
  <c r="BS520" i="20"/>
  <c r="X564" i="20"/>
  <c r="AI564" i="20"/>
  <c r="BA564" i="20"/>
  <c r="AM438" i="35"/>
  <c r="AI554" i="20"/>
  <c r="AK438" i="35"/>
  <c r="BC438" i="35"/>
  <c r="AG564" i="20"/>
  <c r="BC320" i="20"/>
  <c r="BC558" i="20"/>
  <c r="BS555" i="20"/>
  <c r="AC555" i="20"/>
  <c r="AE555" i="20"/>
  <c r="AA555" i="20"/>
  <c r="AG555" i="20"/>
  <c r="X555" i="20"/>
  <c r="BA555" i="20"/>
  <c r="AM555" i="20"/>
  <c r="AY555" i="20"/>
  <c r="AS555" i="20"/>
  <c r="AK555" i="20"/>
  <c r="AQ3" i="35"/>
  <c r="AG438" i="35"/>
  <c r="AK564" i="20"/>
  <c r="AS564" i="20"/>
  <c r="BC293" i="20"/>
  <c r="BC613" i="20"/>
  <c r="BC542" i="20"/>
  <c r="BC87" i="20"/>
  <c r="BC251" i="20"/>
  <c r="BC256" i="20"/>
  <c r="BC283" i="20"/>
  <c r="BC233" i="20"/>
  <c r="BC207" i="20"/>
  <c r="BC301" i="20"/>
  <c r="BC514" i="20"/>
  <c r="BC279" i="20"/>
  <c r="BC562" i="20"/>
  <c r="BC76" i="20"/>
  <c r="BC95" i="20"/>
  <c r="BC296" i="20"/>
  <c r="BC547" i="20"/>
  <c r="BC163" i="20"/>
  <c r="BC567" i="20"/>
  <c r="BC219" i="20"/>
  <c r="BC281" i="20"/>
  <c r="BC260" i="20"/>
  <c r="BC190" i="20"/>
  <c r="AI567" i="20"/>
  <c r="BS567" i="20"/>
  <c r="AA567" i="20"/>
  <c r="AE567" i="20"/>
  <c r="AG567" i="20"/>
  <c r="AY567" i="20"/>
  <c r="BA567" i="20"/>
  <c r="AK567" i="20"/>
  <c r="X567" i="20"/>
  <c r="AM567" i="20"/>
  <c r="AC567" i="20"/>
  <c r="AS567" i="20"/>
  <c r="BE3" i="35"/>
  <c r="AQ564" i="20"/>
  <c r="AY564" i="20"/>
  <c r="AO564" i="20"/>
  <c r="AE564" i="20"/>
  <c r="AY561" i="20"/>
  <c r="AS561" i="20"/>
  <c r="BS561" i="20"/>
  <c r="AG561" i="20"/>
  <c r="AI561" i="20"/>
  <c r="AK561" i="20"/>
  <c r="AI433" i="35"/>
  <c r="AS427" i="35"/>
  <c r="BW433" i="35"/>
  <c r="AG427" i="35"/>
  <c r="AE427" i="35"/>
  <c r="AK432" i="35"/>
  <c r="AO432" i="35"/>
  <c r="AE432" i="35"/>
  <c r="AB432" i="35"/>
  <c r="AW432" i="35"/>
  <c r="AQ432" i="35"/>
  <c r="AG432" i="35"/>
  <c r="AI432" i="35"/>
  <c r="BC432" i="35"/>
  <c r="BW432" i="35"/>
  <c r="AM432" i="35"/>
  <c r="BE432" i="35"/>
  <c r="AS432" i="35"/>
  <c r="BG432" i="35"/>
  <c r="AI3" i="35"/>
  <c r="BE474" i="20"/>
  <c r="AQ588" i="20"/>
  <c r="AQ106" i="20"/>
  <c r="AQ536" i="20"/>
  <c r="AQ256" i="20"/>
  <c r="AQ183" i="20"/>
  <c r="AQ236" i="20"/>
  <c r="AQ386" i="20"/>
  <c r="AQ78" i="20"/>
  <c r="AQ625" i="20"/>
  <c r="AQ128" i="20"/>
  <c r="AQ287" i="20"/>
  <c r="AQ583" i="20"/>
  <c r="AQ75" i="20"/>
  <c r="AQ421" i="20"/>
  <c r="AQ305" i="20"/>
  <c r="AQ335" i="20"/>
  <c r="AQ165" i="20"/>
  <c r="AQ645" i="20"/>
  <c r="AQ394" i="20"/>
  <c r="AQ408" i="20"/>
  <c r="AQ72" i="20"/>
  <c r="AQ576" i="20"/>
  <c r="AQ250" i="20"/>
  <c r="AQ60" i="20"/>
  <c r="AQ224" i="20"/>
  <c r="AQ178" i="20"/>
  <c r="AQ586" i="20"/>
  <c r="AQ418" i="20"/>
  <c r="AQ591" i="20"/>
  <c r="AQ190" i="20"/>
  <c r="AQ440" i="20"/>
  <c r="AQ627" i="20"/>
  <c r="AQ501" i="20"/>
  <c r="AQ503" i="20"/>
  <c r="AQ93" i="20"/>
  <c r="AQ344" i="20"/>
  <c r="AQ246" i="20"/>
  <c r="AQ211" i="20"/>
  <c r="AQ545" i="20"/>
  <c r="AQ233" i="20"/>
  <c r="AQ135" i="20"/>
  <c r="AQ275" i="20"/>
  <c r="AQ516" i="20"/>
  <c r="AQ427" i="20"/>
  <c r="AQ515" i="20"/>
  <c r="AQ491" i="20"/>
  <c r="AQ364" i="20"/>
  <c r="AQ567" i="20"/>
  <c r="AQ97" i="20"/>
  <c r="AQ441" i="20"/>
  <c r="AQ58" i="20"/>
  <c r="AQ219" i="20"/>
  <c r="AQ260" i="20"/>
  <c r="AQ231" i="20"/>
  <c r="AQ619" i="20"/>
  <c r="AQ385" i="20"/>
  <c r="AQ56" i="20"/>
  <c r="AQ145" i="20"/>
  <c r="AQ549" i="20"/>
  <c r="AQ206" i="20"/>
  <c r="AQ528" i="20"/>
  <c r="AQ365" i="20"/>
  <c r="AQ226" i="20"/>
  <c r="AQ356" i="20"/>
  <c r="AQ568" i="20"/>
  <c r="AQ524" i="20"/>
  <c r="AQ293" i="20"/>
  <c r="AQ555" i="20"/>
  <c r="AQ457" i="20"/>
  <c r="AQ431" i="20"/>
  <c r="AQ325" i="20"/>
  <c r="AQ447" i="20"/>
  <c r="AQ248" i="20"/>
  <c r="AQ295" i="20"/>
  <c r="AQ95" i="20"/>
  <c r="AQ623" i="20"/>
  <c r="AQ508" i="20"/>
  <c r="AQ532" i="20"/>
  <c r="AQ140" i="20"/>
  <c r="AQ558" i="20"/>
  <c r="AQ157" i="20"/>
  <c r="AQ213" i="20"/>
  <c r="AQ28" i="20"/>
  <c r="AQ209" i="20"/>
  <c r="AQ579" i="20"/>
  <c r="AQ207" i="20"/>
  <c r="AQ437" i="35"/>
  <c r="AI437" i="35"/>
  <c r="AG437" i="35"/>
  <c r="BC437" i="35"/>
  <c r="BW437" i="35"/>
  <c r="AE437" i="35"/>
  <c r="AW437" i="35"/>
  <c r="AB437" i="35"/>
  <c r="AO437" i="35"/>
  <c r="AM437" i="35"/>
  <c r="AK437" i="35"/>
  <c r="AW401" i="35"/>
  <c r="AI401" i="35"/>
  <c r="AB401" i="35"/>
  <c r="AK401" i="35"/>
  <c r="AG401" i="35"/>
  <c r="AM401" i="35"/>
  <c r="BW401" i="35"/>
  <c r="AO401" i="35"/>
  <c r="AE401" i="35"/>
  <c r="BE401" i="35"/>
  <c r="AQ438" i="35"/>
  <c r="AE438" i="35"/>
  <c r="AB438" i="35"/>
  <c r="AW438" i="35"/>
  <c r="BG437" i="35"/>
  <c r="AQ334" i="20"/>
  <c r="AS437" i="35"/>
  <c r="AQ400" i="35"/>
  <c r="AM400" i="35"/>
  <c r="BC400" i="35"/>
  <c r="AG400" i="35"/>
  <c r="AE400" i="35"/>
  <c r="AQ67" i="20"/>
  <c r="AG444" i="35"/>
  <c r="AE444" i="35"/>
  <c r="BC444" i="35"/>
  <c r="AI444" i="35"/>
  <c r="AM444" i="35"/>
  <c r="AQ444" i="35"/>
  <c r="AK444" i="35"/>
  <c r="AO444" i="35"/>
  <c r="BW444" i="35"/>
  <c r="AW444" i="35"/>
  <c r="AB444" i="35"/>
  <c r="AK450" i="35"/>
  <c r="AO450" i="35"/>
  <c r="AE450" i="35"/>
  <c r="BC450" i="35"/>
  <c r="BW450" i="35"/>
  <c r="AQ450" i="35"/>
  <c r="AM450" i="35"/>
  <c r="AW450" i="35"/>
  <c r="BE438" i="35"/>
  <c r="BE437" i="35"/>
  <c r="AG436" i="35"/>
  <c r="AE436" i="35"/>
  <c r="AW436" i="35"/>
  <c r="AB436" i="35"/>
  <c r="AM436" i="35"/>
  <c r="AQ436" i="35"/>
  <c r="AK436" i="35"/>
  <c r="AI436" i="35"/>
  <c r="BC436" i="35"/>
  <c r="AO436" i="35"/>
  <c r="BW436" i="35"/>
  <c r="BE436" i="35"/>
  <c r="AU398" i="35"/>
  <c r="AU426" i="35"/>
  <c r="BG427" i="35"/>
  <c r="AG433" i="35"/>
  <c r="AK433" i="35"/>
  <c r="AB433" i="35"/>
  <c r="AO433" i="35"/>
  <c r="BE433" i="35"/>
  <c r="AS433" i="35"/>
  <c r="AM433" i="35"/>
  <c r="AW433" i="35"/>
  <c r="BC433" i="35"/>
  <c r="AE433" i="35"/>
  <c r="BC435" i="35"/>
  <c r="AI435" i="35"/>
  <c r="AE435" i="35"/>
  <c r="AB435" i="35"/>
  <c r="AO435" i="35"/>
  <c r="BW435" i="35"/>
  <c r="AM435" i="35"/>
  <c r="BE435" i="35"/>
  <c r="AK435" i="35"/>
  <c r="AW435" i="35"/>
  <c r="AS435" i="35"/>
  <c r="AQ435" i="35"/>
  <c r="BG435" i="35"/>
  <c r="AG435" i="35"/>
  <c r="AQ447" i="35"/>
  <c r="AM447" i="35"/>
  <c r="AW447" i="35"/>
  <c r="AO447" i="35"/>
  <c r="AG447" i="35"/>
  <c r="BC447" i="35"/>
  <c r="BW447" i="35"/>
  <c r="AI447" i="35"/>
  <c r="AE447" i="35"/>
  <c r="AK447" i="35"/>
  <c r="BG447" i="35"/>
  <c r="AS447" i="35"/>
  <c r="BE447" i="35"/>
  <c r="AG398" i="35"/>
  <c r="BC3" i="35"/>
  <c r="AU429" i="35"/>
  <c r="AK3" i="35"/>
  <c r="AK395" i="35"/>
  <c r="AB395" i="35"/>
  <c r="BC395" i="35"/>
  <c r="AM395" i="35"/>
  <c r="AW395" i="35"/>
  <c r="AI395" i="35"/>
  <c r="AQ395" i="35"/>
  <c r="AG395" i="35"/>
  <c r="AS395" i="35"/>
  <c r="AE395" i="35"/>
  <c r="BE395" i="35"/>
  <c r="BG395" i="35"/>
  <c r="AQ429" i="35"/>
  <c r="AI429" i="35"/>
  <c r="BW429" i="35"/>
  <c r="AG429" i="35"/>
  <c r="BC429" i="35"/>
  <c r="AE429" i="35"/>
  <c r="AS429" i="35"/>
  <c r="AK429" i="35"/>
  <c r="AM429" i="35"/>
  <c r="BG429" i="35"/>
  <c r="AW429" i="35"/>
  <c r="AB429" i="35"/>
  <c r="AO429" i="35"/>
  <c r="BE429" i="35"/>
  <c r="AQ569" i="20"/>
  <c r="AS3" i="35"/>
  <c r="AE439" i="35"/>
  <c r="AG3" i="35"/>
  <c r="AI426" i="35"/>
  <c r="AG426" i="35"/>
  <c r="AO426" i="35"/>
  <c r="BC426" i="35"/>
  <c r="AM426" i="35"/>
  <c r="AK426" i="35"/>
  <c r="AB426" i="35"/>
  <c r="BE426" i="35"/>
  <c r="AQ426" i="35"/>
  <c r="BG426" i="35"/>
  <c r="AS426" i="35"/>
  <c r="BW426" i="35"/>
  <c r="AU395" i="35"/>
  <c r="AU216" i="35"/>
  <c r="AU440" i="35"/>
  <c r="AB439" i="35"/>
  <c r="AE3" i="35"/>
  <c r="AK427" i="35"/>
  <c r="AI427" i="35"/>
  <c r="AW427" i="35"/>
  <c r="AQ427" i="35"/>
  <c r="AO427" i="35"/>
  <c r="BW427" i="35"/>
  <c r="AM427" i="35"/>
  <c r="BC427" i="35"/>
  <c r="AB427" i="35"/>
  <c r="BE427" i="35"/>
  <c r="AI398" i="35"/>
  <c r="AB398" i="35"/>
  <c r="AM398" i="35"/>
  <c r="BC398" i="35"/>
  <c r="AK398" i="35"/>
  <c r="AQ398" i="35"/>
  <c r="AS398" i="35"/>
  <c r="BE398" i="35"/>
  <c r="BW398" i="35"/>
  <c r="BG398" i="35"/>
  <c r="AO398" i="35"/>
  <c r="AW398" i="35"/>
  <c r="AI439" i="35"/>
  <c r="AM569" i="20"/>
  <c r="AE569" i="20"/>
  <c r="BS569" i="20"/>
  <c r="AO569" i="20"/>
  <c r="AY569" i="20"/>
  <c r="AG569" i="20"/>
  <c r="AI569" i="20"/>
  <c r="AA569" i="20"/>
  <c r="BA569" i="20"/>
  <c r="AC569" i="20"/>
  <c r="AS569" i="20"/>
  <c r="X569" i="20"/>
  <c r="AK569" i="20"/>
  <c r="AE398" i="35"/>
  <c r="AM3" i="35"/>
  <c r="AS439" i="35"/>
  <c r="BA525" i="20"/>
  <c r="AE525" i="20"/>
  <c r="AK525" i="20"/>
  <c r="AG525" i="20"/>
  <c r="AQ525" i="20"/>
  <c r="BS525" i="20"/>
  <c r="AC525" i="20"/>
  <c r="AI525" i="20"/>
  <c r="AS525" i="20"/>
  <c r="AY525" i="20"/>
  <c r="AM525" i="20"/>
  <c r="X525" i="20"/>
  <c r="AA525" i="20"/>
  <c r="AO525" i="20"/>
  <c r="BE445" i="35"/>
  <c r="AE445" i="35"/>
  <c r="BW445" i="35"/>
  <c r="AS445" i="35"/>
  <c r="AW445" i="35"/>
  <c r="BG445" i="35"/>
  <c r="AM445" i="35"/>
  <c r="BC445" i="35"/>
  <c r="AB445" i="35"/>
  <c r="AI445" i="35"/>
  <c r="AQ445" i="35"/>
  <c r="AG445" i="35"/>
  <c r="AK445" i="35"/>
  <c r="AO445" i="35"/>
  <c r="AG554" i="20"/>
  <c r="AY554" i="20"/>
  <c r="X554" i="20"/>
  <c r="BA554" i="20"/>
  <c r="AK554" i="20"/>
  <c r="AA554" i="20"/>
  <c r="AO554" i="20"/>
  <c r="AS554" i="20"/>
  <c r="AC554" i="20"/>
  <c r="AM554" i="20"/>
  <c r="BS554" i="20"/>
  <c r="AE554" i="20"/>
  <c r="BC569" i="20"/>
  <c r="AO406" i="35"/>
  <c r="AE406" i="35"/>
  <c r="AK406" i="35"/>
  <c r="AG406" i="35"/>
  <c r="BW406" i="35"/>
  <c r="BC406" i="35"/>
  <c r="AQ406" i="35"/>
  <c r="AB406" i="35"/>
  <c r="AI406" i="35"/>
  <c r="AW406" i="35"/>
  <c r="AM406" i="35"/>
  <c r="AS406" i="35"/>
  <c r="BE406" i="35"/>
  <c r="BG406" i="35"/>
  <c r="AQ446" i="35"/>
  <c r="BE446" i="35"/>
  <c r="AG446" i="35"/>
  <c r="AW446" i="35"/>
  <c r="AM446" i="35"/>
  <c r="AE446" i="35"/>
  <c r="AO446" i="35"/>
  <c r="AB446" i="35"/>
  <c r="AK446" i="35"/>
  <c r="BC446" i="35"/>
  <c r="AS446" i="35"/>
  <c r="AI446" i="35"/>
  <c r="BW446" i="35"/>
  <c r="AK439" i="35"/>
  <c r="BC439" i="35"/>
  <c r="AO439" i="35"/>
  <c r="BG439" i="35"/>
  <c r="BE439" i="35"/>
  <c r="AG439" i="35"/>
  <c r="AM430" i="35"/>
  <c r="AE430" i="35"/>
  <c r="AB430" i="35"/>
  <c r="AO430" i="35"/>
  <c r="AK430" i="35"/>
  <c r="AW430" i="35"/>
  <c r="BW430" i="35"/>
  <c r="AS430" i="35"/>
  <c r="AQ430" i="35"/>
  <c r="AG430" i="35"/>
  <c r="BE430" i="35"/>
  <c r="AI430" i="35"/>
  <c r="BC430" i="35"/>
  <c r="AU290" i="35"/>
  <c r="AU523" i="35"/>
  <c r="AU507" i="35"/>
  <c r="AU511" i="35"/>
  <c r="AU498" i="35"/>
  <c r="AU490" i="35"/>
  <c r="AU467" i="35"/>
  <c r="AU458" i="35"/>
  <c r="AU472" i="35"/>
  <c r="AU477" i="35"/>
  <c r="AU436" i="35"/>
  <c r="AU406" i="35"/>
  <c r="AU422" i="35"/>
  <c r="AU416" i="35"/>
  <c r="AU393" i="35"/>
  <c r="AU388" i="35"/>
  <c r="AU372" i="35"/>
  <c r="AU385" i="35"/>
  <c r="AU356" i="35"/>
  <c r="AU346" i="35"/>
  <c r="AU345" i="35"/>
  <c r="AU350" i="35"/>
  <c r="AU303" i="35"/>
  <c r="AU295" i="35"/>
  <c r="AU336" i="35"/>
  <c r="AU306" i="35"/>
  <c r="AU531" i="35"/>
  <c r="AU514" i="35"/>
  <c r="AU505" i="35"/>
  <c r="AU501" i="35"/>
  <c r="AU494" i="35"/>
  <c r="AU482" i="35"/>
  <c r="AU465" i="35"/>
  <c r="AU456" i="35"/>
  <c r="AU478" i="35"/>
  <c r="AU520" i="35"/>
  <c r="AU442" i="35"/>
  <c r="AU418" i="35"/>
  <c r="AU411" i="35"/>
  <c r="AU401" i="35"/>
  <c r="AU376" i="35"/>
  <c r="AU374" i="35"/>
  <c r="AU389" i="35"/>
  <c r="AU369" i="35"/>
  <c r="AU340" i="35"/>
  <c r="AU334" i="35"/>
  <c r="AU330" i="35"/>
  <c r="AU530" i="35"/>
  <c r="AU512" i="35"/>
  <c r="AU504" i="35"/>
  <c r="AU500" i="35"/>
  <c r="AU493" i="35"/>
  <c r="AU474" i="35"/>
  <c r="AU464" i="35"/>
  <c r="AU455" i="35"/>
  <c r="AU475" i="35"/>
  <c r="AU485" i="35"/>
  <c r="AU441" i="35"/>
  <c r="AU413" i="35"/>
  <c r="AU403" i="35"/>
  <c r="AU427" i="35"/>
  <c r="AU383" i="35"/>
  <c r="AU381" i="35"/>
  <c r="AU379" i="35"/>
  <c r="AU358" i="35"/>
  <c r="AU363" i="35"/>
  <c r="AU528" i="35"/>
  <c r="AU510" i="35"/>
  <c r="AU516" i="35"/>
  <c r="AU522" i="35"/>
  <c r="AU526" i="35"/>
  <c r="AU470" i="35"/>
  <c r="AU461" i="35"/>
  <c r="AU487" i="35"/>
  <c r="AU492" i="35"/>
  <c r="AU453" i="35"/>
  <c r="AU439" i="35"/>
  <c r="AU421" i="35"/>
  <c r="AU410" i="35"/>
  <c r="AU415" i="35"/>
  <c r="AU367" i="35"/>
  <c r="AU365" i="35"/>
  <c r="AU378" i="35"/>
  <c r="AU349" i="35"/>
  <c r="AU518" i="35"/>
  <c r="AU503" i="35"/>
  <c r="AU486" i="35"/>
  <c r="AU457" i="35"/>
  <c r="AU473" i="35"/>
  <c r="AU420" i="35"/>
  <c r="AU409" i="35"/>
  <c r="AU382" i="35"/>
  <c r="AU377" i="35"/>
  <c r="AU366" i="35"/>
  <c r="AU352" i="35"/>
  <c r="AU332" i="35"/>
  <c r="AU298" i="35"/>
  <c r="AU311" i="35"/>
  <c r="AU307" i="35"/>
  <c r="AU304" i="35"/>
  <c r="AU273" i="35"/>
  <c r="AU251" i="35"/>
  <c r="AU279" i="35"/>
  <c r="AU265" i="35"/>
  <c r="AU237" i="35"/>
  <c r="AU274" i="35"/>
  <c r="AU225" i="35"/>
  <c r="AU208" i="35"/>
  <c r="AU198" i="35"/>
  <c r="AU232" i="35"/>
  <c r="AU190" i="35"/>
  <c r="AU212" i="35"/>
  <c r="AU163" i="35"/>
  <c r="AU150" i="35"/>
  <c r="AU137" i="35"/>
  <c r="AU146" i="35"/>
  <c r="AU140" i="35"/>
  <c r="AU89" i="35"/>
  <c r="AU83" i="35"/>
  <c r="AU147" i="35"/>
  <c r="AU103" i="35"/>
  <c r="AU93" i="35"/>
  <c r="AU31" i="35"/>
  <c r="AU65" i="35"/>
  <c r="AU55" i="35"/>
  <c r="AU25" i="35"/>
  <c r="AU15" i="35"/>
  <c r="AU40" i="35"/>
  <c r="AW4" i="35"/>
  <c r="AU521" i="35"/>
  <c r="AU499" i="35"/>
  <c r="AU471" i="35"/>
  <c r="AU491" i="35"/>
  <c r="AU481" i="35"/>
  <c r="AU397" i="35"/>
  <c r="AU408" i="35"/>
  <c r="AU373" i="35"/>
  <c r="AU357" i="35"/>
  <c r="AU338" i="35"/>
  <c r="AU344" i="35"/>
  <c r="AU323" i="35"/>
  <c r="AU297" i="35"/>
  <c r="AU282" i="35"/>
  <c r="AU333" i="35"/>
  <c r="AU263" i="35"/>
  <c r="AU266" i="35"/>
  <c r="AU250" i="35"/>
  <c r="AU246" i="35"/>
  <c r="AU244" i="35"/>
  <c r="AU288" i="35"/>
  <c r="AU267" i="35"/>
  <c r="AU224" i="35"/>
  <c r="AU206" i="35"/>
  <c r="AU197" i="35"/>
  <c r="AU214" i="35"/>
  <c r="AU189" i="35"/>
  <c r="AU215" i="35"/>
  <c r="AU139" i="35"/>
  <c r="AU131" i="35"/>
  <c r="AU164" i="35"/>
  <c r="AU177" i="35"/>
  <c r="AU123" i="35"/>
  <c r="AU88" i="35"/>
  <c r="AU82" i="35"/>
  <c r="AU126" i="35"/>
  <c r="AU102" i="35"/>
  <c r="AU125" i="35"/>
  <c r="AU92" i="35"/>
  <c r="AU64" i="35"/>
  <c r="AU54" i="35"/>
  <c r="AU24" i="35"/>
  <c r="AU13" i="35"/>
  <c r="AU39" i="35"/>
  <c r="AU509" i="35"/>
  <c r="AU513" i="35"/>
  <c r="AU469" i="35"/>
  <c r="AU483" i="35"/>
  <c r="AU452" i="35"/>
  <c r="AU414" i="35"/>
  <c r="AU407" i="35"/>
  <c r="AU391" i="35"/>
  <c r="AU341" i="35"/>
  <c r="AU331" i="35"/>
  <c r="AU351" i="35"/>
  <c r="AU318" i="35"/>
  <c r="AU296" i="35"/>
  <c r="AU329" i="35"/>
  <c r="AU325" i="35"/>
  <c r="AU262" i="35"/>
  <c r="AU264" i="35"/>
  <c r="AU280" i="35"/>
  <c r="AU287" i="35"/>
  <c r="AU243" i="35"/>
  <c r="AU285" i="35"/>
  <c r="AU231" i="35"/>
  <c r="AU222" i="35"/>
  <c r="AU205" i="35"/>
  <c r="AU211" i="35"/>
  <c r="AU195" i="35"/>
  <c r="AU188" i="35"/>
  <c r="AU181" i="35"/>
  <c r="AU135" i="35"/>
  <c r="AU130" i="35"/>
  <c r="AU156" i="35"/>
  <c r="AU165" i="35"/>
  <c r="AU118" i="35"/>
  <c r="AU87" i="35"/>
  <c r="AU81" i="35"/>
  <c r="AU122" i="35"/>
  <c r="AU100" i="35"/>
  <c r="AU119" i="35"/>
  <c r="AU71" i="35"/>
  <c r="AU62" i="35"/>
  <c r="AU53" i="35"/>
  <c r="AU21" i="35"/>
  <c r="AU12" i="35"/>
  <c r="AU38" i="35"/>
  <c r="AU108" i="35"/>
  <c r="AU508" i="35"/>
  <c r="AU502" i="35"/>
  <c r="AU468" i="35"/>
  <c r="AU479" i="35"/>
  <c r="AU454" i="35"/>
  <c r="AU412" i="35"/>
  <c r="AU399" i="35"/>
  <c r="AU380" i="35"/>
  <c r="AU362" i="35"/>
  <c r="AU315" i="35"/>
  <c r="AU343" i="35"/>
  <c r="AU310" i="35"/>
  <c r="AU294" i="35"/>
  <c r="AU327" i="35"/>
  <c r="AU320" i="35"/>
  <c r="AU261" i="35"/>
  <c r="AU257" i="35"/>
  <c r="AU272" i="35"/>
  <c r="AU278" i="35"/>
  <c r="AU242" i="35"/>
  <c r="AU276" i="35"/>
  <c r="AU230" i="35"/>
  <c r="AU220" i="35"/>
  <c r="AU203" i="35"/>
  <c r="AU174" i="35"/>
  <c r="AU235" i="35"/>
  <c r="AU187" i="35"/>
  <c r="AU180" i="35"/>
  <c r="AU134" i="35"/>
  <c r="AU129" i="35"/>
  <c r="AU148" i="35"/>
  <c r="AU157" i="35"/>
  <c r="AU107" i="35"/>
  <c r="AU86" i="35"/>
  <c r="AU80" i="35"/>
  <c r="AU121" i="35"/>
  <c r="AU99" i="35"/>
  <c r="AU116" i="35"/>
  <c r="AU30" i="35"/>
  <c r="AU61" i="35"/>
  <c r="AU51" i="35"/>
  <c r="AU46" i="35"/>
  <c r="AU67" i="35"/>
  <c r="AU37" i="35"/>
  <c r="AU74" i="35"/>
  <c r="AU506" i="35"/>
  <c r="AU495" i="35"/>
  <c r="AU466" i="35"/>
  <c r="AU447" i="35"/>
  <c r="AU428" i="35"/>
  <c r="AU417" i="35"/>
  <c r="AU384" i="35"/>
  <c r="AU364" i="35"/>
  <c r="AU348" i="35"/>
  <c r="AU314" i="35"/>
  <c r="AU360" i="35"/>
  <c r="AU302" i="35"/>
  <c r="AU292" i="35"/>
  <c r="AU326" i="35"/>
  <c r="AU305" i="35"/>
  <c r="AU260" i="35"/>
  <c r="AU255" i="35"/>
  <c r="AU249" i="35"/>
  <c r="AU271" i="35"/>
  <c r="AU241" i="35"/>
  <c r="AU269" i="35"/>
  <c r="AU229" i="35"/>
  <c r="AU219" i="35"/>
  <c r="AU202" i="35"/>
  <c r="AU172" i="35"/>
  <c r="AU217" i="35"/>
  <c r="AU185" i="35"/>
  <c r="AU178" i="35"/>
  <c r="AU133" i="35"/>
  <c r="AU127" i="35"/>
  <c r="AU136" i="35"/>
  <c r="AU141" i="35"/>
  <c r="AU117" i="35"/>
  <c r="AU85" i="35"/>
  <c r="AU79" i="35"/>
  <c r="AU111" i="35"/>
  <c r="AU97" i="35"/>
  <c r="AU112" i="35"/>
  <c r="AU29" i="35"/>
  <c r="AU60" i="35"/>
  <c r="AU50" i="35"/>
  <c r="AU18" i="35"/>
  <c r="AU44" i="35"/>
  <c r="AU36" i="35"/>
  <c r="AU33" i="35"/>
  <c r="AU527" i="35"/>
  <c r="AU519" i="35"/>
  <c r="AU496" i="35"/>
  <c r="AU460" i="35"/>
  <c r="AU488" i="35"/>
  <c r="AU437" i="35"/>
  <c r="AU402" i="35"/>
  <c r="AU394" i="35"/>
  <c r="AU370" i="35"/>
  <c r="AU355" i="35"/>
  <c r="AU353" i="35"/>
  <c r="AU335" i="35"/>
  <c r="AU300" i="35"/>
  <c r="AU339" i="35"/>
  <c r="AU309" i="35"/>
  <c r="AU324" i="35"/>
  <c r="AU286" i="35"/>
  <c r="AU253" i="35"/>
  <c r="AU284" i="35"/>
  <c r="AU277" i="35"/>
  <c r="AU239" i="35"/>
  <c r="AU268" i="35"/>
  <c r="AU227" i="35"/>
  <c r="AU210" i="35"/>
  <c r="AU200" i="35"/>
  <c r="AU170" i="35"/>
  <c r="AU192" i="35"/>
  <c r="AU143" i="35"/>
  <c r="AU213" i="35"/>
  <c r="AU166" i="35"/>
  <c r="AU153" i="35"/>
  <c r="AU162" i="35"/>
  <c r="AU152" i="35"/>
  <c r="AU106" i="35"/>
  <c r="AU167" i="35"/>
  <c r="AU114" i="35"/>
  <c r="AU105" i="35"/>
  <c r="AU95" i="35"/>
  <c r="AU9" i="35"/>
  <c r="AU77" i="35"/>
  <c r="AU57" i="35"/>
  <c r="AU48" i="35"/>
  <c r="AU68" i="35"/>
  <c r="AU42" i="35"/>
  <c r="AU34" i="35"/>
  <c r="AU525" i="35"/>
  <c r="AU517" i="35"/>
  <c r="AU476" i="35"/>
  <c r="AU459" i="35"/>
  <c r="AU484" i="35"/>
  <c r="AU419" i="35"/>
  <c r="AU424" i="35"/>
  <c r="AU390" i="35"/>
  <c r="AU387" i="35"/>
  <c r="AU347" i="35"/>
  <c r="AU337" i="35"/>
  <c r="AU322" i="35"/>
  <c r="AU299" i="35"/>
  <c r="AU316" i="35"/>
  <c r="AU308" i="35"/>
  <c r="AU319" i="35"/>
  <c r="AU281" i="35"/>
  <c r="AU252" i="35"/>
  <c r="AU283" i="35"/>
  <c r="AU270" i="35"/>
  <c r="AU238" i="35"/>
  <c r="AU289" i="35"/>
  <c r="AU226" i="35"/>
  <c r="AU209" i="35"/>
  <c r="AU199" i="35"/>
  <c r="AU236" i="35"/>
  <c r="AU191" i="35"/>
  <c r="AU234" i="35"/>
  <c r="AU176" i="35"/>
  <c r="AU158" i="35"/>
  <c r="AU149" i="35"/>
  <c r="AU154" i="35"/>
  <c r="AU144" i="35"/>
  <c r="AU90" i="35"/>
  <c r="AU142" i="35"/>
  <c r="AU110" i="35"/>
  <c r="AU104" i="35"/>
  <c r="AU94" i="35"/>
  <c r="AU7" i="35"/>
  <c r="AU70" i="35"/>
  <c r="AU56" i="35"/>
  <c r="AU27" i="35"/>
  <c r="AU16" i="35"/>
  <c r="AU41" i="35"/>
  <c r="AU11" i="35"/>
  <c r="AU463" i="35"/>
  <c r="AU342" i="35"/>
  <c r="AU245" i="35"/>
  <c r="AU184" i="35"/>
  <c r="AU78" i="35"/>
  <c r="AU43" i="35"/>
  <c r="AU26" i="35"/>
  <c r="AU17" i="35"/>
  <c r="AU432" i="35"/>
  <c r="AU515" i="35"/>
  <c r="AU301" i="35"/>
  <c r="AU240" i="35"/>
  <c r="AU233" i="35"/>
  <c r="AU120" i="35"/>
  <c r="AU35" i="35"/>
  <c r="AU101" i="35"/>
  <c r="AU182" i="35"/>
  <c r="AU433" i="35"/>
  <c r="AU317" i="35"/>
  <c r="AU275" i="35"/>
  <c r="AU132" i="35"/>
  <c r="AU96" i="35"/>
  <c r="AU10" i="35"/>
  <c r="AU435" i="35"/>
  <c r="AU423" i="35"/>
  <c r="AU321" i="35"/>
  <c r="AU228" i="35"/>
  <c r="AU161" i="35"/>
  <c r="AU73" i="35"/>
  <c r="AU375" i="35"/>
  <c r="AU328" i="35"/>
  <c r="AU218" i="35"/>
  <c r="AU124" i="35"/>
  <c r="AU28" i="35"/>
  <c r="AU20" i="35"/>
  <c r="AU524" i="35"/>
  <c r="AU359" i="35"/>
  <c r="AU254" i="35"/>
  <c r="AU171" i="35"/>
  <c r="AU113" i="35"/>
  <c r="AU49" i="35"/>
  <c r="AU497" i="35"/>
  <c r="AU312" i="35"/>
  <c r="AU247" i="35"/>
  <c r="AU194" i="35"/>
  <c r="AU84" i="35"/>
  <c r="AU76" i="35"/>
  <c r="AU449" i="35"/>
  <c r="AU168" i="35"/>
  <c r="AU58" i="35"/>
  <c r="AU446" i="35"/>
  <c r="AU529" i="35"/>
  <c r="AU259" i="35"/>
  <c r="AU201" i="35"/>
  <c r="AU371" i="35"/>
  <c r="AU160" i="35"/>
  <c r="AU179" i="35"/>
  <c r="AU368" i="35"/>
  <c r="AU75" i="35"/>
  <c r="AU186" i="35"/>
  <c r="AU291" i="35"/>
  <c r="AU450" i="35"/>
  <c r="AU438" i="35"/>
  <c r="AU52" i="35"/>
  <c r="AU59" i="35"/>
  <c r="AU155" i="35"/>
  <c r="AU63" i="35"/>
  <c r="AU159" i="35"/>
  <c r="AU66" i="35"/>
  <c r="AU128" i="35"/>
  <c r="AU193" i="35"/>
  <c r="AU354" i="35"/>
  <c r="AU19" i="35"/>
  <c r="AU223" i="35"/>
  <c r="AU32" i="35"/>
  <c r="AU91" i="35"/>
  <c r="AU425" i="35"/>
  <c r="AU392" i="35"/>
  <c r="AU14" i="35"/>
  <c r="AU169" i="35"/>
  <c r="AU256" i="35"/>
  <c r="AU207" i="35"/>
  <c r="AU258" i="35"/>
  <c r="AU444" i="35"/>
  <c r="AU361" i="35"/>
  <c r="AU69" i="35"/>
  <c r="AU173" i="35"/>
  <c r="AU183" i="35"/>
  <c r="AU23" i="35"/>
  <c r="AU45" i="35"/>
  <c r="AU293" i="35"/>
  <c r="AU489" i="35"/>
  <c r="AU109" i="35"/>
  <c r="AU386" i="35"/>
  <c r="AU404" i="35"/>
  <c r="AU138" i="35"/>
  <c r="AU72" i="35"/>
  <c r="AU430" i="35"/>
  <c r="AU8" i="35"/>
  <c r="AU448" i="35"/>
  <c r="AU400" i="35"/>
  <c r="AU443" i="35"/>
  <c r="AU221" i="35"/>
  <c r="AU434" i="35"/>
  <c r="AU151" i="35"/>
  <c r="AU480" i="35"/>
  <c r="AU405" i="35"/>
  <c r="AU462" i="35"/>
  <c r="AU248" i="35"/>
  <c r="AU145" i="35"/>
  <c r="AU47" i="35"/>
  <c r="AU451" i="35"/>
  <c r="AU175" i="35"/>
  <c r="AU313" i="35"/>
  <c r="AU204" i="35"/>
  <c r="AU98" i="35"/>
  <c r="AU196" i="35"/>
  <c r="AU115" i="35"/>
  <c r="AU396" i="35"/>
  <c r="AU22" i="35"/>
  <c r="AS184" i="20"/>
  <c r="AS483" i="20" l="1"/>
  <c r="AS111" i="20"/>
  <c r="AS46" i="20"/>
  <c r="BL7" i="23"/>
  <c r="BH10" i="23"/>
  <c r="BE114" i="20"/>
  <c r="AS365" i="20"/>
  <c r="AS132" i="20"/>
  <c r="AS626" i="20"/>
  <c r="AS249" i="20"/>
  <c r="AS31" i="20"/>
  <c r="AS207" i="20"/>
  <c r="AS279" i="20"/>
  <c r="AS494" i="20"/>
  <c r="AS85" i="20"/>
  <c r="AS323" i="20"/>
  <c r="AS594" i="20"/>
  <c r="AS429" i="20"/>
  <c r="AS510" i="20"/>
  <c r="AS476" i="20"/>
  <c r="AS487" i="20"/>
  <c r="AS338" i="20"/>
  <c r="AS586" i="20"/>
  <c r="AS481" i="20"/>
  <c r="AS281" i="20"/>
  <c r="AS302" i="20"/>
  <c r="AS613" i="20"/>
  <c r="AS473" i="20"/>
  <c r="AS272" i="20"/>
  <c r="AS191" i="20"/>
  <c r="AS397" i="20"/>
  <c r="AS283" i="20"/>
  <c r="AS512" i="20"/>
  <c r="AS403" i="20"/>
  <c r="AS244" i="20"/>
  <c r="AS103" i="20"/>
  <c r="AS437" i="20"/>
  <c r="AS190" i="20"/>
  <c r="AS62" i="20"/>
  <c r="AS43" i="20"/>
  <c r="AS479" i="20"/>
  <c r="AS92" i="20"/>
  <c r="AS546" i="20"/>
  <c r="AS277" i="20"/>
  <c r="AS312" i="20"/>
  <c r="AS540" i="20"/>
  <c r="AS68" i="20"/>
  <c r="AS390" i="20"/>
  <c r="AS409" i="20"/>
  <c r="AS647" i="20"/>
  <c r="AS213" i="20"/>
  <c r="AS371" i="20"/>
  <c r="AS179" i="20"/>
  <c r="AS632" i="20"/>
  <c r="AS451" i="20"/>
  <c r="AS504" i="20"/>
  <c r="AS16" i="20"/>
  <c r="AS304" i="20"/>
  <c r="AS475" i="20"/>
  <c r="AS15" i="20"/>
  <c r="AS8" i="20"/>
  <c r="AS408" i="20"/>
  <c r="AS433" i="20"/>
  <c r="AS631" i="20"/>
  <c r="AS174" i="20"/>
  <c r="AS137" i="20"/>
  <c r="AS506" i="20"/>
  <c r="AS416" i="20"/>
  <c r="AS221" i="20"/>
  <c r="AS119" i="20"/>
  <c r="AS364" i="20"/>
  <c r="AS133" i="20"/>
  <c r="AS142" i="20"/>
  <c r="AS254" i="20"/>
  <c r="AS577" i="20"/>
  <c r="AS69" i="20"/>
  <c r="AS147" i="20"/>
  <c r="AS310" i="20"/>
  <c r="AS319" i="20"/>
  <c r="AS183" i="20"/>
  <c r="AS595" i="20"/>
  <c r="AS189" i="20"/>
  <c r="AS530" i="20"/>
  <c r="AS644" i="20"/>
  <c r="AS588" i="20"/>
  <c r="AS171" i="20"/>
  <c r="AS427" i="20"/>
  <c r="AS166" i="20"/>
  <c r="AS330" i="20"/>
  <c r="AS391" i="20"/>
  <c r="AU4" i="20"/>
  <c r="AU579" i="20" s="1"/>
  <c r="AS12" i="20"/>
  <c r="AS389" i="20"/>
  <c r="AS26" i="20"/>
  <c r="AS27" i="20"/>
  <c r="AS216" i="20"/>
  <c r="AS598" i="20"/>
  <c r="AS633" i="20"/>
  <c r="AS150" i="20"/>
  <c r="AS610" i="20"/>
  <c r="AS196" i="20"/>
  <c r="AS35" i="20"/>
  <c r="AS603" i="20"/>
  <c r="AS393" i="20"/>
  <c r="AS327" i="20"/>
  <c r="AS637" i="20"/>
  <c r="AS609" i="20"/>
  <c r="AS223" i="20"/>
  <c r="AS100" i="20"/>
  <c r="AS440" i="20"/>
  <c r="AS359" i="20"/>
  <c r="AS424" i="20"/>
  <c r="AS443" i="20"/>
  <c r="AS648" i="20"/>
  <c r="AS83" i="20"/>
  <c r="AS308" i="20"/>
  <c r="AS192" i="20"/>
  <c r="AS156" i="20"/>
  <c r="AS469" i="20"/>
  <c r="AS71" i="20"/>
  <c r="AS276" i="20"/>
  <c r="AS167" i="20"/>
  <c r="AS303" i="20"/>
  <c r="AS628" i="20"/>
  <c r="AS314" i="20"/>
  <c r="AS266" i="20"/>
  <c r="AS41" i="20"/>
  <c r="AS587" i="20"/>
  <c r="AS40" i="20"/>
  <c r="AS625" i="20"/>
  <c r="AS229" i="20"/>
  <c r="AS460" i="20"/>
  <c r="AS584" i="20"/>
  <c r="AS149" i="20"/>
  <c r="AS350" i="20"/>
  <c r="AS158" i="20"/>
  <c r="AS590" i="20"/>
  <c r="AS472" i="20"/>
  <c r="AS432" i="20"/>
  <c r="AS268" i="20"/>
  <c r="AS414" i="20"/>
  <c r="AS534" i="20"/>
  <c r="AS412" i="20"/>
  <c r="AS533" i="20"/>
  <c r="AS627" i="20"/>
  <c r="AS61" i="20"/>
  <c r="AS343" i="20"/>
  <c r="AS465" i="20"/>
  <c r="AS273" i="20"/>
  <c r="AS178" i="20"/>
  <c r="AS445" i="20"/>
  <c r="AS145" i="20"/>
  <c r="AS329" i="20"/>
  <c r="AS256" i="20"/>
  <c r="AS17" i="20"/>
  <c r="AS422" i="20"/>
  <c r="AS172" i="20"/>
  <c r="AS592" i="20"/>
  <c r="AS248" i="20"/>
  <c r="AS630" i="20"/>
  <c r="AS89" i="20"/>
  <c r="AS604" i="20"/>
  <c r="AS505" i="20"/>
  <c r="AS509" i="20"/>
  <c r="AS112" i="20"/>
  <c r="AS120" i="20"/>
  <c r="AS164" i="20"/>
  <c r="AS36" i="20"/>
  <c r="AS24" i="20"/>
  <c r="AS298" i="20"/>
  <c r="AS87" i="20"/>
  <c r="AS236" i="20"/>
  <c r="AS455" i="20"/>
  <c r="AS368" i="20"/>
  <c r="AS463" i="20"/>
  <c r="AS620" i="20"/>
  <c r="AS636" i="20"/>
  <c r="AS202" i="20"/>
  <c r="AS131" i="20"/>
  <c r="AS536" i="20"/>
  <c r="AS10" i="20"/>
  <c r="AS228" i="20"/>
  <c r="AS218" i="20"/>
  <c r="AS515" i="20"/>
  <c r="AS336" i="20"/>
  <c r="AS264" i="20"/>
  <c r="AS252" i="20"/>
  <c r="AS444" i="20"/>
  <c r="AS601" i="20"/>
  <c r="AS144" i="20"/>
  <c r="AS67" i="20"/>
  <c r="AS605" i="20"/>
  <c r="AS441" i="20"/>
  <c r="AS593" i="20"/>
  <c r="AS635" i="20"/>
  <c r="AS608" i="20"/>
  <c r="AS462" i="20"/>
  <c r="AS91" i="20"/>
  <c r="AS458" i="20"/>
  <c r="AS143" i="20"/>
  <c r="AS73" i="20"/>
  <c r="AS152" i="20"/>
  <c r="AS161" i="20"/>
  <c r="AS239" i="20"/>
  <c r="AS456" i="20"/>
  <c r="AS65" i="20"/>
  <c r="AS139" i="20"/>
  <c r="AS289" i="20"/>
  <c r="AS109" i="20"/>
  <c r="AS500" i="20"/>
  <c r="AS195" i="20"/>
  <c r="AS380" i="20"/>
  <c r="AS597" i="20"/>
  <c r="AS436" i="20"/>
  <c r="AS405" i="20"/>
  <c r="AS160" i="20"/>
  <c r="AS97" i="20"/>
  <c r="AS52" i="20"/>
  <c r="AS574" i="20"/>
  <c r="AS385" i="20"/>
  <c r="AS428" i="20"/>
  <c r="AS105" i="20"/>
  <c r="AS102" i="20"/>
  <c r="AS49" i="20"/>
  <c r="AS606" i="20"/>
  <c r="AS170" i="20"/>
  <c r="AS187" i="20"/>
  <c r="AS98" i="20"/>
  <c r="AS99" i="20"/>
  <c r="AS399" i="20"/>
  <c r="AS259" i="20"/>
  <c r="AS90" i="20"/>
  <c r="AS474" i="20"/>
  <c r="AS438" i="20"/>
  <c r="AS210" i="20"/>
  <c r="AS340" i="20"/>
  <c r="AS318" i="20"/>
  <c r="AS117" i="20"/>
  <c r="AS342" i="20"/>
  <c r="AS341" i="20"/>
  <c r="AS270" i="20"/>
  <c r="AS580" i="20"/>
  <c r="AS104" i="20"/>
  <c r="AS32" i="20"/>
  <c r="AS262" i="20"/>
  <c r="AS14" i="20"/>
  <c r="AS211" i="20"/>
  <c r="AS544" i="20"/>
  <c r="AS392" i="20"/>
  <c r="AS582" i="20"/>
  <c r="AS224" i="20"/>
  <c r="AS450" i="20"/>
  <c r="AS58" i="20"/>
  <c r="AS37" i="20"/>
  <c r="AS376" i="20"/>
  <c r="AS579" i="20"/>
  <c r="AS446" i="20"/>
  <c r="AS246" i="20"/>
  <c r="AS387" i="20"/>
  <c r="AS200" i="20"/>
  <c r="AS404" i="20"/>
  <c r="AS508" i="20"/>
  <c r="AS305" i="20"/>
  <c r="AS290" i="20"/>
  <c r="AS72" i="20"/>
  <c r="AS13" i="20"/>
  <c r="AS619" i="20"/>
  <c r="AS240" i="20"/>
  <c r="AS48" i="20"/>
  <c r="AS386" i="20"/>
  <c r="AS33" i="20"/>
  <c r="AS296" i="20"/>
  <c r="AS468" i="20"/>
  <c r="AS154" i="20"/>
  <c r="AS591" i="20"/>
  <c r="AS313" i="20"/>
  <c r="AS177" i="20"/>
  <c r="AS382" i="20"/>
  <c r="AS618" i="20"/>
  <c r="AS220" i="20"/>
  <c r="AS346" i="20"/>
  <c r="AS233" i="20"/>
  <c r="AS123" i="20"/>
  <c r="AS20" i="20"/>
  <c r="AS274" i="20"/>
  <c r="AS645" i="20"/>
  <c r="AS363" i="20"/>
  <c r="AS629" i="20"/>
  <c r="AS614" i="20"/>
  <c r="AS54" i="20"/>
  <c r="AS45" i="20"/>
  <c r="AS575" i="20"/>
  <c r="AS214" i="20"/>
  <c r="AS247" i="20"/>
  <c r="AS84" i="20"/>
  <c r="AS294" i="20"/>
  <c r="AS611" i="20"/>
  <c r="AS434" i="20"/>
  <c r="AS292" i="20"/>
  <c r="AS421" i="20"/>
  <c r="AS337" i="20"/>
  <c r="AS532" i="20"/>
  <c r="AS215" i="20"/>
  <c r="AS489" i="20"/>
  <c r="AS280" i="20"/>
  <c r="AS471" i="20"/>
  <c r="AS335" i="20"/>
  <c r="AS197" i="20"/>
  <c r="AS417" i="20"/>
  <c r="AS238" i="20"/>
  <c r="AS470" i="20"/>
  <c r="AS354" i="20"/>
  <c r="AS652" i="20"/>
  <c r="AS541" i="20"/>
  <c r="AS402" i="20"/>
  <c r="AS114" i="20"/>
  <c r="AS124" i="20"/>
  <c r="AS596" i="20"/>
  <c r="AS537" i="20"/>
  <c r="AS199" i="20"/>
  <c r="AS34" i="20"/>
  <c r="AS38" i="20"/>
  <c r="AS347" i="20"/>
  <c r="AS128" i="20"/>
  <c r="AS64" i="20"/>
  <c r="AS514" i="20"/>
  <c r="AS168" i="20"/>
  <c r="AS30" i="20"/>
  <c r="AS57" i="20"/>
  <c r="AS410" i="20"/>
  <c r="AS50" i="20"/>
  <c r="AS360" i="20"/>
  <c r="AS615" i="20"/>
  <c r="AS449" i="20"/>
  <c r="AS193" i="20"/>
  <c r="AS420" i="20"/>
  <c r="AS607" i="20"/>
  <c r="AS502" i="20"/>
  <c r="AS173" i="20"/>
  <c r="AS78" i="20"/>
  <c r="AS493" i="20"/>
  <c r="AS367" i="20"/>
  <c r="AS95" i="20"/>
  <c r="AS231" i="20"/>
  <c r="AS260" i="20"/>
  <c r="AS622" i="20"/>
  <c r="AS226" i="20"/>
  <c r="AS219" i="20"/>
  <c r="AS624" i="20"/>
  <c r="AS288" i="20"/>
  <c r="AS447" i="20"/>
  <c r="AS198" i="20"/>
  <c r="AS25" i="20"/>
  <c r="AS401" i="20"/>
  <c r="AS384" i="20"/>
  <c r="AS205" i="20"/>
  <c r="AS77" i="20"/>
  <c r="AS369" i="20"/>
  <c r="AS348" i="20"/>
  <c r="AS106" i="20"/>
  <c r="AS194" i="20"/>
  <c r="AS344" i="20"/>
  <c r="AS217" i="20"/>
  <c r="AS464" i="20"/>
  <c r="AS583" i="20"/>
  <c r="AS232" i="20"/>
  <c r="AS478" i="20"/>
  <c r="AS581" i="20"/>
  <c r="AS309" i="20"/>
  <c r="AS511" i="20"/>
  <c r="AS271" i="20"/>
  <c r="AS328" i="20"/>
  <c r="AS222" i="20"/>
  <c r="AS265" i="20"/>
  <c r="AS383" i="20"/>
  <c r="AS88" i="20"/>
  <c r="AS499" i="20"/>
  <c r="AS297" i="20"/>
  <c r="AS257" i="20"/>
  <c r="AS379" i="20"/>
  <c r="AS157" i="20"/>
  <c r="AS349" i="20"/>
  <c r="AS317" i="20"/>
  <c r="AS435" i="20"/>
  <c r="AS148" i="20"/>
  <c r="AS467" i="20"/>
  <c r="AS545" i="20"/>
  <c r="AS307" i="20"/>
  <c r="AS457" i="20"/>
  <c r="AS146" i="20"/>
  <c r="AS182" i="20"/>
  <c r="AS42" i="20"/>
  <c r="AS366" i="20"/>
  <c r="AS578" i="20"/>
  <c r="AS531" i="20"/>
  <c r="AS602" i="20"/>
  <c r="AS116" i="20"/>
  <c r="AS374" i="20"/>
  <c r="AS285" i="20"/>
  <c r="AS82" i="20"/>
  <c r="AS480" i="20"/>
  <c r="AS495" i="20"/>
  <c r="AS301" i="20"/>
  <c r="AS430" i="20"/>
  <c r="AS442" i="20"/>
  <c r="AS66" i="20"/>
  <c r="AS461" i="20"/>
  <c r="AS362" i="20"/>
  <c r="AS400" i="20"/>
  <c r="AS616" i="20"/>
  <c r="AS188" i="20"/>
  <c r="AS241" i="20"/>
  <c r="AS122" i="20"/>
  <c r="AS11" i="20"/>
  <c r="AS261" i="20"/>
  <c r="AS334" i="20"/>
  <c r="AS101" i="20"/>
  <c r="AS649" i="20"/>
  <c r="AS501" i="20"/>
  <c r="AS209" i="20"/>
  <c r="AS206" i="20"/>
  <c r="AS439" i="20"/>
  <c r="AS357" i="20"/>
  <c r="AS425" i="20"/>
  <c r="AS21" i="20"/>
  <c r="AS234" i="20"/>
  <c r="AS79" i="20"/>
  <c r="AS333" i="20"/>
  <c r="AS76" i="20"/>
  <c r="AS352" i="20"/>
  <c r="AS125" i="20"/>
  <c r="AS201" i="20"/>
  <c r="AS267" i="20"/>
  <c r="AS80" i="20"/>
  <c r="AS110" i="20"/>
  <c r="AS395" i="20"/>
  <c r="AS507" i="20"/>
  <c r="AS243" i="20"/>
  <c r="AS180" i="20"/>
  <c r="AS130" i="20"/>
  <c r="AS22" i="20"/>
  <c r="AS162" i="20"/>
  <c r="AS448" i="20"/>
  <c r="AS370" i="20"/>
  <c r="AS278" i="20"/>
  <c r="AS634" i="20"/>
  <c r="AS47" i="20"/>
  <c r="AS373" i="20"/>
  <c r="AS51" i="20"/>
  <c r="AS377" i="20"/>
  <c r="AS255" i="20"/>
  <c r="AS576" i="20"/>
  <c r="AS638" i="20"/>
  <c r="AS381" i="20"/>
  <c r="AS355" i="20"/>
  <c r="AS63" i="20"/>
  <c r="AS621" i="20"/>
  <c r="AS503" i="20"/>
  <c r="AS324" i="20"/>
  <c r="AS484" i="20"/>
  <c r="AS74" i="20"/>
  <c r="AS300" i="20"/>
  <c r="AS126" i="20"/>
  <c r="AS641" i="20"/>
  <c r="AS543" i="20"/>
  <c r="AS306" i="20"/>
  <c r="AS491" i="20"/>
  <c r="AS639" i="20"/>
  <c r="AS646" i="20"/>
  <c r="AS326" i="20"/>
  <c r="AS299" i="20"/>
  <c r="AS490" i="20"/>
  <c r="AS134" i="20"/>
  <c r="AS203" i="20"/>
  <c r="AS388" i="20"/>
  <c r="AS286" i="20"/>
  <c r="AS498" i="20"/>
  <c r="AS181" i="20"/>
  <c r="AS651" i="20"/>
  <c r="AS361" i="20"/>
  <c r="AS39" i="20"/>
  <c r="AS284" i="20"/>
  <c r="AS316" i="20"/>
  <c r="AS423" i="20"/>
  <c r="AS19" i="20"/>
  <c r="AS141" i="20"/>
  <c r="AS129" i="20"/>
  <c r="AS539" i="20"/>
  <c r="AS415" i="20"/>
  <c r="AS488" i="20"/>
  <c r="AS282" i="20"/>
  <c r="AS426" i="20"/>
  <c r="AS258" i="20"/>
  <c r="AS617" i="20"/>
  <c r="AS496" i="20"/>
  <c r="AS93" i="20"/>
  <c r="AS293" i="20"/>
  <c r="AS287" i="20"/>
  <c r="AS466" i="20"/>
  <c r="AS212" i="20"/>
  <c r="AS251" i="20"/>
  <c r="AS225" i="20"/>
  <c r="AS356" i="20"/>
  <c r="AS44" i="20"/>
  <c r="AS56" i="20"/>
  <c r="AS321" i="20"/>
  <c r="AS482" i="20"/>
  <c r="AS453" i="20"/>
  <c r="AS650" i="20"/>
  <c r="AS29" i="20"/>
  <c r="AS396" i="20"/>
  <c r="AS599" i="20"/>
  <c r="AS135" i="20"/>
  <c r="AS351" i="20"/>
  <c r="AS311" i="20"/>
  <c r="AS94" i="20"/>
  <c r="AS431" i="20"/>
  <c r="AS185" i="20"/>
  <c r="AS642" i="20"/>
  <c r="AS242" i="20"/>
  <c r="AS589" i="20"/>
  <c r="AS538" i="20"/>
  <c r="AS398" i="20"/>
  <c r="AS345" i="20"/>
  <c r="AS585" i="20"/>
  <c r="AS485" i="20"/>
  <c r="AS492" i="20"/>
  <c r="AS413" i="20"/>
  <c r="AS315" i="20"/>
  <c r="AS140" i="20"/>
  <c r="AS411" i="20"/>
  <c r="AS263" i="20"/>
  <c r="AS407" i="20"/>
  <c r="AS165" i="20"/>
  <c r="AS291" i="20"/>
  <c r="AS477" i="20"/>
  <c r="AS253" i="20"/>
  <c r="AS227" i="20"/>
  <c r="AS542" i="20"/>
  <c r="AS175" i="20"/>
  <c r="AS204" i="20"/>
  <c r="AS454" i="20"/>
  <c r="AS96" i="20"/>
  <c r="AS70" i="20"/>
  <c r="AS375" i="20"/>
  <c r="AS53" i="20"/>
  <c r="AS332" i="20"/>
  <c r="AS320" i="20"/>
  <c r="AS230" i="20"/>
  <c r="AS295" i="20"/>
  <c r="AS113" i="20"/>
  <c r="AS155" i="20"/>
  <c r="AS353" i="20"/>
  <c r="AS452" i="20"/>
  <c r="AS331" i="20"/>
  <c r="AS235" i="20"/>
  <c r="AS55" i="20"/>
  <c r="AS372" i="20"/>
  <c r="AS9" i="20"/>
  <c r="AS358" i="20"/>
  <c r="AS23" i="20"/>
  <c r="AS108" i="20"/>
  <c r="AS7" i="20"/>
  <c r="AS600" i="20"/>
  <c r="AS497" i="20"/>
  <c r="AS322" i="20"/>
  <c r="AS573" i="20"/>
  <c r="AS419" i="20"/>
  <c r="AS275" i="20"/>
  <c r="AS121" i="20"/>
  <c r="AS208" i="20"/>
  <c r="AS250" i="20"/>
  <c r="AS486" i="20"/>
  <c r="AS151" i="20"/>
  <c r="AS136" i="20"/>
  <c r="AS245" i="20"/>
  <c r="AS612" i="20"/>
  <c r="AS623" i="20"/>
  <c r="AS163" i="20"/>
  <c r="AS339" i="20"/>
  <c r="AS60" i="20"/>
  <c r="AS138" i="20"/>
  <c r="AS513" i="20"/>
  <c r="AS406" i="20"/>
  <c r="AS153" i="20"/>
  <c r="AS378" i="20"/>
  <c r="AS169" i="20"/>
  <c r="AS459" i="20"/>
  <c r="AS640" i="20"/>
  <c r="AS86" i="20"/>
  <c r="AS107" i="20"/>
  <c r="AS325" i="20"/>
  <c r="AS237" i="20"/>
  <c r="AS643" i="20"/>
  <c r="AS81" i="20"/>
  <c r="AS28" i="20"/>
  <c r="AS118" i="20"/>
  <c r="AS269" i="20"/>
  <c r="AS59" i="20"/>
  <c r="AS18" i="20"/>
  <c r="AS186" i="20"/>
  <c r="AS159" i="20"/>
  <c r="AS75" i="20"/>
  <c r="AS127" i="20"/>
  <c r="AS115" i="20"/>
  <c r="AS535" i="20"/>
  <c r="AS176" i="20"/>
  <c r="AS418" i="20"/>
  <c r="BI118" i="35"/>
  <c r="BI246" i="35"/>
  <c r="BI132" i="35"/>
  <c r="BI315" i="35"/>
  <c r="BI500" i="35"/>
  <c r="BI447" i="35"/>
  <c r="BI174" i="35"/>
  <c r="BI348" i="35"/>
  <c r="BE121" i="20"/>
  <c r="BI486" i="35"/>
  <c r="BI467" i="35"/>
  <c r="BI100" i="35"/>
  <c r="BE163" i="20"/>
  <c r="BI485" i="35"/>
  <c r="BI526" i="35"/>
  <c r="BI415" i="35"/>
  <c r="BE448" i="20"/>
  <c r="BI294" i="35"/>
  <c r="BI329" i="35"/>
  <c r="BI376" i="35"/>
  <c r="BI261" i="35"/>
  <c r="BE532" i="20"/>
  <c r="BI371" i="35"/>
  <c r="BE525" i="20"/>
  <c r="BI285" i="35"/>
  <c r="BI454" i="35"/>
  <c r="BI288" i="35"/>
  <c r="BE73" i="20"/>
  <c r="BI148" i="35"/>
  <c r="BI247" i="35"/>
  <c r="BI147" i="35"/>
  <c r="BI7" i="35"/>
  <c r="BI391" i="35"/>
  <c r="BE588" i="20"/>
  <c r="BF10" i="23"/>
  <c r="BI212" i="35"/>
  <c r="BI312" i="35"/>
  <c r="O13" i="39"/>
  <c r="BI478" i="35"/>
  <c r="BI238" i="35"/>
  <c r="BI186" i="35"/>
  <c r="BI32" i="35"/>
  <c r="BI191" i="35"/>
  <c r="BI9" i="35"/>
  <c r="BI15" i="35"/>
  <c r="BI354" i="35"/>
  <c r="BE526" i="20"/>
  <c r="BI358" i="35"/>
  <c r="BI242" i="35"/>
  <c r="BI455" i="35"/>
  <c r="BI396" i="35"/>
  <c r="BI61" i="35"/>
  <c r="BI126" i="35"/>
  <c r="BE536" i="20"/>
  <c r="BI39" i="35"/>
  <c r="BI497" i="35"/>
  <c r="BI219" i="35"/>
  <c r="BI20" i="35"/>
  <c r="BI320" i="35"/>
  <c r="BI465" i="35"/>
  <c r="BI97" i="35"/>
  <c r="BE274" i="20"/>
  <c r="BI495" i="35"/>
  <c r="BI202" i="35"/>
  <c r="BI287" i="35"/>
  <c r="BI290" i="35"/>
  <c r="BI210" i="35"/>
  <c r="BI269" i="35"/>
  <c r="BE181" i="20"/>
  <c r="BI153" i="35"/>
  <c r="BI13" i="35"/>
  <c r="BI8" i="35"/>
  <c r="AR15" i="39"/>
  <c r="BI137" i="35"/>
  <c r="BI86" i="35"/>
  <c r="BI442" i="35"/>
  <c r="BI68" i="35"/>
  <c r="BI29" i="35"/>
  <c r="BI91" i="35"/>
  <c r="BI362" i="35"/>
  <c r="BI96" i="35"/>
  <c r="BI248" i="35"/>
  <c r="BI325" i="35"/>
  <c r="BI399" i="35"/>
  <c r="BI102" i="35"/>
  <c r="BI264" i="35"/>
  <c r="BI268" i="35"/>
  <c r="BI193" i="35"/>
  <c r="BI463" i="35"/>
  <c r="BI90" i="35"/>
  <c r="BI184" i="35"/>
  <c r="BI162" i="35"/>
  <c r="BI224" i="35"/>
  <c r="BI277" i="35"/>
  <c r="BI64" i="35"/>
  <c r="BI292" i="35"/>
  <c r="BI160" i="35"/>
  <c r="BI198" i="35"/>
  <c r="BI456" i="35"/>
  <c r="BE210" i="20"/>
  <c r="BE135" i="20"/>
  <c r="BE86" i="20"/>
  <c r="BE81" i="20"/>
  <c r="BE598" i="20"/>
  <c r="BE401" i="20"/>
  <c r="BE113" i="20"/>
  <c r="BE164" i="20"/>
  <c r="BE201" i="20"/>
  <c r="BE570" i="20"/>
  <c r="BI457" i="35"/>
  <c r="BI235" i="35"/>
  <c r="BI444" i="35"/>
  <c r="BI462" i="35"/>
  <c r="BI89" i="35"/>
  <c r="BE336" i="20"/>
  <c r="BE260" i="20"/>
  <c r="BE365" i="20"/>
  <c r="BI440" i="35"/>
  <c r="BI506" i="35"/>
  <c r="BI289" i="35"/>
  <c r="BE110" i="20"/>
  <c r="BE175" i="20"/>
  <c r="BE227" i="20"/>
  <c r="BE253" i="20"/>
  <c r="BE540" i="20"/>
  <c r="BE350" i="20"/>
  <c r="BE220" i="20"/>
  <c r="BE354" i="20"/>
  <c r="BE27" i="20"/>
  <c r="BE504" i="20"/>
  <c r="BE245" i="20"/>
  <c r="BE291" i="20"/>
  <c r="BE317" i="20"/>
  <c r="BE578" i="20"/>
  <c r="BE195" i="20"/>
  <c r="BE449" i="20"/>
  <c r="BE184" i="20"/>
  <c r="BE542" i="20"/>
  <c r="BE171" i="20"/>
  <c r="BE74" i="20"/>
  <c r="BE429" i="20"/>
  <c r="BE595" i="20"/>
  <c r="BE130" i="20"/>
  <c r="BE375" i="20"/>
  <c r="BE271" i="20"/>
  <c r="BE509" i="20"/>
  <c r="BE603" i="20"/>
  <c r="BI435" i="35"/>
  <c r="BI379" i="35"/>
  <c r="BI12" i="35"/>
  <c r="BI303" i="35"/>
  <c r="BE398" i="20"/>
  <c r="BE627" i="20"/>
  <c r="BE237" i="20"/>
  <c r="BE327" i="20"/>
  <c r="BI223" i="35"/>
  <c r="BI273" i="35"/>
  <c r="BI94" i="35"/>
  <c r="BI190" i="35"/>
  <c r="BE251" i="20"/>
  <c r="BE456" i="20"/>
  <c r="BI203" i="35"/>
  <c r="BE308" i="20"/>
  <c r="BI429" i="35"/>
  <c r="BI52" i="35"/>
  <c r="BI422" i="35"/>
  <c r="BI142" i="35"/>
  <c r="BI211" i="35"/>
  <c r="BI158" i="35"/>
  <c r="BI60" i="35"/>
  <c r="BI512" i="35"/>
  <c r="BI169" i="35"/>
  <c r="BI356" i="35"/>
  <c r="BI113" i="35"/>
  <c r="BI18" i="35"/>
  <c r="BI177" i="35"/>
  <c r="BI107" i="35"/>
  <c r="BI324" i="35"/>
  <c r="BI328" i="35"/>
  <c r="BI275" i="35"/>
  <c r="BI279" i="35"/>
  <c r="BI220" i="35"/>
  <c r="BI226" i="35"/>
  <c r="BI489" i="35"/>
  <c r="BI176" i="35"/>
  <c r="BI390" i="35"/>
  <c r="BI394" i="35"/>
  <c r="BI411" i="35"/>
  <c r="BI424" i="35"/>
  <c r="BI446" i="35"/>
  <c r="BI63" i="35"/>
  <c r="BI423" i="35"/>
  <c r="BI73" i="35"/>
  <c r="BI170" i="35"/>
  <c r="BI505" i="35"/>
  <c r="BI92" i="35"/>
  <c r="BI240" i="35"/>
  <c r="BI53" i="35"/>
  <c r="BI62" i="35"/>
  <c r="BI509" i="35"/>
  <c r="BI310" i="35"/>
  <c r="BI194" i="35"/>
  <c r="BI171" i="35"/>
  <c r="BI300" i="35"/>
  <c r="BI409" i="35"/>
  <c r="BI217" i="35"/>
  <c r="BI87" i="35"/>
  <c r="BI475" i="35"/>
  <c r="BI236" i="35"/>
  <c r="BI519" i="35"/>
  <c r="BI311" i="35"/>
  <c r="BI47" i="35"/>
  <c r="BI498" i="35"/>
  <c r="BI111" i="35"/>
  <c r="BI351" i="35"/>
  <c r="BI508" i="35"/>
  <c r="BI27" i="35"/>
  <c r="BI109" i="35"/>
  <c r="BI267" i="35"/>
  <c r="BI380" i="35"/>
  <c r="BI74" i="35"/>
  <c r="BI331" i="35"/>
  <c r="BI46" i="35"/>
  <c r="BI473" i="35"/>
  <c r="BI295" i="35"/>
  <c r="BI458" i="35"/>
  <c r="BB11" i="23"/>
  <c r="BI309" i="35"/>
  <c r="BI493" i="35"/>
  <c r="BI254" i="35"/>
  <c r="BI402" i="35"/>
  <c r="BI241" i="35"/>
  <c r="BI140" i="35"/>
  <c r="BI393" i="35"/>
  <c r="BI434" i="35"/>
  <c r="BE441" i="20"/>
  <c r="BE265" i="20"/>
  <c r="BE373" i="20"/>
  <c r="BE594" i="20"/>
  <c r="BE377" i="20"/>
  <c r="BE225" i="20"/>
  <c r="BE394" i="20"/>
  <c r="BE424" i="20"/>
  <c r="BE469" i="20"/>
  <c r="BE560" i="20"/>
  <c r="BE555" i="20"/>
  <c r="BE412" i="20"/>
  <c r="BE43" i="20"/>
  <c r="BE438" i="20"/>
  <c r="BE231" i="20"/>
  <c r="BE553" i="20"/>
  <c r="BE517" i="20"/>
  <c r="BE510" i="20"/>
  <c r="BE202" i="20"/>
  <c r="BE30" i="20"/>
  <c r="BE243" i="20"/>
  <c r="BE72" i="20"/>
  <c r="BE150" i="20"/>
  <c r="BE104" i="20"/>
  <c r="BE287" i="20"/>
  <c r="BE105" i="20"/>
  <c r="BE584" i="20"/>
  <c r="BE386" i="20"/>
  <c r="BE556" i="20"/>
  <c r="BE22" i="20"/>
  <c r="BE98" i="20"/>
  <c r="BE649" i="20"/>
  <c r="BE455" i="20"/>
  <c r="BE459" i="20"/>
  <c r="BE200" i="20"/>
  <c r="BI181" i="35"/>
  <c r="BI432" i="35"/>
  <c r="BI34" i="35"/>
  <c r="BI291" i="35"/>
  <c r="BE564" i="20"/>
  <c r="BI57" i="35"/>
  <c r="BI460" i="35"/>
  <c r="BI334" i="35"/>
  <c r="BI421" i="35"/>
  <c r="BI283" i="35"/>
  <c r="BI370" i="35"/>
  <c r="BE461" i="20"/>
  <c r="BI76" i="35"/>
  <c r="BE109" i="20"/>
  <c r="BE370" i="20"/>
  <c r="BI110" i="35"/>
  <c r="BI441" i="35"/>
  <c r="BI363" i="35"/>
  <c r="BI389" i="35"/>
  <c r="BE342" i="20"/>
  <c r="BI524" i="35"/>
  <c r="BE288" i="20"/>
  <c r="BE229" i="20"/>
  <c r="BE41" i="20"/>
  <c r="BE96" i="20"/>
  <c r="BE512" i="20"/>
  <c r="BE388" i="20"/>
  <c r="BE421" i="20"/>
  <c r="BE262" i="20"/>
  <c r="BE480" i="20"/>
  <c r="BE531" i="20"/>
  <c r="BE381" i="20"/>
  <c r="BE90" i="20"/>
  <c r="BE426" i="20"/>
  <c r="BE281" i="20"/>
  <c r="BI430" i="35"/>
  <c r="BI229" i="35"/>
  <c r="BI37" i="35"/>
  <c r="BI323" i="35"/>
  <c r="BI378" i="35"/>
  <c r="BI308" i="35"/>
  <c r="BI502" i="35"/>
  <c r="BI221" i="35"/>
  <c r="BI127" i="35"/>
  <c r="BI436" i="35"/>
  <c r="BI365" i="35"/>
  <c r="BI164" i="35"/>
  <c r="BI319" i="35"/>
  <c r="BI345" i="35"/>
  <c r="BI438" i="35"/>
  <c r="BI165" i="35"/>
  <c r="AN11" i="23"/>
  <c r="BE256" i="20"/>
  <c r="BE523" i="20"/>
  <c r="BE396" i="20"/>
  <c r="BE158" i="20"/>
  <c r="BE487" i="20"/>
  <c r="BE343" i="20"/>
  <c r="BE320" i="20"/>
  <c r="BE589" i="20"/>
  <c r="BE640" i="20"/>
  <c r="BE167" i="20"/>
  <c r="BE348" i="20"/>
  <c r="BE612" i="20"/>
  <c r="BE306" i="20"/>
  <c r="BE549" i="20"/>
  <c r="BI302" i="35"/>
  <c r="BI341" i="35"/>
  <c r="BI477" i="35"/>
  <c r="BI503" i="35"/>
  <c r="BI134" i="35"/>
  <c r="BI443" i="35"/>
  <c r="BI468" i="35"/>
  <c r="BI410" i="35"/>
  <c r="BI296" i="35"/>
  <c r="BI258" i="35"/>
  <c r="BE406" i="20"/>
  <c r="BE15" i="20"/>
  <c r="BI205" i="35"/>
  <c r="BI31" i="35"/>
  <c r="BE453" i="20"/>
  <c r="BE174" i="20"/>
  <c r="BI182" i="35"/>
  <c r="BE559" i="20"/>
  <c r="BE569" i="20"/>
  <c r="BE18" i="20"/>
  <c r="BE466" i="20"/>
  <c r="BE312" i="20"/>
  <c r="BE521" i="20"/>
  <c r="BI482" i="35"/>
  <c r="BI299" i="35"/>
  <c r="BI98" i="35"/>
  <c r="BI470" i="35"/>
  <c r="BI437" i="35"/>
  <c r="BI372" i="35"/>
  <c r="BI21" i="35"/>
  <c r="BI124" i="35"/>
  <c r="BE378" i="20"/>
  <c r="BE209" i="20"/>
  <c r="BE178" i="20"/>
  <c r="BE552" i="20"/>
  <c r="BI263" i="35"/>
  <c r="BI469" i="35"/>
  <c r="BI207" i="35"/>
  <c r="BI66" i="35"/>
  <c r="BI395" i="35"/>
  <c r="BI439" i="35"/>
  <c r="BI398" i="35"/>
  <c r="BI426" i="35"/>
  <c r="BI353" i="35"/>
  <c r="BI17" i="35"/>
  <c r="BI119" i="35"/>
  <c r="BI120" i="35"/>
  <c r="BI412" i="35"/>
  <c r="BI36" i="35"/>
  <c r="BI451" i="35"/>
  <c r="BI10" i="35"/>
  <c r="BI420" i="35"/>
  <c r="BI304" i="35"/>
  <c r="BI42" i="35"/>
  <c r="BI388" i="35"/>
  <c r="BI72" i="35"/>
  <c r="BI272" i="35"/>
  <c r="BI199" i="35"/>
  <c r="BI43" i="35"/>
  <c r="BE444" i="20"/>
  <c r="BE276" i="20"/>
  <c r="BE625" i="20"/>
  <c r="BE58" i="20"/>
  <c r="BE520" i="20"/>
  <c r="BE648" i="20"/>
  <c r="BE212" i="20"/>
  <c r="BE384" i="20"/>
  <c r="BE169" i="20"/>
  <c r="BE494" i="20"/>
  <c r="BE566" i="20"/>
  <c r="BE283" i="20"/>
  <c r="BE188" i="20"/>
  <c r="BE264" i="20"/>
  <c r="BI183" i="35"/>
  <c r="BI346" i="35"/>
  <c r="BI145" i="35"/>
  <c r="BI516" i="35"/>
  <c r="BI322" i="35"/>
  <c r="BI326" i="35"/>
  <c r="BI51" i="35"/>
  <c r="BI204" i="35"/>
  <c r="BI529" i="35"/>
  <c r="BI427" i="35"/>
  <c r="BI274" i="35"/>
  <c r="BE486" i="20"/>
  <c r="BE637" i="20"/>
  <c r="BI293" i="35"/>
  <c r="BE364" i="20"/>
  <c r="BI419" i="35"/>
  <c r="BI230" i="35"/>
  <c r="BE405" i="20"/>
  <c r="BE280" i="20"/>
  <c r="BI515" i="35"/>
  <c r="BI35" i="35"/>
  <c r="BE101" i="20"/>
  <c r="BI494" i="35"/>
  <c r="BI188" i="35"/>
  <c r="BI270" i="35"/>
  <c r="BE374" i="20"/>
  <c r="BE442" i="20"/>
  <c r="BE180" i="20"/>
  <c r="BE36" i="20"/>
  <c r="BE296" i="20"/>
  <c r="BE173" i="20"/>
  <c r="BI139" i="35"/>
  <c r="BI93" i="35"/>
  <c r="BI276" i="35"/>
  <c r="BI418" i="35"/>
  <c r="BI67" i="35"/>
  <c r="BI161" i="35"/>
  <c r="BI327" i="35"/>
  <c r="BI318" i="35"/>
  <c r="BI135" i="35"/>
  <c r="BI350" i="35"/>
  <c r="BI367" i="35"/>
  <c r="BI69" i="35"/>
  <c r="BI413" i="35"/>
  <c r="BI305" i="35"/>
  <c r="BI347" i="35"/>
  <c r="BI453" i="35"/>
  <c r="BI298" i="35"/>
  <c r="BI121" i="35"/>
  <c r="BI16" i="35"/>
  <c r="BI355" i="35"/>
  <c r="BI253" i="35"/>
  <c r="BI40" i="35"/>
  <c r="BE223" i="20"/>
  <c r="BE303" i="20"/>
  <c r="BE136" i="20"/>
  <c r="BE122" i="20"/>
  <c r="BE328" i="20"/>
  <c r="BE244" i="20"/>
  <c r="BE428" i="20"/>
  <c r="BE590" i="20"/>
  <c r="BE230" i="20"/>
  <c r="BE349" i="20"/>
  <c r="BE215" i="20"/>
  <c r="BE80" i="20"/>
  <c r="BE76" i="20"/>
  <c r="BE128" i="20"/>
  <c r="BI141" i="35"/>
  <c r="BI28" i="35"/>
  <c r="BI82" i="35"/>
  <c r="BI48" i="35"/>
  <c r="BI479" i="35"/>
  <c r="BI234" i="35"/>
  <c r="BI45" i="35"/>
  <c r="BI25" i="35"/>
  <c r="BI175" i="35"/>
  <c r="BI408" i="35"/>
  <c r="BE529" i="20"/>
  <c r="BE538" i="20"/>
  <c r="BI114" i="35"/>
  <c r="BE387" i="20"/>
  <c r="BI149" i="35"/>
  <c r="BI476" i="35"/>
  <c r="BE617" i="20"/>
  <c r="BI115" i="35"/>
  <c r="BE577" i="20"/>
  <c r="BI249" i="35"/>
  <c r="BI81" i="35"/>
  <c r="BI337" i="35"/>
  <c r="BI70" i="35"/>
  <c r="BI316" i="35"/>
  <c r="BE142" i="20"/>
  <c r="BE524" i="20"/>
  <c r="BE450" i="20"/>
  <c r="BE367" i="20"/>
  <c r="BI50" i="35"/>
  <c r="BI284" i="35"/>
  <c r="BI366" i="35"/>
  <c r="BE266" i="20"/>
  <c r="BI239" i="35"/>
  <c r="BE166" i="20"/>
  <c r="BE252" i="20"/>
  <c r="BE407" i="20"/>
  <c r="BI306" i="35"/>
  <c r="BI349" i="35"/>
  <c r="BI157" i="35"/>
  <c r="BI156" i="35"/>
  <c r="BI414" i="35"/>
  <c r="BI307" i="35"/>
  <c r="BI487" i="35"/>
  <c r="BI492" i="35"/>
  <c r="BI301" i="35"/>
  <c r="BI374" i="35"/>
  <c r="BI461" i="35"/>
  <c r="BI428" i="35"/>
  <c r="BI209" i="35"/>
  <c r="BI416" i="35"/>
  <c r="BI483" i="35"/>
  <c r="BI77" i="35"/>
  <c r="BI281" i="35"/>
  <c r="BE366" i="20"/>
  <c r="BE236" i="20"/>
  <c r="BE446" i="20"/>
  <c r="BE315" i="20"/>
  <c r="BE32" i="20"/>
  <c r="BE213" i="20"/>
  <c r="BE286" i="20"/>
  <c r="BE371" i="20"/>
  <c r="BE216" i="20"/>
  <c r="BE139" i="20"/>
  <c r="BE397" i="20"/>
  <c r="BE50" i="20"/>
  <c r="BE452" i="20"/>
  <c r="BE481" i="20"/>
  <c r="BE346" i="20"/>
  <c r="BI383" i="35"/>
  <c r="BI22" i="35"/>
  <c r="BI222" i="35"/>
  <c r="BI265" i="35"/>
  <c r="BI527" i="35"/>
  <c r="BI251" i="35"/>
  <c r="BI155" i="35"/>
  <c r="BI271" i="35"/>
  <c r="BI133" i="35"/>
  <c r="BI65" i="35"/>
  <c r="BE534" i="20"/>
  <c r="BI513" i="35"/>
  <c r="BE84" i="20"/>
  <c r="BE642" i="20"/>
  <c r="BI189" i="35"/>
  <c r="BI459" i="35"/>
  <c r="BE124" i="20"/>
  <c r="BI359" i="35"/>
  <c r="BG3" i="35"/>
  <c r="BI95" i="35"/>
  <c r="BI531" i="35"/>
  <c r="BI255" i="35"/>
  <c r="BI38" i="35"/>
  <c r="BI151" i="35"/>
  <c r="BI215" i="35"/>
  <c r="BI214" i="35"/>
  <c r="BI342" i="35"/>
  <c r="BI297" i="35"/>
  <c r="BI117" i="35"/>
  <c r="BI168" i="35"/>
  <c r="BI336" i="35"/>
  <c r="BI178" i="35"/>
  <c r="BI30" i="35"/>
  <c r="BI474" i="35"/>
  <c r="BI143" i="35"/>
  <c r="BE372" i="20"/>
  <c r="BE505" i="20"/>
  <c r="BE257" i="20"/>
  <c r="BE592" i="20"/>
  <c r="BE607" i="20"/>
  <c r="BE176" i="20"/>
  <c r="BE83" i="20"/>
  <c r="BE502" i="20"/>
  <c r="BE535" i="20"/>
  <c r="BE431" i="20"/>
  <c r="BE488" i="20"/>
  <c r="BE613" i="20"/>
  <c r="BE530" i="20"/>
  <c r="BE451" i="20"/>
  <c r="BE339" i="20"/>
  <c r="BI357" i="35"/>
  <c r="BI488" i="35"/>
  <c r="BI84" i="35"/>
  <c r="BI344" i="35"/>
  <c r="BI490" i="35"/>
  <c r="BI484" i="35"/>
  <c r="BI369" i="35"/>
  <c r="BI286" i="35"/>
  <c r="BE88" i="20"/>
  <c r="BE9" i="20"/>
  <c r="BI231" i="35"/>
  <c r="BE186" i="20"/>
  <c r="BI99" i="35"/>
  <c r="BI523" i="35"/>
  <c r="BI116" i="35"/>
  <c r="BI282" i="35"/>
  <c r="BI11" i="35"/>
  <c r="BI406" i="35"/>
  <c r="AR16" i="40"/>
  <c r="O15" i="40"/>
  <c r="AT10" i="23"/>
  <c r="AV7" i="23"/>
  <c r="AT11" i="23"/>
  <c r="BJ11" i="23"/>
  <c r="AZ11" i="23"/>
  <c r="BH11" i="23"/>
  <c r="AD11" i="23"/>
  <c r="BF11" i="23"/>
  <c r="AF11" i="23"/>
  <c r="AH11" i="23"/>
  <c r="V11" i="23"/>
  <c r="AL11" i="23"/>
  <c r="AP11" i="23"/>
  <c r="AJ11" i="23"/>
  <c r="W11" i="23"/>
  <c r="T12" i="23" s="1"/>
  <c r="BL12" i="23" s="1"/>
  <c r="AR11" i="23"/>
  <c r="O14" i="40"/>
  <c r="AB11" i="23"/>
  <c r="BI125" i="35"/>
  <c r="BI213" i="35"/>
  <c r="BI128" i="35"/>
  <c r="BI129" i="35"/>
  <c r="BI280" i="35"/>
  <c r="BI332" i="35"/>
  <c r="BI245" i="35"/>
  <c r="BI510" i="35"/>
  <c r="BI481" i="35"/>
  <c r="BI338" i="35"/>
  <c r="BI339" i="35"/>
  <c r="BI144" i="35"/>
  <c r="BI313" i="35"/>
  <c r="BI387" i="35"/>
  <c r="BI256" i="35"/>
  <c r="BI80" i="35"/>
  <c r="BI244" i="35"/>
  <c r="BI266" i="35"/>
  <c r="BI259" i="35"/>
  <c r="BI260" i="35"/>
  <c r="BI201" i="35"/>
  <c r="BI491" i="35"/>
  <c r="BI403" i="35"/>
  <c r="BI150" i="35"/>
  <c r="BI425" i="35"/>
  <c r="BI88" i="35"/>
  <c r="BI433" i="35"/>
  <c r="BI163" i="35"/>
  <c r="BI375" i="35"/>
  <c r="BI384" i="35"/>
  <c r="BI24" i="35"/>
  <c r="BI385" i="35"/>
  <c r="BI122" i="35"/>
  <c r="BI23" i="35"/>
  <c r="BI452" i="35"/>
  <c r="BK4" i="35"/>
  <c r="BK366" i="35" s="1"/>
  <c r="BI78" i="35"/>
  <c r="BI343" i="35"/>
  <c r="BI233" i="35"/>
  <c r="BI368" i="35"/>
  <c r="BI449" i="35"/>
  <c r="BI33" i="35"/>
  <c r="BI225" i="35"/>
  <c r="BI472" i="35"/>
  <c r="BI54" i="35"/>
  <c r="BI330" i="35"/>
  <c r="BI208" i="35"/>
  <c r="BI166" i="35"/>
  <c r="BI518" i="35"/>
  <c r="BI517" i="35"/>
  <c r="BI466" i="35"/>
  <c r="BI471" i="35"/>
  <c r="BI49" i="35"/>
  <c r="BI496" i="35"/>
  <c r="BI257" i="35"/>
  <c r="BI237" i="35"/>
  <c r="BI195" i="35"/>
  <c r="BI197" i="35"/>
  <c r="BI227" i="35"/>
  <c r="BI159" i="35"/>
  <c r="BI377" i="35"/>
  <c r="BI450" i="35"/>
  <c r="BI216" i="35"/>
  <c r="BI130" i="35"/>
  <c r="BI136" i="35"/>
  <c r="BI520" i="35"/>
  <c r="BI123" i="35"/>
  <c r="BI179" i="35"/>
  <c r="BI397" i="35"/>
  <c r="BI501" i="35"/>
  <c r="BE233" i="20"/>
  <c r="BE322" i="20"/>
  <c r="BE85" i="20"/>
  <c r="BE97" i="20"/>
  <c r="BE380" i="20"/>
  <c r="BE533" i="20"/>
  <c r="BE416" i="20"/>
  <c r="BE361" i="20"/>
  <c r="BE423" i="20"/>
  <c r="BE499" i="20"/>
  <c r="BE224" i="20"/>
  <c r="BE609" i="20"/>
  <c r="BE13" i="20"/>
  <c r="BE545" i="20"/>
  <c r="BE192" i="20"/>
  <c r="BE507" i="20"/>
  <c r="BE633" i="20"/>
  <c r="BE626" i="20"/>
  <c r="BE99" i="20"/>
  <c r="BE318" i="20"/>
  <c r="BE537" i="20"/>
  <c r="BE246" i="20"/>
  <c r="BE204" i="20"/>
  <c r="BE156" i="20"/>
  <c r="BE284" i="20"/>
  <c r="BE645" i="20"/>
  <c r="BE575" i="20"/>
  <c r="BE120" i="20"/>
  <c r="BE605" i="20"/>
  <c r="BE621" i="20"/>
  <c r="BE282" i="20"/>
  <c r="BE513" i="20"/>
  <c r="BE319" i="20"/>
  <c r="BE433" i="20"/>
  <c r="BE430" i="20"/>
  <c r="BE108" i="20"/>
  <c r="BE191" i="20"/>
  <c r="BE402" i="20"/>
  <c r="BE196" i="20"/>
  <c r="BE457" i="20"/>
  <c r="BE314" i="20"/>
  <c r="BE71" i="20"/>
  <c r="BE608" i="20"/>
  <c r="BE75" i="20"/>
  <c r="BE143" i="20"/>
  <c r="BE632" i="20"/>
  <c r="BE310" i="20"/>
  <c r="BE106" i="20"/>
  <c r="BE294" i="20"/>
  <c r="BE154" i="20"/>
  <c r="BE400" i="20"/>
  <c r="BE490" i="20"/>
  <c r="BE582" i="20"/>
  <c r="BE316" i="20"/>
  <c r="BE623" i="20"/>
  <c r="BE368" i="20"/>
  <c r="BE198" i="20"/>
  <c r="BE475" i="20"/>
  <c r="BE615" i="20"/>
  <c r="BE239" i="20"/>
  <c r="BE263" i="20"/>
  <c r="BE376" i="20"/>
  <c r="BE290" i="20"/>
  <c r="BE153" i="20"/>
  <c r="BE574" i="20"/>
  <c r="BE194" i="20"/>
  <c r="BE39" i="20"/>
  <c r="BE462" i="20"/>
  <c r="BG4" i="20"/>
  <c r="BE435" i="20"/>
  <c r="BE53" i="20"/>
  <c r="BE344" i="20"/>
  <c r="BE214" i="20"/>
  <c r="BE597" i="20"/>
  <c r="BE103" i="20"/>
  <c r="BE270" i="20"/>
  <c r="BE419" i="20"/>
  <c r="BE35" i="20"/>
  <c r="BE329" i="20"/>
  <c r="BE440" i="20"/>
  <c r="BE351" i="20"/>
  <c r="BE92" i="20"/>
  <c r="BE392" i="20"/>
  <c r="BE111" i="20"/>
  <c r="BE369" i="20"/>
  <c r="BE414" i="20"/>
  <c r="BE445" i="20"/>
  <c r="BE38" i="20"/>
  <c r="BE543" i="20"/>
  <c r="BE403" i="20"/>
  <c r="BE511" i="20"/>
  <c r="BE528" i="20"/>
  <c r="BE404" i="20"/>
  <c r="BE515" i="20"/>
  <c r="BE187" i="20"/>
  <c r="BE165" i="20"/>
  <c r="BE305" i="20"/>
  <c r="BE228" i="20"/>
  <c r="BE65" i="20"/>
  <c r="BE77" i="20"/>
  <c r="BE24" i="20"/>
  <c r="BE500" i="20"/>
  <c r="BE87" i="20"/>
  <c r="BE347" i="20"/>
  <c r="BE132" i="20"/>
  <c r="BE273" i="20"/>
  <c r="BE148" i="20"/>
  <c r="BE583" i="20"/>
  <c r="BE55" i="20"/>
  <c r="BE155" i="20"/>
  <c r="BE66" i="20"/>
  <c r="BE340" i="20"/>
  <c r="BE129" i="20"/>
  <c r="BE321" i="20"/>
  <c r="BE116" i="20"/>
  <c r="BE519" i="20"/>
  <c r="BE472" i="20"/>
  <c r="BE591" i="20"/>
  <c r="BE385" i="20"/>
  <c r="BE241" i="20"/>
  <c r="BE634" i="20"/>
  <c r="BE551" i="20"/>
  <c r="BE44" i="20"/>
  <c r="BE31" i="20"/>
  <c r="BE95" i="20"/>
  <c r="BE618" i="20"/>
  <c r="BE508" i="20"/>
  <c r="BE193" i="20"/>
  <c r="BE571" i="20"/>
  <c r="BE211" i="20"/>
  <c r="BE355" i="20"/>
  <c r="BE541" i="20"/>
  <c r="BE439" i="20"/>
  <c r="BE62" i="20"/>
  <c r="BE432" i="20"/>
  <c r="BE345" i="20"/>
  <c r="BE522" i="20"/>
  <c r="BE573" i="20"/>
  <c r="BE436" i="20"/>
  <c r="BE491" i="20"/>
  <c r="BE79" i="20"/>
  <c r="BE152" i="20"/>
  <c r="BE46" i="20"/>
  <c r="BE285" i="20"/>
  <c r="BE576" i="20"/>
  <c r="BE572" i="20"/>
  <c r="BE565" i="20"/>
  <c r="BE63" i="20"/>
  <c r="BE100" i="20"/>
  <c r="BE485" i="20"/>
  <c r="BE52" i="20"/>
  <c r="BE250" i="20"/>
  <c r="BE240" i="20"/>
  <c r="BE593" i="20"/>
  <c r="BE78" i="20"/>
  <c r="BE242" i="20"/>
  <c r="BE254" i="20"/>
  <c r="BE258" i="20"/>
  <c r="BE138" i="20"/>
  <c r="BE19" i="20"/>
  <c r="BE59" i="20"/>
  <c r="BE159" i="20"/>
  <c r="BE420" i="20"/>
  <c r="BE21" i="20"/>
  <c r="BE37" i="20"/>
  <c r="BE292" i="20"/>
  <c r="BE483" i="20"/>
  <c r="BE12" i="20"/>
  <c r="BE249" i="20"/>
  <c r="BE425" i="20"/>
  <c r="BE624" i="20"/>
  <c r="BE585" i="20"/>
  <c r="BE42" i="20"/>
  <c r="BE611" i="20"/>
  <c r="BE411" i="20"/>
  <c r="BE23" i="20"/>
  <c r="BE134" i="20"/>
  <c r="BE235" i="20"/>
  <c r="BE651" i="20"/>
  <c r="BE157" i="20"/>
  <c r="BE357" i="20"/>
  <c r="BE460" i="20"/>
  <c r="BE410" i="20"/>
  <c r="BE61" i="20"/>
  <c r="BE599" i="20"/>
  <c r="BE638" i="20"/>
  <c r="BE639" i="20"/>
  <c r="BE415" i="20"/>
  <c r="BE341" i="20"/>
  <c r="BE539" i="20"/>
  <c r="BE255" i="20"/>
  <c r="BE217" i="20"/>
  <c r="BE324" i="20"/>
  <c r="BE298" i="20"/>
  <c r="BE363" i="20"/>
  <c r="BE550" i="20"/>
  <c r="BE587" i="20"/>
  <c r="BE301" i="20"/>
  <c r="BE7" i="20"/>
  <c r="BE471" i="20"/>
  <c r="BE293" i="20"/>
  <c r="BE197" i="20"/>
  <c r="BE300" i="20"/>
  <c r="BE497" i="20"/>
  <c r="BE232" i="20"/>
  <c r="BE601" i="20"/>
  <c r="BE470" i="20"/>
  <c r="BE56" i="20"/>
  <c r="BE8" i="20"/>
  <c r="BE267" i="20"/>
  <c r="BE279" i="20"/>
  <c r="BE144" i="20"/>
  <c r="BE162" i="20"/>
  <c r="BE234" i="20"/>
  <c r="BE117" i="20"/>
  <c r="BE141" i="20"/>
  <c r="BE503" i="20"/>
  <c r="BE16" i="20"/>
  <c r="BE358" i="20"/>
  <c r="BE418" i="20"/>
  <c r="BE641" i="20"/>
  <c r="BE563" i="20"/>
  <c r="BE161" i="20"/>
  <c r="BE54" i="20"/>
  <c r="BE313" i="20"/>
  <c r="BE614" i="20"/>
  <c r="BE247" i="20"/>
  <c r="BE567" i="20"/>
  <c r="BE29" i="20"/>
  <c r="BE332" i="20"/>
  <c r="BE620" i="20"/>
  <c r="BE548" i="20"/>
  <c r="BE248" i="20"/>
  <c r="BE606" i="20"/>
  <c r="BE26" i="20"/>
  <c r="BE205" i="20"/>
  <c r="BE206" i="20"/>
  <c r="BE326" i="20"/>
  <c r="BE558" i="20"/>
  <c r="BE11" i="20"/>
  <c r="BE427" i="20"/>
  <c r="BE600" i="20"/>
  <c r="BE268" i="20"/>
  <c r="BE333" i="20"/>
  <c r="BE307" i="20"/>
  <c r="BE579" i="20"/>
  <c r="BE413" i="20"/>
  <c r="BE149" i="20"/>
  <c r="BE647" i="20"/>
  <c r="BE580" i="20"/>
  <c r="BE107" i="20"/>
  <c r="BE482" i="20"/>
  <c r="BE478" i="20"/>
  <c r="BE289" i="20"/>
  <c r="BE557" i="20"/>
  <c r="BE650" i="20"/>
  <c r="BE123" i="20"/>
  <c r="BE51" i="20"/>
  <c r="BE383" i="20"/>
  <c r="BE465" i="20"/>
  <c r="BE610" i="20"/>
  <c r="BE395" i="20"/>
  <c r="BE393" i="20"/>
  <c r="BE131" i="20"/>
  <c r="BE489" i="20"/>
  <c r="BE147" i="20"/>
  <c r="BE126" i="20"/>
  <c r="BE628" i="20"/>
  <c r="BE311" i="20"/>
  <c r="BE185" i="20"/>
  <c r="BE477" i="20"/>
  <c r="BE379" i="20"/>
  <c r="BE635" i="20"/>
  <c r="BE362" i="20"/>
  <c r="BE218" i="20"/>
  <c r="BE67" i="20"/>
  <c r="BE146" i="20"/>
  <c r="BE391" i="20"/>
  <c r="BE476" i="20"/>
  <c r="BE390" i="20"/>
  <c r="BE118" i="20"/>
  <c r="BE115" i="20"/>
  <c r="BE70" i="20"/>
  <c r="BE82" i="20"/>
  <c r="BE222" i="20"/>
  <c r="BE643" i="20"/>
  <c r="BE69" i="20"/>
  <c r="BE353" i="20"/>
  <c r="BE527" i="20"/>
  <c r="BE14" i="20"/>
  <c r="BE133" i="20"/>
  <c r="BE454" i="20"/>
  <c r="BE334" i="20"/>
  <c r="BE28" i="20"/>
  <c r="BE10" i="20"/>
  <c r="BE602" i="20"/>
  <c r="BE463" i="20"/>
  <c r="BE127" i="20"/>
  <c r="BE630" i="20"/>
  <c r="BE467" i="20"/>
  <c r="BE325" i="20"/>
  <c r="BE356" i="20"/>
  <c r="BE89" i="20"/>
  <c r="BE112" i="20"/>
  <c r="BE119" i="20"/>
  <c r="BE302" i="20"/>
  <c r="BE219" i="20"/>
  <c r="BE45" i="20"/>
  <c r="BE269" i="20"/>
  <c r="BE40" i="20"/>
  <c r="BE275" i="20"/>
  <c r="BE102" i="20"/>
  <c r="BE272" i="20"/>
  <c r="BE208" i="20"/>
  <c r="BE479" i="20"/>
  <c r="BE484" i="20"/>
  <c r="BE160" i="20"/>
  <c r="BE331" i="20"/>
  <c r="BE47" i="20"/>
  <c r="BE501" i="20"/>
  <c r="BE547" i="20"/>
  <c r="BE20" i="20"/>
  <c r="BE190" i="20"/>
  <c r="BE568" i="20"/>
  <c r="BE137" i="20"/>
  <c r="BE492" i="20"/>
  <c r="BE60" i="20"/>
  <c r="BE64" i="20"/>
  <c r="BE221" i="20"/>
  <c r="BE151" i="20"/>
  <c r="BE57" i="20"/>
  <c r="BE506" i="20"/>
  <c r="BE299" i="20"/>
  <c r="BE170" i="20"/>
  <c r="BE33" i="20"/>
  <c r="BE48" i="20"/>
  <c r="BE277" i="20"/>
  <c r="BE304" i="20"/>
  <c r="BE546" i="20"/>
  <c r="BE168" i="20"/>
  <c r="BE409" i="20"/>
  <c r="BE408" i="20"/>
  <c r="BE581" i="20"/>
  <c r="BE335" i="20"/>
  <c r="BE34" i="20"/>
  <c r="BE458" i="20"/>
  <c r="BE562" i="20"/>
  <c r="BE629" i="20"/>
  <c r="BE554" i="20"/>
  <c r="BE323" i="20"/>
  <c r="BE352" i="20"/>
  <c r="BE297" i="20"/>
  <c r="BE473" i="20"/>
  <c r="BE278" i="20"/>
  <c r="BE295" i="20"/>
  <c r="BE544" i="20"/>
  <c r="BE422" i="20"/>
  <c r="BE447" i="20"/>
  <c r="BE309" i="20"/>
  <c r="BE498" i="20"/>
  <c r="BE68" i="20"/>
  <c r="BE631" i="20"/>
  <c r="BE93" i="20"/>
  <c r="BE145" i="20"/>
  <c r="BE359" i="20"/>
  <c r="BE183" i="20"/>
  <c r="BE261" i="20"/>
  <c r="BE516" i="20"/>
  <c r="BE91" i="20"/>
  <c r="BE238" i="20"/>
  <c r="BE49" i="20"/>
  <c r="BE389" i="20"/>
  <c r="BE468" i="20"/>
  <c r="BE140" i="20"/>
  <c r="BE182" i="20"/>
  <c r="BE495" i="20"/>
  <c r="BE94" i="20"/>
  <c r="BE189" i="20"/>
  <c r="BE644" i="20"/>
  <c r="BE399" i="20"/>
  <c r="BE464" i="20"/>
  <c r="BE17" i="20"/>
  <c r="BE259" i="20"/>
  <c r="BE496" i="20"/>
  <c r="BE226" i="20"/>
  <c r="BE514" i="20"/>
  <c r="BE172" i="20"/>
  <c r="BE443" i="20"/>
  <c r="BE199" i="20"/>
  <c r="BE586" i="20"/>
  <c r="BE203" i="20"/>
  <c r="BE622" i="20"/>
  <c r="BE596" i="20"/>
  <c r="BE437" i="20"/>
  <c r="BE337" i="20"/>
  <c r="BE25" i="20"/>
  <c r="BE125" i="20"/>
  <c r="BE604" i="20"/>
  <c r="BE636" i="20"/>
  <c r="BE179" i="20"/>
  <c r="BE518" i="20"/>
  <c r="BE330" i="20"/>
  <c r="BE177" i="20"/>
  <c r="BE652" i="20"/>
  <c r="BE616" i="20"/>
  <c r="BE646" i="20"/>
  <c r="BE561" i="20"/>
  <c r="BE493" i="20"/>
  <c r="BE360" i="20"/>
  <c r="BE619" i="20"/>
  <c r="BE338" i="20"/>
  <c r="BE434" i="20"/>
  <c r="BE207" i="20"/>
  <c r="BE417" i="20"/>
  <c r="BI314" i="35"/>
  <c r="BI507" i="35"/>
  <c r="BI360" i="35"/>
  <c r="BI146" i="35"/>
  <c r="BI405" i="35"/>
  <c r="BI71" i="35"/>
  <c r="BI167" i="35"/>
  <c r="BI392" i="35"/>
  <c r="BI196" i="35"/>
  <c r="BI321" i="35"/>
  <c r="BI228" i="35"/>
  <c r="BI173" i="35"/>
  <c r="BI103" i="35"/>
  <c r="BI404" i="35"/>
  <c r="BI180" i="35"/>
  <c r="BI59" i="35"/>
  <c r="BI85" i="35"/>
  <c r="BI530" i="35"/>
  <c r="BI445" i="35"/>
  <c r="BI55" i="35"/>
  <c r="BI352" i="35"/>
  <c r="AE3" i="20"/>
  <c r="BI340" i="35"/>
  <c r="BI106" i="35"/>
  <c r="BI19" i="35"/>
  <c r="BI44" i="35"/>
  <c r="BI361" i="35"/>
  <c r="BI431" i="35"/>
  <c r="BI14" i="35"/>
  <c r="BI333" i="35"/>
  <c r="BI278" i="35"/>
  <c r="BI58" i="35"/>
  <c r="BI381" i="35"/>
  <c r="BI250" i="35"/>
  <c r="BI504" i="35"/>
  <c r="BI112" i="35"/>
  <c r="BI200" i="35"/>
  <c r="BI511" i="35"/>
  <c r="BI101" i="35"/>
  <c r="BI400" i="35"/>
  <c r="BI525" i="35"/>
  <c r="BI206" i="35"/>
  <c r="BI317" i="35"/>
  <c r="BI252" i="35"/>
  <c r="BI407" i="35"/>
  <c r="BI56" i="35"/>
  <c r="BI187" i="35"/>
  <c r="BI480" i="35"/>
  <c r="BI218" i="35"/>
  <c r="BI243" i="35"/>
  <c r="BI373" i="35"/>
  <c r="BI83" i="35"/>
  <c r="BI26" i="35"/>
  <c r="BI138" i="35"/>
  <c r="BI105" i="35"/>
  <c r="BI79" i="35"/>
  <c r="BI521" i="35"/>
  <c r="BI335" i="35"/>
  <c r="BI528" i="35"/>
  <c r="BI104" i="35"/>
  <c r="BI152" i="35"/>
  <c r="BI522" i="35"/>
  <c r="BI499" i="35"/>
  <c r="BI417" i="35"/>
  <c r="BI464" i="35"/>
  <c r="BI382" i="35"/>
  <c r="BI108" i="35"/>
  <c r="BI154" i="35"/>
  <c r="BI232" i="35"/>
  <c r="BI401" i="35"/>
  <c r="BI172" i="35"/>
  <c r="BI75" i="35"/>
  <c r="BI41" i="35"/>
  <c r="BI262" i="35"/>
  <c r="BI514" i="35"/>
  <c r="BI448" i="35"/>
  <c r="BI185" i="35"/>
  <c r="BI364" i="35"/>
  <c r="BI131" i="35"/>
  <c r="BI192" i="35"/>
  <c r="AO3" i="20"/>
  <c r="AM3" i="20"/>
  <c r="BC3" i="20"/>
  <c r="AG3" i="20"/>
  <c r="AY3" i="20"/>
  <c r="AQ3" i="20"/>
  <c r="AK3" i="20"/>
  <c r="AI3" i="20"/>
  <c r="AA3" i="20"/>
  <c r="AC3" i="20"/>
  <c r="BA3" i="20"/>
  <c r="AW506" i="35"/>
  <c r="AW456" i="35"/>
  <c r="AW487" i="35"/>
  <c r="AW355" i="35"/>
  <c r="AW479" i="35"/>
  <c r="AW341" i="35"/>
  <c r="AW283" i="35"/>
  <c r="AW205" i="35"/>
  <c r="AW77" i="35"/>
  <c r="AW80" i="35"/>
  <c r="AW414" i="35"/>
  <c r="AW312" i="35"/>
  <c r="AW231" i="35"/>
  <c r="AW83" i="35"/>
  <c r="AW518" i="35"/>
  <c r="AW412" i="35"/>
  <c r="AW304" i="35"/>
  <c r="AW221" i="35"/>
  <c r="AW172" i="35"/>
  <c r="AW531" i="35"/>
  <c r="AW383" i="35"/>
  <c r="AW301" i="35"/>
  <c r="AW223" i="35"/>
  <c r="AW103" i="35"/>
  <c r="AW519" i="35"/>
  <c r="AW358" i="35"/>
  <c r="AW289" i="35"/>
  <c r="AW198" i="35"/>
  <c r="AW81" i="35"/>
  <c r="AW24" i="35"/>
  <c r="AW263" i="35"/>
  <c r="AW477" i="35"/>
  <c r="AW182" i="35"/>
  <c r="AW472" i="35"/>
  <c r="AW370" i="35"/>
  <c r="AW243" i="35"/>
  <c r="AW175" i="35"/>
  <c r="AW97" i="35"/>
  <c r="AW505" i="35"/>
  <c r="AW374" i="35"/>
  <c r="AW297" i="35"/>
  <c r="AW206" i="35"/>
  <c r="AW96" i="35"/>
  <c r="AW504" i="35"/>
  <c r="AW366" i="35"/>
  <c r="AW295" i="35"/>
  <c r="AW204" i="35"/>
  <c r="AW95" i="35"/>
  <c r="AW528" i="35"/>
  <c r="AW359" i="35"/>
  <c r="AW290" i="35"/>
  <c r="AW200" i="35"/>
  <c r="AW146" i="35"/>
  <c r="AW525" i="35"/>
  <c r="AW345" i="35"/>
  <c r="AW270" i="35"/>
  <c r="AW130" i="35"/>
  <c r="AW64" i="35"/>
  <c r="AW70" i="35"/>
  <c r="AW246" i="35"/>
  <c r="AW530" i="35"/>
  <c r="AW20" i="35"/>
  <c r="AW87" i="35"/>
  <c r="AW158" i="35"/>
  <c r="AW253" i="35"/>
  <c r="AW305" i="35"/>
  <c r="AW346" i="35"/>
  <c r="AW460" i="35"/>
  <c r="AW75" i="35"/>
  <c r="AW101" i="35"/>
  <c r="AW462" i="35"/>
  <c r="AW365" i="35"/>
  <c r="AW235" i="35"/>
  <c r="AW127" i="35"/>
  <c r="AW72" i="35"/>
  <c r="AW515" i="35"/>
  <c r="AW353" i="35"/>
  <c r="AW284" i="35"/>
  <c r="AW174" i="35"/>
  <c r="AW30" i="35"/>
  <c r="AW511" i="35"/>
  <c r="AW352" i="35"/>
  <c r="AW259" i="35"/>
  <c r="AW166" i="35"/>
  <c r="AW28" i="35"/>
  <c r="AW500" i="35"/>
  <c r="AW347" i="35"/>
  <c r="AW245" i="35"/>
  <c r="AW131" i="35"/>
  <c r="AW65" i="35"/>
  <c r="AW485" i="35"/>
  <c r="AW379" i="35"/>
  <c r="AW282" i="35"/>
  <c r="AW164" i="35"/>
  <c r="AW50" i="35"/>
  <c r="AW105" i="35"/>
  <c r="AW332" i="35"/>
  <c r="AW514" i="35"/>
  <c r="AW510" i="35"/>
  <c r="AW453" i="35"/>
  <c r="AW314" i="35"/>
  <c r="AW258" i="35"/>
  <c r="AW156" i="35"/>
  <c r="AW62" i="35"/>
  <c r="AW493" i="35"/>
  <c r="AW342" i="35"/>
  <c r="AW241" i="35"/>
  <c r="AW153" i="35"/>
  <c r="AW58" i="35"/>
  <c r="AW492" i="35"/>
  <c r="AW339" i="35"/>
  <c r="AW239" i="35"/>
  <c r="AW149" i="35"/>
  <c r="AW57" i="35"/>
  <c r="AW486" i="35"/>
  <c r="AW389" i="35"/>
  <c r="AW285" i="35"/>
  <c r="AW173" i="35"/>
  <c r="AW21" i="35"/>
  <c r="AW474" i="35"/>
  <c r="AW360" i="35"/>
  <c r="AW261" i="35"/>
  <c r="AW118" i="35"/>
  <c r="AW46" i="35"/>
  <c r="AW160" i="35"/>
  <c r="AW281" i="35"/>
  <c r="AW53" i="35"/>
  <c r="AW168" i="35"/>
  <c r="AW207" i="35"/>
  <c r="AW236" i="35"/>
  <c r="AW277" i="35"/>
  <c r="AW380" i="35"/>
  <c r="AW480" i="35"/>
  <c r="AW69" i="35"/>
  <c r="AW89" i="35"/>
  <c r="AW170" i="35"/>
  <c r="AW255" i="35"/>
  <c r="AW521" i="35"/>
  <c r="AW415" i="35"/>
  <c r="AW276" i="35"/>
  <c r="AW220" i="35"/>
  <c r="AW119" i="35"/>
  <c r="AW51" i="35"/>
  <c r="AW481" i="35"/>
  <c r="AW387" i="35"/>
  <c r="AW233" i="35"/>
  <c r="AW167" i="35"/>
  <c r="AW27" i="35"/>
  <c r="AW478" i="35"/>
  <c r="AW385" i="35"/>
  <c r="AW268" i="35"/>
  <c r="AW147" i="35"/>
  <c r="AW25" i="35"/>
  <c r="AW497" i="35"/>
  <c r="AW376" i="35"/>
  <c r="AW264" i="35"/>
  <c r="AW120" i="35"/>
  <c r="AW14" i="35"/>
  <c r="AW465" i="35"/>
  <c r="AW318" i="35"/>
  <c r="AW196" i="35"/>
  <c r="AW177" i="35"/>
  <c r="AW13" i="35"/>
  <c r="AW122" i="35"/>
  <c r="AW377" i="35"/>
  <c r="AW520" i="35"/>
  <c r="AW372" i="35"/>
  <c r="AW323" i="35"/>
  <c r="AW212" i="35"/>
  <c r="AW152" i="35"/>
  <c r="AW16" i="35"/>
  <c r="AW458" i="35"/>
  <c r="AW331" i="35"/>
  <c r="AW195" i="35"/>
  <c r="AW145" i="35"/>
  <c r="AW43" i="35"/>
  <c r="AW451" i="35"/>
  <c r="AW313" i="35"/>
  <c r="AW222" i="35"/>
  <c r="AW171" i="35"/>
  <c r="AW42" i="35"/>
  <c r="AW467" i="35"/>
  <c r="AW278" i="35"/>
  <c r="AW190" i="35"/>
  <c r="AW140" i="35"/>
  <c r="AW32" i="35"/>
  <c r="AW413" i="35"/>
  <c r="AW333" i="35"/>
  <c r="AW180" i="35"/>
  <c r="AW85" i="35"/>
  <c r="AW9" i="35"/>
  <c r="AW213" i="35"/>
  <c r="AW411" i="35"/>
  <c r="AW491" i="35"/>
  <c r="AW351" i="35"/>
  <c r="AW293" i="35"/>
  <c r="AW226" i="35"/>
  <c r="AW132" i="35"/>
  <c r="AW41" i="35"/>
  <c r="AW422" i="35"/>
  <c r="AW272" i="35"/>
  <c r="AW185" i="35"/>
  <c r="AW134" i="35"/>
  <c r="AY4" i="35"/>
  <c r="AW421" i="35"/>
  <c r="AW334" i="35"/>
  <c r="AW227" i="35"/>
  <c r="AW133" i="35"/>
  <c r="AW74" i="35"/>
  <c r="AW416" i="35"/>
  <c r="AW306" i="35"/>
  <c r="AW224" i="35"/>
  <c r="AW86" i="35"/>
  <c r="AW509" i="35"/>
  <c r="AW367" i="35"/>
  <c r="AW300" i="35"/>
  <c r="AW216" i="35"/>
  <c r="AW102" i="35"/>
  <c r="AW40" i="35"/>
  <c r="AW217" i="35"/>
  <c r="AW468" i="35"/>
  <c r="AW307" i="35"/>
  <c r="AW91" i="35"/>
  <c r="AW228" i="35"/>
  <c r="AW350" i="35"/>
  <c r="AW17" i="35"/>
  <c r="AW29" i="35"/>
  <c r="AW169" i="35"/>
  <c r="AW266" i="35"/>
  <c r="AW361" i="35"/>
  <c r="AW466" i="35"/>
  <c r="AW47" i="35"/>
  <c r="AW109" i="35"/>
  <c r="AW215" i="35"/>
  <c r="AW288" i="35"/>
  <c r="AW384" i="35"/>
  <c r="AW420" i="35"/>
  <c r="AW522" i="35"/>
  <c r="AW191" i="35"/>
  <c r="AW473" i="35"/>
  <c r="AW106" i="35"/>
  <c r="AW92" i="35"/>
  <c r="AW126" i="35"/>
  <c r="AW240" i="35"/>
  <c r="AW368" i="35"/>
  <c r="AW469" i="35"/>
  <c r="AW55" i="35"/>
  <c r="AW117" i="35"/>
  <c r="AW186" i="35"/>
  <c r="AW296" i="35"/>
  <c r="AW363" i="35"/>
  <c r="AW461" i="35"/>
  <c r="AW502" i="35"/>
  <c r="AW108" i="35"/>
  <c r="AW327" i="35"/>
  <c r="AW37" i="35"/>
  <c r="AW33" i="35"/>
  <c r="AW99" i="35"/>
  <c r="AW199" i="35"/>
  <c r="AW262" i="35"/>
  <c r="AW378" i="35"/>
  <c r="AW471" i="35"/>
  <c r="AW63" i="35"/>
  <c r="AW159" i="35"/>
  <c r="AW194" i="35"/>
  <c r="AW310" i="35"/>
  <c r="AW340" i="35"/>
  <c r="AW457" i="35"/>
  <c r="AW22" i="35"/>
  <c r="AW252" i="35"/>
  <c r="AW459" i="35"/>
  <c r="AW36" i="35"/>
  <c r="AW154" i="35"/>
  <c r="AW218" i="35"/>
  <c r="AW248" i="35"/>
  <c r="AW338" i="35"/>
  <c r="AW488" i="35"/>
  <c r="AW71" i="35"/>
  <c r="AW176" i="35"/>
  <c r="AW211" i="35"/>
  <c r="AW325" i="35"/>
  <c r="AW348" i="35"/>
  <c r="AW496" i="35"/>
  <c r="AW475" i="35"/>
  <c r="AW112" i="35"/>
  <c r="AW275" i="35"/>
  <c r="AW44" i="35"/>
  <c r="AW139" i="35"/>
  <c r="AW181" i="35"/>
  <c r="AW294" i="35"/>
  <c r="AW354" i="35"/>
  <c r="AW498" i="35"/>
  <c r="AW7" i="35"/>
  <c r="AW93" i="35"/>
  <c r="AW128" i="35"/>
  <c r="AW267" i="35"/>
  <c r="AW335" i="35"/>
  <c r="AW356" i="35"/>
  <c r="AW523" i="35"/>
  <c r="AW516" i="35"/>
  <c r="AW254" i="35"/>
  <c r="AW454" i="35"/>
  <c r="AW163" i="35"/>
  <c r="AW26" i="35"/>
  <c r="AW115" i="35"/>
  <c r="AW192" i="35"/>
  <c r="AW326" i="35"/>
  <c r="AW390" i="35"/>
  <c r="AW524" i="35"/>
  <c r="AW38" i="35"/>
  <c r="AW155" i="35"/>
  <c r="AW209" i="35"/>
  <c r="AW242" i="35"/>
  <c r="AW317" i="35"/>
  <c r="AW408" i="35"/>
  <c r="AW490" i="35"/>
  <c r="AW409" i="35"/>
  <c r="AW113" i="35"/>
  <c r="AW319" i="35"/>
  <c r="AW35" i="35"/>
  <c r="AW150" i="35"/>
  <c r="AW61" i="35"/>
  <c r="AW123" i="35"/>
  <c r="AW232" i="35"/>
  <c r="AW316" i="35"/>
  <c r="AW418" i="35"/>
  <c r="AW508" i="35"/>
  <c r="AW76" i="35"/>
  <c r="AW141" i="35"/>
  <c r="AW230" i="35"/>
  <c r="AW287" i="35"/>
  <c r="AW328" i="35"/>
  <c r="AW392" i="35"/>
  <c r="AW499" i="35"/>
  <c r="AW329" i="35"/>
  <c r="AW302" i="35"/>
  <c r="AW201" i="35"/>
  <c r="AW280" i="35"/>
  <c r="AW18" i="35"/>
  <c r="AW265" i="35"/>
  <c r="AW187" i="35"/>
  <c r="AW470" i="35"/>
  <c r="AW193" i="35"/>
  <c r="AW483" i="35"/>
  <c r="AW114" i="35"/>
  <c r="AW344" i="35"/>
  <c r="AW82" i="35"/>
  <c r="AW375" i="35"/>
  <c r="AW269" i="35"/>
  <c r="AW68" i="35"/>
  <c r="AW386" i="35"/>
  <c r="AW60" i="35"/>
  <c r="AW303" i="35"/>
  <c r="AW11" i="35"/>
  <c r="AW257" i="35"/>
  <c r="AW529" i="35"/>
  <c r="AW39" i="35"/>
  <c r="AW234" i="35"/>
  <c r="AW503" i="35"/>
  <c r="AW129" i="35"/>
  <c r="AW410" i="35"/>
  <c r="AW189" i="35"/>
  <c r="AW513" i="35"/>
  <c r="AW279" i="35"/>
  <c r="AW136" i="35"/>
  <c r="AW357" i="35"/>
  <c r="AW104" i="35"/>
  <c r="AW311" i="35"/>
  <c r="AW19" i="35"/>
  <c r="AW271" i="35"/>
  <c r="AW48" i="35"/>
  <c r="AW249" i="35"/>
  <c r="AW229" i="35"/>
  <c r="AW452" i="35"/>
  <c r="AW381" i="35"/>
  <c r="AW197" i="35"/>
  <c r="AW417" i="35"/>
  <c r="AW157" i="35"/>
  <c r="AW371" i="35"/>
  <c r="AW66" i="35"/>
  <c r="AW324" i="35"/>
  <c r="AW78" i="35"/>
  <c r="AW308" i="35"/>
  <c r="AW214" i="35"/>
  <c r="AW484" i="35"/>
  <c r="AW482" i="35"/>
  <c r="AW59" i="35"/>
  <c r="AW121" i="35"/>
  <c r="AW142" i="35"/>
  <c r="AW463" i="35"/>
  <c r="AW148" i="35"/>
  <c r="AW364" i="35"/>
  <c r="AW124" i="35"/>
  <c r="AW322" i="35"/>
  <c r="AW88" i="35"/>
  <c r="AW321" i="35"/>
  <c r="AW67" i="35"/>
  <c r="AW260" i="35"/>
  <c r="AW507" i="35"/>
  <c r="AW107" i="35"/>
  <c r="AW79" i="35"/>
  <c r="AW179" i="35"/>
  <c r="AW244" i="35"/>
  <c r="AW219" i="35"/>
  <c r="AW517" i="35"/>
  <c r="AW137" i="35"/>
  <c r="AW373" i="35"/>
  <c r="AW161" i="35"/>
  <c r="AW388" i="35"/>
  <c r="AW125" i="35"/>
  <c r="AW309" i="35"/>
  <c r="AW526" i="35"/>
  <c r="AW184" i="35"/>
  <c r="AW162" i="35"/>
  <c r="AW299" i="35"/>
  <c r="AW10" i="35"/>
  <c r="AW256" i="35"/>
  <c r="AW501" i="35"/>
  <c r="AW203" i="35"/>
  <c r="AW423" i="35"/>
  <c r="AW210" i="35"/>
  <c r="AW464" i="35"/>
  <c r="AW90" i="35"/>
  <c r="AW330" i="35"/>
  <c r="AW251" i="35"/>
  <c r="AW111" i="35"/>
  <c r="AW495" i="35"/>
  <c r="AW165" i="35"/>
  <c r="AW343" i="35"/>
  <c r="AW45" i="35"/>
  <c r="AW336" i="35"/>
  <c r="AW489" i="35"/>
  <c r="AW419" i="35"/>
  <c r="AW49" i="35"/>
  <c r="AW291" i="35"/>
  <c r="AW250" i="35"/>
  <c r="AW135" i="35"/>
  <c r="AW73" i="35"/>
  <c r="AW52" i="35"/>
  <c r="AW208" i="35"/>
  <c r="AW54" i="35"/>
  <c r="AW94" i="35"/>
  <c r="AW34" i="35"/>
  <c r="AW31" i="35"/>
  <c r="AW292" i="35"/>
  <c r="AW151" i="35"/>
  <c r="AW116" i="35"/>
  <c r="AW98" i="35"/>
  <c r="AW12" i="35"/>
  <c r="AW382" i="35"/>
  <c r="AW178" i="35"/>
  <c r="AW286" i="35"/>
  <c r="AW143" i="35"/>
  <c r="AW100" i="35"/>
  <c r="AW15" i="35"/>
  <c r="AW202" i="35"/>
  <c r="AW337" i="35"/>
  <c r="AW298" i="35"/>
  <c r="AW274" i="35"/>
  <c r="AW237" i="35"/>
  <c r="AW138" i="35"/>
  <c r="AW84" i="35"/>
  <c r="AW476" i="35"/>
  <c r="AW527" i="35"/>
  <c r="AW393" i="35"/>
  <c r="AW362" i="35"/>
  <c r="AW247" i="35"/>
  <c r="AW23" i="35"/>
  <c r="AW512" i="35"/>
  <c r="AW424" i="35"/>
  <c r="AW369" i="35"/>
  <c r="AW391" i="35"/>
  <c r="AW349" i="35"/>
  <c r="AW183" i="35"/>
  <c r="AW320" i="35"/>
  <c r="AW455" i="35"/>
  <c r="AW238" i="35"/>
  <c r="AW8" i="35"/>
  <c r="AW144" i="35"/>
  <c r="AW56" i="35"/>
  <c r="AW494" i="35"/>
  <c r="AW315" i="35"/>
  <c r="AW273" i="35"/>
  <c r="AW110" i="35"/>
  <c r="AW188" i="35"/>
  <c r="AW225" i="35"/>
  <c r="AU3" i="35"/>
  <c r="BL11" i="23"/>
  <c r="BL10" i="23"/>
  <c r="BN7" i="23"/>
  <c r="AU515" i="20"/>
  <c r="AU8" i="20"/>
  <c r="AU193" i="20" l="1"/>
  <c r="AU339" i="20"/>
  <c r="AU497" i="20"/>
  <c r="AU95" i="20"/>
  <c r="AU122" i="20"/>
  <c r="AU593" i="20"/>
  <c r="AU255" i="20"/>
  <c r="AU599" i="20"/>
  <c r="AU379" i="20"/>
  <c r="AU454" i="20"/>
  <c r="AU370" i="20"/>
  <c r="AU606" i="20"/>
  <c r="AU54" i="20"/>
  <c r="AU587" i="20"/>
  <c r="AU303" i="20"/>
  <c r="AU398" i="20"/>
  <c r="AU615" i="20"/>
  <c r="AU326" i="20"/>
  <c r="AU529" i="20"/>
  <c r="AU201" i="20"/>
  <c r="AU157" i="20"/>
  <c r="AU33" i="20"/>
  <c r="AU324" i="20"/>
  <c r="AU132" i="20"/>
  <c r="AU52" i="20"/>
  <c r="AU209" i="20"/>
  <c r="AU480" i="20"/>
  <c r="AU532" i="20"/>
  <c r="AU594" i="20"/>
  <c r="AU267" i="20"/>
  <c r="AU251" i="20"/>
  <c r="AU75" i="20"/>
  <c r="AU511" i="20"/>
  <c r="AU232" i="20"/>
  <c r="AU647" i="20"/>
  <c r="AU588" i="20"/>
  <c r="AU403" i="20"/>
  <c r="AU185" i="20"/>
  <c r="AU109" i="20"/>
  <c r="AU644" i="20"/>
  <c r="AU10" i="20"/>
  <c r="AU311" i="20"/>
  <c r="AU78" i="20"/>
  <c r="AU541" i="20"/>
  <c r="AU108" i="20"/>
  <c r="AU371" i="20"/>
  <c r="AU191" i="20"/>
  <c r="AU365" i="20"/>
  <c r="AU198" i="20"/>
  <c r="AU449" i="20"/>
  <c r="AU250" i="20"/>
  <c r="AU578" i="20"/>
  <c r="AU539" i="20"/>
  <c r="AU92" i="20"/>
  <c r="AU127" i="20"/>
  <c r="AU439" i="20"/>
  <c r="AU650" i="20"/>
  <c r="AU619" i="20"/>
  <c r="AU378" i="20"/>
  <c r="AU196" i="20"/>
  <c r="AU294" i="20"/>
  <c r="AU338" i="20"/>
  <c r="AU558" i="20"/>
  <c r="AU459" i="20"/>
  <c r="AU126" i="20"/>
  <c r="AU400" i="20"/>
  <c r="AU540" i="20"/>
  <c r="AW4" i="20"/>
  <c r="AW343" i="20" s="1"/>
  <c r="AU423" i="20"/>
  <c r="AU304" i="20"/>
  <c r="AU440" i="20"/>
  <c r="AU281" i="20"/>
  <c r="AU508" i="20"/>
  <c r="AU83" i="20"/>
  <c r="AU568" i="20"/>
  <c r="AU477" i="20"/>
  <c r="AU161" i="20"/>
  <c r="AU498" i="20"/>
  <c r="AU172" i="20"/>
  <c r="AU649" i="20"/>
  <c r="AU312" i="20"/>
  <c r="AU282" i="20"/>
  <c r="AU123" i="20"/>
  <c r="AU521" i="20"/>
  <c r="AU81" i="20"/>
  <c r="AU200" i="20"/>
  <c r="AU383" i="20"/>
  <c r="AU620" i="20"/>
  <c r="AU249" i="20"/>
  <c r="AU50" i="20"/>
  <c r="AU518" i="20"/>
  <c r="AU88" i="20"/>
  <c r="AU166" i="20"/>
  <c r="AU448" i="20"/>
  <c r="AU223" i="20"/>
  <c r="AU195" i="20"/>
  <c r="AU67" i="20"/>
  <c r="AU151" i="20"/>
  <c r="AU285" i="20"/>
  <c r="AU231" i="20"/>
  <c r="AU563" i="20"/>
  <c r="AU205" i="20"/>
  <c r="AU605" i="20"/>
  <c r="AU648" i="20"/>
  <c r="AU583" i="20"/>
  <c r="AU120" i="20"/>
  <c r="AU24" i="20"/>
  <c r="AU555" i="20"/>
  <c r="AU177" i="20"/>
  <c r="AU256" i="20"/>
  <c r="AU366" i="20"/>
  <c r="AU300" i="20"/>
  <c r="AU331" i="20"/>
  <c r="AU21" i="20"/>
  <c r="AU596" i="20"/>
  <c r="AU413" i="20"/>
  <c r="AU490" i="20"/>
  <c r="AU407" i="20"/>
  <c r="AU317" i="20"/>
  <c r="AU106" i="20"/>
  <c r="AU462" i="20"/>
  <c r="AU635" i="20"/>
  <c r="AU350" i="20"/>
  <c r="AU420" i="20"/>
  <c r="AU182" i="20"/>
  <c r="AU141" i="20"/>
  <c r="AU632" i="20"/>
  <c r="AU197" i="20"/>
  <c r="AU174" i="20"/>
  <c r="AU463" i="20"/>
  <c r="AU536" i="20"/>
  <c r="AU175" i="20"/>
  <c r="AU118" i="20"/>
  <c r="AU354" i="20"/>
  <c r="AU582" i="20"/>
  <c r="AU358" i="20"/>
  <c r="AU537" i="20"/>
  <c r="AU293" i="20"/>
  <c r="AU394" i="20"/>
  <c r="AU138" i="20"/>
  <c r="AU248" i="20"/>
  <c r="AU642" i="20"/>
  <c r="AU73" i="20"/>
  <c r="AU451" i="20"/>
  <c r="AU216" i="20"/>
  <c r="AU12" i="20"/>
  <c r="AU261" i="20"/>
  <c r="AU542" i="20"/>
  <c r="AU13" i="20"/>
  <c r="AU343" i="20"/>
  <c r="AU309" i="20"/>
  <c r="AU56" i="20"/>
  <c r="AU113" i="20"/>
  <c r="AU386" i="20"/>
  <c r="AU592" i="20"/>
  <c r="AU495" i="20"/>
  <c r="AU101" i="20"/>
  <c r="AU130" i="20"/>
  <c r="AU215" i="20"/>
  <c r="AU443" i="20"/>
  <c r="AU617" i="20"/>
  <c r="AU103" i="20"/>
  <c r="AU585" i="20"/>
  <c r="AU437" i="20"/>
  <c r="AU305" i="20"/>
  <c r="AU506" i="20"/>
  <c r="AU390" i="20"/>
  <c r="AU51" i="20"/>
  <c r="AU352" i="20"/>
  <c r="AU322" i="20"/>
  <c r="AU646" i="20"/>
  <c r="AU46" i="20"/>
  <c r="AU569" i="20"/>
  <c r="AU204" i="20"/>
  <c r="AU397" i="20"/>
  <c r="AU452" i="20"/>
  <c r="AU224" i="20"/>
  <c r="AU156" i="20"/>
  <c r="AU546" i="20"/>
  <c r="AU456" i="20"/>
  <c r="AU85" i="20"/>
  <c r="AU473" i="20"/>
  <c r="AU158" i="20"/>
  <c r="AU591" i="20"/>
  <c r="AU571" i="20"/>
  <c r="AU349" i="20"/>
  <c r="AU148" i="20"/>
  <c r="AU533" i="20"/>
  <c r="AU42" i="20"/>
  <c r="AU337" i="20"/>
  <c r="AU184" i="20"/>
  <c r="AU77" i="20"/>
  <c r="AU345" i="20"/>
  <c r="AU523" i="20"/>
  <c r="AU298" i="20"/>
  <c r="AU572" i="20"/>
  <c r="AU512" i="20"/>
  <c r="AU503" i="20"/>
  <c r="AU374" i="20"/>
  <c r="AU235" i="20"/>
  <c r="AU194" i="20"/>
  <c r="AU287" i="20"/>
  <c r="AU489" i="20"/>
  <c r="AU134" i="20"/>
  <c r="AU332" i="20"/>
  <c r="AU125" i="20"/>
  <c r="AU348" i="20"/>
  <c r="AU26" i="20"/>
  <c r="AU637" i="20"/>
  <c r="AU315" i="20"/>
  <c r="AU633" i="20"/>
  <c r="AU302" i="20"/>
  <c r="AU344" i="20"/>
  <c r="AU453" i="20"/>
  <c r="AU23" i="20"/>
  <c r="AU9" i="20"/>
  <c r="AU192" i="20"/>
  <c r="AU608" i="20"/>
  <c r="AU279" i="20"/>
  <c r="AU494" i="20"/>
  <c r="AU176" i="20"/>
  <c r="AU162" i="20"/>
  <c r="AU207" i="20"/>
  <c r="AU217" i="20"/>
  <c r="AU129" i="20"/>
  <c r="AU548" i="20"/>
  <c r="AU296" i="20"/>
  <c r="AU333" i="20"/>
  <c r="AU239" i="20"/>
  <c r="AU612" i="20"/>
  <c r="AU399" i="20"/>
  <c r="AU334" i="20"/>
  <c r="AU288" i="20"/>
  <c r="AU274" i="20"/>
  <c r="AU626" i="20"/>
  <c r="AU525" i="20"/>
  <c r="AU372" i="20"/>
  <c r="AU214" i="20"/>
  <c r="AU474" i="20"/>
  <c r="AU471" i="20"/>
  <c r="AU153" i="20"/>
  <c r="AU144" i="20"/>
  <c r="AU504" i="20"/>
  <c r="AU624" i="20"/>
  <c r="AU19" i="20"/>
  <c r="AU401" i="20"/>
  <c r="AU638" i="20"/>
  <c r="AU395" i="20"/>
  <c r="AU598" i="20"/>
  <c r="AU478" i="20"/>
  <c r="AU575" i="20"/>
  <c r="AU173" i="20"/>
  <c r="AU574" i="20"/>
  <c r="AU367" i="20"/>
  <c r="AU180" i="20"/>
  <c r="AU289" i="20"/>
  <c r="AU297" i="20"/>
  <c r="AU171" i="20"/>
  <c r="AU320" i="20"/>
  <c r="AU628" i="20"/>
  <c r="AU273" i="20"/>
  <c r="AU98" i="20"/>
  <c r="AU613" i="20"/>
  <c r="AU31" i="20"/>
  <c r="AU475" i="20"/>
  <c r="AU641" i="20"/>
  <c r="AU244" i="20"/>
  <c r="AU80" i="20"/>
  <c r="AU622" i="20"/>
  <c r="AU97" i="20"/>
  <c r="AU426" i="20"/>
  <c r="AU402" i="20"/>
  <c r="AU79" i="20"/>
  <c r="AU318" i="20"/>
  <c r="AU396" i="20"/>
  <c r="AU507" i="20"/>
  <c r="AU500" i="20"/>
  <c r="AU264" i="20"/>
  <c r="AU577" i="20"/>
  <c r="AU111" i="20"/>
  <c r="AU72" i="20"/>
  <c r="AU314" i="20"/>
  <c r="AU513" i="20"/>
  <c r="AU199" i="20"/>
  <c r="AU20" i="20"/>
  <c r="AU68" i="20"/>
  <c r="AU393" i="20"/>
  <c r="AU313" i="20"/>
  <c r="AU522" i="20"/>
  <c r="AU389" i="20"/>
  <c r="AU35" i="20"/>
  <c r="AU573" i="20"/>
  <c r="AU493" i="20"/>
  <c r="AU325" i="20"/>
  <c r="AU236" i="20"/>
  <c r="AU164" i="20"/>
  <c r="AU37" i="20"/>
  <c r="AU589" i="20"/>
  <c r="AU516" i="20"/>
  <c r="AU119" i="20"/>
  <c r="AU183" i="20"/>
  <c r="AU310" i="20"/>
  <c r="AU142" i="20"/>
  <c r="AU34" i="20"/>
  <c r="AU384" i="20"/>
  <c r="AU308" i="20"/>
  <c r="AU203" i="20"/>
  <c r="AU124" i="20"/>
  <c r="AU643" i="20"/>
  <c r="AU528" i="20"/>
  <c r="AU360" i="20"/>
  <c r="AU430" i="20"/>
  <c r="AU45" i="20"/>
  <c r="AU271" i="20"/>
  <c r="AU253" i="20"/>
  <c r="AU611" i="20"/>
  <c r="AU40" i="20"/>
  <c r="AU257" i="20"/>
  <c r="AU466" i="20"/>
  <c r="AU206" i="20"/>
  <c r="AU272" i="20"/>
  <c r="AU554" i="20"/>
  <c r="AU369" i="20"/>
  <c r="AU283" i="20"/>
  <c r="AU143" i="20"/>
  <c r="AU468" i="20"/>
  <c r="AU247" i="20"/>
  <c r="AU277" i="20"/>
  <c r="AU353" i="20"/>
  <c r="AU567" i="20"/>
  <c r="AU584" i="20"/>
  <c r="AU601" i="20"/>
  <c r="AU48" i="20"/>
  <c r="AU189" i="20"/>
  <c r="AU543" i="20"/>
  <c r="AU218" i="20"/>
  <c r="AU432" i="20"/>
  <c r="AU431" i="20"/>
  <c r="AU32" i="20"/>
  <c r="AU270" i="20"/>
  <c r="AU159" i="20"/>
  <c r="AU435" i="20"/>
  <c r="AU169" i="20"/>
  <c r="AU499" i="20"/>
  <c r="AU561" i="20"/>
  <c r="AU155" i="20"/>
  <c r="AU266" i="20"/>
  <c r="AU433" i="20"/>
  <c r="AU362" i="20"/>
  <c r="AU188" i="20"/>
  <c r="AU556" i="20"/>
  <c r="AU139" i="20"/>
  <c r="AU418" i="20"/>
  <c r="AU69" i="20"/>
  <c r="AU299" i="20"/>
  <c r="AU260" i="20"/>
  <c r="AU485" i="20"/>
  <c r="AU165" i="20"/>
  <c r="AU479" i="20"/>
  <c r="AU446" i="20"/>
  <c r="AU94" i="20"/>
  <c r="AU146" i="20"/>
  <c r="AU340" i="20"/>
  <c r="AU417" i="20"/>
  <c r="AU55" i="20"/>
  <c r="AU116" i="20"/>
  <c r="AU89" i="20"/>
  <c r="AU234" i="20"/>
  <c r="AU442" i="20"/>
  <c r="AU66" i="20"/>
  <c r="AU115" i="20"/>
  <c r="AU190" i="20"/>
  <c r="AU534" i="20"/>
  <c r="AU327" i="20"/>
  <c r="AU359" i="20"/>
  <c r="AU510" i="20"/>
  <c r="AU623" i="20"/>
  <c r="AU163" i="20"/>
  <c r="AU422" i="20"/>
  <c r="AU514" i="20"/>
  <c r="AU609" i="20"/>
  <c r="AU566" i="20"/>
  <c r="AU16" i="20"/>
  <c r="AU90" i="20"/>
  <c r="AU290" i="20"/>
  <c r="AU438" i="20"/>
  <c r="AU221" i="20"/>
  <c r="AU580" i="20"/>
  <c r="AU388" i="20"/>
  <c r="AU476" i="20"/>
  <c r="AU295" i="20"/>
  <c r="AU557" i="20"/>
  <c r="AU549" i="20"/>
  <c r="AU291" i="20"/>
  <c r="AU421" i="20"/>
  <c r="AU278" i="20"/>
  <c r="AU492" i="20"/>
  <c r="AU258" i="20"/>
  <c r="AU553" i="20"/>
  <c r="AU133" i="20"/>
  <c r="AU415" i="20"/>
  <c r="AU246" i="20"/>
  <c r="AU487" i="20"/>
  <c r="AU562" i="20"/>
  <c r="AU552" i="20"/>
  <c r="AU110" i="20"/>
  <c r="AU245" i="20"/>
  <c r="AU607" i="20"/>
  <c r="AU76" i="20"/>
  <c r="AU99" i="20"/>
  <c r="AU25" i="20"/>
  <c r="AU441" i="20"/>
  <c r="AU150" i="20"/>
  <c r="AU472" i="20"/>
  <c r="AU237" i="20"/>
  <c r="AU496" i="20"/>
  <c r="AU167" i="20"/>
  <c r="AU84" i="20"/>
  <c r="AU363" i="20"/>
  <c r="AU93" i="20"/>
  <c r="AU131" i="20"/>
  <c r="AU429" i="20"/>
  <c r="AU640" i="20"/>
  <c r="AU455" i="20"/>
  <c r="AU520" i="20"/>
  <c r="AU368" i="20"/>
  <c r="AU545" i="20"/>
  <c r="AU230" i="20"/>
  <c r="AU457" i="20"/>
  <c r="AU380" i="20"/>
  <c r="AU36" i="20"/>
  <c r="AU228" i="20"/>
  <c r="AU28" i="20"/>
  <c r="AU631" i="20"/>
  <c r="AU71" i="20"/>
  <c r="AU636" i="20"/>
  <c r="AU639" i="20"/>
  <c r="AU178" i="20"/>
  <c r="AU484" i="20"/>
  <c r="AU445" i="20"/>
  <c r="AU486" i="20"/>
  <c r="AU107" i="20"/>
  <c r="AU152" i="20"/>
  <c r="AU210" i="20"/>
  <c r="AU464" i="20"/>
  <c r="AU483" i="20"/>
  <c r="AU602" i="20"/>
  <c r="AU652" i="20"/>
  <c r="AU53" i="20"/>
  <c r="AU276" i="20"/>
  <c r="AU530" i="20"/>
  <c r="AU227" i="20"/>
  <c r="AU531" i="20"/>
  <c r="AU241" i="20"/>
  <c r="AU91" i="20"/>
  <c r="AU450" i="20"/>
  <c r="AU43" i="20"/>
  <c r="AU411" i="20"/>
  <c r="AU128" i="20"/>
  <c r="AU361" i="20"/>
  <c r="AU284" i="20"/>
  <c r="AU551" i="20"/>
  <c r="AU105" i="20"/>
  <c r="AU87" i="20"/>
  <c r="AU47" i="20"/>
  <c r="AU168" i="20"/>
  <c r="AU82" i="20"/>
  <c r="AU425" i="20"/>
  <c r="AU219" i="20"/>
  <c r="AU458" i="20"/>
  <c r="AU538" i="20"/>
  <c r="AU381" i="20"/>
  <c r="AU629" i="20"/>
  <c r="AU49" i="20"/>
  <c r="AU254" i="20"/>
  <c r="AU269" i="20"/>
  <c r="AU202" i="20"/>
  <c r="AU275" i="20"/>
  <c r="AU355" i="20"/>
  <c r="AU226" i="20"/>
  <c r="AU469" i="20"/>
  <c r="AU436" i="20"/>
  <c r="AU96" i="20"/>
  <c r="AU651" i="20"/>
  <c r="AU410" i="20"/>
  <c r="AU238" i="20"/>
  <c r="AU604" i="20"/>
  <c r="AU306" i="20"/>
  <c r="AU444" i="20"/>
  <c r="AU240" i="20"/>
  <c r="AU376" i="20"/>
  <c r="AU259" i="20"/>
  <c r="AU488" i="20"/>
  <c r="AU74" i="20"/>
  <c r="AU154" i="20"/>
  <c r="AU524" i="20"/>
  <c r="AU517" i="20"/>
  <c r="AU321" i="20"/>
  <c r="AU387" i="20"/>
  <c r="AU57" i="20"/>
  <c r="AU335" i="20"/>
  <c r="AU61" i="20"/>
  <c r="AU220" i="20"/>
  <c r="AU117" i="20"/>
  <c r="AU491" i="20"/>
  <c r="AU434" i="20"/>
  <c r="AU502" i="20"/>
  <c r="AU341" i="20"/>
  <c r="AU412" i="20"/>
  <c r="AU375" i="20"/>
  <c r="AU86" i="20"/>
  <c r="AU357" i="20"/>
  <c r="AU44" i="20"/>
  <c r="AU65" i="20"/>
  <c r="AU595" i="20"/>
  <c r="AU416" i="20"/>
  <c r="AU616" i="20"/>
  <c r="AU17" i="20"/>
  <c r="AU59" i="20"/>
  <c r="AU627" i="20"/>
  <c r="AU565" i="20"/>
  <c r="AU405" i="20"/>
  <c r="AU373" i="20"/>
  <c r="AU60" i="20"/>
  <c r="AU342" i="20"/>
  <c r="AU509" i="20"/>
  <c r="AU30" i="20"/>
  <c r="AU600" i="20"/>
  <c r="AU181" i="20"/>
  <c r="AU268" i="20"/>
  <c r="AU505" i="20"/>
  <c r="AU634" i="20"/>
  <c r="AU330" i="20"/>
  <c r="AU265" i="20"/>
  <c r="AU41" i="20"/>
  <c r="AU404" i="20"/>
  <c r="AU501" i="20"/>
  <c r="AU351" i="20"/>
  <c r="AU137" i="20"/>
  <c r="AU160" i="20"/>
  <c r="AU586" i="20"/>
  <c r="AU301" i="20"/>
  <c r="AU364" i="20"/>
  <c r="AU544" i="20"/>
  <c r="AU7" i="20"/>
  <c r="AU467" i="20"/>
  <c r="AU377" i="20"/>
  <c r="AU409" i="20"/>
  <c r="AU470" i="20"/>
  <c r="AU38" i="20"/>
  <c r="AU346" i="20"/>
  <c r="AU547" i="20"/>
  <c r="AU222" i="20"/>
  <c r="AU102" i="20"/>
  <c r="AU63" i="20"/>
  <c r="AU336" i="20"/>
  <c r="AU149" i="20"/>
  <c r="AU560" i="20"/>
  <c r="AU428" i="20"/>
  <c r="AU70" i="20"/>
  <c r="AU392" i="20"/>
  <c r="AU233" i="20"/>
  <c r="AU136" i="20"/>
  <c r="AU286" i="20"/>
  <c r="AU58" i="20"/>
  <c r="AU328" i="20"/>
  <c r="AU62" i="20"/>
  <c r="AU630" i="20"/>
  <c r="AU610" i="20"/>
  <c r="AU186" i="20"/>
  <c r="AU625" i="20"/>
  <c r="AU323" i="20"/>
  <c r="AU550" i="20"/>
  <c r="AU481" i="20"/>
  <c r="AU424" i="20"/>
  <c r="AU581" i="20"/>
  <c r="AU465" i="20"/>
  <c r="AU100" i="20"/>
  <c r="AU29" i="20"/>
  <c r="AU564" i="20"/>
  <c r="AU121" i="20"/>
  <c r="AU576" i="20"/>
  <c r="AU319" i="20"/>
  <c r="AU414" i="20"/>
  <c r="AU140" i="20"/>
  <c r="AU292" i="20"/>
  <c r="AU22" i="20"/>
  <c r="AU618" i="20"/>
  <c r="AU208" i="20"/>
  <c r="AU145" i="20"/>
  <c r="AU11" i="20"/>
  <c r="AU104" i="20"/>
  <c r="AU27" i="20"/>
  <c r="AU447" i="20"/>
  <c r="AU527" i="20"/>
  <c r="AU382" i="20"/>
  <c r="AU213" i="20"/>
  <c r="AU211" i="20"/>
  <c r="AU621" i="20"/>
  <c r="AU18" i="20"/>
  <c r="AU645" i="20"/>
  <c r="AU356" i="20"/>
  <c r="AU329" i="20"/>
  <c r="AU419" i="20"/>
  <c r="AU347" i="20"/>
  <c r="AU535" i="20"/>
  <c r="AU229" i="20"/>
  <c r="AU212" i="20"/>
  <c r="AU135" i="20"/>
  <c r="AU242" i="20"/>
  <c r="AU280" i="20"/>
  <c r="AU316" i="20"/>
  <c r="AU252" i="20"/>
  <c r="AU39" i="20"/>
  <c r="AU614" i="20"/>
  <c r="AU114" i="20"/>
  <c r="AU427" i="20"/>
  <c r="AU408" i="20"/>
  <c r="AU64" i="20"/>
  <c r="AU559" i="20"/>
  <c r="AU460" i="20"/>
  <c r="AU385" i="20"/>
  <c r="AU307" i="20"/>
  <c r="AU170" i="20"/>
  <c r="AU243" i="20"/>
  <c r="AU519" i="20"/>
  <c r="AU406" i="20"/>
  <c r="AU590" i="20"/>
  <c r="AU147" i="20"/>
  <c r="AU526" i="20"/>
  <c r="AU112" i="20"/>
  <c r="AU570" i="20"/>
  <c r="AU391" i="20"/>
  <c r="AU482" i="20"/>
  <c r="AU262" i="20"/>
  <c r="AU597" i="20"/>
  <c r="AU187" i="20"/>
  <c r="AU225" i="20"/>
  <c r="AU15" i="20"/>
  <c r="AU603" i="20"/>
  <c r="AU14" i="20"/>
  <c r="AU263" i="20"/>
  <c r="AU461" i="20"/>
  <c r="AU179" i="20"/>
  <c r="BK89" i="35"/>
  <c r="AS3" i="20"/>
  <c r="BK367" i="35"/>
  <c r="BK495" i="35"/>
  <c r="BK173" i="35"/>
  <c r="AR16" i="39"/>
  <c r="O15" i="39"/>
  <c r="BK45" i="35"/>
  <c r="BK347" i="35"/>
  <c r="BK29" i="35"/>
  <c r="BK77" i="35"/>
  <c r="BK318" i="35"/>
  <c r="BK489" i="35"/>
  <c r="BK289" i="35"/>
  <c r="BK220" i="35"/>
  <c r="Y11" i="23"/>
  <c r="BK377" i="35"/>
  <c r="BK352" i="35"/>
  <c r="BK227" i="35"/>
  <c r="BK113" i="35"/>
  <c r="BK351" i="35"/>
  <c r="BK458" i="35"/>
  <c r="BK476" i="35"/>
  <c r="BK96" i="35"/>
  <c r="BK323" i="35"/>
  <c r="BK98" i="35"/>
  <c r="BK224" i="35"/>
  <c r="BK330" i="35"/>
  <c r="BK172" i="35"/>
  <c r="BK54" i="35"/>
  <c r="BK465" i="35"/>
  <c r="BK61" i="35"/>
  <c r="BK38" i="35"/>
  <c r="BK18" i="35"/>
  <c r="BK493" i="35"/>
  <c r="BM4" i="35"/>
  <c r="BM73" i="35" s="1"/>
  <c r="BK208" i="35"/>
  <c r="BK194" i="35"/>
  <c r="BK380" i="35"/>
  <c r="BK241" i="35"/>
  <c r="BK164" i="35"/>
  <c r="BK250" i="35"/>
  <c r="BK372" i="35"/>
  <c r="BK349" i="35"/>
  <c r="BK418" i="35"/>
  <c r="BK292" i="35"/>
  <c r="BK178" i="35"/>
  <c r="BK64" i="35"/>
  <c r="BK384" i="35"/>
  <c r="BK272" i="35"/>
  <c r="BK251" i="35"/>
  <c r="BK381" i="35"/>
  <c r="BK449" i="35"/>
  <c r="BK254" i="35"/>
  <c r="BK191" i="35"/>
  <c r="BK424" i="35"/>
  <c r="BK223" i="35"/>
  <c r="BK50" i="35"/>
  <c r="BK48" i="35"/>
  <c r="BK510" i="35"/>
  <c r="BK20" i="35"/>
  <c r="BK435" i="35"/>
  <c r="BK467" i="35"/>
  <c r="BK388" i="35"/>
  <c r="BK60" i="35"/>
  <c r="BK158" i="35"/>
  <c r="BK440" i="35"/>
  <c r="BK341" i="35"/>
  <c r="BK150" i="35"/>
  <c r="BK230" i="35"/>
  <c r="BK62" i="35"/>
  <c r="BK112" i="35"/>
  <c r="BK461" i="35"/>
  <c r="BK107" i="35"/>
  <c r="BI3" i="35"/>
  <c r="BE3" i="20"/>
  <c r="BK105" i="35"/>
  <c r="BK375" i="35"/>
  <c r="BK206" i="35"/>
  <c r="BK41" i="35"/>
  <c r="BK420" i="35"/>
  <c r="BK195" i="35"/>
  <c r="BK244" i="35"/>
  <c r="BK391" i="35"/>
  <c r="BK59" i="35"/>
  <c r="BK466" i="35"/>
  <c r="BK327" i="35"/>
  <c r="BK306" i="35"/>
  <c r="BK496" i="35"/>
  <c r="BK441" i="35"/>
  <c r="BK464" i="35"/>
  <c r="BK454" i="35"/>
  <c r="BK479" i="35"/>
  <c r="BK165" i="35"/>
  <c r="BK312" i="35"/>
  <c r="BK304" i="35"/>
  <c r="BK217" i="35"/>
  <c r="BK363" i="35"/>
  <c r="BK55" i="35"/>
  <c r="BK32" i="35"/>
  <c r="BK25" i="35"/>
  <c r="BK270" i="35"/>
  <c r="BK368" i="35"/>
  <c r="BK300" i="35"/>
  <c r="BK301" i="35"/>
  <c r="BK171" i="35"/>
  <c r="BK87" i="35"/>
  <c r="BK492" i="35"/>
  <c r="BK9" i="35"/>
  <c r="BK261" i="35"/>
  <c r="BK123" i="35"/>
  <c r="BK216" i="35"/>
  <c r="BK395" i="35"/>
  <c r="BK219" i="35"/>
  <c r="BK518" i="35"/>
  <c r="BK348" i="35"/>
  <c r="BK278" i="35"/>
  <c r="BK102" i="35"/>
  <c r="BK248" i="35"/>
  <c r="BK252" i="35"/>
  <c r="BK133" i="35"/>
  <c r="BK117" i="35"/>
  <c r="BK365" i="35"/>
  <c r="BK23" i="35"/>
  <c r="BK238" i="35"/>
  <c r="BK356" i="35"/>
  <c r="BK325" i="35"/>
  <c r="BK433" i="35"/>
  <c r="BK78" i="35"/>
  <c r="BK151" i="35"/>
  <c r="BK155" i="35"/>
  <c r="BK386" i="35"/>
  <c r="BK429" i="35"/>
  <c r="BK11" i="35"/>
  <c r="BK266" i="35"/>
  <c r="BK517" i="35"/>
  <c r="BK262" i="35"/>
  <c r="BK110" i="35"/>
  <c r="BK31" i="35"/>
  <c r="BK320" i="35"/>
  <c r="BK516" i="35"/>
  <c r="BK147" i="35"/>
  <c r="BK343" i="35"/>
  <c r="BK508" i="35"/>
  <c r="BK84" i="35"/>
  <c r="BK474" i="35"/>
  <c r="BK290" i="35"/>
  <c r="BK13" i="35"/>
  <c r="BK88" i="35"/>
  <c r="BK314" i="35"/>
  <c r="BK166" i="35"/>
  <c r="BK299" i="35"/>
  <c r="BK439" i="35"/>
  <c r="BK209" i="35"/>
  <c r="BK483" i="35"/>
  <c r="BK202" i="35"/>
  <c r="BK385" i="35"/>
  <c r="BK529" i="35"/>
  <c r="BK280" i="35"/>
  <c r="BK218" i="35"/>
  <c r="BK236" i="35"/>
  <c r="BK265" i="35"/>
  <c r="BK116" i="35"/>
  <c r="BK294" i="35"/>
  <c r="BK268" i="35"/>
  <c r="BK106" i="35"/>
  <c r="BK427" i="35"/>
  <c r="BK145" i="35"/>
  <c r="BK302" i="35"/>
  <c r="BK390" i="35"/>
  <c r="BK463" i="35"/>
  <c r="BK273" i="35"/>
  <c r="BK430" i="35"/>
  <c r="BK260" i="35"/>
  <c r="BK234" i="35"/>
  <c r="BK408" i="35"/>
  <c r="BK210" i="35"/>
  <c r="BK159" i="35"/>
  <c r="BK74" i="35"/>
  <c r="BK448" i="35"/>
  <c r="BK370" i="35"/>
  <c r="BK243" i="35"/>
  <c r="BK161" i="35"/>
  <c r="BK187" i="35"/>
  <c r="BK453" i="35"/>
  <c r="BK379" i="35"/>
  <c r="BK497" i="35"/>
  <c r="BK131" i="35"/>
  <c r="BK414" i="35"/>
  <c r="BK119" i="35"/>
  <c r="BK332" i="35"/>
  <c r="BK402" i="35"/>
  <c r="BK397" i="35"/>
  <c r="BK335" i="35"/>
  <c r="BK30" i="35"/>
  <c r="BK480" i="35"/>
  <c r="BK21" i="35"/>
  <c r="BK44" i="35"/>
  <c r="BK282" i="35"/>
  <c r="BK169" i="35"/>
  <c r="BK287" i="35"/>
  <c r="BK473" i="35"/>
  <c r="BK354" i="35"/>
  <c r="BK324" i="35"/>
  <c r="BK407" i="35"/>
  <c r="BK215" i="35"/>
  <c r="BK475" i="35"/>
  <c r="BK232" i="35"/>
  <c r="BK438" i="35"/>
  <c r="BK428" i="35"/>
  <c r="BK137" i="35"/>
  <c r="BK176" i="35"/>
  <c r="BK456" i="35"/>
  <c r="BK446" i="35"/>
  <c r="BK315" i="35"/>
  <c r="BK233" i="35"/>
  <c r="BK415" i="35"/>
  <c r="BK276" i="35"/>
  <c r="BK308" i="35"/>
  <c r="BK247" i="35"/>
  <c r="BK478" i="35"/>
  <c r="BK249" i="35"/>
  <c r="BK125" i="35"/>
  <c r="BK46" i="35"/>
  <c r="BK115" i="35"/>
  <c r="BK462" i="35"/>
  <c r="BK499" i="35"/>
  <c r="BK91" i="35"/>
  <c r="BK226" i="35"/>
  <c r="BK259" i="35"/>
  <c r="BK128" i="35"/>
  <c r="BK445" i="35"/>
  <c r="BK339" i="35"/>
  <c r="BK334" i="35"/>
  <c r="BK353" i="35"/>
  <c r="BK509" i="35"/>
  <c r="BK120" i="35"/>
  <c r="BK40" i="35"/>
  <c r="BK229" i="35"/>
  <c r="BK167" i="35"/>
  <c r="BK501" i="35"/>
  <c r="BK182" i="35"/>
  <c r="BK405" i="35"/>
  <c r="BK417" i="35"/>
  <c r="BK490" i="35"/>
  <c r="BK331" i="35"/>
  <c r="BK317" i="35"/>
  <c r="BK498" i="35"/>
  <c r="BK258" i="35"/>
  <c r="BK382" i="35"/>
  <c r="BK422" i="35"/>
  <c r="BK275" i="35"/>
  <c r="BK256" i="35"/>
  <c r="BK177" i="35"/>
  <c r="BK413" i="35"/>
  <c r="BK253" i="35"/>
  <c r="BK267" i="35"/>
  <c r="BK526" i="35"/>
  <c r="BK142" i="35"/>
  <c r="BK411" i="35"/>
  <c r="BK450" i="35"/>
  <c r="BK188" i="35"/>
  <c r="BK130" i="35"/>
  <c r="BK355" i="35"/>
  <c r="BK135" i="35"/>
  <c r="BK186" i="35"/>
  <c r="BK204" i="35"/>
  <c r="BK162" i="35"/>
  <c r="BK118" i="35"/>
  <c r="BK279" i="35"/>
  <c r="BK297" i="35"/>
  <c r="BK73" i="35"/>
  <c r="BK399" i="35"/>
  <c r="BK100" i="35"/>
  <c r="BK319" i="35"/>
  <c r="BK51" i="35"/>
  <c r="BK329" i="35"/>
  <c r="BK211" i="35"/>
  <c r="BK22" i="35"/>
  <c r="BK530" i="35"/>
  <c r="BK400" i="35"/>
  <c r="BK519" i="35"/>
  <c r="BK207" i="35"/>
  <c r="BK328" i="35"/>
  <c r="BK426" i="35"/>
  <c r="BK152" i="35"/>
  <c r="BK181" i="35"/>
  <c r="BK79" i="35"/>
  <c r="BK228" i="35"/>
  <c r="BK487" i="35"/>
  <c r="BK163" i="35"/>
  <c r="BK69" i="35"/>
  <c r="BK93" i="35"/>
  <c r="BK425" i="35"/>
  <c r="BK281" i="35"/>
  <c r="BK404" i="35"/>
  <c r="BK71" i="35"/>
  <c r="BK512" i="35"/>
  <c r="BK421" i="35"/>
  <c r="BK291" i="35"/>
  <c r="BK99" i="35"/>
  <c r="BK378" i="35"/>
  <c r="BK505" i="35"/>
  <c r="BK406" i="35"/>
  <c r="BK168" i="35"/>
  <c r="BK183" i="35"/>
  <c r="BK70" i="35"/>
  <c r="BK470" i="35"/>
  <c r="BK310" i="35"/>
  <c r="BK26" i="35"/>
  <c r="BK103" i="35"/>
  <c r="BK42" i="35"/>
  <c r="BK212" i="35"/>
  <c r="BK442" i="35"/>
  <c r="BK376" i="35"/>
  <c r="BK200" i="35"/>
  <c r="BK82" i="35"/>
  <c r="BK139" i="35"/>
  <c r="BK398" i="35"/>
  <c r="BK285" i="35"/>
  <c r="BK296" i="35"/>
  <c r="BK199" i="35"/>
  <c r="BK242" i="35"/>
  <c r="BK432" i="35"/>
  <c r="BK136" i="35"/>
  <c r="BK491" i="35"/>
  <c r="BK471" i="35"/>
  <c r="BK523" i="35"/>
  <c r="BK504" i="35"/>
  <c r="BK514" i="35"/>
  <c r="BK362" i="35"/>
  <c r="BK192" i="35"/>
  <c r="BK316" i="35"/>
  <c r="BK344" i="35"/>
  <c r="BK65" i="35"/>
  <c r="BK500" i="35"/>
  <c r="BK149" i="35"/>
  <c r="BK293" i="35"/>
  <c r="BK203" i="35"/>
  <c r="BK488" i="35"/>
  <c r="BK360" i="35"/>
  <c r="BK86" i="35"/>
  <c r="BK447" i="35"/>
  <c r="BK522" i="35"/>
  <c r="BK43" i="35"/>
  <c r="BK49" i="35"/>
  <c r="BK515" i="35"/>
  <c r="BK524" i="35"/>
  <c r="BK485" i="35"/>
  <c r="BK513" i="35"/>
  <c r="BK240" i="35"/>
  <c r="BK350" i="35"/>
  <c r="BK288" i="35"/>
  <c r="BK434" i="35"/>
  <c r="BK333" i="35"/>
  <c r="BK83" i="35"/>
  <c r="BK104" i="35"/>
  <c r="BK284" i="35"/>
  <c r="BK313" i="35"/>
  <c r="BK357" i="35"/>
  <c r="BK520" i="35"/>
  <c r="BK468" i="35"/>
  <c r="BK222" i="35"/>
  <c r="BK108" i="35"/>
  <c r="BK52" i="35"/>
  <c r="BK481" i="35"/>
  <c r="BK129" i="35"/>
  <c r="BK170" i="35"/>
  <c r="BK423" i="35"/>
  <c r="BK342" i="35"/>
  <c r="BK506" i="35"/>
  <c r="BK525" i="35"/>
  <c r="BK358" i="35"/>
  <c r="BK143" i="35"/>
  <c r="BK12" i="35"/>
  <c r="BK92" i="35"/>
  <c r="BK494" i="35"/>
  <c r="BK190" i="35"/>
  <c r="BK436" i="35"/>
  <c r="BK392" i="35"/>
  <c r="BK213" i="35"/>
  <c r="BK457" i="35"/>
  <c r="BK174" i="35"/>
  <c r="BK338" i="35"/>
  <c r="BK469" i="35"/>
  <c r="BK154" i="35"/>
  <c r="BK527" i="35"/>
  <c r="BK412" i="35"/>
  <c r="BK373" i="35"/>
  <c r="BK144" i="35"/>
  <c r="BK309" i="35"/>
  <c r="BK160" i="35"/>
  <c r="BK507" i="35"/>
  <c r="BK37" i="35"/>
  <c r="BK15" i="35"/>
  <c r="BK521" i="35"/>
  <c r="BK326" i="35"/>
  <c r="BK76" i="35"/>
  <c r="BK122" i="35"/>
  <c r="BK416" i="35"/>
  <c r="BK140" i="35"/>
  <c r="BK452" i="35"/>
  <c r="BK383" i="35"/>
  <c r="BK437" i="35"/>
  <c r="BK189" i="35"/>
  <c r="BK27" i="35"/>
  <c r="BK403" i="35"/>
  <c r="BK114" i="35"/>
  <c r="BK205" i="35"/>
  <c r="BK141" i="35"/>
  <c r="BK286" i="35"/>
  <c r="BK221" i="35"/>
  <c r="BK10" i="35"/>
  <c r="BK197" i="35"/>
  <c r="BK484" i="35"/>
  <c r="BK90" i="35"/>
  <c r="BK237" i="35"/>
  <c r="BK472" i="35"/>
  <c r="BK180" i="35"/>
  <c r="BK179" i="35"/>
  <c r="BK47" i="35"/>
  <c r="BK7" i="35"/>
  <c r="BK63" i="35"/>
  <c r="BK35" i="35"/>
  <c r="BK371" i="35"/>
  <c r="BK17" i="35"/>
  <c r="BK231" i="35"/>
  <c r="BK389" i="35"/>
  <c r="BK410" i="35"/>
  <c r="BK157" i="35"/>
  <c r="BK451" i="35"/>
  <c r="BK346" i="35"/>
  <c r="BK369" i="35"/>
  <c r="BK235" i="35"/>
  <c r="BK68" i="35"/>
  <c r="BK138" i="35"/>
  <c r="BK184" i="35"/>
  <c r="BK364" i="35"/>
  <c r="BK124" i="35"/>
  <c r="BK459" i="35"/>
  <c r="BK340" i="35"/>
  <c r="BK56" i="35"/>
  <c r="BK33" i="35"/>
  <c r="BK81" i="35"/>
  <c r="BK393" i="35"/>
  <c r="BK460" i="35"/>
  <c r="BK511" i="35"/>
  <c r="BK455" i="35"/>
  <c r="BK148" i="35"/>
  <c r="BK295" i="35"/>
  <c r="BK28" i="35"/>
  <c r="BK109" i="35"/>
  <c r="BK303" i="35"/>
  <c r="BK486" i="35"/>
  <c r="BK201" i="35"/>
  <c r="BK80" i="35"/>
  <c r="BK36" i="35"/>
  <c r="BK75" i="35"/>
  <c r="BK264" i="35"/>
  <c r="AX7" i="23"/>
  <c r="AV11" i="23"/>
  <c r="AV10" i="23"/>
  <c r="BK101" i="35"/>
  <c r="BK311" i="35"/>
  <c r="BK361" i="35"/>
  <c r="BK72" i="35"/>
  <c r="BK263" i="35"/>
  <c r="BK225" i="35"/>
  <c r="BK374" i="35"/>
  <c r="BK257" i="35"/>
  <c r="BK396" i="35"/>
  <c r="BK53" i="35"/>
  <c r="BK387" i="35"/>
  <c r="BK322" i="35"/>
  <c r="BK359" i="35"/>
  <c r="BK121" i="35"/>
  <c r="BK153" i="35"/>
  <c r="BK345" i="35"/>
  <c r="BK444" i="35"/>
  <c r="BK127" i="35"/>
  <c r="BK502" i="35"/>
  <c r="BK66" i="35"/>
  <c r="BK394" i="35"/>
  <c r="BK16" i="35"/>
  <c r="BK239" i="35"/>
  <c r="BK132" i="35"/>
  <c r="BG137" i="20"/>
  <c r="BG41" i="20"/>
  <c r="BG518" i="20"/>
  <c r="BG64" i="20"/>
  <c r="BG82" i="20"/>
  <c r="BG470" i="20"/>
  <c r="BG565" i="20"/>
  <c r="BG556" i="20"/>
  <c r="BG62" i="20"/>
  <c r="BG546" i="20"/>
  <c r="BG475" i="20"/>
  <c r="BG566" i="20"/>
  <c r="BG269" i="20"/>
  <c r="BG480" i="20"/>
  <c r="BG100" i="20"/>
  <c r="BG423" i="20"/>
  <c r="BG545" i="20"/>
  <c r="BG107" i="20"/>
  <c r="BG208" i="20"/>
  <c r="BG256" i="20"/>
  <c r="BG403" i="20"/>
  <c r="BG49" i="20"/>
  <c r="BG644" i="20"/>
  <c r="BG461" i="20"/>
  <c r="BG162" i="20"/>
  <c r="BG90" i="20"/>
  <c r="BG290" i="20"/>
  <c r="BG264" i="20"/>
  <c r="BG398" i="20"/>
  <c r="BG383" i="20"/>
  <c r="BG511" i="20"/>
  <c r="BG345" i="20"/>
  <c r="BG382" i="20"/>
  <c r="BG69" i="20"/>
  <c r="BG167" i="20"/>
  <c r="BG351" i="20"/>
  <c r="BG430" i="20"/>
  <c r="BG596" i="20"/>
  <c r="BG327" i="20"/>
  <c r="BG628" i="20"/>
  <c r="BG601" i="20"/>
  <c r="BG374" i="20"/>
  <c r="BG258" i="20"/>
  <c r="BG616" i="20"/>
  <c r="BG371" i="20"/>
  <c r="BG561" i="20"/>
  <c r="BG369" i="20"/>
  <c r="BG220" i="20"/>
  <c r="BG234" i="20"/>
  <c r="BG471" i="20"/>
  <c r="BG74" i="20"/>
  <c r="BG646" i="20"/>
  <c r="BG38" i="20"/>
  <c r="BG544" i="20"/>
  <c r="BG196" i="20"/>
  <c r="BG35" i="20"/>
  <c r="BG311" i="20"/>
  <c r="BG338" i="20"/>
  <c r="BG281" i="20"/>
  <c r="BG397" i="20"/>
  <c r="BG235" i="20"/>
  <c r="BG460" i="20"/>
  <c r="BG300" i="20"/>
  <c r="BG647" i="20"/>
  <c r="BG509" i="20"/>
  <c r="BG354" i="20"/>
  <c r="BG254" i="20"/>
  <c r="BG55" i="20"/>
  <c r="BG341" i="20"/>
  <c r="BG301" i="20"/>
  <c r="BG318" i="20"/>
  <c r="BG637" i="20"/>
  <c r="BG109" i="20"/>
  <c r="BG106" i="20"/>
  <c r="BG472" i="20"/>
  <c r="BG155" i="20"/>
  <c r="BG340" i="20"/>
  <c r="BG54" i="20"/>
  <c r="BG649" i="20"/>
  <c r="BG606" i="20"/>
  <c r="BG25" i="20"/>
  <c r="BG455" i="20"/>
  <c r="BG557" i="20"/>
  <c r="BG494" i="20"/>
  <c r="BG160" i="20"/>
  <c r="BG211" i="20"/>
  <c r="BG386" i="20"/>
  <c r="BG156" i="20"/>
  <c r="BG108" i="20"/>
  <c r="BG390" i="20"/>
  <c r="BG439" i="20"/>
  <c r="BG482" i="20"/>
  <c r="BG68" i="20"/>
  <c r="BG129" i="20"/>
  <c r="BG527" i="20"/>
  <c r="BG326" i="20"/>
  <c r="BG491" i="20"/>
  <c r="BG456" i="20"/>
  <c r="BG192" i="20"/>
  <c r="BG42" i="20"/>
  <c r="BG186" i="20"/>
  <c r="BG497" i="20"/>
  <c r="BG493" i="20"/>
  <c r="BG172" i="20"/>
  <c r="BG146" i="20"/>
  <c r="BG632" i="20"/>
  <c r="BG232" i="20"/>
  <c r="BG141" i="20"/>
  <c r="BG238" i="20"/>
  <c r="BG27" i="20"/>
  <c r="BG120" i="20"/>
  <c r="BG283" i="20"/>
  <c r="BG282" i="20"/>
  <c r="BG595" i="20"/>
  <c r="BG520" i="20"/>
  <c r="BG621" i="20"/>
  <c r="BG533" i="20"/>
  <c r="BG414" i="20"/>
  <c r="BG314" i="20"/>
  <c r="BG260" i="20"/>
  <c r="BG87" i="20"/>
  <c r="BG589" i="20"/>
  <c r="BG440" i="20"/>
  <c r="BG356" i="20"/>
  <c r="BG223" i="20"/>
  <c r="BG77" i="20"/>
  <c r="BG188" i="20"/>
  <c r="BG287" i="20"/>
  <c r="BG419" i="20"/>
  <c r="BG337" i="20"/>
  <c r="BG620" i="20"/>
  <c r="BG448" i="20"/>
  <c r="BG469" i="20"/>
  <c r="BG408" i="20"/>
  <c r="BG417" i="20"/>
  <c r="BG218" i="20"/>
  <c r="BG540" i="20"/>
  <c r="BG32" i="20"/>
  <c r="BG228" i="20"/>
  <c r="BG30" i="20"/>
  <c r="BG405" i="20"/>
  <c r="BG387" i="20"/>
  <c r="BG18" i="20"/>
  <c r="BG538" i="20"/>
  <c r="BG278" i="20"/>
  <c r="BG631" i="20"/>
  <c r="BG190" i="20"/>
  <c r="BG610" i="20"/>
  <c r="BG489" i="20"/>
  <c r="BG463" i="20"/>
  <c r="BG174" i="20"/>
  <c r="BG332" i="20"/>
  <c r="BG202" i="20"/>
  <c r="BG135" i="20"/>
  <c r="BG629" i="20"/>
  <c r="BG586" i="20"/>
  <c r="BG530" i="20"/>
  <c r="BG333" i="20"/>
  <c r="BG355" i="20"/>
  <c r="BG44" i="20"/>
  <c r="BG142" i="20"/>
  <c r="BG221" i="20"/>
  <c r="BG584" i="20"/>
  <c r="BG490" i="20"/>
  <c r="BG14" i="20"/>
  <c r="BG613" i="20"/>
  <c r="BG222" i="20"/>
  <c r="BG173" i="20"/>
  <c r="BG176" i="20"/>
  <c r="BG200" i="20"/>
  <c r="BG582" i="20"/>
  <c r="BG21" i="20"/>
  <c r="BG424" i="20"/>
  <c r="BG50" i="20"/>
  <c r="BG619" i="20"/>
  <c r="BG276" i="20"/>
  <c r="BG410" i="20"/>
  <c r="BG122" i="20"/>
  <c r="BG466" i="20"/>
  <c r="BG346" i="20"/>
  <c r="BG213" i="20"/>
  <c r="BG441" i="20"/>
  <c r="BG94" i="20"/>
  <c r="BG16" i="20"/>
  <c r="BG506" i="20"/>
  <c r="BG161" i="20"/>
  <c r="BG488" i="20"/>
  <c r="BG510" i="20"/>
  <c r="BG513" i="20"/>
  <c r="BG67" i="20"/>
  <c r="BG328" i="20"/>
  <c r="BG46" i="20"/>
  <c r="BG246" i="20"/>
  <c r="BG535" i="20"/>
  <c r="BG39" i="20"/>
  <c r="BG581" i="20"/>
  <c r="BG212" i="20"/>
  <c r="BG267" i="20"/>
  <c r="BG104" i="20"/>
  <c r="BG481" i="20"/>
  <c r="BG373" i="20"/>
  <c r="BG80" i="20"/>
  <c r="BG449" i="20"/>
  <c r="BG93" i="20"/>
  <c r="BG504" i="20"/>
  <c r="BG552" i="20"/>
  <c r="BG519" i="20"/>
  <c r="BG178" i="20"/>
  <c r="BG389" i="20"/>
  <c r="BG81" i="20"/>
  <c r="BG605" i="20"/>
  <c r="BG559" i="20"/>
  <c r="BG252" i="20"/>
  <c r="BG339" i="20"/>
  <c r="BG11" i="20"/>
  <c r="BG61" i="20"/>
  <c r="BG70" i="20"/>
  <c r="BG499" i="20"/>
  <c r="BG143" i="20"/>
  <c r="BG500" i="20"/>
  <c r="BG52" i="20"/>
  <c r="BG306" i="20"/>
  <c r="BG7" i="20"/>
  <c r="BG249" i="20"/>
  <c r="BG273" i="20"/>
  <c r="BG592" i="20"/>
  <c r="BG99" i="20"/>
  <c r="BG360" i="20"/>
  <c r="BG501" i="20"/>
  <c r="BG639" i="20"/>
  <c r="BG47" i="20"/>
  <c r="BG457" i="20"/>
  <c r="BG20" i="20"/>
  <c r="BG272" i="20"/>
  <c r="BG24" i="20"/>
  <c r="BG478" i="20"/>
  <c r="BG352" i="20"/>
  <c r="BG248" i="20"/>
  <c r="BG263" i="20"/>
  <c r="BG15" i="20"/>
  <c r="BG123" i="20"/>
  <c r="BG144" i="20"/>
  <c r="BG378" i="20"/>
  <c r="BG420" i="20"/>
  <c r="BG650" i="20"/>
  <c r="BG124" i="20"/>
  <c r="BG48" i="20"/>
  <c r="BG452" i="20"/>
  <c r="BG551" i="20"/>
  <c r="BG164" i="20"/>
  <c r="BG76" i="20"/>
  <c r="BG599" i="20"/>
  <c r="BG406" i="20"/>
  <c r="BG450" i="20"/>
  <c r="BG429" i="20"/>
  <c r="BG431" i="20"/>
  <c r="BG71" i="20"/>
  <c r="BG251" i="20"/>
  <c r="BG652" i="20"/>
  <c r="BG483" i="20"/>
  <c r="BG322" i="20"/>
  <c r="BG400" i="20"/>
  <c r="BG648" i="20"/>
  <c r="BG101" i="20"/>
  <c r="BG335" i="20"/>
  <c r="BG66" i="20"/>
  <c r="BG367" i="20"/>
  <c r="BG514" i="20"/>
  <c r="BG88" i="20"/>
  <c r="BG330" i="20"/>
  <c r="BG498" i="20"/>
  <c r="BG79" i="20"/>
  <c r="BG125" i="20"/>
  <c r="BG313" i="20"/>
  <c r="BG182" i="20"/>
  <c r="BG157" i="20"/>
  <c r="BG323" i="20"/>
  <c r="BG134" i="20"/>
  <c r="BG171" i="20"/>
  <c r="BG443" i="20"/>
  <c r="BG118" i="20"/>
  <c r="BG284" i="20"/>
  <c r="BG577" i="20"/>
  <c r="BG376" i="20"/>
  <c r="BG215" i="20"/>
  <c r="BG539" i="20"/>
  <c r="BG29" i="20"/>
  <c r="BG624" i="20"/>
  <c r="BG148" i="20"/>
  <c r="BG153" i="20"/>
  <c r="BG183" i="20"/>
  <c r="BG587" i="20"/>
  <c r="BG95" i="20"/>
  <c r="BG364" i="20"/>
  <c r="BG63" i="20"/>
  <c r="BG359" i="20"/>
  <c r="BG126" i="20"/>
  <c r="BG608" i="20"/>
  <c r="BG177" i="20"/>
  <c r="BG617" i="20"/>
  <c r="BG193" i="20"/>
  <c r="BG578" i="20"/>
  <c r="BG391" i="20"/>
  <c r="BG33" i="20"/>
  <c r="BG112" i="20"/>
  <c r="BG10" i="20"/>
  <c r="BG31" i="20"/>
  <c r="BG572" i="20"/>
  <c r="BG495" i="20"/>
  <c r="BG12" i="20"/>
  <c r="BG515" i="20"/>
  <c r="BG548" i="20"/>
  <c r="BG614" i="20"/>
  <c r="BG315" i="20"/>
  <c r="BG567" i="20"/>
  <c r="BG285" i="20"/>
  <c r="BG603" i="20"/>
  <c r="BG217" i="20"/>
  <c r="BG165" i="20"/>
  <c r="BG357" i="20"/>
  <c r="BG554" i="20"/>
  <c r="BG645" i="20"/>
  <c r="BG573" i="20"/>
  <c r="BG407" i="20"/>
  <c r="BG58" i="20"/>
  <c r="BG226" i="20"/>
  <c r="BG8" i="20"/>
  <c r="BG236" i="20"/>
  <c r="BG600" i="20"/>
  <c r="BG250" i="20"/>
  <c r="BG305" i="20"/>
  <c r="BG409" i="20"/>
  <c r="BG275" i="20"/>
  <c r="BG550" i="20"/>
  <c r="BG280" i="20"/>
  <c r="BG445" i="20"/>
  <c r="BG207" i="20"/>
  <c r="BG517" i="20"/>
  <c r="BG651" i="20"/>
  <c r="BG609" i="20"/>
  <c r="BG560" i="20"/>
  <c r="BG214" i="20"/>
  <c r="BG45" i="20"/>
  <c r="BG57" i="20"/>
  <c r="BG611" i="20"/>
  <c r="BG265" i="20"/>
  <c r="BG426" i="20"/>
  <c r="BG304" i="20"/>
  <c r="BG201" i="20"/>
  <c r="BG446" i="20"/>
  <c r="BG229" i="20"/>
  <c r="BG151" i="20"/>
  <c r="BG59" i="20"/>
  <c r="BG308" i="20"/>
  <c r="BG569" i="20"/>
  <c r="BG532" i="20"/>
  <c r="BG75" i="20"/>
  <c r="BG319" i="20"/>
  <c r="BG247" i="20"/>
  <c r="BG317" i="20"/>
  <c r="BG199" i="20"/>
  <c r="BG604" i="20"/>
  <c r="BG288" i="20"/>
  <c r="BG96" i="20"/>
  <c r="BG72" i="20"/>
  <c r="BG633" i="20"/>
  <c r="BG541" i="20"/>
  <c r="BG302" i="20"/>
  <c r="BG43" i="20"/>
  <c r="BG492" i="20"/>
  <c r="BG84" i="20"/>
  <c r="BG233" i="20"/>
  <c r="BG102" i="20"/>
  <c r="BG191" i="20"/>
  <c r="BG421" i="20"/>
  <c r="BG170" i="20"/>
  <c r="BG404" i="20"/>
  <c r="BG253" i="20"/>
  <c r="BG395" i="20"/>
  <c r="BG86" i="20"/>
  <c r="BG324" i="20"/>
  <c r="BG219" i="20"/>
  <c r="BG159" i="20"/>
  <c r="BG289" i="20"/>
  <c r="BG312" i="20"/>
  <c r="BG175" i="20"/>
  <c r="BG630" i="20"/>
  <c r="BG467" i="20"/>
  <c r="BG204" i="20"/>
  <c r="BG65" i="20"/>
  <c r="BG476" i="20"/>
  <c r="BG588" i="20"/>
  <c r="BG598" i="20"/>
  <c r="BG523" i="20"/>
  <c r="BG427" i="20"/>
  <c r="BG626" i="20"/>
  <c r="BG230" i="20"/>
  <c r="BG597" i="20"/>
  <c r="BG433" i="20"/>
  <c r="BG274" i="20"/>
  <c r="BG180" i="20"/>
  <c r="BG22" i="20"/>
  <c r="BG241" i="20"/>
  <c r="BG428" i="20"/>
  <c r="BG522" i="20"/>
  <c r="BG394" i="20"/>
  <c r="BG270" i="20"/>
  <c r="BG502" i="20"/>
  <c r="BG154" i="20"/>
  <c r="BG529" i="20"/>
  <c r="BG477" i="20"/>
  <c r="BG17" i="20"/>
  <c r="BG261" i="20"/>
  <c r="BG117" i="20"/>
  <c r="BG158" i="20"/>
  <c r="BG643" i="20"/>
  <c r="BG152" i="20"/>
  <c r="BG625" i="20"/>
  <c r="BG503" i="20"/>
  <c r="BG197" i="20"/>
  <c r="BG78" i="20"/>
  <c r="BG521" i="20"/>
  <c r="BG138" i="20"/>
  <c r="BG133" i="20"/>
  <c r="BG579" i="20"/>
  <c r="BG524" i="20"/>
  <c r="BG310" i="20"/>
  <c r="BG402" i="20"/>
  <c r="BG531" i="20"/>
  <c r="BG34" i="20"/>
  <c r="BG121" i="20"/>
  <c r="BG231" i="20"/>
  <c r="BG294" i="20"/>
  <c r="BG299" i="20"/>
  <c r="BG321" i="20"/>
  <c r="BG168" i="20"/>
  <c r="BG508" i="20"/>
  <c r="BG343" i="20"/>
  <c r="BG453" i="20"/>
  <c r="BG150" i="20"/>
  <c r="BG242" i="20"/>
  <c r="BG635" i="20"/>
  <c r="BG303" i="20"/>
  <c r="BG370" i="20"/>
  <c r="BG537" i="20"/>
  <c r="BG334" i="20"/>
  <c r="BG210" i="20"/>
  <c r="BG435" i="20"/>
  <c r="BG206" i="20"/>
  <c r="BG437" i="20"/>
  <c r="BG366" i="20"/>
  <c r="BG444" i="20"/>
  <c r="BG266" i="20"/>
  <c r="BG564" i="20"/>
  <c r="BG147" i="20"/>
  <c r="BG239" i="20"/>
  <c r="BG372" i="20"/>
  <c r="BG615" i="20"/>
  <c r="BG384" i="20"/>
  <c r="BG297" i="20"/>
  <c r="BG363" i="20"/>
  <c r="BG525" i="20"/>
  <c r="BG580" i="20"/>
  <c r="BG549" i="20"/>
  <c r="BG416" i="20"/>
  <c r="BG612" i="20"/>
  <c r="BG271" i="20"/>
  <c r="BG422" i="20"/>
  <c r="BG26" i="20"/>
  <c r="BG209" i="20"/>
  <c r="BG590" i="20"/>
  <c r="BG36" i="20"/>
  <c r="BG131" i="20"/>
  <c r="BG447" i="20"/>
  <c r="BG591" i="20"/>
  <c r="BG392" i="20"/>
  <c r="BG436" i="20"/>
  <c r="BG542" i="20"/>
  <c r="BG425" i="20"/>
  <c r="BG13" i="20"/>
  <c r="BG484" i="20"/>
  <c r="BG574" i="20"/>
  <c r="BG336" i="20"/>
  <c r="BG309" i="20"/>
  <c r="BG516" i="20"/>
  <c r="BG568" i="20"/>
  <c r="BG115" i="20"/>
  <c r="BG145" i="20"/>
  <c r="BG602" i="20"/>
  <c r="BG464" i="20"/>
  <c r="BG465" i="20"/>
  <c r="BG413" i="20"/>
  <c r="BG60" i="20"/>
  <c r="BG277" i="20"/>
  <c r="BG385" i="20"/>
  <c r="BG641" i="20"/>
  <c r="BG19" i="20"/>
  <c r="BG73" i="20"/>
  <c r="BG528" i="20"/>
  <c r="BG558" i="20"/>
  <c r="BG555" i="20"/>
  <c r="BG320" i="20"/>
  <c r="BG358" i="20"/>
  <c r="BG562" i="20"/>
  <c r="BG98" i="20"/>
  <c r="BG262" i="20"/>
  <c r="BG350" i="20"/>
  <c r="BG412" i="20"/>
  <c r="BG379" i="20"/>
  <c r="BG618" i="20"/>
  <c r="BG105" i="20"/>
  <c r="BG128" i="20"/>
  <c r="BG418" i="20"/>
  <c r="BG103" i="20"/>
  <c r="BG56" i="20"/>
  <c r="BG245" i="20"/>
  <c r="BG458" i="20"/>
  <c r="BG89" i="20"/>
  <c r="BG85" i="20"/>
  <c r="BG576" i="20"/>
  <c r="BG53" i="20"/>
  <c r="BG462" i="20"/>
  <c r="BG526" i="20"/>
  <c r="BG113" i="20"/>
  <c r="BG594" i="20"/>
  <c r="BG627" i="20"/>
  <c r="BG163" i="20"/>
  <c r="BG368" i="20"/>
  <c r="BG442" i="20"/>
  <c r="BG111" i="20"/>
  <c r="BI4" i="20"/>
  <c r="BG468" i="20"/>
  <c r="BG116" i="20"/>
  <c r="BG227" i="20"/>
  <c r="BG185" i="20"/>
  <c r="BG459" i="20"/>
  <c r="BG9" i="20"/>
  <c r="BG543" i="20"/>
  <c r="BG570" i="20"/>
  <c r="BG240" i="20"/>
  <c r="BG623" i="20"/>
  <c r="BG237" i="20"/>
  <c r="BG179" i="20"/>
  <c r="BG181" i="20"/>
  <c r="BG91" i="20"/>
  <c r="BG642" i="20"/>
  <c r="BG259" i="20"/>
  <c r="BG140" i="20"/>
  <c r="BG487" i="20"/>
  <c r="BG268" i="20"/>
  <c r="BG536" i="20"/>
  <c r="BG83" i="20"/>
  <c r="BG298" i="20"/>
  <c r="BG622" i="20"/>
  <c r="BG97" i="20"/>
  <c r="BG486" i="20"/>
  <c r="BG512" i="20"/>
  <c r="BG194" i="20"/>
  <c r="BG365" i="20"/>
  <c r="BG51" i="20"/>
  <c r="BG583" i="20"/>
  <c r="BG607" i="20"/>
  <c r="BG257" i="20"/>
  <c r="BG92" i="20"/>
  <c r="BG224" i="20"/>
  <c r="BG130" i="20"/>
  <c r="BG563" i="20"/>
  <c r="BG388" i="20"/>
  <c r="BG225" i="20"/>
  <c r="BG553" i="20"/>
  <c r="BG640" i="20"/>
  <c r="BG454" i="20"/>
  <c r="BG401" i="20"/>
  <c r="BG286" i="20"/>
  <c r="BG342" i="20"/>
  <c r="BG132" i="20"/>
  <c r="BG348" i="20"/>
  <c r="BG195" i="20"/>
  <c r="BG28" i="20"/>
  <c r="BG485" i="20"/>
  <c r="BG279" i="20"/>
  <c r="BG203" i="20"/>
  <c r="BG634" i="20"/>
  <c r="BG255" i="20"/>
  <c r="BG353" i="20"/>
  <c r="BG110" i="20"/>
  <c r="BG295" i="20"/>
  <c r="BG114" i="20"/>
  <c r="BG296" i="20"/>
  <c r="BG585" i="20"/>
  <c r="BG575" i="20"/>
  <c r="BG307" i="20"/>
  <c r="BG187" i="20"/>
  <c r="BG396" i="20"/>
  <c r="BG244" i="20"/>
  <c r="BG331" i="20"/>
  <c r="BG479" i="20"/>
  <c r="BG347" i="20"/>
  <c r="BG362" i="20"/>
  <c r="BG636" i="20"/>
  <c r="BG399" i="20"/>
  <c r="BG507" i="20"/>
  <c r="BG139" i="20"/>
  <c r="BG451" i="20"/>
  <c r="BG496" i="20"/>
  <c r="BG381" i="20"/>
  <c r="BG361" i="20"/>
  <c r="BG393" i="20"/>
  <c r="BG571" i="20"/>
  <c r="BG198" i="20"/>
  <c r="BG432" i="20"/>
  <c r="BG127" i="20"/>
  <c r="BG291" i="20"/>
  <c r="BG292" i="20"/>
  <c r="BG184" i="20"/>
  <c r="BG243" i="20"/>
  <c r="BG37" i="20"/>
  <c r="BG375" i="20"/>
  <c r="BG149" i="20"/>
  <c r="BG166" i="20"/>
  <c r="BG415" i="20"/>
  <c r="BG189" i="20"/>
  <c r="BG473" i="20"/>
  <c r="BG136" i="20"/>
  <c r="BG547" i="20"/>
  <c r="BG40" i="20"/>
  <c r="BG434" i="20"/>
  <c r="BG534" i="20"/>
  <c r="BG344" i="20"/>
  <c r="BG119" i="20"/>
  <c r="BG23" i="20"/>
  <c r="BG349" i="20"/>
  <c r="BG329" i="20"/>
  <c r="BG377" i="20"/>
  <c r="BG411" i="20"/>
  <c r="BG169" i="20"/>
  <c r="BG380" i="20"/>
  <c r="BG205" i="20"/>
  <c r="BG474" i="20"/>
  <c r="BG216" i="20"/>
  <c r="BG438" i="20"/>
  <c r="BG325" i="20"/>
  <c r="BG593" i="20"/>
  <c r="BG638" i="20"/>
  <c r="BG505" i="20"/>
  <c r="BG316" i="20"/>
  <c r="BG293" i="20"/>
  <c r="BK271" i="35"/>
  <c r="BK482" i="35"/>
  <c r="BK57" i="35"/>
  <c r="BK67" i="35"/>
  <c r="BK477" i="35"/>
  <c r="BK269" i="35"/>
  <c r="BK39" i="35"/>
  <c r="BK419" i="35"/>
  <c r="BK185" i="35"/>
  <c r="BK24" i="35"/>
  <c r="BK8" i="35"/>
  <c r="BK531" i="35"/>
  <c r="BK245" i="35"/>
  <c r="BK94" i="35"/>
  <c r="BK246" i="35"/>
  <c r="BK85" i="35"/>
  <c r="BK277" i="35"/>
  <c r="BK126" i="35"/>
  <c r="BK401" i="35"/>
  <c r="BK34" i="35"/>
  <c r="BK409" i="35"/>
  <c r="BK528" i="35"/>
  <c r="BK198" i="35"/>
  <c r="BK255" i="35"/>
  <c r="BK156" i="35"/>
  <c r="BK283" i="35"/>
  <c r="BK305" i="35"/>
  <c r="BK193" i="35"/>
  <c r="BK97" i="35"/>
  <c r="BK111" i="35"/>
  <c r="BK19" i="35"/>
  <c r="BK214" i="35"/>
  <c r="BK58" i="35"/>
  <c r="BK274" i="35"/>
  <c r="BK321" i="35"/>
  <c r="BK175" i="35"/>
  <c r="BK298" i="35"/>
  <c r="BK14" i="35"/>
  <c r="BK196" i="35"/>
  <c r="BK134" i="35"/>
  <c r="BK337" i="35"/>
  <c r="BK431" i="35"/>
  <c r="BK336" i="35"/>
  <c r="BK95" i="35"/>
  <c r="BK146" i="35"/>
  <c r="BK443" i="35"/>
  <c r="BK307" i="35"/>
  <c r="BK503" i="35"/>
  <c r="O16" i="40"/>
  <c r="AR17" i="40"/>
  <c r="AF12" i="23"/>
  <c r="AT12" i="23"/>
  <c r="AZ12" i="23"/>
  <c r="BD12" i="23"/>
  <c r="AJ12" i="23"/>
  <c r="BB12" i="23"/>
  <c r="V12" i="23"/>
  <c r="W12" i="23"/>
  <c r="AB12" i="23"/>
  <c r="AL12" i="23"/>
  <c r="AN12" i="23"/>
  <c r="AV12" i="23"/>
  <c r="AP12" i="23"/>
  <c r="AR12" i="23"/>
  <c r="AH12" i="23"/>
  <c r="AD12" i="23"/>
  <c r="BH12" i="23"/>
  <c r="BF12" i="23"/>
  <c r="BJ12" i="23"/>
  <c r="AW3" i="35"/>
  <c r="AY398" i="35"/>
  <c r="AY120" i="35"/>
  <c r="AY469" i="35"/>
  <c r="AY231" i="35"/>
  <c r="AY283" i="35"/>
  <c r="AY237" i="35"/>
  <c r="AY278" i="35"/>
  <c r="AY464" i="35"/>
  <c r="AY197" i="35"/>
  <c r="AY183" i="35"/>
  <c r="AY32" i="35"/>
  <c r="AY366" i="35"/>
  <c r="AY64" i="35"/>
  <c r="AY426" i="35"/>
  <c r="AY147" i="35"/>
  <c r="AY281" i="35"/>
  <c r="AY216" i="35"/>
  <c r="AY27" i="35"/>
  <c r="AY423" i="35"/>
  <c r="AY124" i="35"/>
  <c r="AY113" i="35"/>
  <c r="AY65" i="35"/>
  <c r="AY350" i="35"/>
  <c r="AY488" i="35"/>
  <c r="AY399" i="35"/>
  <c r="AY97" i="35"/>
  <c r="AY105" i="35"/>
  <c r="AY174" i="35"/>
  <c r="AY74" i="35"/>
  <c r="AY356" i="35"/>
  <c r="AY77" i="35"/>
  <c r="AY47" i="35"/>
  <c r="AY121" i="35"/>
  <c r="AY267" i="35"/>
  <c r="AY439" i="35"/>
  <c r="AY380" i="35"/>
  <c r="AY116" i="35"/>
  <c r="AY53" i="35"/>
  <c r="AY176" i="35"/>
  <c r="AY443" i="35"/>
  <c r="AY131" i="35"/>
  <c r="AY67" i="35"/>
  <c r="AY109" i="35"/>
  <c r="AY144" i="35"/>
  <c r="AY499" i="35"/>
  <c r="AY495" i="35"/>
  <c r="AY312" i="35"/>
  <c r="AY291" i="35"/>
  <c r="AY416" i="35"/>
  <c r="AY342" i="35"/>
  <c r="AY168" i="35"/>
  <c r="AY346" i="35"/>
  <c r="AY129" i="35"/>
  <c r="AY151" i="35"/>
  <c r="AY300" i="35"/>
  <c r="AY344" i="35"/>
  <c r="AY468" i="35"/>
  <c r="AY513" i="35"/>
  <c r="AY107" i="35"/>
  <c r="AY314" i="35"/>
  <c r="AY348" i="35"/>
  <c r="AY159" i="35"/>
  <c r="AY391" i="35"/>
  <c r="AY280" i="35"/>
  <c r="AY135" i="35"/>
  <c r="AY76" i="35"/>
  <c r="AY377" i="35"/>
  <c r="AY290" i="35"/>
  <c r="AY393" i="35"/>
  <c r="AY37" i="35"/>
  <c r="AY360" i="35"/>
  <c r="AY504" i="35"/>
  <c r="AY328" i="35"/>
  <c r="AY268" i="35"/>
  <c r="AY284" i="35"/>
  <c r="AY14" i="35"/>
  <c r="AY84" i="35"/>
  <c r="AY218" i="35"/>
  <c r="AY223" i="35"/>
  <c r="AY172" i="35"/>
  <c r="AY382" i="35"/>
  <c r="AY347" i="35"/>
  <c r="AY153" i="35"/>
  <c r="AY194" i="35"/>
  <c r="AY28" i="35"/>
  <c r="AY146" i="35"/>
  <c r="AY125" i="35"/>
  <c r="AY50" i="35"/>
  <c r="AY58" i="35"/>
  <c r="AY202" i="35"/>
  <c r="AY365" i="35"/>
  <c r="AY526" i="35"/>
  <c r="AY331" i="35"/>
  <c r="AY321" i="35"/>
  <c r="AY444" i="35"/>
  <c r="AY228" i="35"/>
  <c r="AY492" i="35"/>
  <c r="AY484" i="35"/>
  <c r="AY305" i="35"/>
  <c r="AY330" i="35"/>
  <c r="AY80" i="35"/>
  <c r="AY403" i="35"/>
  <c r="AY309" i="35"/>
  <c r="AY196" i="35"/>
  <c r="AY357" i="35"/>
  <c r="AY99" i="35"/>
  <c r="AY7" i="35"/>
  <c r="AY102" i="35"/>
  <c r="AY34" i="35"/>
  <c r="AY529" i="35"/>
  <c r="AY285" i="35"/>
  <c r="AY446" i="35"/>
  <c r="AY229" i="35"/>
  <c r="AY66" i="35"/>
  <c r="AY29" i="35"/>
  <c r="AY117" i="35"/>
  <c r="AY467" i="35"/>
  <c r="AY262" i="35"/>
  <c r="AY205" i="35"/>
  <c r="AY429" i="35"/>
  <c r="AY436" i="35"/>
  <c r="AY482" i="35"/>
  <c r="AY209" i="35"/>
  <c r="AY126" i="35"/>
  <c r="AY41" i="35"/>
  <c r="AY340" i="35"/>
  <c r="AY510" i="35"/>
  <c r="AY326" i="35"/>
  <c r="AY486" i="35"/>
  <c r="AY25" i="35"/>
  <c r="AY323" i="35"/>
  <c r="AY411" i="35"/>
  <c r="AY298" i="35"/>
  <c r="AY454" i="35"/>
  <c r="AY20" i="35"/>
  <c r="AY208" i="35"/>
  <c r="AY179" i="35"/>
  <c r="AY264" i="35"/>
  <c r="AY164" i="35"/>
  <c r="AY22" i="35"/>
  <c r="AY475" i="35"/>
  <c r="AY86" i="35"/>
  <c r="AY178" i="35"/>
  <c r="AY289" i="35"/>
  <c r="AY42" i="35"/>
  <c r="AY241" i="35"/>
  <c r="AY404" i="35"/>
  <c r="AY110" i="35"/>
  <c r="AY378" i="35"/>
  <c r="AY152" i="35"/>
  <c r="AY345" i="35"/>
  <c r="AY465" i="35"/>
  <c r="AY112" i="35"/>
  <c r="AY225" i="35"/>
  <c r="AY503" i="35"/>
  <c r="AY57" i="35"/>
  <c r="AY527" i="35"/>
  <c r="AY327" i="35"/>
  <c r="AY361" i="35"/>
  <c r="AY106" i="35"/>
  <c r="AY242" i="35"/>
  <c r="AY18" i="35"/>
  <c r="AY82" i="35"/>
  <c r="AY453" i="35"/>
  <c r="AY91" i="35"/>
  <c r="AY51" i="35"/>
  <c r="AY13" i="35"/>
  <c r="AY306" i="35"/>
  <c r="AY308" i="35"/>
  <c r="AY479" i="35"/>
  <c r="AY294" i="35"/>
  <c r="AY35" i="35"/>
  <c r="AY115" i="35"/>
  <c r="AY335" i="35"/>
  <c r="AY293" i="35"/>
  <c r="AY8" i="35"/>
  <c r="AY141" i="35"/>
  <c r="AY351" i="35"/>
  <c r="AY435" i="35"/>
  <c r="AY181" i="35"/>
  <c r="AY249" i="35"/>
  <c r="AY45" i="35"/>
  <c r="AY56" i="35"/>
  <c r="AY87" i="35"/>
  <c r="AY505" i="35"/>
  <c r="AY266" i="35"/>
  <c r="AY506" i="35"/>
  <c r="AY245" i="35"/>
  <c r="AY514" i="35"/>
  <c r="AY478" i="35"/>
  <c r="AY88" i="35"/>
  <c r="AY410" i="35"/>
  <c r="AY273" i="35"/>
  <c r="AY394" i="35"/>
  <c r="AY214" i="35"/>
  <c r="AY52" i="35"/>
  <c r="AY240" i="35"/>
  <c r="AY96" i="35"/>
  <c r="AY182" i="35"/>
  <c r="AY137" i="35"/>
  <c r="AY195" i="35"/>
  <c r="AY275" i="35"/>
  <c r="AY26" i="35"/>
  <c r="AY520" i="35"/>
  <c r="AY175" i="35"/>
  <c r="AY140" i="35"/>
  <c r="AY36" i="35"/>
  <c r="AY315" i="35"/>
  <c r="AY386" i="35"/>
  <c r="AY17" i="35"/>
  <c r="AY90" i="35"/>
  <c r="AY220" i="35"/>
  <c r="AY166" i="35"/>
  <c r="AY418" i="35"/>
  <c r="AY16" i="35"/>
  <c r="AY367" i="35"/>
  <c r="AY79" i="35"/>
  <c r="AY372" i="35"/>
  <c r="AY473" i="35"/>
  <c r="AY130" i="35"/>
  <c r="AY170" i="35"/>
  <c r="AY490" i="35"/>
  <c r="AY432" i="35"/>
  <c r="AY407" i="35"/>
  <c r="AY55" i="35"/>
  <c r="AY402" i="35"/>
  <c r="AY336" i="35"/>
  <c r="AY521" i="35"/>
  <c r="AY276" i="35"/>
  <c r="AY270" i="35"/>
  <c r="AY368" i="35"/>
  <c r="AY373" i="35"/>
  <c r="AY433" i="35"/>
  <c r="AY452" i="35"/>
  <c r="AY476" i="35"/>
  <c r="AY316" i="35"/>
  <c r="AY143" i="35"/>
  <c r="AY11" i="35"/>
  <c r="AY98" i="35"/>
  <c r="AY358" i="35"/>
  <c r="AY277" i="35"/>
  <c r="AY462" i="35"/>
  <c r="AY155" i="35"/>
  <c r="AY43" i="35"/>
  <c r="AY362" i="35"/>
  <c r="AY206" i="35"/>
  <c r="AY89" i="35"/>
  <c r="AY502" i="35"/>
  <c r="AY94" i="35"/>
  <c r="AY246" i="35"/>
  <c r="AY442" i="35"/>
  <c r="AY530" i="35"/>
  <c r="AY500" i="35"/>
  <c r="AY507" i="35"/>
  <c r="AY364" i="35"/>
  <c r="AY381" i="35"/>
  <c r="AY343" i="35"/>
  <c r="AY470" i="35"/>
  <c r="AY363" i="35"/>
  <c r="AY33" i="35"/>
  <c r="AY450" i="35"/>
  <c r="AY250" i="35"/>
  <c r="AY239" i="35"/>
  <c r="AY119" i="35"/>
  <c r="AY480" i="35"/>
  <c r="AY23" i="35"/>
  <c r="AY169" i="35"/>
  <c r="AY497" i="35"/>
  <c r="AY441" i="35"/>
  <c r="AY226" i="35"/>
  <c r="AY319" i="35"/>
  <c r="AY73" i="35"/>
  <c r="AY10" i="35"/>
  <c r="AY287" i="35"/>
  <c r="AY359" i="35"/>
  <c r="AY160" i="35"/>
  <c r="AY292" i="35"/>
  <c r="AY271" i="35"/>
  <c r="AY234" i="35"/>
  <c r="AY252" i="35"/>
  <c r="AY193" i="35"/>
  <c r="AY516" i="35"/>
  <c r="AY188" i="35"/>
  <c r="AY489" i="35"/>
  <c r="AY69" i="35"/>
  <c r="AY40" i="35"/>
  <c r="AY477" i="35"/>
  <c r="AY508" i="35"/>
  <c r="AY189" i="35"/>
  <c r="AY128" i="35"/>
  <c r="AY422" i="35"/>
  <c r="AY162" i="35"/>
  <c r="AY71" i="35"/>
  <c r="AY148" i="35"/>
  <c r="AY320" i="35"/>
  <c r="AY354" i="35"/>
  <c r="AY519" i="35"/>
  <c r="AY30" i="35"/>
  <c r="AY60" i="35"/>
  <c r="AY21" i="35"/>
  <c r="AY302" i="35"/>
  <c r="AY232" i="35"/>
  <c r="AY38" i="35"/>
  <c r="AY474" i="35"/>
  <c r="AY254" i="35"/>
  <c r="AY72" i="35"/>
  <c r="AY341" i="35"/>
  <c r="AY353" i="35"/>
  <c r="AY62" i="35"/>
  <c r="AY509" i="35"/>
  <c r="AY161" i="35"/>
  <c r="AY260" i="35"/>
  <c r="AY44" i="35"/>
  <c r="AY494" i="35"/>
  <c r="AY263" i="35"/>
  <c r="AY458" i="35"/>
  <c r="AY385" i="35"/>
  <c r="AY463" i="35"/>
  <c r="AY329" i="35"/>
  <c r="AY390" i="35"/>
  <c r="AY408" i="35"/>
  <c r="AY496" i="35"/>
  <c r="AY257" i="35"/>
  <c r="AY434" i="35"/>
  <c r="AY213" i="35"/>
  <c r="AY419" i="35"/>
  <c r="AY78" i="35"/>
  <c r="AY471" i="35"/>
  <c r="AY192" i="35"/>
  <c r="AY337" i="35"/>
  <c r="AY370" i="35"/>
  <c r="AY318" i="35"/>
  <c r="AY256" i="35"/>
  <c r="AY251" i="35"/>
  <c r="AY269" i="35"/>
  <c r="AY173" i="35"/>
  <c r="AY304" i="35"/>
  <c r="AY272" i="35"/>
  <c r="AY427" i="35"/>
  <c r="AY247" i="35"/>
  <c r="AY379" i="35"/>
  <c r="AY295" i="35"/>
  <c r="AY108" i="35"/>
  <c r="AY460" i="35"/>
  <c r="AY165" i="35"/>
  <c r="AY282" i="35"/>
  <c r="AY201" i="35"/>
  <c r="AY406" i="35"/>
  <c r="AY227" i="35"/>
  <c r="AY301" i="35"/>
  <c r="AY371" i="35"/>
  <c r="AY24" i="35"/>
  <c r="AY420" i="35"/>
  <c r="AY92" i="35"/>
  <c r="AY198" i="35"/>
  <c r="AY375" i="35"/>
  <c r="AY451" i="35"/>
  <c r="AY93" i="35"/>
  <c r="BA4" i="35"/>
  <c r="AY200" i="35"/>
  <c r="AY355" i="35"/>
  <c r="AY122" i="35"/>
  <c r="AY12" i="35"/>
  <c r="AY447" i="35"/>
  <c r="AY317" i="35"/>
  <c r="AY415" i="35"/>
  <c r="AY459" i="35"/>
  <c r="AY103" i="35"/>
  <c r="AY449" i="35"/>
  <c r="AY211" i="35"/>
  <c r="AY255" i="35"/>
  <c r="AY455" i="35"/>
  <c r="AY528" i="35"/>
  <c r="AY339" i="35"/>
  <c r="AY413" i="35"/>
  <c r="AY297" i="35"/>
  <c r="AY389" i="35"/>
  <c r="AY457" i="35"/>
  <c r="AY104" i="35"/>
  <c r="AY95" i="35"/>
  <c r="AY222" i="35"/>
  <c r="AY412" i="35"/>
  <c r="AY421" i="35"/>
  <c r="AY288" i="35"/>
  <c r="AY487" i="35"/>
  <c r="AY384" i="35"/>
  <c r="AY185" i="35"/>
  <c r="AY235" i="35"/>
  <c r="AY204" i="35"/>
  <c r="AY296" i="35"/>
  <c r="AY243" i="35"/>
  <c r="AY392" i="35"/>
  <c r="AY425" i="35"/>
  <c r="AY279" i="35"/>
  <c r="AY134" i="35"/>
  <c r="AY199" i="35"/>
  <c r="AY401" i="35"/>
  <c r="AY158" i="35"/>
  <c r="AY142" i="35"/>
  <c r="AY512" i="35"/>
  <c r="AY212" i="35"/>
  <c r="AY132" i="35"/>
  <c r="AY274" i="35"/>
  <c r="AY349" i="35"/>
  <c r="AY75" i="35"/>
  <c r="AY138" i="35"/>
  <c r="AY48" i="35"/>
  <c r="AY81" i="35"/>
  <c r="AY322" i="35"/>
  <c r="AY19" i="35"/>
  <c r="AY303" i="35"/>
  <c r="AY518" i="35"/>
  <c r="AY63" i="35"/>
  <c r="AY387" i="35"/>
  <c r="AY424" i="35"/>
  <c r="AY224" i="35"/>
  <c r="AY133" i="35"/>
  <c r="AY68" i="35"/>
  <c r="AY187" i="35"/>
  <c r="AY118" i="35"/>
  <c r="AY238" i="35"/>
  <c r="AY83" i="35"/>
  <c r="AY481" i="35"/>
  <c r="AY154" i="35"/>
  <c r="AY39" i="35"/>
  <c r="AY498" i="35"/>
  <c r="AY334" i="35"/>
  <c r="AY531" i="35"/>
  <c r="AY400" i="35"/>
  <c r="AY236" i="35"/>
  <c r="AY310" i="35"/>
  <c r="AY299" i="35"/>
  <c r="AY311" i="35"/>
  <c r="AY511" i="35"/>
  <c r="AY186" i="35"/>
  <c r="AY230" i="35"/>
  <c r="AY483" i="35"/>
  <c r="AY145" i="35"/>
  <c r="AY414" i="35"/>
  <c r="AY150" i="35"/>
  <c r="AY9" i="35"/>
  <c r="AY111" i="35"/>
  <c r="AY49" i="35"/>
  <c r="AY485" i="35"/>
  <c r="AY54" i="35"/>
  <c r="AY383" i="35"/>
  <c r="AY352" i="35"/>
  <c r="AY136" i="35"/>
  <c r="AY525" i="35"/>
  <c r="AY461" i="35"/>
  <c r="AY149" i="35"/>
  <c r="AY248" i="35"/>
  <c r="AY376" i="35"/>
  <c r="AY261" i="35"/>
  <c r="AY191" i="35"/>
  <c r="AY395" i="35"/>
  <c r="AY417" i="35"/>
  <c r="AY70" i="35"/>
  <c r="AY15" i="35"/>
  <c r="AY31" i="35"/>
  <c r="AY428" i="35"/>
  <c r="AY522" i="35"/>
  <c r="AY388" i="35"/>
  <c r="AY524" i="35"/>
  <c r="AY286" i="35"/>
  <c r="AY501" i="35"/>
  <c r="AY369" i="35"/>
  <c r="AY190" i="35"/>
  <c r="AY101" i="35"/>
  <c r="AY515" i="35"/>
  <c r="AY171" i="35"/>
  <c r="AY307" i="35"/>
  <c r="AY523" i="35"/>
  <c r="AY374" i="35"/>
  <c r="AY46" i="35"/>
  <c r="AY207" i="35"/>
  <c r="AY466" i="35"/>
  <c r="AY437" i="35"/>
  <c r="AY491" i="35"/>
  <c r="AY259" i="35"/>
  <c r="AY517" i="35"/>
  <c r="AY265" i="35"/>
  <c r="AY233" i="35"/>
  <c r="AY219" i="35"/>
  <c r="AY409" i="35"/>
  <c r="AY157" i="35"/>
  <c r="AY123" i="35"/>
  <c r="AY167" i="35"/>
  <c r="AY210" i="35"/>
  <c r="AY59" i="35"/>
  <c r="AY85" i="35"/>
  <c r="AY325" i="35"/>
  <c r="AY333" i="35"/>
  <c r="AY396" i="35"/>
  <c r="AY244" i="35"/>
  <c r="AY100" i="35"/>
  <c r="AY324" i="35"/>
  <c r="AY215" i="35"/>
  <c r="AY472" i="35"/>
  <c r="AY156" i="35"/>
  <c r="AY338" i="35"/>
  <c r="AY139" i="35"/>
  <c r="AY217" i="35"/>
  <c r="AY163" i="35"/>
  <c r="AY253" i="35"/>
  <c r="AY177" i="35"/>
  <c r="AY430" i="35"/>
  <c r="AY221" i="35"/>
  <c r="AY180" i="35"/>
  <c r="AY332" i="35"/>
  <c r="AY397" i="35"/>
  <c r="AY493" i="35"/>
  <c r="AY456" i="35"/>
  <c r="AY203" i="35"/>
  <c r="AY184" i="35"/>
  <c r="AY313" i="35"/>
  <c r="AY438" i="35"/>
  <c r="AY440" i="35"/>
  <c r="AY405" i="35"/>
  <c r="AY445" i="35"/>
  <c r="AY61" i="35"/>
  <c r="AY448" i="35"/>
  <c r="AY258" i="35"/>
  <c r="AY114" i="35"/>
  <c r="AY127" i="35"/>
  <c r="AY431" i="35"/>
  <c r="AW308" i="20"/>
  <c r="AW98" i="20"/>
  <c r="AW411" i="20"/>
  <c r="AW607" i="20"/>
  <c r="AW90" i="20"/>
  <c r="AW491" i="20"/>
  <c r="AW640" i="20"/>
  <c r="AW527" i="20"/>
  <c r="AW543" i="20"/>
  <c r="AW438" i="20"/>
  <c r="AW593" i="20"/>
  <c r="AW422" i="20"/>
  <c r="AW627" i="20"/>
  <c r="AW203" i="20"/>
  <c r="AW259" i="20"/>
  <c r="AW474" i="20"/>
  <c r="AW476" i="20"/>
  <c r="AW189" i="20"/>
  <c r="AW12" i="20"/>
  <c r="AW305" i="20"/>
  <c r="AW290" i="20"/>
  <c r="AW323" i="20"/>
  <c r="AW456" i="20"/>
  <c r="AW190" i="20"/>
  <c r="AW402" i="20"/>
  <c r="AW7" i="20"/>
  <c r="AW224" i="20"/>
  <c r="AW590" i="20"/>
  <c r="AW254" i="20"/>
  <c r="AW445" i="20"/>
  <c r="AW97" i="20"/>
  <c r="AW166" i="20"/>
  <c r="AW209" i="20"/>
  <c r="AW33" i="20"/>
  <c r="AW589" i="20"/>
  <c r="AW326" i="20"/>
  <c r="AW222" i="20"/>
  <c r="AW330" i="20"/>
  <c r="AW416" i="20"/>
  <c r="AW493" i="20"/>
  <c r="AW67" i="20"/>
  <c r="AW113" i="20"/>
  <c r="AW649" i="20"/>
  <c r="AW95" i="20"/>
  <c r="AW581" i="20"/>
  <c r="AW23" i="20"/>
  <c r="AW426" i="20"/>
  <c r="AW263" i="20"/>
  <c r="AW403" i="20"/>
  <c r="AW572" i="20"/>
  <c r="AW266" i="20"/>
  <c r="AW387" i="20"/>
  <c r="AW13" i="20"/>
  <c r="AW386" i="20"/>
  <c r="AW376" i="20"/>
  <c r="AW370" i="20"/>
  <c r="AW42" i="20"/>
  <c r="AW529" i="20"/>
  <c r="AW515" i="20"/>
  <c r="AW57" i="20"/>
  <c r="AW489" i="20"/>
  <c r="AW484" i="20"/>
  <c r="AW444" i="20"/>
  <c r="AW331" i="20"/>
  <c r="AW645" i="20"/>
  <c r="AW75" i="20"/>
  <c r="AW623" i="20"/>
  <c r="AW635" i="20"/>
  <c r="AW441" i="20"/>
  <c r="AW219" i="20"/>
  <c r="AW574" i="20"/>
  <c r="AW501" i="20"/>
  <c r="AW64" i="20"/>
  <c r="AW648" i="20"/>
  <c r="AW541" i="20"/>
  <c r="AW130" i="20"/>
  <c r="AW317" i="20"/>
  <c r="AW192" i="20"/>
  <c r="AW63" i="20"/>
  <c r="AW582" i="20"/>
  <c r="AW124" i="20"/>
  <c r="AW505" i="20"/>
  <c r="AW364" i="20"/>
  <c r="AW551" i="20"/>
  <c r="AW584" i="20"/>
  <c r="AW342" i="20"/>
  <c r="AW154" i="20"/>
  <c r="AW227" i="20"/>
  <c r="AW126" i="20"/>
  <c r="AW511" i="20"/>
  <c r="AW355" i="20"/>
  <c r="AW151" i="20"/>
  <c r="AW45" i="20"/>
  <c r="AW524" i="20"/>
  <c r="AW577" i="20"/>
  <c r="AW146" i="20"/>
  <c r="AW633" i="20"/>
  <c r="AW379" i="20"/>
  <c r="AW218" i="20"/>
  <c r="AW597" i="20"/>
  <c r="AW138" i="20"/>
  <c r="AW229" i="20"/>
  <c r="AW550" i="20"/>
  <c r="AW618" i="20"/>
  <c r="AW451" i="20"/>
  <c r="AW121" i="20"/>
  <c r="AW357" i="20"/>
  <c r="AW322" i="20"/>
  <c r="AW528" i="20"/>
  <c r="AW207" i="20"/>
  <c r="AW620" i="20"/>
  <c r="AW210" i="20"/>
  <c r="AW408" i="20"/>
  <c r="AW624" i="20"/>
  <c r="AW596" i="20"/>
  <c r="AW58" i="20"/>
  <c r="AW96" i="20"/>
  <c r="AW315" i="20"/>
  <c r="AW183" i="20"/>
  <c r="AW449" i="20"/>
  <c r="AW561" i="20"/>
  <c r="AW302" i="20"/>
  <c r="AW389" i="20"/>
  <c r="AW536" i="20"/>
  <c r="AW99" i="20"/>
  <c r="AW363" i="20"/>
  <c r="AW391" i="20"/>
  <c r="AW157" i="20"/>
  <c r="AW22" i="20"/>
  <c r="AW48" i="20"/>
  <c r="AW240" i="20"/>
  <c r="AW350" i="20"/>
  <c r="AW518" i="20"/>
  <c r="AW145" i="20"/>
  <c r="AW11" i="20"/>
  <c r="AW196" i="20"/>
  <c r="AW470" i="20"/>
  <c r="AW634" i="20"/>
  <c r="AW300" i="20"/>
  <c r="AW20" i="20"/>
  <c r="AW453" i="20"/>
  <c r="AW288" i="20"/>
  <c r="AW566" i="20"/>
  <c r="AW212" i="20"/>
  <c r="AW272" i="20"/>
  <c r="BN10" i="23"/>
  <c r="BP7" i="23"/>
  <c r="BN12" i="23"/>
  <c r="BN11" i="23"/>
  <c r="AW530" i="20" l="1"/>
  <c r="AW325" i="20"/>
  <c r="AW26" i="20"/>
  <c r="AW646" i="20"/>
  <c r="AW150" i="20"/>
  <c r="AW622" i="20"/>
  <c r="AW78" i="20"/>
  <c r="AW312" i="20"/>
  <c r="AW169" i="20"/>
  <c r="AW448" i="20"/>
  <c r="AW47" i="20"/>
  <c r="AW450" i="20"/>
  <c r="AW339" i="20"/>
  <c r="AW578" i="20"/>
  <c r="AW237" i="20"/>
  <c r="AW594" i="20"/>
  <c r="AW93" i="20"/>
  <c r="AW44" i="20"/>
  <c r="AW419" i="20"/>
  <c r="AW544" i="20"/>
  <c r="AW332" i="20"/>
  <c r="AW427" i="20"/>
  <c r="AW368" i="20"/>
  <c r="AW549" i="20"/>
  <c r="AW160" i="20"/>
  <c r="AW280" i="20"/>
  <c r="AW373" i="20"/>
  <c r="AW328" i="20"/>
  <c r="AW534" i="20"/>
  <c r="AW533" i="20"/>
  <c r="AW319" i="20"/>
  <c r="AW120" i="20"/>
  <c r="AW180" i="20"/>
  <c r="AW133" i="20"/>
  <c r="AW327" i="20"/>
  <c r="AW644" i="20"/>
  <c r="AW406" i="20"/>
  <c r="AW397" i="20"/>
  <c r="AW605" i="20"/>
  <c r="AW299" i="20"/>
  <c r="AW225" i="20"/>
  <c r="AW521" i="20"/>
  <c r="AW314" i="20"/>
  <c r="AW601" i="20"/>
  <c r="AW359" i="20"/>
  <c r="AW187" i="20"/>
  <c r="AW390" i="20"/>
  <c r="AW125" i="20"/>
  <c r="AW433" i="20"/>
  <c r="AW238" i="20"/>
  <c r="AW273" i="20"/>
  <c r="AW464" i="20"/>
  <c r="AW613" i="20"/>
  <c r="AW163" i="20"/>
  <c r="AW410" i="20"/>
  <c r="AW606" i="20"/>
  <c r="AW452" i="20"/>
  <c r="AW494" i="20"/>
  <c r="AW555" i="20"/>
  <c r="AW276" i="20"/>
  <c r="AW165" i="20"/>
  <c r="AW462" i="20"/>
  <c r="AW531" i="20"/>
  <c r="AW395" i="20"/>
  <c r="AW128" i="20"/>
  <c r="AW374" i="20"/>
  <c r="AW230" i="20"/>
  <c r="AW136" i="20"/>
  <c r="AW197" i="20"/>
  <c r="AW362" i="20"/>
  <c r="AW507" i="20"/>
  <c r="AW539" i="20"/>
  <c r="AW129" i="20"/>
  <c r="AW385" i="20"/>
  <c r="AW471" i="20"/>
  <c r="AW252" i="20"/>
  <c r="AW371" i="20"/>
  <c r="AW513" i="20"/>
  <c r="AW217" i="20"/>
  <c r="AW609" i="20"/>
  <c r="AW269" i="20"/>
  <c r="AW303" i="20"/>
  <c r="AW34" i="20"/>
  <c r="AW103" i="20"/>
  <c r="AW651" i="20"/>
  <c r="AW250" i="20"/>
  <c r="AW85" i="20"/>
  <c r="AW234" i="20"/>
  <c r="AW638" i="20"/>
  <c r="AW156" i="20"/>
  <c r="AW283" i="20"/>
  <c r="AW469" i="20"/>
  <c r="AW162" i="20"/>
  <c r="AW264" i="20"/>
  <c r="AW208" i="20"/>
  <c r="AW158" i="20"/>
  <c r="AW626" i="20"/>
  <c r="AW446" i="20"/>
  <c r="AW202" i="20"/>
  <c r="AW436" i="20"/>
  <c r="AW571" i="20"/>
  <c r="AW141" i="20"/>
  <c r="AW351" i="20"/>
  <c r="AW241" i="20"/>
  <c r="AW463" i="20"/>
  <c r="AW480" i="20"/>
  <c r="AW253" i="20"/>
  <c r="AW83" i="20"/>
  <c r="AW547" i="20"/>
  <c r="AW329" i="20"/>
  <c r="AW537" i="20"/>
  <c r="AW295" i="20"/>
  <c r="AW498" i="20"/>
  <c r="AW367" i="20"/>
  <c r="AW557" i="20"/>
  <c r="AW440" i="20"/>
  <c r="AW340" i="20"/>
  <c r="AW221" i="20"/>
  <c r="AW554" i="20"/>
  <c r="AW629" i="20"/>
  <c r="AW115" i="20"/>
  <c r="AW49" i="20"/>
  <c r="AW27" i="20"/>
  <c r="AW275" i="20"/>
  <c r="AW509" i="20"/>
  <c r="AW52" i="20"/>
  <c r="AW320" i="20"/>
  <c r="AW185" i="20"/>
  <c r="AW68" i="20"/>
  <c r="AW514" i="20"/>
  <c r="AW499" i="20"/>
  <c r="AW199" i="20"/>
  <c r="AW194" i="20"/>
  <c r="AW466" i="20"/>
  <c r="AW418" i="20"/>
  <c r="AW318" i="20"/>
  <c r="AW39" i="20"/>
  <c r="AW14" i="20"/>
  <c r="AW570" i="20"/>
  <c r="AW573" i="20"/>
  <c r="AW142" i="20"/>
  <c r="AW324" i="20"/>
  <c r="AW106" i="20"/>
  <c r="AW423" i="20"/>
  <c r="AW101" i="20"/>
  <c r="AW553" i="20"/>
  <c r="AW155" i="20"/>
  <c r="AW516" i="20"/>
  <c r="AW375" i="20"/>
  <c r="AW479" i="20"/>
  <c r="AW55" i="20"/>
  <c r="AW9" i="20"/>
  <c r="AW3" i="20" s="1"/>
  <c r="AW291" i="20"/>
  <c r="AW580" i="20"/>
  <c r="AW65" i="20"/>
  <c r="AW492" i="20"/>
  <c r="AW352" i="20"/>
  <c r="AW401" i="20"/>
  <c r="AW307" i="20"/>
  <c r="AW432" i="20"/>
  <c r="AW488" i="20"/>
  <c r="AW289" i="20"/>
  <c r="AW366" i="20"/>
  <c r="AW171" i="20"/>
  <c r="AW242" i="20"/>
  <c r="AW337" i="20"/>
  <c r="AW182" i="20"/>
  <c r="AW94" i="20"/>
  <c r="AW546" i="20"/>
  <c r="AW72" i="20"/>
  <c r="AW540" i="20"/>
  <c r="AW407" i="20"/>
  <c r="AW54" i="20"/>
  <c r="AW89" i="20"/>
  <c r="AW398" i="20"/>
  <c r="AW51" i="20"/>
  <c r="AW176" i="20"/>
  <c r="AW562" i="20"/>
  <c r="AW619" i="20"/>
  <c r="AW413" i="20"/>
  <c r="AW298" i="20"/>
  <c r="AW235" i="20"/>
  <c r="AW294" i="20"/>
  <c r="AW459" i="20"/>
  <c r="AW287" i="20"/>
  <c r="AW632" i="20"/>
  <c r="AW603" i="20"/>
  <c r="AW257" i="20"/>
  <c r="AW76" i="20"/>
  <c r="AW186" i="20"/>
  <c r="AW506" i="20"/>
  <c r="AW599" i="20"/>
  <c r="AW304" i="20"/>
  <c r="AW526" i="20"/>
  <c r="AW525" i="20"/>
  <c r="AW382" i="20"/>
  <c r="AW519" i="20"/>
  <c r="AW168" i="20"/>
  <c r="AW349" i="20"/>
  <c r="AW114" i="20"/>
  <c r="AW29" i="20"/>
  <c r="AW512" i="20"/>
  <c r="AW437" i="20"/>
  <c r="AW87" i="20"/>
  <c r="AW206" i="20"/>
  <c r="AW215" i="20"/>
  <c r="AW144" i="20"/>
  <c r="AW178" i="20"/>
  <c r="AW568" i="20"/>
  <c r="AW567" i="20"/>
  <c r="AW112" i="20"/>
  <c r="AW204" i="20"/>
  <c r="AW412" i="20"/>
  <c r="AW80" i="20"/>
  <c r="AW628" i="20"/>
  <c r="AW641" i="20"/>
  <c r="AW481" i="20"/>
  <c r="AW428" i="20"/>
  <c r="AW477" i="20"/>
  <c r="AW558" i="20"/>
  <c r="AW405" i="20"/>
  <c r="AW15" i="20"/>
  <c r="AW545" i="20"/>
  <c r="AW74" i="20"/>
  <c r="AW520" i="20"/>
  <c r="AW40" i="20"/>
  <c r="AW336" i="20"/>
  <c r="AW105" i="20"/>
  <c r="AW167" i="20"/>
  <c r="AW188" i="20"/>
  <c r="AW306" i="20"/>
  <c r="AW131" i="20"/>
  <c r="AW378" i="20"/>
  <c r="AW127" i="20"/>
  <c r="AW380" i="20"/>
  <c r="AW10" i="20"/>
  <c r="AW293" i="20"/>
  <c r="AW647" i="20"/>
  <c r="AW409" i="20"/>
  <c r="AW424" i="20"/>
  <c r="AW358" i="20"/>
  <c r="AW270" i="20"/>
  <c r="AW485" i="20"/>
  <c r="AW73" i="20"/>
  <c r="AW483" i="20"/>
  <c r="AW542" i="20"/>
  <c r="AW147" i="20"/>
  <c r="AW341" i="20"/>
  <c r="AW643" i="20"/>
  <c r="AW564" i="20"/>
  <c r="AW277" i="20"/>
  <c r="AW249" i="20"/>
  <c r="AW70" i="20"/>
  <c r="AW86" i="20"/>
  <c r="AW71" i="20"/>
  <c r="AW383" i="20"/>
  <c r="AW552" i="20"/>
  <c r="AW104" i="20"/>
  <c r="AW88" i="20"/>
  <c r="AW140" i="20"/>
  <c r="AW532" i="20"/>
  <c r="AW591" i="20"/>
  <c r="AW417" i="20"/>
  <c r="AW404" i="20"/>
  <c r="AW508" i="20"/>
  <c r="AW400" i="20"/>
  <c r="AW32" i="20"/>
  <c r="AW41" i="20"/>
  <c r="AW377" i="20"/>
  <c r="AW652" i="20"/>
  <c r="AW510" i="20"/>
  <c r="AW361" i="20"/>
  <c r="AW143" i="20"/>
  <c r="AW500" i="20"/>
  <c r="AW211" i="20"/>
  <c r="AW181" i="20"/>
  <c r="AW191" i="20"/>
  <c r="AW396" i="20"/>
  <c r="AW239" i="20"/>
  <c r="AW482" i="20"/>
  <c r="AW69" i="20"/>
  <c r="AW600" i="20"/>
  <c r="AW415" i="20"/>
  <c r="AW251" i="20"/>
  <c r="AW559" i="20"/>
  <c r="AW443" i="20"/>
  <c r="AW61" i="20"/>
  <c r="AW372" i="20"/>
  <c r="AW123" i="20"/>
  <c r="AW583" i="20"/>
  <c r="AW233" i="20"/>
  <c r="AW425" i="20"/>
  <c r="AW228" i="20"/>
  <c r="AW523" i="20"/>
  <c r="AW548" i="20"/>
  <c r="AW458" i="20"/>
  <c r="AW569" i="20"/>
  <c r="AW265" i="20"/>
  <c r="AW111" i="20"/>
  <c r="AW36" i="20"/>
  <c r="AW216" i="20"/>
  <c r="AW110" i="20"/>
  <c r="AW279" i="20"/>
  <c r="AW117" i="20"/>
  <c r="AW595" i="20"/>
  <c r="AW630" i="20"/>
  <c r="AW62" i="20"/>
  <c r="AW612" i="20"/>
  <c r="AW116" i="20"/>
  <c r="AW281" i="20"/>
  <c r="AW271" i="20"/>
  <c r="AW434" i="20"/>
  <c r="AW478" i="20"/>
  <c r="AW335" i="20"/>
  <c r="AW100" i="20"/>
  <c r="AW579" i="20"/>
  <c r="AW631" i="20"/>
  <c r="AW614" i="20"/>
  <c r="AW109" i="20"/>
  <c r="AW198" i="20"/>
  <c r="AW457" i="20"/>
  <c r="AW282" i="20"/>
  <c r="AW576" i="20"/>
  <c r="AW46" i="20"/>
  <c r="AW30" i="20"/>
  <c r="AW177" i="20"/>
  <c r="AW616" i="20"/>
  <c r="AW200" i="20"/>
  <c r="AW149" i="20"/>
  <c r="AW565" i="20"/>
  <c r="AW468" i="20"/>
  <c r="AW159" i="20"/>
  <c r="AW50" i="20"/>
  <c r="AW310" i="20"/>
  <c r="AW467" i="20"/>
  <c r="AW447" i="20"/>
  <c r="AW642" i="20"/>
  <c r="AW226" i="20"/>
  <c r="AW139" i="20"/>
  <c r="AW148" i="20"/>
  <c r="AW394" i="20"/>
  <c r="AW502" i="20"/>
  <c r="AW333" i="20"/>
  <c r="AW348" i="20"/>
  <c r="AW134" i="20"/>
  <c r="AW247" i="20"/>
  <c r="AW173" i="20"/>
  <c r="AW164" i="20"/>
  <c r="AW231" i="20"/>
  <c r="AW92" i="20"/>
  <c r="AW625" i="20"/>
  <c r="AW195" i="20"/>
  <c r="AW24" i="20"/>
  <c r="AW321" i="20"/>
  <c r="AW285" i="20"/>
  <c r="AW602" i="20"/>
  <c r="AW213" i="20"/>
  <c r="AW119" i="20"/>
  <c r="AW356" i="20"/>
  <c r="AW107" i="20"/>
  <c r="AW587" i="20"/>
  <c r="AW388" i="20"/>
  <c r="AW345" i="20"/>
  <c r="AW205" i="20"/>
  <c r="AW522" i="20"/>
  <c r="AW354" i="20"/>
  <c r="AW430" i="20"/>
  <c r="AW517" i="20"/>
  <c r="AW31" i="20"/>
  <c r="AW118" i="20"/>
  <c r="AW360" i="20"/>
  <c r="AW246" i="20"/>
  <c r="AW588" i="20"/>
  <c r="AW220" i="20"/>
  <c r="AW431" i="20"/>
  <c r="AW439" i="20"/>
  <c r="AW28" i="20"/>
  <c r="AW495" i="20"/>
  <c r="AW585" i="20"/>
  <c r="AW311" i="20"/>
  <c r="AW563" i="20"/>
  <c r="AW610" i="20"/>
  <c r="AW53" i="20"/>
  <c r="AW421" i="20"/>
  <c r="AW56" i="20"/>
  <c r="AW256" i="20"/>
  <c r="AW309" i="20"/>
  <c r="AW153" i="20"/>
  <c r="AW292" i="20"/>
  <c r="AW35" i="20"/>
  <c r="AW490" i="20"/>
  <c r="AW261" i="20"/>
  <c r="AW301" i="20"/>
  <c r="AW286" i="20"/>
  <c r="AW399" i="20"/>
  <c r="AW267" i="20"/>
  <c r="AW37" i="20"/>
  <c r="AW496" i="20"/>
  <c r="AW598" i="20"/>
  <c r="AW19" i="20"/>
  <c r="AW538" i="20"/>
  <c r="AW135" i="20"/>
  <c r="AW381" i="20"/>
  <c r="AW274" i="20"/>
  <c r="AW393" i="20"/>
  <c r="AW258" i="20"/>
  <c r="AW81" i="20"/>
  <c r="AW338" i="20"/>
  <c r="AW465" i="20"/>
  <c r="AW77" i="20"/>
  <c r="AW414" i="20"/>
  <c r="AW497" i="20"/>
  <c r="AW535" i="20"/>
  <c r="AW636" i="20"/>
  <c r="AW420" i="20"/>
  <c r="AW344" i="20"/>
  <c r="AW172" i="20"/>
  <c r="AW461" i="20"/>
  <c r="AW316" i="20"/>
  <c r="AW392" i="20"/>
  <c r="AW201" i="20"/>
  <c r="AW384" i="20"/>
  <c r="AW442" i="20"/>
  <c r="AW650" i="20"/>
  <c r="AW296" i="20"/>
  <c r="AW66" i="20"/>
  <c r="AW560" i="20"/>
  <c r="AW347" i="20"/>
  <c r="AW21" i="20"/>
  <c r="AW334" i="20"/>
  <c r="AW137" i="20"/>
  <c r="AW232" i="20"/>
  <c r="AW435" i="20"/>
  <c r="AW586" i="20"/>
  <c r="AW193" i="20"/>
  <c r="AW475" i="20"/>
  <c r="AW611" i="20"/>
  <c r="AW84" i="20"/>
  <c r="AW575" i="20"/>
  <c r="AW60" i="20"/>
  <c r="AW248" i="20"/>
  <c r="AW503" i="20"/>
  <c r="AW486" i="20"/>
  <c r="AW504" i="20"/>
  <c r="AW132" i="20"/>
  <c r="AW43" i="20"/>
  <c r="AW617" i="20"/>
  <c r="AW639" i="20"/>
  <c r="AW108" i="20"/>
  <c r="AW214" i="20"/>
  <c r="AW278" i="20"/>
  <c r="AW615" i="20"/>
  <c r="AW472" i="20"/>
  <c r="AW454" i="20"/>
  <c r="AW59" i="20"/>
  <c r="AW608" i="20"/>
  <c r="AW82" i="20"/>
  <c r="AW637" i="20"/>
  <c r="AW346" i="20"/>
  <c r="AW455" i="20"/>
  <c r="AW122" i="20"/>
  <c r="AW179" i="20"/>
  <c r="AW473" i="20"/>
  <c r="AW556" i="20"/>
  <c r="AW79" i="20"/>
  <c r="AW592" i="20"/>
  <c r="AW460" i="20"/>
  <c r="AW91" i="20"/>
  <c r="AW487" i="20"/>
  <c r="AW243" i="20"/>
  <c r="AW184" i="20"/>
  <c r="AW175" i="20"/>
  <c r="AW170" i="20"/>
  <c r="AW223" i="20"/>
  <c r="AW18" i="20"/>
  <c r="AW25" i="20"/>
  <c r="AW236" i="20"/>
  <c r="AW262" i="20"/>
  <c r="AW102" i="20"/>
  <c r="AW369" i="20"/>
  <c r="AW38" i="20"/>
  <c r="AW245" i="20"/>
  <c r="AW255" i="20"/>
  <c r="AW353" i="20"/>
  <c r="AW260" i="20"/>
  <c r="AW604" i="20"/>
  <c r="AW17" i="20"/>
  <c r="AW313" i="20"/>
  <c r="AW161" i="20"/>
  <c r="AW8" i="20"/>
  <c r="AW284" i="20"/>
  <c r="AW244" i="20"/>
  <c r="AW268" i="20"/>
  <c r="AW429" i="20"/>
  <c r="AW365" i="20"/>
  <c r="AW621" i="20"/>
  <c r="AW174" i="20"/>
  <c r="AW297" i="20"/>
  <c r="AW16" i="20"/>
  <c r="AW152" i="20"/>
  <c r="AU3" i="20"/>
  <c r="BM66" i="35"/>
  <c r="BM64" i="35"/>
  <c r="BM288" i="35"/>
  <c r="AR17" i="39"/>
  <c r="O16" i="39"/>
  <c r="BM113" i="35"/>
  <c r="BM448" i="35"/>
  <c r="BM220" i="35"/>
  <c r="BM117" i="35"/>
  <c r="BM357" i="35"/>
  <c r="BM294" i="35"/>
  <c r="BM293" i="35"/>
  <c r="BM186" i="35"/>
  <c r="BM485" i="35"/>
  <c r="BM371" i="35"/>
  <c r="BM290" i="35"/>
  <c r="BM427" i="35"/>
  <c r="BM138" i="35"/>
  <c r="BM354" i="35"/>
  <c r="BM330" i="35"/>
  <c r="BM118" i="35"/>
  <c r="BM193" i="35"/>
  <c r="BM145" i="35"/>
  <c r="BM303" i="35"/>
  <c r="BM491" i="35"/>
  <c r="BM18" i="35"/>
  <c r="BM190" i="35"/>
  <c r="BM523" i="35"/>
  <c r="BM204" i="35"/>
  <c r="BM166" i="35"/>
  <c r="BM268" i="35"/>
  <c r="BM420" i="35"/>
  <c r="BM386" i="35"/>
  <c r="BM92" i="35"/>
  <c r="BM69" i="35"/>
  <c r="BM103" i="35"/>
  <c r="BM424" i="35"/>
  <c r="BM473" i="35"/>
  <c r="BM10" i="35"/>
  <c r="BM28" i="35"/>
  <c r="BM36" i="35"/>
  <c r="BM164" i="35"/>
  <c r="BM470" i="35"/>
  <c r="BM123" i="35"/>
  <c r="BM318" i="35"/>
  <c r="BM227" i="35"/>
  <c r="BM231" i="35"/>
  <c r="BM378" i="35"/>
  <c r="BM171" i="35"/>
  <c r="BM416" i="35"/>
  <c r="BM275" i="35"/>
  <c r="BM161" i="35"/>
  <c r="BM461" i="35"/>
  <c r="BM302" i="35"/>
  <c r="BM526" i="35"/>
  <c r="BM321" i="35"/>
  <c r="BM374" i="35"/>
  <c r="BM450" i="35"/>
  <c r="BM278" i="35"/>
  <c r="BM345" i="35"/>
  <c r="BM495" i="35"/>
  <c r="BM259" i="35"/>
  <c r="BM361" i="35"/>
  <c r="BM9" i="35"/>
  <c r="BM202" i="35"/>
  <c r="BM488" i="35"/>
  <c r="BM96" i="35"/>
  <c r="BM298" i="35"/>
  <c r="BM37" i="35"/>
  <c r="BM101" i="35"/>
  <c r="BM316" i="35"/>
  <c r="BM178" i="35"/>
  <c r="BM221" i="35"/>
  <c r="BM306" i="35"/>
  <c r="BM431" i="35"/>
  <c r="BM286" i="35"/>
  <c r="BM169" i="35"/>
  <c r="BM47" i="35"/>
  <c r="BM50" i="35"/>
  <c r="BM54" i="35"/>
  <c r="BM399" i="35"/>
  <c r="BM396" i="35"/>
  <c r="BM261" i="35"/>
  <c r="BM291" i="35"/>
  <c r="BM515" i="35"/>
  <c r="BM458" i="35"/>
  <c r="BM403" i="35"/>
  <c r="BM322" i="35"/>
  <c r="BM472" i="35"/>
  <c r="BM507" i="35"/>
  <c r="BM502" i="35"/>
  <c r="BM391" i="35"/>
  <c r="BM332" i="35"/>
  <c r="BM8" i="35"/>
  <c r="BM317" i="35"/>
  <c r="BM106" i="35"/>
  <c r="BM314" i="35"/>
  <c r="BM394" i="35"/>
  <c r="BM334" i="35"/>
  <c r="BM67" i="35"/>
  <c r="BM59" i="35"/>
  <c r="BM486" i="35"/>
  <c r="BM405" i="35"/>
  <c r="BM102" i="35"/>
  <c r="BM180" i="35"/>
  <c r="BM239" i="35"/>
  <c r="BM29" i="35"/>
  <c r="BM132" i="35"/>
  <c r="BM493" i="35"/>
  <c r="BM187" i="35"/>
  <c r="BM310" i="35"/>
  <c r="BM478" i="35"/>
  <c r="BM276" i="35"/>
  <c r="BM346" i="35"/>
  <c r="BM232" i="35"/>
  <c r="BM489" i="35"/>
  <c r="BM509" i="35"/>
  <c r="BM57" i="35"/>
  <c r="BM48" i="35"/>
  <c r="BM497" i="35"/>
  <c r="BM284" i="35"/>
  <c r="BM116" i="35"/>
  <c r="BM74" i="35"/>
  <c r="BM152" i="35"/>
  <c r="BM144" i="35"/>
  <c r="BM162" i="35"/>
  <c r="BM240" i="35"/>
  <c r="BM108" i="35"/>
  <c r="BM440" i="35"/>
  <c r="BM249" i="35"/>
  <c r="BM139" i="35"/>
  <c r="BM363" i="35"/>
  <c r="BM359" i="35"/>
  <c r="BM235" i="35"/>
  <c r="BM55" i="35"/>
  <c r="BM414" i="35"/>
  <c r="BM457" i="35"/>
  <c r="BM522" i="35"/>
  <c r="BM163" i="35"/>
  <c r="BM206" i="35"/>
  <c r="BM524" i="35"/>
  <c r="BM315" i="35"/>
  <c r="BM426" i="35"/>
  <c r="BM395" i="35"/>
  <c r="BM527" i="35"/>
  <c r="BM151" i="35"/>
  <c r="BM438" i="35"/>
  <c r="BM289" i="35"/>
  <c r="BM329" i="35"/>
  <c r="BM23" i="35"/>
  <c r="BM85" i="35"/>
  <c r="BM368" i="35"/>
  <c r="BM45" i="35"/>
  <c r="BM75" i="35"/>
  <c r="BM77" i="35"/>
  <c r="BM277" i="35"/>
  <c r="BM79" i="35"/>
  <c r="BM383" i="35"/>
  <c r="BM26" i="35"/>
  <c r="BM32" i="35"/>
  <c r="BM256" i="35"/>
  <c r="BM133" i="35"/>
  <c r="BM97" i="35"/>
  <c r="BM109" i="35"/>
  <c r="BM51" i="35"/>
  <c r="BM83" i="35"/>
  <c r="BM199" i="35"/>
  <c r="BM217" i="35"/>
  <c r="BM508" i="35"/>
  <c r="BM335" i="35"/>
  <c r="BM287" i="35"/>
  <c r="BM464" i="35"/>
  <c r="BM482" i="35"/>
  <c r="BM325" i="35"/>
  <c r="BM300" i="35"/>
  <c r="BM17" i="35"/>
  <c r="BM333" i="35"/>
  <c r="BM147" i="35"/>
  <c r="BM149" i="35"/>
  <c r="BM481" i="35"/>
  <c r="BM258" i="35"/>
  <c r="BM280" i="35"/>
  <c r="BM153" i="35"/>
  <c r="BM87" i="35"/>
  <c r="BM27" i="35"/>
  <c r="BM267" i="35"/>
  <c r="BM72" i="35"/>
  <c r="BM273" i="35"/>
  <c r="BM439" i="35"/>
  <c r="BM367" i="35"/>
  <c r="BM183" i="35"/>
  <c r="BM418" i="35"/>
  <c r="BM504" i="35"/>
  <c r="BM501" i="35"/>
  <c r="BM271" i="35"/>
  <c r="BM349" i="35"/>
  <c r="BM425" i="35"/>
  <c r="BM462" i="35"/>
  <c r="BM236" i="35"/>
  <c r="BM510" i="35"/>
  <c r="BM105" i="35"/>
  <c r="BM460" i="35"/>
  <c r="BM413" i="35"/>
  <c r="BM177" i="35"/>
  <c r="BM251" i="35"/>
  <c r="BM319" i="35"/>
  <c r="BM130" i="35"/>
  <c r="BM338" i="35"/>
  <c r="BM155" i="35"/>
  <c r="BM390" i="35"/>
  <c r="BM39" i="35"/>
  <c r="BM530" i="35"/>
  <c r="BM520" i="35"/>
  <c r="BM499" i="35"/>
  <c r="BM100" i="35"/>
  <c r="BM428" i="35"/>
  <c r="BM323" i="35"/>
  <c r="BM475" i="35"/>
  <c r="BM270" i="35"/>
  <c r="BM20" i="35"/>
  <c r="BM176" i="35"/>
  <c r="BM12" i="35"/>
  <c r="BM228" i="35"/>
  <c r="BM262" i="35"/>
  <c r="BM216" i="35"/>
  <c r="BM266" i="35"/>
  <c r="BM513" i="35"/>
  <c r="BM518" i="35"/>
  <c r="BM417" i="35"/>
  <c r="BM112" i="35"/>
  <c r="BM397" i="35"/>
  <c r="BM479" i="35"/>
  <c r="BM304" i="35"/>
  <c r="BM129" i="35"/>
  <c r="BM184" i="35"/>
  <c r="BM137" i="35"/>
  <c r="BM453" i="35"/>
  <c r="BM343" i="35"/>
  <c r="BM211" i="35"/>
  <c r="BM455" i="35"/>
  <c r="BM173" i="35"/>
  <c r="BM56" i="35"/>
  <c r="BM484" i="35"/>
  <c r="BM134" i="35"/>
  <c r="BM86" i="35"/>
  <c r="BM44" i="35"/>
  <c r="BM201" i="35"/>
  <c r="BM245" i="35"/>
  <c r="BM370" i="35"/>
  <c r="BM65" i="35"/>
  <c r="BM34" i="35"/>
  <c r="BM63" i="35"/>
  <c r="BM528" i="35"/>
  <c r="BM207" i="35"/>
  <c r="BM295" i="35"/>
  <c r="BM384" i="35"/>
  <c r="BM104" i="35"/>
  <c r="BM244" i="35"/>
  <c r="BM415" i="35"/>
  <c r="BM313" i="35"/>
  <c r="BM237" i="35"/>
  <c r="BM433" i="35"/>
  <c r="BM88" i="35"/>
  <c r="BM494" i="35"/>
  <c r="BM209" i="35"/>
  <c r="BM174" i="35"/>
  <c r="BM410" i="35"/>
  <c r="BM442" i="35"/>
  <c r="BM60" i="35"/>
  <c r="BM24" i="35"/>
  <c r="BM274" i="35"/>
  <c r="BM198" i="35"/>
  <c r="BM90" i="35"/>
  <c r="BM419" i="35"/>
  <c r="BM70" i="35"/>
  <c r="BM339" i="35"/>
  <c r="BM84" i="35"/>
  <c r="BM369" i="35"/>
  <c r="BM423" i="35"/>
  <c r="BM82" i="35"/>
  <c r="BM446" i="35"/>
  <c r="BM452" i="35"/>
  <c r="BM309" i="35"/>
  <c r="BM454" i="35"/>
  <c r="BM531" i="35"/>
  <c r="BM347" i="35"/>
  <c r="BM404" i="35"/>
  <c r="BM496" i="35"/>
  <c r="BM476" i="35"/>
  <c r="BM224" i="35"/>
  <c r="BM16" i="35"/>
  <c r="BM247" i="35"/>
  <c r="BM53" i="35"/>
  <c r="BM360" i="35"/>
  <c r="BM512" i="35"/>
  <c r="BM58" i="35"/>
  <c r="BM223" i="35"/>
  <c r="BM468" i="35"/>
  <c r="BM185" i="35"/>
  <c r="BM375" i="35"/>
  <c r="BM192" i="35"/>
  <c r="BM167" i="35"/>
  <c r="BM283" i="35"/>
  <c r="BM436" i="35"/>
  <c r="BM487" i="35"/>
  <c r="BM114" i="35"/>
  <c r="BM307" i="35"/>
  <c r="BM124" i="35"/>
  <c r="BM159" i="35"/>
  <c r="BM238" i="35"/>
  <c r="BM388" i="35"/>
  <c r="BM366" i="35"/>
  <c r="BM308" i="35"/>
  <c r="BM250" i="35"/>
  <c r="BM521" i="35"/>
  <c r="BM158" i="35"/>
  <c r="BM255" i="35"/>
  <c r="BM350" i="35"/>
  <c r="BM355" i="35"/>
  <c r="BO4" i="35"/>
  <c r="BO519" i="35" s="1"/>
  <c r="BM13" i="35"/>
  <c r="BM127" i="35"/>
  <c r="BM379" i="35"/>
  <c r="BM341" i="35"/>
  <c r="BM340" i="35"/>
  <c r="BM19" i="35"/>
  <c r="BM107" i="35"/>
  <c r="BM463" i="35"/>
  <c r="BM437" i="35"/>
  <c r="BM115" i="35"/>
  <c r="BM372" i="35"/>
  <c r="BM320" i="35"/>
  <c r="BM31" i="35"/>
  <c r="BM326" i="35"/>
  <c r="BM411" i="35"/>
  <c r="BM181" i="35"/>
  <c r="BM119" i="35"/>
  <c r="BM140" i="35"/>
  <c r="BM483" i="35"/>
  <c r="BM52" i="35"/>
  <c r="BM111" i="35"/>
  <c r="BM168" i="35"/>
  <c r="BM210" i="35"/>
  <c r="BM387" i="35"/>
  <c r="BM248" i="35"/>
  <c r="BM253" i="35"/>
  <c r="BM373" i="35"/>
  <c r="BM351" i="35"/>
  <c r="BM11" i="35"/>
  <c r="BM93" i="35"/>
  <c r="BM392" i="35"/>
  <c r="BM511" i="35"/>
  <c r="BK3" i="35"/>
  <c r="BM141" i="35"/>
  <c r="BM33" i="35"/>
  <c r="BM260" i="35"/>
  <c r="BM179" i="35"/>
  <c r="BM292" i="35"/>
  <c r="BM42" i="35"/>
  <c r="BM218" i="35"/>
  <c r="BM382" i="35"/>
  <c r="BM429" i="35"/>
  <c r="BM393" i="35"/>
  <c r="BM444" i="35"/>
  <c r="BM225" i="35"/>
  <c r="BM120" i="35"/>
  <c r="BM68" i="35"/>
  <c r="BM41" i="35"/>
  <c r="BM409" i="35"/>
  <c r="BM143" i="35"/>
  <c r="BM94" i="35"/>
  <c r="BM43" i="35"/>
  <c r="BM131" i="35"/>
  <c r="BM233" i="35"/>
  <c r="BM122" i="35"/>
  <c r="BM469" i="35"/>
  <c r="BM471" i="35"/>
  <c r="BM422" i="35"/>
  <c r="BM402" i="35"/>
  <c r="BM191" i="35"/>
  <c r="BM146" i="35"/>
  <c r="BM49" i="35"/>
  <c r="BM229" i="35"/>
  <c r="BM222" i="35"/>
  <c r="BM435" i="35"/>
  <c r="BM234" i="35"/>
  <c r="BM189" i="35"/>
  <c r="BM412" i="35"/>
  <c r="BM226" i="35"/>
  <c r="BM71" i="35"/>
  <c r="BM125" i="35"/>
  <c r="BM89" i="35"/>
  <c r="BM465" i="35"/>
  <c r="BM337" i="35"/>
  <c r="BM389" i="35"/>
  <c r="BM400" i="35"/>
  <c r="BM194" i="35"/>
  <c r="BM269" i="35"/>
  <c r="BM447" i="35"/>
  <c r="BM381" i="35"/>
  <c r="BM254" i="35"/>
  <c r="BM78" i="35"/>
  <c r="BM324" i="35"/>
  <c r="BM230" i="35"/>
  <c r="BM358" i="35"/>
  <c r="BM500" i="35"/>
  <c r="BM282" i="35"/>
  <c r="BM441" i="35"/>
  <c r="BM200" i="35"/>
  <c r="BM356" i="35"/>
  <c r="BM451" i="35"/>
  <c r="BM212" i="35"/>
  <c r="BM380" i="35"/>
  <c r="BM154" i="35"/>
  <c r="BM385" i="35"/>
  <c r="BM205" i="35"/>
  <c r="BM342" i="35"/>
  <c r="BM196" i="35"/>
  <c r="BM195" i="35"/>
  <c r="BM142" i="35"/>
  <c r="BM243" i="35"/>
  <c r="BM128" i="35"/>
  <c r="BM203" i="35"/>
  <c r="BM15" i="35"/>
  <c r="BM7" i="35"/>
  <c r="BM98" i="35"/>
  <c r="BM246" i="35"/>
  <c r="BM503" i="35"/>
  <c r="BM215" i="35"/>
  <c r="BM38" i="35"/>
  <c r="BM165" i="35"/>
  <c r="BM22" i="35"/>
  <c r="BM30" i="35"/>
  <c r="BM197" i="35"/>
  <c r="BM449" i="35"/>
  <c r="BM172" i="35"/>
  <c r="BM430" i="35"/>
  <c r="BM14" i="35"/>
  <c r="BM517" i="35"/>
  <c r="BM208" i="35"/>
  <c r="BM219" i="35"/>
  <c r="BM376" i="35"/>
  <c r="BM121" i="35"/>
  <c r="BM80" i="35"/>
  <c r="BM492" i="35"/>
  <c r="BM62" i="35"/>
  <c r="BM297" i="35"/>
  <c r="BM516" i="35"/>
  <c r="BM148" i="35"/>
  <c r="BM281" i="35"/>
  <c r="BM407" i="35"/>
  <c r="BM529" i="35"/>
  <c r="BM272" i="35"/>
  <c r="BM519" i="35"/>
  <c r="BM81" i="35"/>
  <c r="BM182" i="35"/>
  <c r="BM242" i="35"/>
  <c r="BM257" i="35"/>
  <c r="BM364" i="35"/>
  <c r="BM406" i="35"/>
  <c r="BM21" i="35"/>
  <c r="BM398" i="35"/>
  <c r="BM305" i="35"/>
  <c r="BM352" i="35"/>
  <c r="BM474" i="35"/>
  <c r="BM188" i="35"/>
  <c r="BM365" i="35"/>
  <c r="BM490" i="35"/>
  <c r="BM213" i="35"/>
  <c r="BM25" i="35"/>
  <c r="BM299" i="35"/>
  <c r="BM170" i="35"/>
  <c r="BM76" i="35"/>
  <c r="BM46" i="35"/>
  <c r="BM421" i="35"/>
  <c r="BM175" i="35"/>
  <c r="BM344" i="35"/>
  <c r="BM445" i="35"/>
  <c r="BM252" i="35"/>
  <c r="BM467" i="35"/>
  <c r="BM498" i="35"/>
  <c r="BM377" i="35"/>
  <c r="BM336" i="35"/>
  <c r="BM40" i="35"/>
  <c r="BM408" i="35"/>
  <c r="BM265" i="35"/>
  <c r="BM61" i="35"/>
  <c r="BM160" i="35"/>
  <c r="BM477" i="35"/>
  <c r="BM91" i="35"/>
  <c r="BM466" i="35"/>
  <c r="BM301" i="35"/>
  <c r="BM525" i="35"/>
  <c r="BM311" i="35"/>
  <c r="BM157" i="35"/>
  <c r="BM296" i="35"/>
  <c r="BM432" i="35"/>
  <c r="BM285" i="35"/>
  <c r="BM505" i="35"/>
  <c r="BM110" i="35"/>
  <c r="BM434" i="35"/>
  <c r="BM312" i="35"/>
  <c r="BM506" i="35"/>
  <c r="BM401" i="35"/>
  <c r="BM514" i="35"/>
  <c r="BM156" i="35"/>
  <c r="BM214" i="35"/>
  <c r="BM328" i="35"/>
  <c r="BM480" i="35"/>
  <c r="BM331" i="35"/>
  <c r="BM353" i="35"/>
  <c r="BM263" i="35"/>
  <c r="BM459" i="35"/>
  <c r="BM327" i="35"/>
  <c r="BM126" i="35"/>
  <c r="BM150" i="35"/>
  <c r="BM264" i="35"/>
  <c r="BM136" i="35"/>
  <c r="BM456" i="35"/>
  <c r="BM95" i="35"/>
  <c r="BM135" i="35"/>
  <c r="BM241" i="35"/>
  <c r="BM348" i="35"/>
  <c r="BM443" i="35"/>
  <c r="BM35" i="35"/>
  <c r="BM279" i="35"/>
  <c r="BM362" i="35"/>
  <c r="BM99" i="35"/>
  <c r="O17" i="40"/>
  <c r="AR18" i="40"/>
  <c r="BG3" i="20"/>
  <c r="AX10" i="23"/>
  <c r="AX11" i="23"/>
  <c r="AX12" i="23"/>
  <c r="BI137" i="20"/>
  <c r="BI597" i="20"/>
  <c r="BI620" i="20"/>
  <c r="BI332" i="20"/>
  <c r="BI142" i="20"/>
  <c r="BI426" i="20"/>
  <c r="BI390" i="20"/>
  <c r="BI34" i="20"/>
  <c r="BI383" i="20"/>
  <c r="BI368" i="20"/>
  <c r="BI405" i="20"/>
  <c r="BI229" i="20"/>
  <c r="BI382" i="20"/>
  <c r="BI526" i="20"/>
  <c r="BI122" i="20"/>
  <c r="BI650" i="20"/>
  <c r="BI292" i="20"/>
  <c r="BI630" i="20"/>
  <c r="BI87" i="20"/>
  <c r="BI45" i="20"/>
  <c r="BI282" i="20"/>
  <c r="BI541" i="20"/>
  <c r="BI465" i="20"/>
  <c r="BI562" i="20"/>
  <c r="BI515" i="20"/>
  <c r="BI609" i="20"/>
  <c r="BI325" i="20"/>
  <c r="BI623" i="20"/>
  <c r="BI494" i="20"/>
  <c r="BI496" i="20"/>
  <c r="BI358" i="20"/>
  <c r="BI533" i="20"/>
  <c r="BI123" i="20"/>
  <c r="BI49" i="20"/>
  <c r="BI455" i="20"/>
  <c r="BI132" i="20"/>
  <c r="BI644" i="20"/>
  <c r="BI269" i="20"/>
  <c r="BI486" i="20"/>
  <c r="BI460" i="20"/>
  <c r="BI96" i="20"/>
  <c r="BI434" i="20"/>
  <c r="BI22" i="20"/>
  <c r="BI476" i="20"/>
  <c r="BI555" i="20"/>
  <c r="BI606" i="20"/>
  <c r="BI170" i="20"/>
  <c r="BI88" i="20"/>
  <c r="BI635" i="20"/>
  <c r="BI440" i="20"/>
  <c r="BI54" i="20"/>
  <c r="BI538" i="20"/>
  <c r="BI385" i="20"/>
  <c r="BI556" i="20"/>
  <c r="BI18" i="20"/>
  <c r="BI284" i="20"/>
  <c r="BI73" i="20"/>
  <c r="BI558" i="20"/>
  <c r="BI603" i="20"/>
  <c r="BI161" i="20"/>
  <c r="BI102" i="20"/>
  <c r="BI330" i="20"/>
  <c r="BI116" i="20"/>
  <c r="BI637" i="20"/>
  <c r="BI174" i="20"/>
  <c r="BI117" i="20"/>
  <c r="BI313" i="20"/>
  <c r="BI169" i="20"/>
  <c r="BI30" i="20"/>
  <c r="BI276" i="20"/>
  <c r="BI183" i="20"/>
  <c r="BI634" i="20"/>
  <c r="BI350" i="20"/>
  <c r="BI572" i="20"/>
  <c r="BI67" i="20"/>
  <c r="BI474" i="20"/>
  <c r="BI439" i="20"/>
  <c r="BI59" i="20"/>
  <c r="BI509" i="20"/>
  <c r="BI200" i="20"/>
  <c r="BI403" i="20"/>
  <c r="BI212" i="20"/>
  <c r="BI69" i="20"/>
  <c r="BI625" i="20"/>
  <c r="BI415" i="20"/>
  <c r="BI51" i="20"/>
  <c r="BI399" i="20"/>
  <c r="BI540" i="20"/>
  <c r="BI495" i="20"/>
  <c r="BI298" i="20"/>
  <c r="BI210" i="20"/>
  <c r="BI416" i="20"/>
  <c r="BI234" i="20"/>
  <c r="BI516" i="20"/>
  <c r="BI245" i="20"/>
  <c r="BI66" i="20"/>
  <c r="BI176" i="20"/>
  <c r="BI457" i="20"/>
  <c r="BI188" i="20"/>
  <c r="BI324" i="20"/>
  <c r="BI33" i="20"/>
  <c r="BI435" i="20"/>
  <c r="BI295" i="20"/>
  <c r="BI130" i="20"/>
  <c r="BI247" i="20"/>
  <c r="BI280" i="20"/>
  <c r="BI178" i="20"/>
  <c r="BI373" i="20"/>
  <c r="BI296" i="20"/>
  <c r="BI108" i="20"/>
  <c r="BI477" i="20"/>
  <c r="BI483" i="20"/>
  <c r="BI594" i="20"/>
  <c r="BI316" i="20"/>
  <c r="BI310" i="20"/>
  <c r="BI389" i="20"/>
  <c r="BI642" i="20"/>
  <c r="BI638" i="20"/>
  <c r="BI459" i="20"/>
  <c r="BI478" i="20"/>
  <c r="BI629" i="20"/>
  <c r="BI89" i="20"/>
  <c r="BI252" i="20"/>
  <c r="BI622" i="20"/>
  <c r="BI378" i="20"/>
  <c r="BI344" i="20"/>
  <c r="BI365" i="20"/>
  <c r="BI71" i="20"/>
  <c r="BI489" i="20"/>
  <c r="BI449" i="20"/>
  <c r="BI15" i="20"/>
  <c r="BI497" i="20"/>
  <c r="BI493" i="20"/>
  <c r="BI517" i="20"/>
  <c r="BI648" i="20"/>
  <c r="BI326" i="20"/>
  <c r="BI492" i="20"/>
  <c r="BI339" i="20"/>
  <c r="BI400" i="20"/>
  <c r="BI393" i="20"/>
  <c r="BI155" i="20"/>
  <c r="BI346" i="20"/>
  <c r="BI639" i="20"/>
  <c r="BI343" i="20"/>
  <c r="BI613" i="20"/>
  <c r="BI589" i="20"/>
  <c r="BI456" i="20"/>
  <c r="BI596" i="20"/>
  <c r="BI64" i="20"/>
  <c r="BI43" i="20"/>
  <c r="BI573" i="20"/>
  <c r="BI569" i="20"/>
  <c r="BI461" i="20"/>
  <c r="BI124" i="20"/>
  <c r="BI140" i="20"/>
  <c r="BI505" i="20"/>
  <c r="BI595" i="20"/>
  <c r="BI44" i="20"/>
  <c r="BI136" i="20"/>
  <c r="BI448" i="20"/>
  <c r="BI38" i="20"/>
  <c r="BI97" i="20"/>
  <c r="BI52" i="20"/>
  <c r="BI345" i="20"/>
  <c r="BI643" i="20"/>
  <c r="BI414" i="20"/>
  <c r="BI531" i="20"/>
  <c r="BI349" i="20"/>
  <c r="BI571" i="20"/>
  <c r="BI118" i="20"/>
  <c r="BI141" i="20"/>
  <c r="BI268" i="20"/>
  <c r="BI147" i="20"/>
  <c r="BI318" i="20"/>
  <c r="BI218" i="20"/>
  <c r="BI504" i="20"/>
  <c r="BI323" i="20"/>
  <c r="BI153" i="20"/>
  <c r="BI549" i="20"/>
  <c r="BI253" i="20"/>
  <c r="BI37" i="20"/>
  <c r="BI608" i="20"/>
  <c r="BI179" i="20"/>
  <c r="BI198" i="20"/>
  <c r="BI583" i="20"/>
  <c r="BI164" i="20"/>
  <c r="BI581" i="20"/>
  <c r="BI196" i="20"/>
  <c r="BI536" i="20"/>
  <c r="BI628" i="20"/>
  <c r="BI529" i="20"/>
  <c r="BI359" i="20"/>
  <c r="BI337" i="20"/>
  <c r="BI180" i="20"/>
  <c r="BI585" i="20"/>
  <c r="BI501" i="20"/>
  <c r="BI128" i="20"/>
  <c r="BI35" i="20"/>
  <c r="BI227" i="20"/>
  <c r="BI410" i="20"/>
  <c r="BI154" i="20"/>
  <c r="BI8" i="20"/>
  <c r="BI55" i="20"/>
  <c r="BI551" i="20"/>
  <c r="BK4" i="20"/>
  <c r="BI228" i="20"/>
  <c r="BI157" i="20"/>
  <c r="BI53" i="20"/>
  <c r="BI614" i="20"/>
  <c r="BI194" i="20"/>
  <c r="BI530" i="20"/>
  <c r="BI488" i="20"/>
  <c r="BI354" i="20"/>
  <c r="BI412" i="20"/>
  <c r="BI445" i="20"/>
  <c r="BI215" i="20"/>
  <c r="BI300" i="20"/>
  <c r="BI588" i="20"/>
  <c r="BI272" i="20"/>
  <c r="BI371" i="20"/>
  <c r="BI76" i="20"/>
  <c r="BI103" i="20"/>
  <c r="BI165" i="20"/>
  <c r="BI57" i="20"/>
  <c r="BI367" i="20"/>
  <c r="BI384" i="20"/>
  <c r="BI306" i="20"/>
  <c r="BI286" i="20"/>
  <c r="BI29" i="20"/>
  <c r="BI520" i="20"/>
  <c r="BI151" i="20"/>
  <c r="BI328" i="20"/>
  <c r="BI279" i="20"/>
  <c r="BI633" i="20"/>
  <c r="BI436" i="20"/>
  <c r="BI491" i="20"/>
  <c r="BI91" i="20"/>
  <c r="BI518" i="20"/>
  <c r="BI524" i="20"/>
  <c r="BI75" i="20"/>
  <c r="BI94" i="20"/>
  <c r="BI419" i="20"/>
  <c r="BI92" i="20"/>
  <c r="BI199" i="20"/>
  <c r="BI62" i="20"/>
  <c r="BI293" i="20"/>
  <c r="BI406" i="20"/>
  <c r="BI304" i="20"/>
  <c r="BI560" i="20"/>
  <c r="BI610" i="20"/>
  <c r="BI192" i="20"/>
  <c r="BI484" i="20"/>
  <c r="BI360" i="20"/>
  <c r="BI411" i="20"/>
  <c r="BI396" i="20"/>
  <c r="BI424" i="20"/>
  <c r="BI224" i="20"/>
  <c r="BI28" i="20"/>
  <c r="BI98" i="20"/>
  <c r="BI50" i="20"/>
  <c r="BI83" i="20"/>
  <c r="BI120" i="20"/>
  <c r="BI135" i="20"/>
  <c r="BI513" i="20"/>
  <c r="BI317" i="20"/>
  <c r="BI266" i="20"/>
  <c r="BI226" i="20"/>
  <c r="BI126" i="20"/>
  <c r="BI408" i="20"/>
  <c r="BI546" i="20"/>
  <c r="BI615" i="20"/>
  <c r="BI592" i="20"/>
  <c r="BI570" i="20"/>
  <c r="BI319" i="20"/>
  <c r="BI407" i="20"/>
  <c r="BI645" i="20"/>
  <c r="BI341" i="20"/>
  <c r="BI112" i="20"/>
  <c r="BI134" i="20"/>
  <c r="BI437" i="20"/>
  <c r="BI235" i="20"/>
  <c r="BI641" i="20"/>
  <c r="BI563" i="20"/>
  <c r="BI347" i="20"/>
  <c r="BI90" i="20"/>
  <c r="BI584" i="20"/>
  <c r="BI499" i="20"/>
  <c r="BI631" i="20"/>
  <c r="BI208" i="20"/>
  <c r="BI85" i="20"/>
  <c r="BI273" i="20"/>
  <c r="BI19" i="20"/>
  <c r="BI86" i="20"/>
  <c r="BI80" i="20"/>
  <c r="BI159" i="20"/>
  <c r="BI394" i="20"/>
  <c r="BI433" i="20"/>
  <c r="BI236" i="20"/>
  <c r="BI487" i="20"/>
  <c r="BI119" i="20"/>
  <c r="BI626" i="20"/>
  <c r="BI275" i="20"/>
  <c r="BI95" i="20"/>
  <c r="BI288" i="20"/>
  <c r="BI636" i="20"/>
  <c r="BI39" i="20"/>
  <c r="BI547" i="20"/>
  <c r="BI598" i="20"/>
  <c r="BI12" i="20"/>
  <c r="BI521" i="20"/>
  <c r="BI309" i="20"/>
  <c r="BI402" i="20"/>
  <c r="BI512" i="20"/>
  <c r="BI26" i="20"/>
  <c r="BI195" i="20"/>
  <c r="BI248" i="20"/>
  <c r="BI246" i="20"/>
  <c r="BI256" i="20"/>
  <c r="BI156" i="20"/>
  <c r="BI121" i="20"/>
  <c r="BI274" i="20"/>
  <c r="BI463" i="20"/>
  <c r="BI604" i="20"/>
  <c r="BI548" i="20"/>
  <c r="BI206" i="20"/>
  <c r="BI48" i="20"/>
  <c r="BI162" i="20"/>
  <c r="BI70" i="20"/>
  <c r="BI498" i="20"/>
  <c r="BI545" i="20"/>
  <c r="BI168" i="20"/>
  <c r="BI291" i="20"/>
  <c r="BI543" i="20"/>
  <c r="BI321" i="20"/>
  <c r="BI202" i="20"/>
  <c r="BI191" i="20"/>
  <c r="BI522" i="20"/>
  <c r="BI177" i="20"/>
  <c r="BI221" i="20"/>
  <c r="BI506" i="20"/>
  <c r="BI209" i="20"/>
  <c r="BI231" i="20"/>
  <c r="BI41" i="20"/>
  <c r="BI13" i="20"/>
  <c r="BI444" i="20"/>
  <c r="BI127" i="20"/>
  <c r="BI201" i="20"/>
  <c r="BI214" i="20"/>
  <c r="BI357" i="20"/>
  <c r="BI409" i="20"/>
  <c r="BI65" i="20"/>
  <c r="BI534" i="20"/>
  <c r="BI17" i="20"/>
  <c r="BI397" i="20"/>
  <c r="BI107" i="20"/>
  <c r="BI537" i="20"/>
  <c r="BI173" i="20"/>
  <c r="BI105" i="20"/>
  <c r="BI401" i="20"/>
  <c r="BI10" i="20"/>
  <c r="BI289" i="20"/>
  <c r="BI593" i="20"/>
  <c r="BI379" i="20"/>
  <c r="BI244" i="20"/>
  <c r="BI158" i="20"/>
  <c r="BI467" i="20"/>
  <c r="BI421" i="20"/>
  <c r="BI186" i="20"/>
  <c r="BI262" i="20"/>
  <c r="BI277" i="20"/>
  <c r="BI77" i="20"/>
  <c r="BI11" i="20"/>
  <c r="BI222" i="20"/>
  <c r="BI471" i="20"/>
  <c r="BI260" i="20"/>
  <c r="BI114" i="20"/>
  <c r="BI205" i="20"/>
  <c r="BI185" i="20"/>
  <c r="BI311" i="20"/>
  <c r="BI564" i="20"/>
  <c r="BI576" i="20"/>
  <c r="BI307" i="20"/>
  <c r="BI586" i="20"/>
  <c r="BI519" i="20"/>
  <c r="BI106" i="20"/>
  <c r="BI619" i="20"/>
  <c r="BI567" i="20"/>
  <c r="BI320" i="20"/>
  <c r="BI270" i="20"/>
  <c r="BI599" i="20"/>
  <c r="BI395" i="20"/>
  <c r="BI249" i="20"/>
  <c r="BI333" i="20"/>
  <c r="BI25" i="20"/>
  <c r="BI243" i="20"/>
  <c r="BI646" i="20"/>
  <c r="BI219" i="20"/>
  <c r="BI431" i="20"/>
  <c r="BI568" i="20"/>
  <c r="BI565" i="20"/>
  <c r="BI624" i="20"/>
  <c r="BI386" i="20"/>
  <c r="BI651" i="20"/>
  <c r="BI181" i="20"/>
  <c r="BI271" i="20"/>
  <c r="BI450" i="20"/>
  <c r="BI490" i="20"/>
  <c r="BI376" i="20"/>
  <c r="BI447" i="20"/>
  <c r="BI305" i="20"/>
  <c r="BI259" i="20"/>
  <c r="BI233" i="20"/>
  <c r="BI239" i="20"/>
  <c r="BI207" i="20"/>
  <c r="BI422" i="20"/>
  <c r="BI9" i="20"/>
  <c r="BI507" i="20"/>
  <c r="BI40" i="20"/>
  <c r="BI172" i="20"/>
  <c r="BI356" i="20"/>
  <c r="BI20" i="20"/>
  <c r="BI430" i="20"/>
  <c r="BI294" i="20"/>
  <c r="BI46" i="20"/>
  <c r="BI148" i="20"/>
  <c r="BI255" i="20"/>
  <c r="BI427" i="20"/>
  <c r="BI413" i="20"/>
  <c r="BI241" i="20"/>
  <c r="BI230" i="20"/>
  <c r="BI331" i="20"/>
  <c r="BI283" i="20"/>
  <c r="BI237" i="20"/>
  <c r="BI607" i="20"/>
  <c r="BI649" i="20"/>
  <c r="BI441" i="20"/>
  <c r="BI145" i="20"/>
  <c r="BI42" i="20"/>
  <c r="BI362" i="20"/>
  <c r="BI511" i="20"/>
  <c r="BI84" i="20"/>
  <c r="BI171" i="20"/>
  <c r="BI23" i="20"/>
  <c r="BI621" i="20"/>
  <c r="BI418" i="20"/>
  <c r="BI366" i="20"/>
  <c r="BI160" i="20"/>
  <c r="BI553" i="20"/>
  <c r="BI442" i="20"/>
  <c r="BI482" i="20"/>
  <c r="BI335" i="20"/>
  <c r="BI468" i="20"/>
  <c r="BI240" i="20"/>
  <c r="BI184" i="20"/>
  <c r="BI257" i="20"/>
  <c r="BI647" i="20"/>
  <c r="BI417" i="20"/>
  <c r="BI322" i="20"/>
  <c r="BI353" i="20"/>
  <c r="BI578" i="20"/>
  <c r="BI542" i="20"/>
  <c r="BI539" i="20"/>
  <c r="BI503" i="20"/>
  <c r="BI113" i="20"/>
  <c r="BI175" i="20"/>
  <c r="BI352" i="20"/>
  <c r="BI640" i="20"/>
  <c r="BI308" i="20"/>
  <c r="BI315" i="20"/>
  <c r="BI16" i="20"/>
  <c r="BI104" i="20"/>
  <c r="BI36" i="20"/>
  <c r="BI348" i="20"/>
  <c r="BI528" i="20"/>
  <c r="BI290" i="20"/>
  <c r="BI370" i="20"/>
  <c r="BI446" i="20"/>
  <c r="BI190" i="20"/>
  <c r="BI453" i="20"/>
  <c r="BI485" i="20"/>
  <c r="BI601" i="20"/>
  <c r="BI267" i="20"/>
  <c r="BI363" i="20"/>
  <c r="BI63" i="20"/>
  <c r="BI182" i="20"/>
  <c r="BI611" i="20"/>
  <c r="BI508" i="20"/>
  <c r="BI600" i="20"/>
  <c r="BI438" i="20"/>
  <c r="BI254" i="20"/>
  <c r="BI47" i="20"/>
  <c r="BI189" i="20"/>
  <c r="BI24" i="20"/>
  <c r="BI7" i="20"/>
  <c r="BI336" i="20"/>
  <c r="BI443" i="20"/>
  <c r="BI302" i="20"/>
  <c r="BI314" i="20"/>
  <c r="BI149" i="20"/>
  <c r="BI150" i="20"/>
  <c r="BI297" i="20"/>
  <c r="BI404" i="20"/>
  <c r="BI109" i="20"/>
  <c r="BI605" i="20"/>
  <c r="BI550" i="20"/>
  <c r="BI587" i="20"/>
  <c r="BI561" i="20"/>
  <c r="BI167" i="20"/>
  <c r="BI74" i="20"/>
  <c r="BI225" i="20"/>
  <c r="BI617" i="20"/>
  <c r="BI554" i="20"/>
  <c r="BI470" i="20"/>
  <c r="BI72" i="20"/>
  <c r="BI131" i="20"/>
  <c r="BI580" i="20"/>
  <c r="BI203" i="20"/>
  <c r="BI232" i="20"/>
  <c r="BI502" i="20"/>
  <c r="BI78" i="20"/>
  <c r="BI429" i="20"/>
  <c r="BI364" i="20"/>
  <c r="BI287" i="20"/>
  <c r="BI381" i="20"/>
  <c r="BI31" i="20"/>
  <c r="BI217" i="20"/>
  <c r="BI251" i="20"/>
  <c r="BI458" i="20"/>
  <c r="BI129" i="20"/>
  <c r="BI27" i="20"/>
  <c r="BI428" i="20"/>
  <c r="BI220" i="20"/>
  <c r="BI68" i="20"/>
  <c r="BI616" i="20"/>
  <c r="BI152" i="20"/>
  <c r="BI250" i="20"/>
  <c r="BI278" i="20"/>
  <c r="BI532" i="20"/>
  <c r="BI387" i="20"/>
  <c r="BI60" i="20"/>
  <c r="BI591" i="20"/>
  <c r="BI338" i="20"/>
  <c r="BI100" i="20"/>
  <c r="BI374" i="20"/>
  <c r="BI602" i="20"/>
  <c r="BI334" i="20"/>
  <c r="BI265" i="20"/>
  <c r="BI375" i="20"/>
  <c r="BI559" i="20"/>
  <c r="BI462" i="20"/>
  <c r="BI420" i="20"/>
  <c r="BI258" i="20"/>
  <c r="BI144" i="20"/>
  <c r="BI211" i="20"/>
  <c r="BI388" i="20"/>
  <c r="BI143" i="20"/>
  <c r="BI464" i="20"/>
  <c r="BI327" i="20"/>
  <c r="BI480" i="20"/>
  <c r="BI285" i="20"/>
  <c r="BI514" i="20"/>
  <c r="BI469" i="20"/>
  <c r="BI193" i="20"/>
  <c r="BI197" i="20"/>
  <c r="BI238" i="20"/>
  <c r="BI582" i="20"/>
  <c r="BI213" i="20"/>
  <c r="BI81" i="20"/>
  <c r="BI451" i="20"/>
  <c r="BI590" i="20"/>
  <c r="BI263" i="20"/>
  <c r="BI377" i="20"/>
  <c r="BI500" i="20"/>
  <c r="BI361" i="20"/>
  <c r="BI261" i="20"/>
  <c r="BI510" i="20"/>
  <c r="BI473" i="20"/>
  <c r="BI557" i="20"/>
  <c r="BI425" i="20"/>
  <c r="BI138" i="20"/>
  <c r="BI58" i="20"/>
  <c r="BI340" i="20"/>
  <c r="BI355" i="20"/>
  <c r="BI281" i="20"/>
  <c r="BI312" i="20"/>
  <c r="BI579" i="20"/>
  <c r="BI535" i="20"/>
  <c r="BI242" i="20"/>
  <c r="BI61" i="20"/>
  <c r="BI110" i="20"/>
  <c r="BI82" i="20"/>
  <c r="BI612" i="20"/>
  <c r="BI329" i="20"/>
  <c r="BI525" i="20"/>
  <c r="BI398" i="20"/>
  <c r="BI32" i="20"/>
  <c r="BI133" i="20"/>
  <c r="BI299" i="20"/>
  <c r="BI93" i="20"/>
  <c r="BI466" i="20"/>
  <c r="BI481" i="20"/>
  <c r="BI472" i="20"/>
  <c r="BI187" i="20"/>
  <c r="BI652" i="20"/>
  <c r="BI392" i="20"/>
  <c r="BI479" i="20"/>
  <c r="BI380" i="20"/>
  <c r="BI577" i="20"/>
  <c r="BI454" i="20"/>
  <c r="BI369" i="20"/>
  <c r="BI475" i="20"/>
  <c r="BI452" i="20"/>
  <c r="BI632" i="20"/>
  <c r="BI566" i="20"/>
  <c r="BI544" i="20"/>
  <c r="BI163" i="20"/>
  <c r="BI342" i="20"/>
  <c r="BI216" i="20"/>
  <c r="BI79" i="20"/>
  <c r="BI111" i="20"/>
  <c r="BI552" i="20"/>
  <c r="BI523" i="20"/>
  <c r="BI627" i="20"/>
  <c r="BI391" i="20"/>
  <c r="BI101" i="20"/>
  <c r="BI14" i="20"/>
  <c r="BI303" i="20"/>
  <c r="BI204" i="20"/>
  <c r="BI264" i="20"/>
  <c r="BI351" i="20"/>
  <c r="BI575" i="20"/>
  <c r="BI139" i="20"/>
  <c r="BI146" i="20"/>
  <c r="BI618" i="20"/>
  <c r="BI223" i="20"/>
  <c r="BI99" i="20"/>
  <c r="BI125" i="20"/>
  <c r="BI574" i="20"/>
  <c r="BI372" i="20"/>
  <c r="BI423" i="20"/>
  <c r="BI115" i="20"/>
  <c r="BI166" i="20"/>
  <c r="BI21" i="20"/>
  <c r="BI527" i="20"/>
  <c r="BI432" i="20"/>
  <c r="BI301" i="20"/>
  <c r="BI56" i="20"/>
  <c r="Y12" i="23"/>
  <c r="T13" i="23"/>
  <c r="BP13" i="23" s="1"/>
  <c r="BA28" i="35"/>
  <c r="BA153" i="35"/>
  <c r="BA160" i="35"/>
  <c r="BA265" i="35"/>
  <c r="BA80" i="35"/>
  <c r="BA412" i="35"/>
  <c r="BA40" i="35"/>
  <c r="BA454" i="35"/>
  <c r="BA429" i="35"/>
  <c r="BA13" i="35"/>
  <c r="BA487" i="35"/>
  <c r="BA512" i="35"/>
  <c r="BA313" i="35"/>
  <c r="BA488" i="35"/>
  <c r="BA26" i="35"/>
  <c r="BA299" i="35"/>
  <c r="BA30" i="35"/>
  <c r="BA457" i="35"/>
  <c r="BA439" i="35"/>
  <c r="BA219" i="35"/>
  <c r="BA339" i="35"/>
  <c r="BA493" i="35"/>
  <c r="BA379" i="35"/>
  <c r="BA118" i="35"/>
  <c r="BA114" i="35"/>
  <c r="BA162" i="35"/>
  <c r="BA31" i="35"/>
  <c r="BA447" i="35"/>
  <c r="BA345" i="35"/>
  <c r="BA362" i="35"/>
  <c r="BA430" i="35"/>
  <c r="BA413" i="35"/>
  <c r="BA364" i="35"/>
  <c r="BA116" i="35"/>
  <c r="BA45" i="35"/>
  <c r="BA463" i="35"/>
  <c r="BA296" i="35"/>
  <c r="BA434" i="35"/>
  <c r="BA18" i="35"/>
  <c r="BA67" i="35"/>
  <c r="BA374" i="35"/>
  <c r="BA441" i="35"/>
  <c r="BA353" i="35"/>
  <c r="BA182" i="35"/>
  <c r="BA27" i="35"/>
  <c r="BA500" i="35"/>
  <c r="BA393" i="35"/>
  <c r="BA287" i="35"/>
  <c r="BA404" i="35"/>
  <c r="BA403" i="35"/>
  <c r="BA385" i="35"/>
  <c r="BA411" i="35"/>
  <c r="BA38" i="35"/>
  <c r="BA250" i="35"/>
  <c r="BA291" i="35"/>
  <c r="BA155" i="35"/>
  <c r="BA519" i="35"/>
  <c r="BA202" i="35"/>
  <c r="BA259" i="35"/>
  <c r="BA110" i="35"/>
  <c r="BA503" i="35"/>
  <c r="BA60" i="35"/>
  <c r="BA217" i="35"/>
  <c r="BA145" i="35"/>
  <c r="BA331" i="35"/>
  <c r="BA365" i="35"/>
  <c r="BA16" i="35"/>
  <c r="BA212" i="35"/>
  <c r="BA144" i="35"/>
  <c r="BA350" i="35"/>
  <c r="BA281" i="35"/>
  <c r="BA142" i="35"/>
  <c r="BA387" i="35"/>
  <c r="BA177" i="35"/>
  <c r="BA468" i="35"/>
  <c r="BA294" i="35"/>
  <c r="BA420" i="35"/>
  <c r="BA490" i="35"/>
  <c r="BA279" i="35"/>
  <c r="BA452" i="35"/>
  <c r="BA286" i="35"/>
  <c r="BA427" i="35"/>
  <c r="BA397" i="35"/>
  <c r="BA508" i="35"/>
  <c r="BA513" i="35"/>
  <c r="BA238" i="35"/>
  <c r="BA232" i="35"/>
  <c r="BA96" i="35"/>
  <c r="BA506" i="35"/>
  <c r="BA505" i="35"/>
  <c r="BA143" i="35"/>
  <c r="BA126" i="35"/>
  <c r="BA451" i="35"/>
  <c r="BA132" i="35"/>
  <c r="BA378" i="35"/>
  <c r="BA359" i="35"/>
  <c r="BA444" i="35"/>
  <c r="BA494" i="35"/>
  <c r="BA394" i="35"/>
  <c r="BA34" i="35"/>
  <c r="BA135" i="35"/>
  <c r="BA258" i="35"/>
  <c r="BA428" i="35"/>
  <c r="BA389" i="35"/>
  <c r="BA401" i="35"/>
  <c r="BA149" i="35"/>
  <c r="BA191" i="35"/>
  <c r="BA166" i="35"/>
  <c r="BA426" i="35"/>
  <c r="BA85" i="35"/>
  <c r="BA98" i="35"/>
  <c r="BA228" i="35"/>
  <c r="BA211" i="35"/>
  <c r="BA236" i="35"/>
  <c r="BA338" i="35"/>
  <c r="BA392" i="35"/>
  <c r="BA529" i="35"/>
  <c r="BA112" i="35"/>
  <c r="BA8" i="35"/>
  <c r="BA277" i="35"/>
  <c r="BA308" i="35"/>
  <c r="BA72" i="35"/>
  <c r="BA163" i="35"/>
  <c r="BA43" i="35"/>
  <c r="BA194" i="35"/>
  <c r="BA78" i="35"/>
  <c r="BA325" i="35"/>
  <c r="BA514" i="35"/>
  <c r="BA473" i="35"/>
  <c r="BA189" i="35"/>
  <c r="BA521" i="35"/>
  <c r="BA402" i="35"/>
  <c r="BA471" i="35"/>
  <c r="BA220" i="35"/>
  <c r="BA311" i="35"/>
  <c r="BA223" i="35"/>
  <c r="BA109" i="35"/>
  <c r="BA455" i="35"/>
  <c r="BA438" i="35"/>
  <c r="BA84" i="35"/>
  <c r="BA244" i="35"/>
  <c r="BA522" i="35"/>
  <c r="BA234" i="35"/>
  <c r="BA105" i="35"/>
  <c r="BA7" i="35"/>
  <c r="BA525" i="35"/>
  <c r="BA247" i="35"/>
  <c r="BA423" i="35"/>
  <c r="BA407" i="35"/>
  <c r="BA377" i="35"/>
  <c r="BA467" i="35"/>
  <c r="BA10" i="35"/>
  <c r="BA465" i="35"/>
  <c r="BA366" i="35"/>
  <c r="BA289" i="35"/>
  <c r="BA152" i="35"/>
  <c r="BA151" i="35"/>
  <c r="BA478" i="35"/>
  <c r="BA87" i="35"/>
  <c r="BA165" i="35"/>
  <c r="BA48" i="35"/>
  <c r="BA199" i="35"/>
  <c r="BA489" i="35"/>
  <c r="BA218" i="35"/>
  <c r="BA81" i="35"/>
  <c r="BA61" i="35"/>
  <c r="BA262" i="35"/>
  <c r="BA93" i="35"/>
  <c r="BA198" i="35"/>
  <c r="BA329" i="35"/>
  <c r="BA436" i="35"/>
  <c r="BA464" i="35"/>
  <c r="BA9" i="35"/>
  <c r="BA469" i="35"/>
  <c r="BA383" i="35"/>
  <c r="BA312" i="35"/>
  <c r="BA410" i="35"/>
  <c r="BA349" i="35"/>
  <c r="BA432" i="35"/>
  <c r="BA354" i="35"/>
  <c r="BA351" i="35"/>
  <c r="BA406" i="35"/>
  <c r="BA484" i="35"/>
  <c r="BA425" i="35"/>
  <c r="BA477" i="35"/>
  <c r="BA486" i="35"/>
  <c r="BA164" i="35"/>
  <c r="BA282" i="35"/>
  <c r="BA246" i="35"/>
  <c r="BA516" i="35"/>
  <c r="BA399" i="35"/>
  <c r="BA530" i="35"/>
  <c r="BA210" i="35"/>
  <c r="BA253" i="35"/>
  <c r="BA146" i="35"/>
  <c r="BA341" i="35"/>
  <c r="BA157" i="35"/>
  <c r="BA237" i="35"/>
  <c r="BA309" i="35"/>
  <c r="BA304" i="35"/>
  <c r="BA24" i="35"/>
  <c r="BA343" i="35"/>
  <c r="BA263" i="35"/>
  <c r="BA137" i="35"/>
  <c r="BA314" i="35"/>
  <c r="BA201" i="35"/>
  <c r="BA382" i="35"/>
  <c r="BA179" i="35"/>
  <c r="BA222" i="35"/>
  <c r="BA41" i="35"/>
  <c r="BA332" i="35"/>
  <c r="BA517" i="35"/>
  <c r="BA497" i="35"/>
  <c r="BA106" i="35"/>
  <c r="BA68" i="35"/>
  <c r="BA51" i="35"/>
  <c r="BA127" i="35"/>
  <c r="BA326" i="35"/>
  <c r="BA504" i="35"/>
  <c r="BA176" i="35"/>
  <c r="BA422" i="35"/>
  <c r="BA498" i="35"/>
  <c r="BA270" i="35"/>
  <c r="BA450" i="35"/>
  <c r="BA315" i="35"/>
  <c r="BA501" i="35"/>
  <c r="BA261" i="35"/>
  <c r="BA421" i="35"/>
  <c r="BA344" i="35"/>
  <c r="BA502" i="35"/>
  <c r="BA483" i="35"/>
  <c r="BA59" i="35"/>
  <c r="BA418" i="35"/>
  <c r="BA301" i="35"/>
  <c r="BA174" i="35"/>
  <c r="BA204" i="35"/>
  <c r="BA73" i="35"/>
  <c r="BA419" i="35"/>
  <c r="BA297" i="35"/>
  <c r="BA531" i="35"/>
  <c r="BA140" i="35"/>
  <c r="BA161" i="35"/>
  <c r="BA266" i="35"/>
  <c r="BA102" i="35"/>
  <c r="BA398" i="35"/>
  <c r="BA100" i="35"/>
  <c r="BA395" i="35"/>
  <c r="BA288" i="35"/>
  <c r="BA221" i="35"/>
  <c r="BA319" i="35"/>
  <c r="BA124" i="35"/>
  <c r="BA46" i="35"/>
  <c r="BA300" i="35"/>
  <c r="BA66" i="35"/>
  <c r="BA185" i="35"/>
  <c r="BA12" i="35"/>
  <c r="BA14" i="35"/>
  <c r="BA69" i="35"/>
  <c r="BA381" i="35"/>
  <c r="BA42" i="35"/>
  <c r="BA485" i="35"/>
  <c r="BA280" i="35"/>
  <c r="BA334" i="35"/>
  <c r="BA21" i="35"/>
  <c r="BA264" i="35"/>
  <c r="BA148" i="35"/>
  <c r="BA380" i="35"/>
  <c r="BA70" i="35"/>
  <c r="BA386" i="35"/>
  <c r="BA138" i="35"/>
  <c r="BA36" i="35"/>
  <c r="BA306" i="35"/>
  <c r="BA50" i="35"/>
  <c r="BA76" i="35"/>
  <c r="BA229" i="35"/>
  <c r="BA170" i="35"/>
  <c r="BA298" i="35"/>
  <c r="BA257" i="35"/>
  <c r="BA196" i="35"/>
  <c r="BA414" i="35"/>
  <c r="BA370" i="35"/>
  <c r="BA435" i="35"/>
  <c r="BA103" i="35"/>
  <c r="BA215" i="35"/>
  <c r="BA33" i="35"/>
  <c r="BA528" i="35"/>
  <c r="BA180" i="35"/>
  <c r="BA71" i="35"/>
  <c r="BA129" i="35"/>
  <c r="BA363" i="35"/>
  <c r="BA123" i="35"/>
  <c r="BA481" i="35"/>
  <c r="BA251" i="35"/>
  <c r="BA352" i="35"/>
  <c r="BA271" i="35"/>
  <c r="BA224" i="35"/>
  <c r="BA83" i="35"/>
  <c r="BA368" i="35"/>
  <c r="BA57" i="35"/>
  <c r="BA121" i="35"/>
  <c r="BA324" i="35"/>
  <c r="BA197" i="35"/>
  <c r="BA173" i="35"/>
  <c r="BA474" i="35"/>
  <c r="BA255" i="35"/>
  <c r="BA495" i="35"/>
  <c r="BA147" i="35"/>
  <c r="BA89" i="35"/>
  <c r="BA388" i="35"/>
  <c r="BA328" i="35"/>
  <c r="BA172" i="35"/>
  <c r="BA448" i="35"/>
  <c r="BA181" i="35"/>
  <c r="BA55" i="35"/>
  <c r="BA356" i="35"/>
  <c r="BA443" i="35"/>
  <c r="BA133" i="35"/>
  <c r="BA340" i="35"/>
  <c r="BA20" i="35"/>
  <c r="BA510" i="35"/>
  <c r="BA54" i="35"/>
  <c r="BA461" i="35"/>
  <c r="BA92" i="35"/>
  <c r="BA337" i="35"/>
  <c r="BA472" i="35"/>
  <c r="BA158" i="35"/>
  <c r="BA35" i="35"/>
  <c r="BA518" i="35"/>
  <c r="BA275" i="35"/>
  <c r="BA355" i="35"/>
  <c r="BA242" i="35"/>
  <c r="BA119" i="35"/>
  <c r="BA134" i="35"/>
  <c r="BA267" i="35"/>
  <c r="BA336" i="35"/>
  <c r="BA292" i="35"/>
  <c r="BA39" i="35"/>
  <c r="BA480" i="35"/>
  <c r="BA459" i="35"/>
  <c r="BA37" i="35"/>
  <c r="BA520" i="35"/>
  <c r="BA216" i="35"/>
  <c r="BA115" i="35"/>
  <c r="BA272" i="35"/>
  <c r="BA496" i="35"/>
  <c r="BA225" i="35"/>
  <c r="BA318" i="35"/>
  <c r="BA17" i="35"/>
  <c r="BA290" i="35"/>
  <c r="BA254" i="35"/>
  <c r="BA499" i="35"/>
  <c r="BA492" i="35"/>
  <c r="BA227" i="35"/>
  <c r="BA462" i="35"/>
  <c r="BA373" i="35"/>
  <c r="BA243" i="35"/>
  <c r="BA171" i="35"/>
  <c r="BA348" i="35"/>
  <c r="BA159" i="35"/>
  <c r="BA284" i="35"/>
  <c r="BA274" i="35"/>
  <c r="BA269" i="35"/>
  <c r="BA79" i="35"/>
  <c r="BA195" i="35"/>
  <c r="BA95" i="35"/>
  <c r="BA64" i="35"/>
  <c r="BA168" i="35"/>
  <c r="BA167" i="35"/>
  <c r="BA515" i="35"/>
  <c r="BA316" i="35"/>
  <c r="BA433" i="35"/>
  <c r="BA245" i="35"/>
  <c r="BA440" i="35"/>
  <c r="BA19" i="35"/>
  <c r="BA235" i="35"/>
  <c r="BA141" i="35"/>
  <c r="BA175" i="35"/>
  <c r="BA322" i="35"/>
  <c r="BA479" i="35"/>
  <c r="BA240" i="35"/>
  <c r="BA400" i="35"/>
  <c r="BA321" i="35"/>
  <c r="BA53" i="35"/>
  <c r="BA207" i="35"/>
  <c r="BA476" i="35"/>
  <c r="BA317" i="35"/>
  <c r="BA214" i="35"/>
  <c r="BA62" i="35"/>
  <c r="BA260" i="35"/>
  <c r="BA360" i="35"/>
  <c r="BA241" i="35"/>
  <c r="BA90" i="35"/>
  <c r="BA233" i="35"/>
  <c r="BA446" i="35"/>
  <c r="BA303" i="35"/>
  <c r="BA77" i="35"/>
  <c r="BA178" i="35"/>
  <c r="BA188" i="35"/>
  <c r="BA136" i="35"/>
  <c r="BA183" i="35"/>
  <c r="BA117" i="35"/>
  <c r="BA209" i="35"/>
  <c r="BA342" i="35"/>
  <c r="BA405" i="35"/>
  <c r="BA466" i="35"/>
  <c r="BA367" i="35"/>
  <c r="BA94" i="35"/>
  <c r="BA391" i="35"/>
  <c r="BA371" i="35"/>
  <c r="BA230" i="35"/>
  <c r="BA252" i="35"/>
  <c r="BA302" i="35"/>
  <c r="BA396" i="35"/>
  <c r="BA416" i="35"/>
  <c r="BA97" i="35"/>
  <c r="BA113" i="35"/>
  <c r="BA527" i="35"/>
  <c r="BA424" i="35"/>
  <c r="BA320" i="35"/>
  <c r="BA310" i="35"/>
  <c r="BA192" i="35"/>
  <c r="BA186" i="35"/>
  <c r="BA29" i="35"/>
  <c r="BA526" i="35"/>
  <c r="BA268" i="35"/>
  <c r="BA445" i="35"/>
  <c r="BA305" i="35"/>
  <c r="BA293" i="35"/>
  <c r="BA130" i="35"/>
  <c r="BA372" i="35"/>
  <c r="BA75" i="35"/>
  <c r="BA91" i="35"/>
  <c r="BA128" i="35"/>
  <c r="BA104" i="35"/>
  <c r="BA327" i="35"/>
  <c r="BA139" i="35"/>
  <c r="BA156" i="35"/>
  <c r="BA239" i="35"/>
  <c r="BA32" i="35"/>
  <c r="BA375" i="35"/>
  <c r="BA470" i="35"/>
  <c r="BA283" i="35"/>
  <c r="BA47" i="35"/>
  <c r="BA417" i="35"/>
  <c r="BA358" i="35"/>
  <c r="BA408" i="35"/>
  <c r="BA111" i="35"/>
  <c r="BA453" i="35"/>
  <c r="BA206" i="35"/>
  <c r="BA369" i="35"/>
  <c r="BA120" i="35"/>
  <c r="BA74" i="35"/>
  <c r="BA295" i="35"/>
  <c r="BA285" i="35"/>
  <c r="BA390" i="35"/>
  <c r="BA63" i="35"/>
  <c r="BA58" i="35"/>
  <c r="BA346" i="35"/>
  <c r="BA131" i="35"/>
  <c r="BA108" i="35"/>
  <c r="BA86" i="35"/>
  <c r="BA184" i="35"/>
  <c r="BA307" i="35"/>
  <c r="BA523" i="35"/>
  <c r="BA347" i="35"/>
  <c r="BA205" i="35"/>
  <c r="BA357" i="35"/>
  <c r="BA11" i="35"/>
  <c r="BA49" i="35"/>
  <c r="BA256" i="35"/>
  <c r="BA278" i="35"/>
  <c r="BA99" i="35"/>
  <c r="BA475" i="35"/>
  <c r="BA226" i="35"/>
  <c r="BA150" i="35"/>
  <c r="BA442" i="35"/>
  <c r="BA330" i="35"/>
  <c r="BA190" i="35"/>
  <c r="BA231" i="35"/>
  <c r="BA44" i="35"/>
  <c r="BA524" i="35"/>
  <c r="BA384" i="35"/>
  <c r="BA200" i="35"/>
  <c r="BA101" i="35"/>
  <c r="BA56" i="35"/>
  <c r="BA511" i="35"/>
  <c r="BA460" i="35"/>
  <c r="BA25" i="35"/>
  <c r="BA122" i="35"/>
  <c r="BA415" i="35"/>
  <c r="BA482" i="35"/>
  <c r="BA276" i="35"/>
  <c r="BA507" i="35"/>
  <c r="BA323" i="35"/>
  <c r="BA376" i="35"/>
  <c r="BA409" i="35"/>
  <c r="BA65" i="35"/>
  <c r="BA125" i="35"/>
  <c r="BA22" i="35"/>
  <c r="BA107" i="35"/>
  <c r="BA15" i="35"/>
  <c r="BA193" i="35"/>
  <c r="BA213" i="35"/>
  <c r="BA248" i="35"/>
  <c r="BA273" i="35"/>
  <c r="BA52" i="35"/>
  <c r="BA23" i="35"/>
  <c r="BA458" i="35"/>
  <c r="BA154" i="35"/>
  <c r="BA509" i="35"/>
  <c r="BA88" i="35"/>
  <c r="BA456" i="35"/>
  <c r="BA249" i="35"/>
  <c r="BA203" i="35"/>
  <c r="BA187" i="35"/>
  <c r="BA361" i="35"/>
  <c r="BA335" i="35"/>
  <c r="BA82" i="35"/>
  <c r="BA449" i="35"/>
  <c r="BA437" i="35"/>
  <c r="BA491" i="35"/>
  <c r="BA333" i="35"/>
  <c r="BA169" i="35"/>
  <c r="BA208" i="35"/>
  <c r="BA431" i="35"/>
  <c r="AY3" i="35"/>
  <c r="BR7" i="23"/>
  <c r="BP11" i="23"/>
  <c r="BP10" i="23"/>
  <c r="BP12" i="23"/>
  <c r="BO17" i="35" l="1"/>
  <c r="BO124" i="35"/>
  <c r="BO36" i="35"/>
  <c r="BO453" i="35"/>
  <c r="BO250" i="35"/>
  <c r="BO293" i="35"/>
  <c r="BO468" i="35"/>
  <c r="BO182" i="35"/>
  <c r="BO169" i="35"/>
  <c r="BO379" i="35"/>
  <c r="BO510" i="35"/>
  <c r="BO245" i="35"/>
  <c r="BO321" i="35"/>
  <c r="BO228" i="35"/>
  <c r="BO219" i="35"/>
  <c r="BO69" i="35"/>
  <c r="BO300" i="35"/>
  <c r="BO507" i="35"/>
  <c r="BO307" i="35"/>
  <c r="BO350" i="35"/>
  <c r="BO264" i="35"/>
  <c r="BO419" i="35"/>
  <c r="BO279" i="35"/>
  <c r="BO301" i="35"/>
  <c r="BO213" i="35"/>
  <c r="BO302" i="35"/>
  <c r="BO490" i="35"/>
  <c r="BO118" i="35"/>
  <c r="BO404" i="35"/>
  <c r="BO278" i="35"/>
  <c r="BO502" i="35"/>
  <c r="BO466" i="35"/>
  <c r="BO374" i="35"/>
  <c r="BO31" i="35"/>
  <c r="BO423" i="35"/>
  <c r="BO236" i="35"/>
  <c r="BO104" i="35"/>
  <c r="BO76" i="35"/>
  <c r="BO495" i="35"/>
  <c r="BO114" i="35"/>
  <c r="BO82" i="35"/>
  <c r="BO332" i="35"/>
  <c r="BO337" i="35"/>
  <c r="BO375" i="35"/>
  <c r="BO116" i="35"/>
  <c r="BO252" i="35"/>
  <c r="BO7" i="35"/>
  <c r="BO475" i="35"/>
  <c r="BO391" i="35"/>
  <c r="BO460" i="35"/>
  <c r="BO59" i="35"/>
  <c r="BO135" i="35"/>
  <c r="BO226" i="35"/>
  <c r="BO47" i="35"/>
  <c r="BO372" i="35"/>
  <c r="BO479" i="35"/>
  <c r="BO343" i="35"/>
  <c r="BO249" i="35"/>
  <c r="BO30" i="35"/>
  <c r="BO237" i="35"/>
  <c r="BO63" i="35"/>
  <c r="BO163" i="35"/>
  <c r="BO494" i="35"/>
  <c r="BO299" i="35"/>
  <c r="BO442" i="35"/>
  <c r="BO478" i="35"/>
  <c r="BO151" i="35"/>
  <c r="BO422" i="35"/>
  <c r="BO470" i="35"/>
  <c r="BO411" i="35"/>
  <c r="BO107" i="35"/>
  <c r="BO146" i="35"/>
  <c r="BO526" i="35"/>
  <c r="BO256" i="35"/>
  <c r="BO435" i="35"/>
  <c r="BO315" i="35"/>
  <c r="BO212" i="35"/>
  <c r="BO130" i="35"/>
  <c r="BO128" i="35"/>
  <c r="BO8" i="35"/>
  <c r="BO84" i="35"/>
  <c r="BO265" i="35"/>
  <c r="BO102" i="35"/>
  <c r="BO378" i="35"/>
  <c r="BO246" i="35"/>
  <c r="BO133" i="35"/>
  <c r="BO441" i="35"/>
  <c r="BO361" i="35"/>
  <c r="BO121" i="35"/>
  <c r="BO274" i="35"/>
  <c r="BO145" i="35"/>
  <c r="BO96" i="35"/>
  <c r="BO157" i="35"/>
  <c r="BO352" i="35"/>
  <c r="BO239" i="35"/>
  <c r="BO139" i="35"/>
  <c r="BO20" i="35"/>
  <c r="BO529" i="35"/>
  <c r="BO444" i="35"/>
  <c r="BO113" i="35"/>
  <c r="BO310" i="35"/>
  <c r="BO131" i="35"/>
  <c r="BO71" i="35"/>
  <c r="BO399" i="35"/>
  <c r="BO316" i="35"/>
  <c r="BO56" i="35"/>
  <c r="BO120" i="35"/>
  <c r="BO195" i="35"/>
  <c r="BO349" i="35"/>
  <c r="BO9" i="35"/>
  <c r="BO241" i="35"/>
  <c r="BO476" i="35"/>
  <c r="BO78" i="35"/>
  <c r="BO238" i="35"/>
  <c r="BO522" i="35"/>
  <c r="BO383" i="35"/>
  <c r="BO53" i="35"/>
  <c r="BO496" i="35"/>
  <c r="BO173" i="35"/>
  <c r="BO523" i="35"/>
  <c r="BO327" i="35"/>
  <c r="BO152" i="35"/>
  <c r="BO194" i="35"/>
  <c r="BO322" i="35"/>
  <c r="BO394" i="35"/>
  <c r="BO387" i="35"/>
  <c r="BO48" i="35"/>
  <c r="BO431" i="35"/>
  <c r="BO457" i="35"/>
  <c r="BO339" i="35"/>
  <c r="BO110" i="35"/>
  <c r="BO144" i="35"/>
  <c r="BO34" i="35"/>
  <c r="BO15" i="35"/>
  <c r="BO259" i="35"/>
  <c r="BO11" i="35"/>
  <c r="BO221" i="35"/>
  <c r="BO407" i="35"/>
  <c r="BO165" i="35"/>
  <c r="BO330" i="35"/>
  <c r="BO215" i="35"/>
  <c r="BO297" i="35"/>
  <c r="BO88" i="35"/>
  <c r="BO429" i="35"/>
  <c r="BO380" i="35"/>
  <c r="BO214" i="35"/>
  <c r="BO119" i="35"/>
  <c r="BO29" i="35"/>
  <c r="BO196" i="35"/>
  <c r="BO192" i="35"/>
  <c r="BO112" i="35"/>
  <c r="BO45" i="35"/>
  <c r="BO427" i="35"/>
  <c r="BO198" i="35"/>
  <c r="BO433" i="35"/>
  <c r="BO97" i="35"/>
  <c r="BO443" i="35"/>
  <c r="BO27" i="35"/>
  <c r="BO425" i="35"/>
  <c r="BO189" i="35"/>
  <c r="BO271" i="35"/>
  <c r="BO202" i="35"/>
  <c r="BO205" i="35"/>
  <c r="BO160" i="35"/>
  <c r="BO446" i="35"/>
  <c r="BO487" i="35"/>
  <c r="BO235" i="35"/>
  <c r="BO64" i="35"/>
  <c r="BO504" i="35"/>
  <c r="BO311" i="35"/>
  <c r="BO345" i="35"/>
  <c r="BO257" i="35"/>
  <c r="BO184" i="35"/>
  <c r="BO260" i="35"/>
  <c r="BO505" i="35"/>
  <c r="BO210" i="35"/>
  <c r="BO481" i="35"/>
  <c r="BO24" i="35"/>
  <c r="BO134" i="35"/>
  <c r="BO175" i="35"/>
  <c r="BO304" i="35"/>
  <c r="BO181" i="35"/>
  <c r="BO388" i="35"/>
  <c r="BO356" i="35"/>
  <c r="BO520" i="35"/>
  <c r="BO530" i="35"/>
  <c r="BO389" i="35"/>
  <c r="BO273" i="35"/>
  <c r="BO492" i="35"/>
  <c r="BO262" i="35"/>
  <c r="BO463" i="35"/>
  <c r="BO395" i="35"/>
  <c r="BO183" i="35"/>
  <c r="BO467" i="35"/>
  <c r="BO464" i="35"/>
  <c r="BO377" i="35"/>
  <c r="BO518" i="35"/>
  <c r="BO28" i="35"/>
  <c r="BO415" i="35"/>
  <c r="BO277" i="35"/>
  <c r="BO22" i="35"/>
  <c r="BO62" i="35"/>
  <c r="BO255" i="35"/>
  <c r="BO57" i="35"/>
  <c r="BO251" i="35"/>
  <c r="BO474" i="35"/>
  <c r="BO41" i="35"/>
  <c r="BO408" i="35"/>
  <c r="BO242" i="35"/>
  <c r="BO66" i="35"/>
  <c r="BO201" i="35"/>
  <c r="BO168" i="35"/>
  <c r="BO222" i="35"/>
  <c r="BO331" i="35"/>
  <c r="BO434" i="35"/>
  <c r="BO167" i="35"/>
  <c r="BO40" i="35"/>
  <c r="BO12" i="35"/>
  <c r="BO61" i="35"/>
  <c r="BO489" i="35"/>
  <c r="BO185" i="35"/>
  <c r="BO89" i="35"/>
  <c r="BO348" i="35"/>
  <c r="BO142" i="35"/>
  <c r="BO485" i="35"/>
  <c r="BO275" i="35"/>
  <c r="BO397" i="35"/>
  <c r="BO172" i="35"/>
  <c r="BO335" i="35"/>
  <c r="BO19" i="35"/>
  <c r="BO98" i="35"/>
  <c r="BO396" i="35"/>
  <c r="BO469" i="35"/>
  <c r="BO317" i="35"/>
  <c r="BO509" i="35"/>
  <c r="BO473" i="35"/>
  <c r="BO381" i="35"/>
  <c r="BO177" i="35"/>
  <c r="BO440" i="35"/>
  <c r="BO290" i="35"/>
  <c r="BO303" i="35"/>
  <c r="BO403" i="35"/>
  <c r="BO282" i="35"/>
  <c r="BO229" i="35"/>
  <c r="BO517" i="35"/>
  <c r="BO223" i="35"/>
  <c r="BO491" i="35"/>
  <c r="BO358" i="35"/>
  <c r="BO162" i="35"/>
  <c r="BO462" i="35"/>
  <c r="BO244" i="35"/>
  <c r="BO313" i="35"/>
  <c r="BO516" i="35"/>
  <c r="BO171" i="35"/>
  <c r="BO46" i="35"/>
  <c r="BO83" i="35"/>
  <c r="BO203" i="35"/>
  <c r="BO140" i="35"/>
  <c r="BO99" i="35"/>
  <c r="BO292" i="35"/>
  <c r="BO503" i="35"/>
  <c r="BO506" i="35"/>
  <c r="BO416" i="35"/>
  <c r="BO77" i="35"/>
  <c r="BO122" i="35"/>
  <c r="BO54" i="35"/>
  <c r="BO224" i="35"/>
  <c r="BO376" i="35"/>
  <c r="BO410" i="35"/>
  <c r="BO393" i="35"/>
  <c r="BO368" i="35"/>
  <c r="BO93" i="35"/>
  <c r="BO338" i="35"/>
  <c r="BO287" i="35"/>
  <c r="BQ4" i="35"/>
  <c r="BQ30" i="35" s="1"/>
  <c r="BO296" i="35"/>
  <c r="BO26" i="35"/>
  <c r="BO484" i="35"/>
  <c r="BO351" i="35"/>
  <c r="BO527" i="35"/>
  <c r="BO166" i="35"/>
  <c r="BO81" i="35"/>
  <c r="BO111" i="35"/>
  <c r="BO208" i="35"/>
  <c r="BO129" i="35"/>
  <c r="BO319" i="35"/>
  <c r="BO382" i="35"/>
  <c r="BO136" i="35"/>
  <c r="BO267" i="35"/>
  <c r="BO370" i="35"/>
  <c r="BO359" i="35"/>
  <c r="BO155" i="35"/>
  <c r="BO44" i="35"/>
  <c r="BO472" i="35"/>
  <c r="BO258" i="35"/>
  <c r="BO295" i="35"/>
  <c r="BO450" i="35"/>
  <c r="BO216" i="35"/>
  <c r="BO174" i="35"/>
  <c r="BO357" i="35"/>
  <c r="BO164" i="35"/>
  <c r="BO35" i="35"/>
  <c r="BO123" i="35"/>
  <c r="BO79" i="35"/>
  <c r="BO150" i="35"/>
  <c r="BO191" i="35"/>
  <c r="BO58" i="35"/>
  <c r="BO23" i="35"/>
  <c r="BO156" i="35"/>
  <c r="BO291" i="35"/>
  <c r="BO25" i="35"/>
  <c r="BO55" i="35"/>
  <c r="BO193" i="35"/>
  <c r="BO288" i="35"/>
  <c r="BO14" i="35"/>
  <c r="BO280" i="35"/>
  <c r="BO52" i="35"/>
  <c r="BO409" i="35"/>
  <c r="BO289" i="35"/>
  <c r="BO498" i="35"/>
  <c r="BO50" i="35"/>
  <c r="BO91" i="35"/>
  <c r="BO528" i="35"/>
  <c r="BO500" i="35"/>
  <c r="BO147" i="35"/>
  <c r="BO488" i="35"/>
  <c r="BO217" i="35"/>
  <c r="BO51" i="35"/>
  <c r="BO125" i="35"/>
  <c r="BO38" i="35"/>
  <c r="BO323" i="35"/>
  <c r="BO438" i="35"/>
  <c r="BO180" i="35"/>
  <c r="BO187" i="35"/>
  <c r="BO515" i="35"/>
  <c r="BO284" i="35"/>
  <c r="BO354" i="35"/>
  <c r="BO346" i="35"/>
  <c r="BO10" i="35"/>
  <c r="BO86" i="35"/>
  <c r="BO326" i="35"/>
  <c r="BO154" i="35"/>
  <c r="BO333" i="35"/>
  <c r="BO418" i="35"/>
  <c r="BO430" i="35"/>
  <c r="BO42" i="35"/>
  <c r="BO179" i="35"/>
  <c r="BO426" i="35"/>
  <c r="BO452" i="35"/>
  <c r="BO281" i="35"/>
  <c r="BO106" i="35"/>
  <c r="BO268" i="35"/>
  <c r="BO286" i="35"/>
  <c r="BO33" i="35"/>
  <c r="BO176" i="35"/>
  <c r="BO353" i="35"/>
  <c r="BO325" i="35"/>
  <c r="BO363" i="35"/>
  <c r="BO108" i="35"/>
  <c r="BO254" i="35"/>
  <c r="BO103" i="35"/>
  <c r="BO276" i="35"/>
  <c r="BO461" i="35"/>
  <c r="BO199" i="35"/>
  <c r="BO428" i="35"/>
  <c r="BO197" i="35"/>
  <c r="BO65" i="35"/>
  <c r="BO39" i="35"/>
  <c r="BO369" i="35"/>
  <c r="BO360" i="35"/>
  <c r="BO486" i="35"/>
  <c r="BO417" i="35"/>
  <c r="BO341" i="35"/>
  <c r="BO109" i="35"/>
  <c r="BO220" i="35"/>
  <c r="BO95" i="35"/>
  <c r="BO514" i="35"/>
  <c r="BO371" i="35"/>
  <c r="BO70" i="35"/>
  <c r="BO253" i="35"/>
  <c r="BO80" i="35"/>
  <c r="BO511" i="35"/>
  <c r="BO141" i="35"/>
  <c r="BO285" i="35"/>
  <c r="BO240" i="35"/>
  <c r="BO190" i="35"/>
  <c r="BO384" i="35"/>
  <c r="BO483" i="35"/>
  <c r="BO270" i="35"/>
  <c r="BO477" i="35"/>
  <c r="BO451" i="35"/>
  <c r="BO218" i="35"/>
  <c r="BO90" i="35"/>
  <c r="BO294" i="35"/>
  <c r="BO13" i="35"/>
  <c r="BO465" i="35"/>
  <c r="BO482" i="35"/>
  <c r="BO362" i="35"/>
  <c r="BO298" i="35"/>
  <c r="BO87" i="35"/>
  <c r="BO207" i="35"/>
  <c r="BO149" i="35"/>
  <c r="BO448" i="35"/>
  <c r="BO365" i="35"/>
  <c r="BO497" i="35"/>
  <c r="BO445" i="35"/>
  <c r="BO16" i="35"/>
  <c r="BO355" i="35"/>
  <c r="BO233" i="35"/>
  <c r="BO68" i="35"/>
  <c r="BO499" i="35"/>
  <c r="BO117" i="35"/>
  <c r="BO458" i="35"/>
  <c r="BO211" i="35"/>
  <c r="BO85" i="35"/>
  <c r="BO455" i="35"/>
  <c r="BO227" i="35"/>
  <c r="BO324" i="35"/>
  <c r="BO390" i="35"/>
  <c r="BO60" i="35"/>
  <c r="BO401" i="35"/>
  <c r="BO471" i="35"/>
  <c r="BO329" i="35"/>
  <c r="BO521" i="35"/>
  <c r="BO400" i="35"/>
  <c r="BO386" i="35"/>
  <c r="BO230" i="35"/>
  <c r="BO406" i="35"/>
  <c r="BO143" i="35"/>
  <c r="BO18" i="35"/>
  <c r="BO525" i="35"/>
  <c r="BO188" i="35"/>
  <c r="BO436" i="35"/>
  <c r="BO21" i="35"/>
  <c r="BO127" i="35"/>
  <c r="BO247" i="35"/>
  <c r="BO75" i="35"/>
  <c r="BO414" i="35"/>
  <c r="BO385" i="35"/>
  <c r="BO158" i="35"/>
  <c r="BO405" i="35"/>
  <c r="BO373" i="35"/>
  <c r="BO43" i="35"/>
  <c r="BO449" i="35"/>
  <c r="BO531" i="35"/>
  <c r="BO200" i="35"/>
  <c r="BO92" i="35"/>
  <c r="BO248" i="35"/>
  <c r="BO328" i="35"/>
  <c r="BO309" i="35"/>
  <c r="BO178" i="35"/>
  <c r="BO234" i="35"/>
  <c r="BO340" i="35"/>
  <c r="BO424" i="35"/>
  <c r="BO454" i="35"/>
  <c r="BO334" i="35"/>
  <c r="BO186" i="35"/>
  <c r="BO263" i="35"/>
  <c r="BO312" i="35"/>
  <c r="BO439" i="35"/>
  <c r="BO336" i="35"/>
  <c r="AR18" i="39"/>
  <c r="O17" i="39"/>
  <c r="BO266" i="35"/>
  <c r="BO314" i="35"/>
  <c r="BO206" i="35"/>
  <c r="BO272" i="35"/>
  <c r="BO231" i="35"/>
  <c r="BO344" i="35"/>
  <c r="BO170" i="35"/>
  <c r="BO72" i="35"/>
  <c r="BO100" i="35"/>
  <c r="BO73" i="35"/>
  <c r="BO101" i="35"/>
  <c r="BO153" i="35"/>
  <c r="BO508" i="35"/>
  <c r="BO320" i="35"/>
  <c r="BO49" i="35"/>
  <c r="BO398" i="35"/>
  <c r="BO366" i="35"/>
  <c r="BO161" i="35"/>
  <c r="BO367" i="35"/>
  <c r="BO138" i="35"/>
  <c r="BO204" i="35"/>
  <c r="BO306" i="35"/>
  <c r="BO74" i="35"/>
  <c r="BO159" i="35"/>
  <c r="BO512" i="35"/>
  <c r="BO137" i="35"/>
  <c r="BO524" i="35"/>
  <c r="BO342" i="35"/>
  <c r="BO420" i="35"/>
  <c r="BO437" i="35"/>
  <c r="BO493" i="35"/>
  <c r="BO94" i="35"/>
  <c r="BO402" i="35"/>
  <c r="BO421" i="35"/>
  <c r="BO209" i="35"/>
  <c r="BO347" i="35"/>
  <c r="BO364" i="35"/>
  <c r="BO447" i="35"/>
  <c r="BO513" i="35"/>
  <c r="BO459" i="35"/>
  <c r="BO480" i="35"/>
  <c r="BO105" i="35"/>
  <c r="BO37" i="35"/>
  <c r="BO412" i="35"/>
  <c r="BO225" i="35"/>
  <c r="BO318" i="35"/>
  <c r="BO432" i="35"/>
  <c r="BO308" i="35"/>
  <c r="BO456" i="35"/>
  <c r="BO413" i="35"/>
  <c r="BO283" i="35"/>
  <c r="BO132" i="35"/>
  <c r="BO392" i="35"/>
  <c r="BO232" i="35"/>
  <c r="BO126" i="35"/>
  <c r="BO243" i="35"/>
  <c r="BO32" i="35"/>
  <c r="BO115" i="35"/>
  <c r="BO148" i="35"/>
  <c r="BO67" i="35"/>
  <c r="BO261" i="35"/>
  <c r="BO501" i="35"/>
  <c r="BO305" i="35"/>
  <c r="BO269" i="35"/>
  <c r="BM3" i="35"/>
  <c r="BI3" i="20"/>
  <c r="BK264" i="20"/>
  <c r="BK358" i="20"/>
  <c r="BK132" i="20"/>
  <c r="BK22" i="20"/>
  <c r="BK34" i="20"/>
  <c r="BK78" i="20"/>
  <c r="BK507" i="20"/>
  <c r="BK253" i="20"/>
  <c r="BK496" i="20"/>
  <c r="BK424" i="20"/>
  <c r="BK104" i="20"/>
  <c r="BK334" i="20"/>
  <c r="BK286" i="20"/>
  <c r="BK39" i="20"/>
  <c r="BK573" i="20"/>
  <c r="BK529" i="20"/>
  <c r="BK269" i="20"/>
  <c r="BK406" i="20"/>
  <c r="BK126" i="20"/>
  <c r="BK249" i="20"/>
  <c r="BK254" i="20"/>
  <c r="BK178" i="20"/>
  <c r="BK316" i="20"/>
  <c r="BK561" i="20"/>
  <c r="BK205" i="20"/>
  <c r="BK486" i="20"/>
  <c r="BK611" i="20"/>
  <c r="BK291" i="20"/>
  <c r="BK174" i="20"/>
  <c r="BK517" i="20"/>
  <c r="BK455" i="20"/>
  <c r="BK319" i="20"/>
  <c r="BK130" i="20"/>
  <c r="BK100" i="20"/>
  <c r="BK339" i="20"/>
  <c r="BK234" i="20"/>
  <c r="BK221" i="20"/>
  <c r="BM4" i="20"/>
  <c r="BK192" i="20"/>
  <c r="BK89" i="20"/>
  <c r="BK471" i="20"/>
  <c r="BK88" i="20"/>
  <c r="BK566" i="20"/>
  <c r="BK176" i="20"/>
  <c r="BK587" i="20"/>
  <c r="BK515" i="20"/>
  <c r="BK224" i="20"/>
  <c r="BK494" i="20"/>
  <c r="BK376" i="20"/>
  <c r="BK45" i="20"/>
  <c r="BK136" i="20"/>
  <c r="BK536" i="20"/>
  <c r="BK160" i="20"/>
  <c r="BK164" i="20"/>
  <c r="BK63" i="20"/>
  <c r="BK152" i="20"/>
  <c r="BK305" i="20"/>
  <c r="BK619" i="20"/>
  <c r="BK199" i="20"/>
  <c r="BK553" i="20"/>
  <c r="BK207" i="20"/>
  <c r="BK554" i="20"/>
  <c r="BK603" i="20"/>
  <c r="BK133" i="20"/>
  <c r="BK115" i="20"/>
  <c r="BK400" i="20"/>
  <c r="BK588" i="20"/>
  <c r="BK362" i="20"/>
  <c r="BK227" i="20"/>
  <c r="BK564" i="20"/>
  <c r="BK570" i="20"/>
  <c r="BK403" i="20"/>
  <c r="BK219" i="20"/>
  <c r="BK625" i="20"/>
  <c r="BK281" i="20"/>
  <c r="BK118" i="20"/>
  <c r="BK210" i="20"/>
  <c r="BK600" i="20"/>
  <c r="BK493" i="20"/>
  <c r="BK91" i="20"/>
  <c r="BK506" i="20"/>
  <c r="BK202" i="20"/>
  <c r="BK458" i="20"/>
  <c r="BK437" i="20"/>
  <c r="BK193" i="20"/>
  <c r="BK427" i="20"/>
  <c r="BK442" i="20"/>
  <c r="BK250" i="20"/>
  <c r="BK479" i="20"/>
  <c r="BK144" i="20"/>
  <c r="BK380" i="20"/>
  <c r="BK146" i="20"/>
  <c r="BK470" i="20"/>
  <c r="BK483" i="20"/>
  <c r="BK531" i="20"/>
  <c r="BK26" i="20"/>
  <c r="BK572" i="20"/>
  <c r="BK480" i="20"/>
  <c r="BK550" i="20"/>
  <c r="BK413" i="20"/>
  <c r="BK60" i="20"/>
  <c r="BK636" i="20"/>
  <c r="BK182" i="20"/>
  <c r="BK29" i="20"/>
  <c r="BK30" i="20"/>
  <c r="BK240" i="20"/>
  <c r="BK386" i="20"/>
  <c r="BK313" i="20"/>
  <c r="BK70" i="20"/>
  <c r="BK368" i="20"/>
  <c r="BK148" i="20"/>
  <c r="BK535" i="20"/>
  <c r="BK395" i="20"/>
  <c r="BK194" i="20"/>
  <c r="BK394" i="20"/>
  <c r="BK349" i="20"/>
  <c r="BK134" i="20"/>
  <c r="BK166" i="20"/>
  <c r="BK621" i="20"/>
  <c r="BK469" i="20"/>
  <c r="BK230" i="20"/>
  <c r="BK647" i="20"/>
  <c r="BK576" i="20"/>
  <c r="BK244" i="20"/>
  <c r="BK293" i="20"/>
  <c r="BK381" i="20"/>
  <c r="BK268" i="20"/>
  <c r="BK605" i="20"/>
  <c r="BK373" i="20"/>
  <c r="BK567" i="20"/>
  <c r="BK169" i="20"/>
  <c r="BK578" i="20"/>
  <c r="BK459" i="20"/>
  <c r="BK505" i="20"/>
  <c r="BK482" i="20"/>
  <c r="BK357" i="20"/>
  <c r="BK591" i="20"/>
  <c r="BK266" i="20"/>
  <c r="BK350" i="20"/>
  <c r="BK225" i="20"/>
  <c r="BK648" i="20"/>
  <c r="BK7" i="20"/>
  <c r="BK258" i="20"/>
  <c r="BK423" i="20"/>
  <c r="BK9" i="20"/>
  <c r="BK171" i="20"/>
  <c r="BK428" i="20"/>
  <c r="BK328" i="20"/>
  <c r="BK204" i="20"/>
  <c r="BK363" i="20"/>
  <c r="BK432" i="20"/>
  <c r="BK524" i="20"/>
  <c r="BK106" i="20"/>
  <c r="BK302" i="20"/>
  <c r="BK295" i="20"/>
  <c r="BK341" i="20"/>
  <c r="BK283" i="20"/>
  <c r="BK189" i="20"/>
  <c r="BK552" i="20"/>
  <c r="BK238" i="20"/>
  <c r="BK188" i="20"/>
  <c r="BK113" i="20"/>
  <c r="BK183" i="20"/>
  <c r="BK472" i="20"/>
  <c r="BK262" i="20"/>
  <c r="BK110" i="20"/>
  <c r="BK549" i="20"/>
  <c r="BK407" i="20"/>
  <c r="BK528" i="20"/>
  <c r="BK396" i="20"/>
  <c r="BK335" i="20"/>
  <c r="BK639" i="20"/>
  <c r="BK411" i="20"/>
  <c r="BK218" i="20"/>
  <c r="BK82" i="20"/>
  <c r="BK65" i="20"/>
  <c r="BK462" i="20"/>
  <c r="BK248" i="20"/>
  <c r="BK389" i="20"/>
  <c r="BK236" i="20"/>
  <c r="BK640" i="20"/>
  <c r="BK55" i="20"/>
  <c r="BK170" i="20"/>
  <c r="BK555" i="20"/>
  <c r="BK73" i="20"/>
  <c r="BK412" i="20"/>
  <c r="BK53" i="20"/>
  <c r="BK322" i="20"/>
  <c r="BK382" i="20"/>
  <c r="BK530" i="20"/>
  <c r="BK123" i="20"/>
  <c r="BK545" i="20"/>
  <c r="BK343" i="20"/>
  <c r="BK379" i="20"/>
  <c r="BK589" i="20"/>
  <c r="BK365" i="20"/>
  <c r="BK384" i="20"/>
  <c r="BK79" i="20"/>
  <c r="BK372" i="20"/>
  <c r="BK310" i="20"/>
  <c r="BK521" i="20"/>
  <c r="BK340" i="20"/>
  <c r="BK162" i="20"/>
  <c r="BK274" i="20"/>
  <c r="BK405" i="20"/>
  <c r="BK366" i="20"/>
  <c r="BK642" i="20"/>
  <c r="BK592" i="20"/>
  <c r="BK520" i="20"/>
  <c r="BK139" i="20"/>
  <c r="BK489" i="20"/>
  <c r="BK447" i="20"/>
  <c r="BK620" i="20"/>
  <c r="BK595" i="20"/>
  <c r="BK289" i="20"/>
  <c r="BK444" i="20"/>
  <c r="BK638" i="20"/>
  <c r="BK273" i="20"/>
  <c r="BK542" i="20"/>
  <c r="BK180" i="20"/>
  <c r="BK94" i="20"/>
  <c r="BK147" i="20"/>
  <c r="BK449" i="20"/>
  <c r="BK59" i="20"/>
  <c r="BK67" i="20"/>
  <c r="BK518" i="20"/>
  <c r="BK337" i="20"/>
  <c r="BK284" i="20"/>
  <c r="BK25" i="20"/>
  <c r="BK108" i="20"/>
  <c r="BK122" i="20"/>
  <c r="BK99" i="20"/>
  <c r="BK614" i="20"/>
  <c r="BK641" i="20"/>
  <c r="BK532" i="20"/>
  <c r="BK114" i="20"/>
  <c r="BK17" i="20"/>
  <c r="BK414" i="20"/>
  <c r="BK40" i="20"/>
  <c r="BK429" i="20"/>
  <c r="BK361" i="20"/>
  <c r="BK267" i="20"/>
  <c r="BK102" i="20"/>
  <c r="BK538" i="20"/>
  <c r="BK369" i="20"/>
  <c r="BK502" i="20"/>
  <c r="BK426" i="20"/>
  <c r="BK360" i="20"/>
  <c r="BK196" i="20"/>
  <c r="BK514" i="20"/>
  <c r="BK466" i="20"/>
  <c r="BK491" i="20"/>
  <c r="BK332" i="20"/>
  <c r="BK256" i="20"/>
  <c r="BK12" i="20"/>
  <c r="BK464" i="20"/>
  <c r="BK119" i="20"/>
  <c r="BK556" i="20"/>
  <c r="BK92" i="20"/>
  <c r="BK48" i="20"/>
  <c r="BK261" i="20"/>
  <c r="BK301" i="20"/>
  <c r="BK255" i="20"/>
  <c r="BK399" i="20"/>
  <c r="BK23" i="20"/>
  <c r="BK165" i="20"/>
  <c r="BK116" i="20"/>
  <c r="BK223" i="20"/>
  <c r="BK251" i="20"/>
  <c r="BK323" i="20"/>
  <c r="BK8" i="20"/>
  <c r="BK404" i="20"/>
  <c r="BK488" i="20"/>
  <c r="BK374" i="20"/>
  <c r="BK390" i="20"/>
  <c r="BK478" i="20"/>
  <c r="BK613" i="20"/>
  <c r="BK452" i="20"/>
  <c r="BK32" i="20"/>
  <c r="BK47" i="20"/>
  <c r="BK109" i="20"/>
  <c r="BK504" i="20"/>
  <c r="BK159" i="20"/>
  <c r="BK565" i="20"/>
  <c r="BK140" i="20"/>
  <c r="BK84" i="20"/>
  <c r="BK105" i="20"/>
  <c r="BK474" i="20"/>
  <c r="BK539" i="20"/>
  <c r="BK416" i="20"/>
  <c r="BK501" i="20"/>
  <c r="BK265" i="20"/>
  <c r="BK245" i="20"/>
  <c r="BK145" i="20"/>
  <c r="BK197" i="20"/>
  <c r="BK312" i="20"/>
  <c r="BK473" i="20"/>
  <c r="BK618" i="20"/>
  <c r="BK143" i="20"/>
  <c r="BK546" i="20"/>
  <c r="BK574" i="20"/>
  <c r="BK131" i="20"/>
  <c r="BK226" i="20"/>
  <c r="BK101" i="20"/>
  <c r="BK644" i="20"/>
  <c r="BK212" i="20"/>
  <c r="BK512" i="20"/>
  <c r="BK586" i="20"/>
  <c r="BK490" i="20"/>
  <c r="BK107" i="20"/>
  <c r="BK651" i="20"/>
  <c r="BK397" i="20"/>
  <c r="BK308" i="20"/>
  <c r="BK85" i="20"/>
  <c r="BK523" i="20"/>
  <c r="BK540" i="20"/>
  <c r="BK537" i="20"/>
  <c r="BK443" i="20"/>
  <c r="BK436" i="20"/>
  <c r="BK58" i="20"/>
  <c r="BK333" i="20"/>
  <c r="BK237" i="20"/>
  <c r="BK317" i="20"/>
  <c r="BK198" i="20"/>
  <c r="BK527" i="20"/>
  <c r="BK519" i="20"/>
  <c r="BK121" i="20"/>
  <c r="BK338" i="20"/>
  <c r="BK153" i="20"/>
  <c r="BK635" i="20"/>
  <c r="BK231" i="20"/>
  <c r="BK615" i="20"/>
  <c r="BK534" i="20"/>
  <c r="BK18" i="20"/>
  <c r="BK117" i="20"/>
  <c r="BK453" i="20"/>
  <c r="BK177" i="20"/>
  <c r="BK321" i="20"/>
  <c r="BK185" i="20"/>
  <c r="BK129" i="20"/>
  <c r="BK272" i="20"/>
  <c r="BK208" i="20"/>
  <c r="BK325" i="20"/>
  <c r="BK304" i="20"/>
  <c r="BK98" i="20"/>
  <c r="BK14" i="20"/>
  <c r="BK297" i="20"/>
  <c r="BK351" i="20"/>
  <c r="BK468" i="20"/>
  <c r="BK604" i="20"/>
  <c r="BK559" i="20"/>
  <c r="BK52" i="20"/>
  <c r="BK44" i="20"/>
  <c r="BK195" i="20"/>
  <c r="BK422" i="20"/>
  <c r="BK307" i="20"/>
  <c r="BK49" i="20"/>
  <c r="BK560" i="20"/>
  <c r="BK630" i="20"/>
  <c r="BK56" i="20"/>
  <c r="BK359" i="20"/>
  <c r="BK280" i="20"/>
  <c r="BK329" i="20"/>
  <c r="BK503" i="20"/>
  <c r="BK260" i="20"/>
  <c r="BK278" i="20"/>
  <c r="BK275" i="20"/>
  <c r="BK440" i="20"/>
  <c r="BK419" i="20"/>
  <c r="BK137" i="20"/>
  <c r="BK628" i="20"/>
  <c r="BK577" i="20"/>
  <c r="BK402" i="20"/>
  <c r="BK410" i="20"/>
  <c r="BK135" i="20"/>
  <c r="BK175" i="20"/>
  <c r="BK68" i="20"/>
  <c r="BK80" i="20"/>
  <c r="BK634" i="20"/>
  <c r="BK87" i="20"/>
  <c r="BK500" i="20"/>
  <c r="BK233" i="20"/>
  <c r="BK456" i="20"/>
  <c r="BK203" i="20"/>
  <c r="BK607" i="20"/>
  <c r="BK42" i="20"/>
  <c r="BK393" i="20"/>
  <c r="BK222" i="20"/>
  <c r="BK558" i="20"/>
  <c r="BK326" i="20"/>
  <c r="BK209" i="20"/>
  <c r="BK487" i="20"/>
  <c r="BK51" i="20"/>
  <c r="BK434" i="20"/>
  <c r="BK128" i="20"/>
  <c r="BK551" i="20"/>
  <c r="BK31" i="20"/>
  <c r="BK288" i="20"/>
  <c r="BK298" i="20"/>
  <c r="BK596" i="20"/>
  <c r="BK492" i="20"/>
  <c r="BK624" i="20"/>
  <c r="BK346" i="20"/>
  <c r="BK271" i="20"/>
  <c r="BK150" i="20"/>
  <c r="BK66" i="20"/>
  <c r="BK495" i="20"/>
  <c r="BK467" i="20"/>
  <c r="BK155" i="20"/>
  <c r="BK11" i="20"/>
  <c r="BK433" i="20"/>
  <c r="BK97" i="20"/>
  <c r="BK398" i="20"/>
  <c r="BK76" i="20"/>
  <c r="BK112" i="20"/>
  <c r="BK476" i="20"/>
  <c r="BK95" i="20"/>
  <c r="BK649" i="20"/>
  <c r="BK547" i="20"/>
  <c r="BK186" i="20"/>
  <c r="BK201" i="20"/>
  <c r="BK580" i="20"/>
  <c r="BK252" i="20"/>
  <c r="BK392" i="20"/>
  <c r="BK617" i="20"/>
  <c r="BK582" i="20"/>
  <c r="BK46" i="20"/>
  <c r="BK111" i="20"/>
  <c r="BK10" i="20"/>
  <c r="BK21" i="20"/>
  <c r="BK149" i="20"/>
  <c r="BK158" i="20"/>
  <c r="BK179" i="20"/>
  <c r="BK324" i="20"/>
  <c r="BK632" i="20"/>
  <c r="BK43" i="20"/>
  <c r="BK543" i="20"/>
  <c r="BK72" i="20"/>
  <c r="BK232" i="20"/>
  <c r="BK408" i="20"/>
  <c r="BK35" i="20"/>
  <c r="BK626" i="20"/>
  <c r="BK354" i="20"/>
  <c r="BK401" i="20"/>
  <c r="BK563" i="20"/>
  <c r="BK206" i="20"/>
  <c r="BK37" i="20"/>
  <c r="BK533" i="20"/>
  <c r="BK228" i="20"/>
  <c r="BK421" i="20"/>
  <c r="BK568" i="20"/>
  <c r="BK74" i="20"/>
  <c r="BK465" i="20"/>
  <c r="BK190" i="20"/>
  <c r="BK200" i="20"/>
  <c r="BK96" i="20"/>
  <c r="BK141" i="20"/>
  <c r="BK457" i="20"/>
  <c r="BK309" i="20"/>
  <c r="BK247" i="20"/>
  <c r="BK371" i="20"/>
  <c r="BK356" i="20"/>
  <c r="BK163" i="20"/>
  <c r="BK454" i="20"/>
  <c r="BK409" i="20"/>
  <c r="BK259" i="20"/>
  <c r="BK451" i="20"/>
  <c r="BK575" i="20"/>
  <c r="BK526" i="20"/>
  <c r="BK50" i="20"/>
  <c r="BK331" i="20"/>
  <c r="BK239" i="20"/>
  <c r="BK217" i="20"/>
  <c r="BK612" i="20"/>
  <c r="BK499" i="20"/>
  <c r="BK342" i="20"/>
  <c r="BK450" i="20"/>
  <c r="BK348" i="20"/>
  <c r="BK391" i="20"/>
  <c r="BK446" i="20"/>
  <c r="BK417" i="20"/>
  <c r="BK510" i="20"/>
  <c r="BK263" i="20"/>
  <c r="BK327" i="20"/>
  <c r="BK211" i="20"/>
  <c r="BK602" i="20"/>
  <c r="BK15" i="20"/>
  <c r="BK103" i="20"/>
  <c r="BK184" i="20"/>
  <c r="BK441" i="20"/>
  <c r="BK330" i="20"/>
  <c r="BK388" i="20"/>
  <c r="BK24" i="20"/>
  <c r="BK306" i="20"/>
  <c r="BK86" i="20"/>
  <c r="BK633" i="20"/>
  <c r="BK20" i="20"/>
  <c r="BK173" i="20"/>
  <c r="BK364" i="20"/>
  <c r="BK508" i="20"/>
  <c r="BK257" i="20"/>
  <c r="BK606" i="20"/>
  <c r="BK61" i="20"/>
  <c r="BK277" i="20"/>
  <c r="BK439" i="20"/>
  <c r="BK229" i="20"/>
  <c r="BK215" i="20"/>
  <c r="BK187" i="20"/>
  <c r="BK318" i="20"/>
  <c r="BK431" i="20"/>
  <c r="BK562" i="20"/>
  <c r="BK513" i="20"/>
  <c r="BK93" i="20"/>
  <c r="BK598" i="20"/>
  <c r="BK498" i="20"/>
  <c r="BK544" i="20"/>
  <c r="BK516" i="20"/>
  <c r="BK344" i="20"/>
  <c r="BK385" i="20"/>
  <c r="BK303" i="20"/>
  <c r="BK172" i="20"/>
  <c r="BK569" i="20"/>
  <c r="BK352" i="20"/>
  <c r="BK36" i="20"/>
  <c r="BK445" i="20"/>
  <c r="BK599" i="20"/>
  <c r="BK481" i="20"/>
  <c r="BK154" i="20"/>
  <c r="BK347" i="20"/>
  <c r="BK156" i="20"/>
  <c r="BK345" i="20"/>
  <c r="BK246" i="20"/>
  <c r="BK320" i="20"/>
  <c r="BK315" i="20"/>
  <c r="BK120" i="20"/>
  <c r="BK622" i="20"/>
  <c r="BK585" i="20"/>
  <c r="BK41" i="20"/>
  <c r="BK629" i="20"/>
  <c r="BK285" i="20"/>
  <c r="BK314" i="20"/>
  <c r="BK601" i="20"/>
  <c r="BK610" i="20"/>
  <c r="BK627" i="20"/>
  <c r="BK64" i="20"/>
  <c r="BK594" i="20"/>
  <c r="BK355" i="20"/>
  <c r="BK142" i="20"/>
  <c r="BK367" i="20"/>
  <c r="BK477" i="20"/>
  <c r="BK279" i="20"/>
  <c r="BK167" i="20"/>
  <c r="BK62" i="20"/>
  <c r="BK475" i="20"/>
  <c r="BK525" i="20"/>
  <c r="BK415" i="20"/>
  <c r="BK235" i="20"/>
  <c r="BK138" i="20"/>
  <c r="BK584" i="20"/>
  <c r="BK438" i="20"/>
  <c r="BK631" i="20"/>
  <c r="BK124" i="20"/>
  <c r="BK168" i="20"/>
  <c r="BK311" i="20"/>
  <c r="BK75" i="20"/>
  <c r="BK213" i="20"/>
  <c r="BK243" i="20"/>
  <c r="BK378" i="20"/>
  <c r="BK57" i="20"/>
  <c r="BK593" i="20"/>
  <c r="BK583" i="20"/>
  <c r="BK13" i="20"/>
  <c r="BK287" i="20"/>
  <c r="BK650" i="20"/>
  <c r="BK353" i="20"/>
  <c r="BK296" i="20"/>
  <c r="BK463" i="20"/>
  <c r="BK181" i="20"/>
  <c r="BK623" i="20"/>
  <c r="BK375" i="20"/>
  <c r="BK522" i="20"/>
  <c r="BK590" i="20"/>
  <c r="BK645" i="20"/>
  <c r="BK637" i="20"/>
  <c r="BK83" i="20"/>
  <c r="BK127" i="20"/>
  <c r="BK290" i="20"/>
  <c r="BK157" i="20"/>
  <c r="BK28" i="20"/>
  <c r="BK300" i="20"/>
  <c r="BK299" i="20"/>
  <c r="BK54" i="20"/>
  <c r="BK242" i="20"/>
  <c r="BK214" i="20"/>
  <c r="BK336" i="20"/>
  <c r="BK485" i="20"/>
  <c r="BK38" i="20"/>
  <c r="BK511" i="20"/>
  <c r="BK387" i="20"/>
  <c r="BK484" i="20"/>
  <c r="BK608" i="20"/>
  <c r="BK581" i="20"/>
  <c r="BK509" i="20"/>
  <c r="BK609" i="20"/>
  <c r="BK646" i="20"/>
  <c r="BK33" i="20"/>
  <c r="BK460" i="20"/>
  <c r="BK571" i="20"/>
  <c r="BK125" i="20"/>
  <c r="BK220" i="20"/>
  <c r="BK548" i="20"/>
  <c r="BK557" i="20"/>
  <c r="BK282" i="20"/>
  <c r="BK19" i="20"/>
  <c r="BK71" i="20"/>
  <c r="BK597" i="20"/>
  <c r="BK27" i="20"/>
  <c r="BK420" i="20"/>
  <c r="BK497" i="20"/>
  <c r="BK448" i="20"/>
  <c r="BK216" i="20"/>
  <c r="BK383" i="20"/>
  <c r="BK643" i="20"/>
  <c r="BK377" i="20"/>
  <c r="BK191" i="20"/>
  <c r="BK435" i="20"/>
  <c r="BK77" i="20"/>
  <c r="BK270" i="20"/>
  <c r="BK370" i="20"/>
  <c r="BK461" i="20"/>
  <c r="BK652" i="20"/>
  <c r="BK276" i="20"/>
  <c r="BK430" i="20"/>
  <c r="BK579" i="20"/>
  <c r="BK151" i="20"/>
  <c r="BK69" i="20"/>
  <c r="BK418" i="20"/>
  <c r="BK90" i="20"/>
  <c r="BK541" i="20"/>
  <c r="BK241" i="20"/>
  <c r="BK81" i="20"/>
  <c r="BK294" i="20"/>
  <c r="BK16" i="20"/>
  <c r="BK616" i="20"/>
  <c r="BK292" i="20"/>
  <c r="BK161" i="20"/>
  <c r="BK425" i="20"/>
  <c r="AR19" i="40"/>
  <c r="O18" i="40"/>
  <c r="BJ13" i="23"/>
  <c r="AJ13" i="23"/>
  <c r="AD13" i="23"/>
  <c r="BH13" i="23"/>
  <c r="BL13" i="23"/>
  <c r="BB13" i="23"/>
  <c r="AN13" i="23"/>
  <c r="AZ13" i="23"/>
  <c r="V13" i="23"/>
  <c r="AX13" i="23"/>
  <c r="AR13" i="23"/>
  <c r="AP13" i="23"/>
  <c r="AT13" i="23"/>
  <c r="AL13" i="23"/>
  <c r="AB13" i="23"/>
  <c r="AV13" i="23"/>
  <c r="AF13" i="23"/>
  <c r="BD13" i="23"/>
  <c r="W13" i="23"/>
  <c r="BF13" i="23"/>
  <c r="AH13" i="23"/>
  <c r="BN13" i="23"/>
  <c r="BA3" i="35"/>
  <c r="BR10" i="23"/>
  <c r="BT7" i="23"/>
  <c r="BR12" i="23"/>
  <c r="BR11" i="23"/>
  <c r="BR13" i="23"/>
  <c r="BQ257" i="35" l="1"/>
  <c r="BQ295" i="35"/>
  <c r="BQ116" i="35"/>
  <c r="BQ93" i="35"/>
  <c r="BQ314" i="35"/>
  <c r="BQ326" i="35"/>
  <c r="BQ263" i="35"/>
  <c r="BQ441" i="35"/>
  <c r="BQ360" i="35"/>
  <c r="BQ39" i="35"/>
  <c r="BQ418" i="35"/>
  <c r="BQ288" i="35"/>
  <c r="BQ155" i="35"/>
  <c r="BQ340" i="35"/>
  <c r="BQ202" i="35"/>
  <c r="BQ225" i="35"/>
  <c r="BQ23" i="35"/>
  <c r="BQ452" i="35"/>
  <c r="BQ26" i="35"/>
  <c r="BQ247" i="35"/>
  <c r="BQ461" i="35"/>
  <c r="BQ49" i="35"/>
  <c r="BQ405" i="35"/>
  <c r="BQ103" i="35"/>
  <c r="BQ274" i="35"/>
  <c r="BQ22" i="35"/>
  <c r="BQ43" i="35"/>
  <c r="BQ65" i="35"/>
  <c r="BQ71" i="35"/>
  <c r="BQ232" i="35"/>
  <c r="BQ346" i="35"/>
  <c r="BS4" i="35"/>
  <c r="BS12" i="35" s="1"/>
  <c r="BQ460" i="35"/>
  <c r="BQ439" i="35"/>
  <c r="BQ256" i="35"/>
  <c r="BQ329" i="35"/>
  <c r="BQ264" i="35"/>
  <c r="BQ447" i="35"/>
  <c r="BQ243" i="35"/>
  <c r="BQ291" i="35"/>
  <c r="BQ524" i="35"/>
  <c r="BQ414" i="35"/>
  <c r="BQ293" i="35"/>
  <c r="BQ435" i="35"/>
  <c r="BQ176" i="35"/>
  <c r="BQ350" i="35"/>
  <c r="BQ109" i="35"/>
  <c r="BQ212" i="35"/>
  <c r="BQ31" i="35"/>
  <c r="BQ48" i="35"/>
  <c r="BQ321" i="35"/>
  <c r="BQ327" i="35"/>
  <c r="BQ511" i="35"/>
  <c r="BQ35" i="35"/>
  <c r="BQ136" i="35"/>
  <c r="BQ9" i="35"/>
  <c r="BQ175" i="35"/>
  <c r="BQ496" i="35"/>
  <c r="BQ489" i="35"/>
  <c r="BQ230" i="35"/>
  <c r="BQ152" i="35"/>
  <c r="BQ318" i="35"/>
  <c r="BQ357" i="35"/>
  <c r="BQ237" i="35"/>
  <c r="BQ276" i="35"/>
  <c r="BQ217" i="35"/>
  <c r="BQ90" i="35"/>
  <c r="BQ520" i="35"/>
  <c r="BQ266" i="35"/>
  <c r="BQ17" i="35"/>
  <c r="BQ45" i="35"/>
  <c r="BQ198" i="35"/>
  <c r="BQ445" i="35"/>
  <c r="BQ503" i="35"/>
  <c r="BQ316" i="35"/>
  <c r="BQ404" i="35"/>
  <c r="BQ187" i="35"/>
  <c r="BQ229" i="35"/>
  <c r="BQ208" i="35"/>
  <c r="BQ317" i="35"/>
  <c r="BQ275" i="35"/>
  <c r="BQ410" i="35"/>
  <c r="BQ98" i="35"/>
  <c r="BQ118" i="35"/>
  <c r="BQ422" i="35"/>
  <c r="BQ42" i="35"/>
  <c r="BQ501" i="35"/>
  <c r="BQ249" i="35"/>
  <c r="BQ44" i="35"/>
  <c r="BQ174" i="35"/>
  <c r="BQ133" i="35"/>
  <c r="BQ181" i="35"/>
  <c r="BQ498" i="35"/>
  <c r="BQ241" i="35"/>
  <c r="BQ159" i="35"/>
  <c r="BQ351" i="35"/>
  <c r="BQ34" i="35"/>
  <c r="BQ259" i="35"/>
  <c r="BQ147" i="35"/>
  <c r="BQ474" i="35"/>
  <c r="BQ131" i="35"/>
  <c r="BQ390" i="35"/>
  <c r="BQ88" i="35"/>
  <c r="BQ210" i="35"/>
  <c r="BQ40" i="35"/>
  <c r="BQ195" i="35"/>
  <c r="BQ272" i="35"/>
  <c r="BQ433" i="35"/>
  <c r="BQ255" i="35"/>
  <c r="BQ307" i="35"/>
  <c r="BQ363" i="35"/>
  <c r="BQ322" i="35"/>
  <c r="BQ526" i="35"/>
  <c r="BQ512" i="35"/>
  <c r="BQ285" i="35"/>
  <c r="BQ485" i="35"/>
  <c r="BQ515" i="35"/>
  <c r="BQ432" i="35"/>
  <c r="BQ290" i="35"/>
  <c r="BQ434" i="35"/>
  <c r="BQ248" i="35"/>
  <c r="BQ530" i="35"/>
  <c r="BQ444" i="35"/>
  <c r="BQ189" i="35"/>
  <c r="BQ463" i="35"/>
  <c r="BQ490" i="35"/>
  <c r="BQ197" i="35"/>
  <c r="BQ381" i="35"/>
  <c r="BQ451" i="35"/>
  <c r="BQ509" i="35"/>
  <c r="BQ302" i="35"/>
  <c r="BQ89" i="35"/>
  <c r="BQ182" i="35"/>
  <c r="BQ353" i="35"/>
  <c r="BQ61" i="35"/>
  <c r="BQ79" i="35"/>
  <c r="BQ325" i="35"/>
  <c r="BQ416" i="35"/>
  <c r="BQ199" i="35"/>
  <c r="BQ67" i="35"/>
  <c r="BQ368" i="35"/>
  <c r="BQ513" i="35"/>
  <c r="BQ469" i="35"/>
  <c r="BQ235" i="35"/>
  <c r="BQ403" i="35"/>
  <c r="BQ183" i="35"/>
  <c r="BQ300" i="35"/>
  <c r="BQ154" i="35"/>
  <c r="BQ186" i="35"/>
  <c r="BQ427" i="35"/>
  <c r="BQ334" i="35"/>
  <c r="BQ306" i="35"/>
  <c r="BQ191" i="35"/>
  <c r="BQ121" i="35"/>
  <c r="BQ519" i="35"/>
  <c r="BQ271" i="35"/>
  <c r="BQ281" i="35"/>
  <c r="BQ413" i="35"/>
  <c r="BQ227" i="35"/>
  <c r="BQ401" i="35"/>
  <c r="BQ407" i="35"/>
  <c r="BQ358" i="35"/>
  <c r="BQ352" i="35"/>
  <c r="BQ78" i="35"/>
  <c r="BQ348" i="35"/>
  <c r="BQ113" i="35"/>
  <c r="BQ409" i="35"/>
  <c r="BQ24" i="35"/>
  <c r="BQ252" i="35"/>
  <c r="BQ234" i="35"/>
  <c r="BQ38" i="35"/>
  <c r="BQ517" i="35"/>
  <c r="BQ124" i="35"/>
  <c r="BQ218" i="35"/>
  <c r="BQ296" i="35"/>
  <c r="BQ151" i="35"/>
  <c r="BQ178" i="35"/>
  <c r="BQ77" i="35"/>
  <c r="BQ80" i="35"/>
  <c r="BQ201" i="35"/>
  <c r="BQ166" i="35"/>
  <c r="BQ50" i="35"/>
  <c r="BQ500" i="35"/>
  <c r="BQ140" i="35"/>
  <c r="BQ510" i="35"/>
  <c r="BQ171" i="35"/>
  <c r="BQ338" i="35"/>
  <c r="BQ95" i="35"/>
  <c r="BQ454" i="35"/>
  <c r="BQ74" i="35"/>
  <c r="BQ386" i="35"/>
  <c r="BQ134" i="35"/>
  <c r="BQ84" i="35"/>
  <c r="BQ397" i="35"/>
  <c r="BQ173" i="35"/>
  <c r="BQ379" i="35"/>
  <c r="BQ239" i="35"/>
  <c r="BQ260" i="35"/>
  <c r="BQ376" i="35"/>
  <c r="BQ21" i="35"/>
  <c r="BQ51" i="35"/>
  <c r="BQ221" i="35"/>
  <c r="BQ408" i="35"/>
  <c r="BQ265" i="35"/>
  <c r="BQ245" i="35"/>
  <c r="BQ172" i="35"/>
  <c r="BQ127" i="35"/>
  <c r="BQ332" i="35"/>
  <c r="BQ497" i="35"/>
  <c r="BQ417" i="35"/>
  <c r="BQ303" i="35"/>
  <c r="BQ12" i="35"/>
  <c r="BQ495" i="35"/>
  <c r="BQ287" i="35"/>
  <c r="BQ170" i="35"/>
  <c r="BQ193" i="35"/>
  <c r="BQ206" i="35"/>
  <c r="BQ262" i="35"/>
  <c r="BQ126" i="35"/>
  <c r="BQ345" i="35"/>
  <c r="BQ231" i="35"/>
  <c r="BQ476" i="35"/>
  <c r="BQ236" i="35"/>
  <c r="BQ164" i="35"/>
  <c r="BQ25" i="35"/>
  <c r="BQ169" i="35"/>
  <c r="BQ60" i="35"/>
  <c r="BQ213" i="35"/>
  <c r="BQ391" i="35"/>
  <c r="BQ506" i="35"/>
  <c r="BQ157" i="35"/>
  <c r="BQ395" i="35"/>
  <c r="BQ244" i="35"/>
  <c r="BQ268" i="35"/>
  <c r="BQ145" i="35"/>
  <c r="BQ366" i="35"/>
  <c r="BQ462" i="35"/>
  <c r="BQ528" i="35"/>
  <c r="BQ301" i="35"/>
  <c r="BQ522" i="35"/>
  <c r="BQ97" i="35"/>
  <c r="BQ364" i="35"/>
  <c r="BQ425" i="35"/>
  <c r="BQ399" i="35"/>
  <c r="BQ270" i="35"/>
  <c r="BQ101" i="35"/>
  <c r="BQ362" i="35"/>
  <c r="BQ66" i="35"/>
  <c r="BQ516" i="35"/>
  <c r="BQ102" i="35"/>
  <c r="BQ146" i="35"/>
  <c r="BQ531" i="35"/>
  <c r="BQ333" i="35"/>
  <c r="BQ330" i="35"/>
  <c r="BQ161" i="35"/>
  <c r="BQ196" i="35"/>
  <c r="BQ477" i="35"/>
  <c r="BQ478" i="35"/>
  <c r="BQ246" i="35"/>
  <c r="BQ81" i="35"/>
  <c r="BQ431" i="35"/>
  <c r="BQ384" i="35"/>
  <c r="BQ54" i="35"/>
  <c r="BQ209" i="35"/>
  <c r="BQ250" i="35"/>
  <c r="BQ123" i="35"/>
  <c r="BQ240" i="35"/>
  <c r="BQ73" i="35"/>
  <c r="BQ143" i="35"/>
  <c r="BQ472" i="35"/>
  <c r="BQ430" i="35"/>
  <c r="BQ375" i="35"/>
  <c r="BQ343" i="35"/>
  <c r="BQ200" i="35"/>
  <c r="BQ267" i="35"/>
  <c r="BQ483" i="35"/>
  <c r="BQ149" i="35"/>
  <c r="BQ253" i="35"/>
  <c r="BQ514" i="35"/>
  <c r="BQ370" i="35"/>
  <c r="BQ56" i="35"/>
  <c r="BQ305" i="35"/>
  <c r="BQ59" i="35"/>
  <c r="BQ87" i="35"/>
  <c r="BQ480" i="35"/>
  <c r="BQ192" i="35"/>
  <c r="BQ115" i="35"/>
  <c r="BQ242" i="35"/>
  <c r="BQ18" i="35"/>
  <c r="BQ373" i="35"/>
  <c r="BQ28" i="35"/>
  <c r="BQ457" i="35"/>
  <c r="BQ7" i="35"/>
  <c r="BQ224" i="35"/>
  <c r="BQ284" i="35"/>
  <c r="BQ185" i="35"/>
  <c r="BQ112" i="35"/>
  <c r="BQ114" i="35"/>
  <c r="BQ473" i="35"/>
  <c r="BQ46" i="35"/>
  <c r="BQ261" i="35"/>
  <c r="BQ204" i="35"/>
  <c r="BQ107" i="35"/>
  <c r="BQ448" i="35"/>
  <c r="BQ228" i="35"/>
  <c r="BQ507" i="35"/>
  <c r="BQ442" i="35"/>
  <c r="BQ153" i="35"/>
  <c r="BQ184" i="35"/>
  <c r="BQ33" i="35"/>
  <c r="BQ383" i="35"/>
  <c r="BQ359" i="35"/>
  <c r="BQ29" i="35"/>
  <c r="BQ163" i="35"/>
  <c r="BQ393" i="35"/>
  <c r="BQ398" i="35"/>
  <c r="BQ310" i="35"/>
  <c r="BQ356" i="35"/>
  <c r="BQ168" i="35"/>
  <c r="BQ125" i="35"/>
  <c r="BQ505" i="35"/>
  <c r="BQ52" i="35"/>
  <c r="BQ344" i="35"/>
  <c r="BQ128" i="35"/>
  <c r="BQ319" i="35"/>
  <c r="BQ523" i="35"/>
  <c r="BQ369" i="35"/>
  <c r="BQ328" i="35"/>
  <c r="BQ137" i="35"/>
  <c r="BQ385" i="35"/>
  <c r="BQ72" i="35"/>
  <c r="BQ335" i="35"/>
  <c r="BQ119" i="35"/>
  <c r="BQ117" i="35"/>
  <c r="BQ165" i="35"/>
  <c r="BQ493" i="35"/>
  <c r="BQ374" i="35"/>
  <c r="BQ104" i="35"/>
  <c r="BQ277" i="35"/>
  <c r="BQ8" i="35"/>
  <c r="BQ194" i="35"/>
  <c r="BQ466" i="35"/>
  <c r="BQ148" i="35"/>
  <c r="BQ504" i="35"/>
  <c r="BQ309" i="35"/>
  <c r="BQ27" i="35"/>
  <c r="BQ219" i="35"/>
  <c r="BQ415" i="35"/>
  <c r="BQ411" i="35"/>
  <c r="BQ15" i="35"/>
  <c r="BQ484" i="35"/>
  <c r="BQ453" i="35"/>
  <c r="BQ100" i="35"/>
  <c r="BQ11" i="35"/>
  <c r="BQ156" i="35"/>
  <c r="BQ488" i="35"/>
  <c r="BQ392" i="35"/>
  <c r="BQ298" i="35"/>
  <c r="BQ63" i="35"/>
  <c r="BQ82" i="35"/>
  <c r="BQ419" i="35"/>
  <c r="BQ406" i="35"/>
  <c r="BQ412" i="35"/>
  <c r="BQ459" i="35"/>
  <c r="BQ278" i="35"/>
  <c r="BQ86" i="35"/>
  <c r="BQ286" i="35"/>
  <c r="BQ92" i="35"/>
  <c r="BQ371" i="35"/>
  <c r="BQ139" i="35"/>
  <c r="BQ158" i="35"/>
  <c r="BQ70" i="35"/>
  <c r="BQ449" i="35"/>
  <c r="BQ64" i="35"/>
  <c r="BQ106" i="35"/>
  <c r="BQ471" i="35"/>
  <c r="BQ188" i="35"/>
  <c r="BQ57" i="35"/>
  <c r="BQ323" i="35"/>
  <c r="BQ470" i="35"/>
  <c r="BQ177" i="35"/>
  <c r="BQ475" i="35"/>
  <c r="BQ388" i="35"/>
  <c r="BQ467" i="35"/>
  <c r="BQ214" i="35"/>
  <c r="BQ179" i="35"/>
  <c r="BQ207" i="35"/>
  <c r="BQ342" i="35"/>
  <c r="BQ521" i="35"/>
  <c r="BQ122" i="35"/>
  <c r="BQ465" i="35"/>
  <c r="BQ13" i="35"/>
  <c r="BQ450" i="35"/>
  <c r="BQ233" i="35"/>
  <c r="BQ491" i="35"/>
  <c r="BQ421" i="35"/>
  <c r="BQ144" i="35"/>
  <c r="BQ502" i="35"/>
  <c r="BQ389" i="35"/>
  <c r="BQ299" i="35"/>
  <c r="BQ238" i="35"/>
  <c r="BQ377" i="35"/>
  <c r="BQ479" i="35"/>
  <c r="BQ10" i="35"/>
  <c r="BQ361" i="35"/>
  <c r="BQ426" i="35"/>
  <c r="BQ132" i="35"/>
  <c r="BQ320" i="35"/>
  <c r="BQ75" i="35"/>
  <c r="BQ424" i="35"/>
  <c r="BQ455" i="35"/>
  <c r="BQ446" i="35"/>
  <c r="BQ130" i="35"/>
  <c r="BQ69" i="35"/>
  <c r="BQ324" i="35"/>
  <c r="BQ339" i="35"/>
  <c r="BQ378" i="35"/>
  <c r="BQ525" i="35"/>
  <c r="BQ423" i="35"/>
  <c r="BQ254" i="35"/>
  <c r="BQ486" i="35"/>
  <c r="BQ518" i="35"/>
  <c r="BQ36" i="35"/>
  <c r="BQ222" i="35"/>
  <c r="BQ494" i="35"/>
  <c r="BQ223" i="35"/>
  <c r="BQ108" i="35"/>
  <c r="BQ283" i="35"/>
  <c r="BQ458" i="35"/>
  <c r="BQ420" i="35"/>
  <c r="BQ94" i="35"/>
  <c r="BQ83" i="35"/>
  <c r="BQ440" i="35"/>
  <c r="BQ55" i="35"/>
  <c r="BQ135" i="35"/>
  <c r="BQ85" i="35"/>
  <c r="BQ32" i="35"/>
  <c r="BQ258" i="35"/>
  <c r="BQ190" i="35"/>
  <c r="BQ436" i="35"/>
  <c r="BQ380" i="35"/>
  <c r="BQ354" i="35"/>
  <c r="BQ251" i="35"/>
  <c r="BQ226" i="35"/>
  <c r="BQ167" i="35"/>
  <c r="BQ387" i="35"/>
  <c r="BQ464" i="35"/>
  <c r="BQ355" i="35"/>
  <c r="BQ372" i="35"/>
  <c r="BQ280" i="35"/>
  <c r="BQ292" i="35"/>
  <c r="BQ437" i="35"/>
  <c r="BQ481" i="35"/>
  <c r="BQ508" i="35"/>
  <c r="BQ160" i="35"/>
  <c r="BQ141" i="35"/>
  <c r="BQ331" i="35"/>
  <c r="BQ279" i="35"/>
  <c r="BQ20" i="35"/>
  <c r="BQ47" i="35"/>
  <c r="BQ99" i="35"/>
  <c r="BQ138" i="35"/>
  <c r="BQ529" i="35"/>
  <c r="BQ269" i="35"/>
  <c r="BQ312" i="35"/>
  <c r="BQ282" i="35"/>
  <c r="BQ16" i="35"/>
  <c r="BQ468" i="35"/>
  <c r="BQ499" i="35"/>
  <c r="BQ297" i="35"/>
  <c r="BQ220" i="35"/>
  <c r="BQ37" i="35"/>
  <c r="BQ313" i="35"/>
  <c r="BQ365" i="35"/>
  <c r="BQ336" i="35"/>
  <c r="BQ402" i="35"/>
  <c r="BQ58" i="35"/>
  <c r="BQ76" i="35"/>
  <c r="BQ315" i="35"/>
  <c r="BQ203" i="35"/>
  <c r="BQ216" i="35"/>
  <c r="BQ456" i="35"/>
  <c r="BQ273" i="35"/>
  <c r="BQ14" i="35"/>
  <c r="BQ129" i="35"/>
  <c r="BQ215" i="35"/>
  <c r="BQ482" i="35"/>
  <c r="BQ308" i="35"/>
  <c r="BQ105" i="35"/>
  <c r="BQ19" i="35"/>
  <c r="BQ111" i="35"/>
  <c r="BQ110" i="35"/>
  <c r="BQ68" i="35"/>
  <c r="BQ394" i="35"/>
  <c r="BQ428" i="35"/>
  <c r="BQ438" i="35"/>
  <c r="BQ487" i="35"/>
  <c r="BQ341" i="35"/>
  <c r="BQ396" i="35"/>
  <c r="BQ443" i="35"/>
  <c r="BQ294" i="35"/>
  <c r="BQ96" i="35"/>
  <c r="BQ347" i="35"/>
  <c r="BQ429" i="35"/>
  <c r="BQ211" i="35"/>
  <c r="BQ180" i="35"/>
  <c r="BQ53" i="35"/>
  <c r="BQ527" i="35"/>
  <c r="BQ492" i="35"/>
  <c r="BQ62" i="35"/>
  <c r="BQ311" i="35"/>
  <c r="BQ304" i="35"/>
  <c r="BQ349" i="35"/>
  <c r="BQ142" i="35"/>
  <c r="BQ367" i="35"/>
  <c r="BQ400" i="35"/>
  <c r="BQ205" i="35"/>
  <c r="BQ289" i="35"/>
  <c r="BQ120" i="35"/>
  <c r="BQ162" i="35"/>
  <c r="BQ41" i="35"/>
  <c r="BQ150" i="35"/>
  <c r="BQ91" i="35"/>
  <c r="BQ382" i="35"/>
  <c r="BQ337" i="35"/>
  <c r="BO3" i="35"/>
  <c r="O18" i="39"/>
  <c r="AR19" i="39"/>
  <c r="BK3" i="20"/>
  <c r="BM253" i="20"/>
  <c r="BM631" i="20"/>
  <c r="BM387" i="20"/>
  <c r="BM423" i="20"/>
  <c r="BM509" i="20"/>
  <c r="BM153" i="20"/>
  <c r="BM593" i="20"/>
  <c r="BM413" i="20"/>
  <c r="BM221" i="20"/>
  <c r="BM77" i="20"/>
  <c r="BM113" i="20"/>
  <c r="BM69" i="20"/>
  <c r="BM197" i="20"/>
  <c r="BM514" i="20"/>
  <c r="BM608" i="20"/>
  <c r="BM202" i="20"/>
  <c r="BM133" i="20"/>
  <c r="BM526" i="20"/>
  <c r="BM335" i="20"/>
  <c r="BM76" i="20"/>
  <c r="BM440" i="20"/>
  <c r="BM544" i="20"/>
  <c r="BM442" i="20"/>
  <c r="BM34" i="20"/>
  <c r="BM555" i="20"/>
  <c r="BM256" i="20"/>
  <c r="BM479" i="20"/>
  <c r="BM269" i="20"/>
  <c r="BM163" i="20"/>
  <c r="BM218" i="20"/>
  <c r="BM196" i="20"/>
  <c r="BM342" i="20"/>
  <c r="BM250" i="20"/>
  <c r="BM72" i="20"/>
  <c r="BM264" i="20"/>
  <c r="BM414" i="20"/>
  <c r="BM103" i="20"/>
  <c r="BM247" i="20"/>
  <c r="BM334" i="20"/>
  <c r="BM629" i="20"/>
  <c r="BM225" i="20"/>
  <c r="BM198" i="20"/>
  <c r="BM56" i="20"/>
  <c r="BM148" i="20"/>
  <c r="BM160" i="20"/>
  <c r="BM409" i="20"/>
  <c r="BM20" i="20"/>
  <c r="BM649" i="20"/>
  <c r="BM406" i="20"/>
  <c r="BM142" i="20"/>
  <c r="BM374" i="20"/>
  <c r="BM279" i="20"/>
  <c r="BM155" i="20"/>
  <c r="BM368" i="20"/>
  <c r="BM41" i="20"/>
  <c r="BM574" i="20"/>
  <c r="BM80" i="20"/>
  <c r="BM379" i="20"/>
  <c r="BM183" i="20"/>
  <c r="BM194" i="20"/>
  <c r="BM209" i="20"/>
  <c r="BM468" i="20"/>
  <c r="BM240" i="20"/>
  <c r="BM217" i="20"/>
  <c r="BM596" i="20"/>
  <c r="BM320" i="20"/>
  <c r="BM136" i="20"/>
  <c r="BM360" i="20"/>
  <c r="BM567" i="20"/>
  <c r="BM554" i="20"/>
  <c r="BM473" i="20"/>
  <c r="BM31" i="20"/>
  <c r="BM63" i="20"/>
  <c r="BM290" i="20"/>
  <c r="BM622" i="20"/>
  <c r="BM275" i="20"/>
  <c r="BM82" i="20"/>
  <c r="BM461" i="20"/>
  <c r="BM354" i="20"/>
  <c r="BM351" i="20"/>
  <c r="BM424" i="20"/>
  <c r="BM10" i="20"/>
  <c r="BM216" i="20"/>
  <c r="BM199" i="20"/>
  <c r="BM499" i="20"/>
  <c r="BM171" i="20"/>
  <c r="BM122" i="20"/>
  <c r="BM489" i="20"/>
  <c r="BM55" i="20"/>
  <c r="BM563" i="20"/>
  <c r="BM145" i="20"/>
  <c r="BM370" i="20"/>
  <c r="BM337" i="20"/>
  <c r="BM349" i="20"/>
  <c r="BM262" i="20"/>
  <c r="BM306" i="20"/>
  <c r="BM498" i="20"/>
  <c r="BM485" i="20"/>
  <c r="BM432" i="20"/>
  <c r="BM92" i="20"/>
  <c r="BM309" i="20"/>
  <c r="BM67" i="20"/>
  <c r="BM298" i="20"/>
  <c r="BM265" i="20"/>
  <c r="BM166" i="20"/>
  <c r="BM108" i="20"/>
  <c r="BM553" i="20"/>
  <c r="BM12" i="20"/>
  <c r="BM539" i="20"/>
  <c r="BM529" i="20"/>
  <c r="BM47" i="20"/>
  <c r="BM517" i="20"/>
  <c r="BM364" i="20"/>
  <c r="BM541" i="20"/>
  <c r="BM564" i="20"/>
  <c r="BM57" i="20"/>
  <c r="BM493" i="20"/>
  <c r="BM263" i="20"/>
  <c r="BM54" i="20"/>
  <c r="BM310" i="20"/>
  <c r="BM338" i="20"/>
  <c r="BM533" i="20"/>
  <c r="BM619" i="20"/>
  <c r="BM95" i="20"/>
  <c r="BM79" i="20"/>
  <c r="BM598" i="20"/>
  <c r="BM399" i="20"/>
  <c r="BM339" i="20"/>
  <c r="BM604" i="20"/>
  <c r="BM487" i="20"/>
  <c r="BM447" i="20"/>
  <c r="BM125" i="20"/>
  <c r="BM299" i="20"/>
  <c r="BM261" i="20"/>
  <c r="BM626" i="20"/>
  <c r="BM540" i="20"/>
  <c r="BM480" i="20"/>
  <c r="BM78" i="20"/>
  <c r="BM97" i="20"/>
  <c r="BM246" i="20"/>
  <c r="BM451" i="20"/>
  <c r="BM395" i="20"/>
  <c r="BM138" i="20"/>
  <c r="BM552" i="20"/>
  <c r="BM462" i="20"/>
  <c r="BM315" i="20"/>
  <c r="BM650" i="20"/>
  <c r="BM220" i="20"/>
  <c r="BM168" i="20"/>
  <c r="BM542" i="20"/>
  <c r="BM363" i="20"/>
  <c r="BM511" i="20"/>
  <c r="BM405" i="20"/>
  <c r="BM26" i="20"/>
  <c r="BM224" i="20"/>
  <c r="BM492" i="20"/>
  <c r="BM85" i="20"/>
  <c r="BM114" i="20"/>
  <c r="BM46" i="20"/>
  <c r="BM393" i="20"/>
  <c r="BM586" i="20"/>
  <c r="BM582" i="20"/>
  <c r="BM314" i="20"/>
  <c r="BM648" i="20"/>
  <c r="BM325" i="20"/>
  <c r="BM98" i="20"/>
  <c r="BM323" i="20"/>
  <c r="BM176" i="20"/>
  <c r="BM177" i="20"/>
  <c r="BM130" i="20"/>
  <c r="BM602" i="20"/>
  <c r="BM75" i="20"/>
  <c r="BM557" i="20"/>
  <c r="BM579" i="20"/>
  <c r="BM580" i="20"/>
  <c r="BM643" i="20"/>
  <c r="BM237" i="20"/>
  <c r="BM627" i="20"/>
  <c r="BM471" i="20"/>
  <c r="BM559" i="20"/>
  <c r="BM640" i="20"/>
  <c r="BM512" i="20"/>
  <c r="BM392" i="20"/>
  <c r="BM181" i="20"/>
  <c r="BM212" i="20"/>
  <c r="BM545" i="20"/>
  <c r="BM234" i="20"/>
  <c r="BM295" i="20"/>
  <c r="BM297" i="20"/>
  <c r="BM200" i="20"/>
  <c r="BM505" i="20"/>
  <c r="BM169" i="20"/>
  <c r="BM244" i="20"/>
  <c r="BM184" i="20"/>
  <c r="BM458" i="20"/>
  <c r="BM478" i="20"/>
  <c r="BM243" i="20"/>
  <c r="BM45" i="20"/>
  <c r="BM228" i="20"/>
  <c r="BM117" i="20"/>
  <c r="BM19" i="20"/>
  <c r="BM508" i="20"/>
  <c r="BM362" i="20"/>
  <c r="BM599" i="20"/>
  <c r="BM420" i="20"/>
  <c r="BM278" i="20"/>
  <c r="BM429" i="20"/>
  <c r="BM394" i="20"/>
  <c r="BM513" i="20"/>
  <c r="BM357" i="20"/>
  <c r="BM607" i="20"/>
  <c r="BM291" i="20"/>
  <c r="BM528" i="20"/>
  <c r="BM319" i="20"/>
  <c r="BM239" i="20"/>
  <c r="BM635" i="20"/>
  <c r="BM213" i="20"/>
  <c r="BM327" i="20"/>
  <c r="BM486" i="20"/>
  <c r="BM336" i="20"/>
  <c r="BM500" i="20"/>
  <c r="BM652" i="20"/>
  <c r="BM249" i="20"/>
  <c r="BM408" i="20"/>
  <c r="BM175" i="20"/>
  <c r="BM109" i="20"/>
  <c r="BM615" i="20"/>
  <c r="BM307" i="20"/>
  <c r="BM64" i="20"/>
  <c r="BM482" i="20"/>
  <c r="BM270" i="20"/>
  <c r="BM150" i="20"/>
  <c r="BM131" i="20"/>
  <c r="BM115" i="20"/>
  <c r="BM352" i="20"/>
  <c r="BM376" i="20"/>
  <c r="BM329" i="20"/>
  <c r="BM550" i="20"/>
  <c r="BM625" i="20"/>
  <c r="BM385" i="20"/>
  <c r="BM537" i="20"/>
  <c r="BM14" i="20"/>
  <c r="BM435" i="20"/>
  <c r="BM170" i="20"/>
  <c r="BM90" i="20"/>
  <c r="BM53" i="20"/>
  <c r="BM439" i="20"/>
  <c r="BM91" i="20"/>
  <c r="BM104" i="20"/>
  <c r="BM417" i="20"/>
  <c r="BM506" i="20"/>
  <c r="BM621" i="20"/>
  <c r="BM497" i="20"/>
  <c r="BM642" i="20"/>
  <c r="BM501" i="20"/>
  <c r="BM507" i="20"/>
  <c r="BM588" i="20"/>
  <c r="BM519" i="20"/>
  <c r="BM430" i="20"/>
  <c r="BM494" i="20"/>
  <c r="BM561" i="20"/>
  <c r="BM195" i="20"/>
  <c r="BM284" i="20"/>
  <c r="BM58" i="20"/>
  <c r="BM366" i="20"/>
  <c r="BM180" i="20"/>
  <c r="BM522" i="20"/>
  <c r="BM193" i="20"/>
  <c r="BM215" i="20"/>
  <c r="BM121" i="20"/>
  <c r="BM89" i="20"/>
  <c r="BM396" i="20"/>
  <c r="BM383" i="20"/>
  <c r="BM518" i="20"/>
  <c r="BM378" i="20"/>
  <c r="BM51" i="20"/>
  <c r="BM467" i="20"/>
  <c r="BM415" i="20"/>
  <c r="BM585" i="20"/>
  <c r="BM536" i="20"/>
  <c r="BM119" i="20"/>
  <c r="BM426" i="20"/>
  <c r="BM316" i="20"/>
  <c r="BM139" i="20"/>
  <c r="BM293" i="20"/>
  <c r="BM288" i="20"/>
  <c r="BM33" i="20"/>
  <c r="BM344" i="20"/>
  <c r="BM606" i="20"/>
  <c r="BM375" i="20"/>
  <c r="BM301" i="20"/>
  <c r="BM326" i="20"/>
  <c r="BM645" i="20"/>
  <c r="BM583" i="20"/>
  <c r="BM380" i="20"/>
  <c r="BM547" i="20"/>
  <c r="BM96" i="20"/>
  <c r="BM481" i="20"/>
  <c r="BM242" i="20"/>
  <c r="BM464" i="20"/>
  <c r="BM433" i="20"/>
  <c r="BM280" i="20"/>
  <c r="BM416" i="20"/>
  <c r="BM271" i="20"/>
  <c r="BM146" i="20"/>
  <c r="BM186" i="20"/>
  <c r="BM129" i="20"/>
  <c r="BM52" i="20"/>
  <c r="BM124" i="20"/>
  <c r="BM144" i="20"/>
  <c r="BM159" i="20"/>
  <c r="BM324" i="20"/>
  <c r="BM36" i="20"/>
  <c r="BM205" i="20"/>
  <c r="BM189" i="20"/>
  <c r="BM590" i="20"/>
  <c r="BM105" i="20"/>
  <c r="BM254" i="20"/>
  <c r="BM407" i="20"/>
  <c r="BM594" i="20"/>
  <c r="BM137" i="20"/>
  <c r="BM102" i="20"/>
  <c r="BM651" i="20"/>
  <c r="BM456" i="20"/>
  <c r="BM444" i="20"/>
  <c r="BM68" i="20"/>
  <c r="BM558" i="20"/>
  <c r="BM617" i="20"/>
  <c r="BM348" i="20"/>
  <c r="BM532" i="20"/>
  <c r="BM510" i="20"/>
  <c r="BM302" i="20"/>
  <c r="BM623" i="20"/>
  <c r="BM191" i="20"/>
  <c r="BM373" i="20"/>
  <c r="BM422" i="20"/>
  <c r="BM321" i="20"/>
  <c r="BM294" i="20"/>
  <c r="BM446" i="20"/>
  <c r="BM135" i="20"/>
  <c r="BM35" i="20"/>
  <c r="BM179" i="20"/>
  <c r="BM470" i="20"/>
  <c r="BM333" i="20"/>
  <c r="BM516" i="20"/>
  <c r="BM151" i="20"/>
  <c r="BM575" i="20"/>
  <c r="BM312" i="20"/>
  <c r="BM281" i="20"/>
  <c r="BM18" i="20"/>
  <c r="BM630" i="20"/>
  <c r="BM443" i="20"/>
  <c r="BM174" i="20"/>
  <c r="BM9" i="20"/>
  <c r="BM268" i="20"/>
  <c r="BM578" i="20"/>
  <c r="BM255" i="20"/>
  <c r="BM126" i="20"/>
  <c r="BM282" i="20"/>
  <c r="BM59" i="20"/>
  <c r="BM571" i="20"/>
  <c r="BM343" i="20"/>
  <c r="BM436" i="20"/>
  <c r="BM287" i="20"/>
  <c r="BM600" i="20"/>
  <c r="BM165" i="20"/>
  <c r="BM83" i="20"/>
  <c r="BM267" i="20"/>
  <c r="BM156" i="20"/>
  <c r="BM418" i="20"/>
  <c r="BM465" i="20"/>
  <c r="BM538" i="20"/>
  <c r="BM614" i="20"/>
  <c r="BM251" i="20"/>
  <c r="BM472" i="20"/>
  <c r="BM647" i="20"/>
  <c r="BM328" i="20"/>
  <c r="BM28" i="20"/>
  <c r="BM277" i="20"/>
  <c r="BM597" i="20"/>
  <c r="BM182" i="20"/>
  <c r="BM99" i="20"/>
  <c r="BM535" i="20"/>
  <c r="BM391" i="20"/>
  <c r="BM491" i="20"/>
  <c r="BM572" i="20"/>
  <c r="BM441" i="20"/>
  <c r="BM274" i="20"/>
  <c r="BM292" i="20"/>
  <c r="BM43" i="20"/>
  <c r="BM60" i="20"/>
  <c r="BM311" i="20"/>
  <c r="BM93" i="20"/>
  <c r="BM560" i="20"/>
  <c r="BM313" i="20"/>
  <c r="BM633" i="20"/>
  <c r="BM632" i="20"/>
  <c r="BM543" i="20"/>
  <c r="BM111" i="20"/>
  <c r="BM317" i="20"/>
  <c r="BM152" i="20"/>
  <c r="BM318" i="20"/>
  <c r="BM637" i="20"/>
  <c r="BM577" i="20"/>
  <c r="BM286" i="20"/>
  <c r="BM410" i="20"/>
  <c r="BM573" i="20"/>
  <c r="BM346" i="20"/>
  <c r="BM230" i="20"/>
  <c r="BM581" i="20"/>
  <c r="BM475" i="20"/>
  <c r="BM158" i="20"/>
  <c r="BM388" i="20"/>
  <c r="BM448" i="20"/>
  <c r="BM419" i="20"/>
  <c r="BM210" i="20"/>
  <c r="BM219" i="20"/>
  <c r="BM245" i="20"/>
  <c r="BM397" i="20"/>
  <c r="BM361" i="20"/>
  <c r="BM222" i="20"/>
  <c r="BM386" i="20"/>
  <c r="BM24" i="20"/>
  <c r="BM551" i="20"/>
  <c r="BM369" i="20"/>
  <c r="BM455" i="20"/>
  <c r="BM641" i="20"/>
  <c r="BM353" i="20"/>
  <c r="BM11" i="20"/>
  <c r="BM147" i="20"/>
  <c r="BM570" i="20"/>
  <c r="BM524" i="20"/>
  <c r="BM140" i="20"/>
  <c r="BM381" i="20"/>
  <c r="BM259" i="20"/>
  <c r="BM347" i="20"/>
  <c r="BM587" i="20"/>
  <c r="BM452" i="20"/>
  <c r="BM39" i="20"/>
  <c r="BM120" i="20"/>
  <c r="BM457" i="20"/>
  <c r="BM50" i="20"/>
  <c r="BM42" i="20"/>
  <c r="BM605" i="20"/>
  <c r="BM450" i="20"/>
  <c r="BM459" i="20"/>
  <c r="BM525" i="20"/>
  <c r="BM488" i="20"/>
  <c r="BM445" i="20"/>
  <c r="BM359" i="20"/>
  <c r="BM208" i="20"/>
  <c r="BM453" i="20"/>
  <c r="BM81" i="20"/>
  <c r="BM591" i="20"/>
  <c r="BM521" i="20"/>
  <c r="BM609" i="20"/>
  <c r="BM86" i="20"/>
  <c r="BM266" i="20"/>
  <c r="BM367" i="20"/>
  <c r="BM107" i="20"/>
  <c r="BM576" i="20"/>
  <c r="BM128" i="20"/>
  <c r="BM534" i="20"/>
  <c r="BM548" i="20"/>
  <c r="BM584" i="20"/>
  <c r="BM233" i="20"/>
  <c r="BM73" i="20"/>
  <c r="BM628" i="20"/>
  <c r="BM300" i="20"/>
  <c r="BM332" i="20"/>
  <c r="BM562" i="20"/>
  <c r="BM15" i="20"/>
  <c r="BM438" i="20"/>
  <c r="BM449" i="20"/>
  <c r="BM612" i="20"/>
  <c r="BM206" i="20"/>
  <c r="BM101" i="20"/>
  <c r="BM112" i="20"/>
  <c r="BM192" i="20"/>
  <c r="BM530" i="20"/>
  <c r="BM469" i="20"/>
  <c r="BM372" i="20"/>
  <c r="BM634" i="20"/>
  <c r="BM252" i="20"/>
  <c r="BM21" i="20"/>
  <c r="BM636" i="20"/>
  <c r="BM616" i="20"/>
  <c r="BM29" i="20"/>
  <c r="BM167" i="20"/>
  <c r="BM460" i="20"/>
  <c r="BM157" i="20"/>
  <c r="BM303" i="20"/>
  <c r="BM390" i="20"/>
  <c r="BM305" i="20"/>
  <c r="BM639" i="20"/>
  <c r="BM258" i="20"/>
  <c r="BM412" i="20"/>
  <c r="BM527" i="20"/>
  <c r="BM611" i="20"/>
  <c r="BM70" i="20"/>
  <c r="BM94" i="20"/>
  <c r="BM503" i="20"/>
  <c r="BM7" i="20"/>
  <c r="BM38" i="20"/>
  <c r="BM556" i="20"/>
  <c r="BM502" i="20"/>
  <c r="BM37" i="20"/>
  <c r="BM531" i="20"/>
  <c r="BM620" i="20"/>
  <c r="BM427" i="20"/>
  <c r="BM484" i="20"/>
  <c r="BM203" i="20"/>
  <c r="BM154" i="20"/>
  <c r="BM569" i="20"/>
  <c r="BM476" i="20"/>
  <c r="BM132" i="20"/>
  <c r="BM565" i="20"/>
  <c r="BM566" i="20"/>
  <c r="BM66" i="20"/>
  <c r="BM308" i="20"/>
  <c r="BM61" i="20"/>
  <c r="BM48" i="20"/>
  <c r="BM546" i="20"/>
  <c r="BM13" i="20"/>
  <c r="BM273" i="20"/>
  <c r="BM161" i="20"/>
  <c r="BM283" i="20"/>
  <c r="BM431" i="20"/>
  <c r="BM358" i="20"/>
  <c r="BM425" i="20"/>
  <c r="BM285" i="20"/>
  <c r="BM466" i="20"/>
  <c r="BM40" i="20"/>
  <c r="BM23" i="20"/>
  <c r="BM350" i="20"/>
  <c r="BM296" i="20"/>
  <c r="BM341" i="20"/>
  <c r="BM190" i="20"/>
  <c r="BM123" i="20"/>
  <c r="BM149" i="20"/>
  <c r="BM16" i="20"/>
  <c r="BM463" i="20"/>
  <c r="BM272" i="20"/>
  <c r="BM207" i="20"/>
  <c r="BM201" i="20"/>
  <c r="BM644" i="20"/>
  <c r="BM162" i="20"/>
  <c r="BM356" i="20"/>
  <c r="BM44" i="20"/>
  <c r="BM127" i="20"/>
  <c r="BM235" i="20"/>
  <c r="BM27" i="20"/>
  <c r="BM504" i="20"/>
  <c r="BM227" i="20"/>
  <c r="BM289" i="20"/>
  <c r="BM624" i="20"/>
  <c r="BM401" i="20"/>
  <c r="BM30" i="20"/>
  <c r="BM248" i="20"/>
  <c r="BM32" i="20"/>
  <c r="BM477" i="20"/>
  <c r="BM384" i="20"/>
  <c r="BM322" i="20"/>
  <c r="BM17" i="20"/>
  <c r="BM490" i="20"/>
  <c r="BM226" i="20"/>
  <c r="BM8" i="20"/>
  <c r="BM49" i="20"/>
  <c r="BM236" i="20"/>
  <c r="BM141" i="20"/>
  <c r="BM143" i="20"/>
  <c r="BM238" i="20"/>
  <c r="BM592" i="20"/>
  <c r="BM549" i="20"/>
  <c r="BM331" i="20"/>
  <c r="BM211" i="20"/>
  <c r="BM223" i="20"/>
  <c r="BM400" i="20"/>
  <c r="BM229" i="20"/>
  <c r="BM371" i="20"/>
  <c r="BM173" i="20"/>
  <c r="BM172" i="20"/>
  <c r="BM428" i="20"/>
  <c r="BM495" i="20"/>
  <c r="BM355" i="20"/>
  <c r="BO4" i="20"/>
  <c r="BM345" i="20"/>
  <c r="BM22" i="20"/>
  <c r="BM404" i="20"/>
  <c r="BM304" i="20"/>
  <c r="BM276" i="20"/>
  <c r="BM106" i="20"/>
  <c r="BM178" i="20"/>
  <c r="BM232" i="20"/>
  <c r="BM164" i="20"/>
  <c r="BM62" i="20"/>
  <c r="BM257" i="20"/>
  <c r="BM231" i="20"/>
  <c r="BM474" i="20"/>
  <c r="BM260" i="20"/>
  <c r="BM330" i="20"/>
  <c r="BM483" i="20"/>
  <c r="BM25" i="20"/>
  <c r="BM71" i="20"/>
  <c r="BM454" i="20"/>
  <c r="BM398" i="20"/>
  <c r="BM74" i="20"/>
  <c r="BM403" i="20"/>
  <c r="BM603" i="20"/>
  <c r="BM84" i="20"/>
  <c r="BM520" i="20"/>
  <c r="BM515" i="20"/>
  <c r="BM118" i="20"/>
  <c r="BM411" i="20"/>
  <c r="BM204" i="20"/>
  <c r="BM100" i="20"/>
  <c r="BM437" i="20"/>
  <c r="BM646" i="20"/>
  <c r="BM87" i="20"/>
  <c r="BM65" i="20"/>
  <c r="BM134" i="20"/>
  <c r="BM188" i="20"/>
  <c r="BM377" i="20"/>
  <c r="BM88" i="20"/>
  <c r="BM110" i="20"/>
  <c r="BM523" i="20"/>
  <c r="BM116" i="20"/>
  <c r="BM601" i="20"/>
  <c r="BM434" i="20"/>
  <c r="BM610" i="20"/>
  <c r="BM214" i="20"/>
  <c r="BM389" i="20"/>
  <c r="BM638" i="20"/>
  <c r="BM187" i="20"/>
  <c r="BM496" i="20"/>
  <c r="BM241" i="20"/>
  <c r="BM589" i="20"/>
  <c r="BM421" i="20"/>
  <c r="BM568" i="20"/>
  <c r="BM185" i="20"/>
  <c r="BM382" i="20"/>
  <c r="BM595" i="20"/>
  <c r="BM365" i="20"/>
  <c r="BM402" i="20"/>
  <c r="BM613" i="20"/>
  <c r="BM618" i="20"/>
  <c r="BM340" i="20"/>
  <c r="O19" i="40"/>
  <c r="AR20" i="40"/>
  <c r="Y13" i="23"/>
  <c r="T14" i="23"/>
  <c r="BT14" i="23" s="1"/>
  <c r="BV7" i="23"/>
  <c r="BT10" i="23"/>
  <c r="BT11" i="23"/>
  <c r="BT12" i="23"/>
  <c r="BT13" i="23"/>
  <c r="BS468" i="35" l="1"/>
  <c r="BS394" i="35"/>
  <c r="BS222" i="35"/>
  <c r="BS33" i="35"/>
  <c r="BS320" i="35"/>
  <c r="BS503" i="35"/>
  <c r="BS128" i="35"/>
  <c r="BS295" i="35"/>
  <c r="BS349" i="35"/>
  <c r="BS524" i="35"/>
  <c r="BS71" i="35"/>
  <c r="BS195" i="35"/>
  <c r="BS430" i="35"/>
  <c r="BS39" i="35"/>
  <c r="BS393" i="35"/>
  <c r="BS447" i="35"/>
  <c r="BS237" i="35"/>
  <c r="BS454" i="35"/>
  <c r="BS378" i="35"/>
  <c r="BS477" i="35"/>
  <c r="BS238" i="35"/>
  <c r="BS58" i="35"/>
  <c r="BS181" i="35"/>
  <c r="BS200" i="35"/>
  <c r="BS175" i="35"/>
  <c r="BS123" i="35"/>
  <c r="BS342" i="35"/>
  <c r="BS410" i="35"/>
  <c r="BS233" i="35"/>
  <c r="BS312" i="35"/>
  <c r="BS416" i="35"/>
  <c r="BS194" i="35"/>
  <c r="BS124" i="35"/>
  <c r="BS305" i="35"/>
  <c r="BS315" i="35"/>
  <c r="BS323" i="35"/>
  <c r="BS125" i="35"/>
  <c r="BS139" i="35"/>
  <c r="BS373" i="35"/>
  <c r="BS274" i="35"/>
  <c r="BS405" i="35"/>
  <c r="BS424" i="35"/>
  <c r="BS337" i="35"/>
  <c r="BS261" i="35"/>
  <c r="BS255" i="35"/>
  <c r="BS177" i="35"/>
  <c r="BS359" i="35"/>
  <c r="BS313" i="35"/>
  <c r="BS52" i="35"/>
  <c r="BS51" i="35"/>
  <c r="BS140" i="35"/>
  <c r="BS483" i="35"/>
  <c r="BS398" i="35"/>
  <c r="BS470" i="35"/>
  <c r="BS474" i="35"/>
  <c r="BS450" i="35"/>
  <c r="BS528" i="35"/>
  <c r="BS344" i="35"/>
  <c r="BS41" i="35"/>
  <c r="BS166" i="35"/>
  <c r="BS48" i="35"/>
  <c r="BS429" i="35"/>
  <c r="BS241" i="35"/>
  <c r="BS85" i="35"/>
  <c r="BS358" i="35"/>
  <c r="BS81" i="35"/>
  <c r="BS530" i="35"/>
  <c r="BS150" i="35"/>
  <c r="BS433" i="35"/>
  <c r="BS316" i="35"/>
  <c r="BS133" i="35"/>
  <c r="BS479" i="35"/>
  <c r="BS147" i="35"/>
  <c r="BS80" i="35"/>
  <c r="BS231" i="35"/>
  <c r="BS189" i="35"/>
  <c r="BS180" i="35"/>
  <c r="BS118" i="35"/>
  <c r="BS7" i="35"/>
  <c r="BS36" i="35"/>
  <c r="BS499" i="35"/>
  <c r="BS435" i="35"/>
  <c r="BS357" i="35"/>
  <c r="BS38" i="35"/>
  <c r="BS201" i="35"/>
  <c r="BS308" i="35"/>
  <c r="BS515" i="35"/>
  <c r="BS431" i="35"/>
  <c r="BS360" i="35"/>
  <c r="BS176" i="35"/>
  <c r="BS276" i="35"/>
  <c r="BS516" i="35"/>
  <c r="BS436" i="35"/>
  <c r="BS43" i="35"/>
  <c r="BS324" i="35"/>
  <c r="BS162" i="35"/>
  <c r="BS153" i="35"/>
  <c r="BS351" i="35"/>
  <c r="BS340" i="35"/>
  <c r="BS331" i="35"/>
  <c r="BS472" i="35"/>
  <c r="BS527" i="35"/>
  <c r="BS388" i="35"/>
  <c r="BS455" i="35"/>
  <c r="BS159" i="35"/>
  <c r="BS185" i="35"/>
  <c r="BS383" i="35"/>
  <c r="BS461" i="35"/>
  <c r="BS440" i="35"/>
  <c r="BS334" i="35"/>
  <c r="BS443" i="35"/>
  <c r="BS248" i="35"/>
  <c r="BS183" i="35"/>
  <c r="BS335" i="35"/>
  <c r="BS353" i="35"/>
  <c r="BS338" i="35"/>
  <c r="BS473" i="35"/>
  <c r="BS348" i="35"/>
  <c r="BS464" i="35"/>
  <c r="BS362" i="35"/>
  <c r="BS111" i="35"/>
  <c r="BU4" i="35"/>
  <c r="BU158" i="35" s="1"/>
  <c r="BS498" i="35"/>
  <c r="BS92" i="35"/>
  <c r="BS62" i="35"/>
  <c r="BS415" i="35"/>
  <c r="BS251" i="35"/>
  <c r="BS16" i="35"/>
  <c r="BS198" i="35"/>
  <c r="BS191" i="35"/>
  <c r="BS99" i="35"/>
  <c r="BS487" i="35"/>
  <c r="BS109" i="35"/>
  <c r="BS500" i="35"/>
  <c r="BS379" i="35"/>
  <c r="BS31" i="35"/>
  <c r="BS294" i="35"/>
  <c r="BS18" i="35"/>
  <c r="BS504" i="35"/>
  <c r="BS407" i="35"/>
  <c r="BS179" i="35"/>
  <c r="BS157" i="35"/>
  <c r="BS108" i="35"/>
  <c r="BS164" i="35"/>
  <c r="BS354" i="35"/>
  <c r="BS178" i="35"/>
  <c r="BS475" i="35"/>
  <c r="BS439" i="35"/>
  <c r="BS267" i="35"/>
  <c r="BS319" i="35"/>
  <c r="BS78" i="35"/>
  <c r="BS322" i="35"/>
  <c r="BS403" i="35"/>
  <c r="BS505" i="35"/>
  <c r="BS377" i="35"/>
  <c r="BS152" i="35"/>
  <c r="BS53" i="35"/>
  <c r="BS206" i="35"/>
  <c r="BS270" i="35"/>
  <c r="BS184" i="35"/>
  <c r="BS438" i="35"/>
  <c r="BS94" i="35"/>
  <c r="BS445" i="35"/>
  <c r="BS130" i="35"/>
  <c r="BS211" i="35"/>
  <c r="BS17" i="35"/>
  <c r="BS207" i="35"/>
  <c r="BS26" i="35"/>
  <c r="BS70" i="35"/>
  <c r="BS441" i="35"/>
  <c r="BS144" i="35"/>
  <c r="BS428" i="35"/>
  <c r="BS397" i="35"/>
  <c r="BS389" i="35"/>
  <c r="BS113" i="35"/>
  <c r="BS73" i="35"/>
  <c r="BS392" i="35"/>
  <c r="BS414" i="35"/>
  <c r="BS296" i="35"/>
  <c r="BS310" i="35"/>
  <c r="BS137" i="35"/>
  <c r="BS293" i="35"/>
  <c r="BS242" i="35"/>
  <c r="BS396" i="35"/>
  <c r="BS279" i="35"/>
  <c r="BS453" i="35"/>
  <c r="BS75" i="35"/>
  <c r="BS247" i="35"/>
  <c r="BS514" i="35"/>
  <c r="BS76" i="35"/>
  <c r="BS25" i="35"/>
  <c r="BS272" i="35"/>
  <c r="BS203" i="35"/>
  <c r="BS271" i="35"/>
  <c r="BS287" i="35"/>
  <c r="BS387" i="35"/>
  <c r="BS35" i="35"/>
  <c r="BS15" i="35"/>
  <c r="BS188" i="35"/>
  <c r="BS406" i="35"/>
  <c r="BS400" i="35"/>
  <c r="BS190" i="35"/>
  <c r="BS65" i="35"/>
  <c r="BS132" i="35"/>
  <c r="BS382" i="35"/>
  <c r="BS463" i="35"/>
  <c r="BS513" i="35"/>
  <c r="BS521" i="35"/>
  <c r="BS510" i="35"/>
  <c r="BS258" i="35"/>
  <c r="BS288" i="35"/>
  <c r="BS84" i="35"/>
  <c r="BS82" i="35"/>
  <c r="BS370" i="35"/>
  <c r="BS332" i="35"/>
  <c r="BS380" i="35"/>
  <c r="BS519" i="35"/>
  <c r="BS432" i="35"/>
  <c r="BS97" i="35"/>
  <c r="BS55" i="35"/>
  <c r="BS47" i="35"/>
  <c r="BS193" i="35"/>
  <c r="BS217" i="35"/>
  <c r="BS478" i="35"/>
  <c r="BS401" i="35"/>
  <c r="BS19" i="35"/>
  <c r="BS29" i="35"/>
  <c r="BS462" i="35"/>
  <c r="BS61" i="35"/>
  <c r="BS138" i="35"/>
  <c r="BS452" i="35"/>
  <c r="BS506" i="35"/>
  <c r="BS96" i="35"/>
  <c r="BS226" i="35"/>
  <c r="BS356" i="35"/>
  <c r="BS28" i="35"/>
  <c r="BS93" i="35"/>
  <c r="BS434" i="35"/>
  <c r="BS413" i="35"/>
  <c r="BS460" i="35"/>
  <c r="BS376" i="35"/>
  <c r="BS496" i="35"/>
  <c r="BS170" i="35"/>
  <c r="BS14" i="35"/>
  <c r="BS390" i="35"/>
  <c r="BS449" i="35"/>
  <c r="BS300" i="35"/>
  <c r="BS384" i="35"/>
  <c r="BS446" i="35"/>
  <c r="BS171" i="35"/>
  <c r="BS236" i="35"/>
  <c r="BS361" i="35"/>
  <c r="BS34" i="35"/>
  <c r="BS266" i="35"/>
  <c r="BS350" i="35"/>
  <c r="BS489" i="35"/>
  <c r="BS525" i="35"/>
  <c r="BS136" i="35"/>
  <c r="BS86" i="35"/>
  <c r="BS202" i="35"/>
  <c r="BS126" i="35"/>
  <c r="BS223" i="35"/>
  <c r="BS155" i="35"/>
  <c r="BS364" i="35"/>
  <c r="BS419" i="35"/>
  <c r="BS27" i="35"/>
  <c r="BS339" i="35"/>
  <c r="BS79" i="35"/>
  <c r="BS220" i="35"/>
  <c r="BS23" i="35"/>
  <c r="BS154" i="35"/>
  <c r="BS253" i="35"/>
  <c r="BS286" i="35"/>
  <c r="BS95" i="35"/>
  <c r="BS321" i="35"/>
  <c r="BS103" i="35"/>
  <c r="BS88" i="35"/>
  <c r="BS260" i="35"/>
  <c r="BS227" i="35"/>
  <c r="BS459" i="35"/>
  <c r="BS219" i="35"/>
  <c r="BS172" i="35"/>
  <c r="BS511" i="35"/>
  <c r="BS9" i="35"/>
  <c r="BS284" i="35"/>
  <c r="BS292" i="35"/>
  <c r="BS116" i="35"/>
  <c r="BS371" i="35"/>
  <c r="BS343" i="35"/>
  <c r="BS42" i="35"/>
  <c r="BS100" i="35"/>
  <c r="BS486" i="35"/>
  <c r="BS285" i="35"/>
  <c r="BS303" i="35"/>
  <c r="BS243" i="35"/>
  <c r="BS386" i="35"/>
  <c r="BS490" i="35"/>
  <c r="BS306" i="35"/>
  <c r="BS59" i="35"/>
  <c r="BS457" i="35"/>
  <c r="BS437" i="35"/>
  <c r="BS265" i="35"/>
  <c r="BS466" i="35"/>
  <c r="BS369" i="35"/>
  <c r="BS326" i="35"/>
  <c r="BS105" i="35"/>
  <c r="BS169" i="35"/>
  <c r="BS518" i="35"/>
  <c r="BS309" i="35"/>
  <c r="BS135" i="35"/>
  <c r="BS24" i="35"/>
  <c r="BS311" i="35"/>
  <c r="BS329" i="35"/>
  <c r="BS281" i="35"/>
  <c r="BS110" i="35"/>
  <c r="BS44" i="35"/>
  <c r="BS417" i="35"/>
  <c r="BS275" i="35"/>
  <c r="BS54" i="35"/>
  <c r="BS90" i="35"/>
  <c r="BS375" i="35"/>
  <c r="BS64" i="35"/>
  <c r="BS341" i="35"/>
  <c r="BS89" i="35"/>
  <c r="BS245" i="35"/>
  <c r="BS216" i="35"/>
  <c r="BS355" i="35"/>
  <c r="BS119" i="35"/>
  <c r="BS264" i="35"/>
  <c r="BS442" i="35"/>
  <c r="BS529" i="35"/>
  <c r="BS336" i="35"/>
  <c r="BS45" i="35"/>
  <c r="BS366" i="35"/>
  <c r="BS391" i="35"/>
  <c r="BS302" i="35"/>
  <c r="BS8" i="35"/>
  <c r="BS199" i="35"/>
  <c r="BS259" i="35"/>
  <c r="BS531" i="35"/>
  <c r="BS32" i="35"/>
  <c r="BS60" i="35"/>
  <c r="BS57" i="35"/>
  <c r="BS328" i="35"/>
  <c r="BS523" i="35"/>
  <c r="BS298" i="35"/>
  <c r="BS374" i="35"/>
  <c r="BS469" i="35"/>
  <c r="BS212" i="35"/>
  <c r="BS367" i="35"/>
  <c r="BS365" i="35"/>
  <c r="BS234" i="35"/>
  <c r="BS411" i="35"/>
  <c r="BS404" i="35"/>
  <c r="BS46" i="35"/>
  <c r="BS49" i="35"/>
  <c r="BS77" i="35"/>
  <c r="BS114" i="35"/>
  <c r="BS277" i="35"/>
  <c r="BS173" i="35"/>
  <c r="BS141" i="35"/>
  <c r="BS507" i="35"/>
  <c r="BS381" i="35"/>
  <c r="BS254" i="35"/>
  <c r="BS418" i="35"/>
  <c r="BS106" i="35"/>
  <c r="BS385" i="35"/>
  <c r="BS187" i="35"/>
  <c r="BS273" i="35"/>
  <c r="BS66" i="35"/>
  <c r="BS230" i="35"/>
  <c r="BS426" i="35"/>
  <c r="BS493" i="35"/>
  <c r="BS182" i="35"/>
  <c r="BS399" i="35"/>
  <c r="BS101" i="35"/>
  <c r="BS134" i="35"/>
  <c r="BS186" i="35"/>
  <c r="BS318" i="35"/>
  <c r="BS282" i="35"/>
  <c r="BS21" i="35"/>
  <c r="BS297" i="35"/>
  <c r="BS422" i="35"/>
  <c r="BS409" i="35"/>
  <c r="BS225" i="35"/>
  <c r="BS314" i="35"/>
  <c r="BS167" i="35"/>
  <c r="BS327" i="35"/>
  <c r="BS98" i="35"/>
  <c r="BS508" i="35"/>
  <c r="BS22" i="35"/>
  <c r="BS214" i="35"/>
  <c r="BS209" i="35"/>
  <c r="BS465" i="35"/>
  <c r="BS37" i="35"/>
  <c r="BS299" i="35"/>
  <c r="BS249" i="35"/>
  <c r="BS204" i="35"/>
  <c r="BS423" i="35"/>
  <c r="BS250" i="35"/>
  <c r="BS502" i="35"/>
  <c r="BS142" i="35"/>
  <c r="BS509" i="35"/>
  <c r="BS368" i="35"/>
  <c r="BS246" i="35"/>
  <c r="BS149" i="35"/>
  <c r="BS121" i="35"/>
  <c r="BS196" i="35"/>
  <c r="BS333" i="35"/>
  <c r="BS263" i="35"/>
  <c r="BS444" i="35"/>
  <c r="BS481" i="35"/>
  <c r="BS72" i="35"/>
  <c r="BS11" i="35"/>
  <c r="BS145" i="35"/>
  <c r="BS290" i="35"/>
  <c r="BS494" i="35"/>
  <c r="BS112" i="35"/>
  <c r="BS421" i="35"/>
  <c r="BS224" i="35"/>
  <c r="BS107" i="35"/>
  <c r="BS304" i="35"/>
  <c r="BS257" i="35"/>
  <c r="BS63" i="35"/>
  <c r="BS218" i="35"/>
  <c r="BS427" i="35"/>
  <c r="BS325" i="35"/>
  <c r="BS256" i="35"/>
  <c r="BS451" i="35"/>
  <c r="BS151" i="35"/>
  <c r="BS158" i="35"/>
  <c r="BS115" i="35"/>
  <c r="BS13" i="35"/>
  <c r="BS412" i="35"/>
  <c r="BS269" i="35"/>
  <c r="BS10" i="35"/>
  <c r="BS520" i="35"/>
  <c r="BS67" i="35"/>
  <c r="BS347" i="35"/>
  <c r="BS458" i="35"/>
  <c r="BS174" i="35"/>
  <c r="BS244" i="35"/>
  <c r="BS208" i="35"/>
  <c r="BS56" i="35"/>
  <c r="BS165" i="35"/>
  <c r="BS425" i="35"/>
  <c r="BS512" i="35"/>
  <c r="BS117" i="35"/>
  <c r="BS104" i="35"/>
  <c r="BS50" i="35"/>
  <c r="BS526" i="35"/>
  <c r="BS30" i="35"/>
  <c r="BS291" i="35"/>
  <c r="BS210" i="35"/>
  <c r="BS83" i="35"/>
  <c r="BS408" i="35"/>
  <c r="BS278" i="35"/>
  <c r="BS482" i="35"/>
  <c r="BS102" i="35"/>
  <c r="BS471" i="35"/>
  <c r="BS221" i="35"/>
  <c r="BS122" i="35"/>
  <c r="BS235" i="35"/>
  <c r="BS192" i="35"/>
  <c r="BS20" i="35"/>
  <c r="BS330" i="35"/>
  <c r="BS91" i="35"/>
  <c r="BS289" i="35"/>
  <c r="BS143" i="35"/>
  <c r="BS517" i="35"/>
  <c r="BS262" i="35"/>
  <c r="BS156" i="35"/>
  <c r="BS131" i="35"/>
  <c r="BS497" i="35"/>
  <c r="BS402" i="35"/>
  <c r="BS127" i="35"/>
  <c r="BS480" i="35"/>
  <c r="BS148" i="35"/>
  <c r="BS40" i="35"/>
  <c r="BS229" i="35"/>
  <c r="BS215" i="35"/>
  <c r="BS307" i="35"/>
  <c r="BS197" i="35"/>
  <c r="BS352" i="35"/>
  <c r="BS120" i="35"/>
  <c r="BS501" i="35"/>
  <c r="BS232" i="35"/>
  <c r="BS301" i="35"/>
  <c r="BS163" i="35"/>
  <c r="BS484" i="35"/>
  <c r="BS345" i="35"/>
  <c r="BS448" i="35"/>
  <c r="BS268" i="35"/>
  <c r="BS488" i="35"/>
  <c r="BS522" i="35"/>
  <c r="BS168" i="35"/>
  <c r="BS228" i="35"/>
  <c r="BS467" i="35"/>
  <c r="BS252" i="35"/>
  <c r="BS456" i="35"/>
  <c r="BS240" i="35"/>
  <c r="BS280" i="35"/>
  <c r="BS69" i="35"/>
  <c r="BS87" i="35"/>
  <c r="BS68" i="35"/>
  <c r="BS395" i="35"/>
  <c r="BS491" i="35"/>
  <c r="BS372" i="35"/>
  <c r="BS213" i="35"/>
  <c r="BS146" i="35"/>
  <c r="BS420" i="35"/>
  <c r="BS239" i="35"/>
  <c r="BS492" i="35"/>
  <c r="BS283" i="35"/>
  <c r="BS485" i="35"/>
  <c r="BS476" i="35"/>
  <c r="BS317" i="35"/>
  <c r="BS74" i="35"/>
  <c r="BS160" i="35"/>
  <c r="BS205" i="35"/>
  <c r="BS495" i="35"/>
  <c r="BS346" i="35"/>
  <c r="BS129" i="35"/>
  <c r="BS161" i="35"/>
  <c r="BS363" i="35"/>
  <c r="BQ3" i="35"/>
  <c r="AR20" i="39"/>
  <c r="O19" i="39"/>
  <c r="BM3" i="20"/>
  <c r="BO584" i="20"/>
  <c r="BO472" i="20"/>
  <c r="BO524" i="20"/>
  <c r="BO578" i="20"/>
  <c r="BO81" i="20"/>
  <c r="BO71" i="20"/>
  <c r="BO58" i="20"/>
  <c r="BO453" i="20"/>
  <c r="BO256" i="20"/>
  <c r="BO522" i="20"/>
  <c r="BO144" i="20"/>
  <c r="BO525" i="20"/>
  <c r="BO238" i="20"/>
  <c r="BO438" i="20"/>
  <c r="BO536" i="20"/>
  <c r="BO31" i="20"/>
  <c r="BO153" i="20"/>
  <c r="BO155" i="20"/>
  <c r="BO467" i="20"/>
  <c r="BO630" i="20"/>
  <c r="BO268" i="20"/>
  <c r="BO61" i="20"/>
  <c r="BO190" i="20"/>
  <c r="BO637" i="20"/>
  <c r="BO285" i="20"/>
  <c r="BO560" i="20"/>
  <c r="BO353" i="20"/>
  <c r="BO156" i="20"/>
  <c r="BO283" i="20"/>
  <c r="BO289" i="20"/>
  <c r="BO487" i="20"/>
  <c r="BO454" i="20"/>
  <c r="BO193" i="20"/>
  <c r="BO220" i="20"/>
  <c r="BO73" i="20"/>
  <c r="BO376" i="20"/>
  <c r="BO117" i="20"/>
  <c r="BO591" i="20"/>
  <c r="BO260" i="20"/>
  <c r="BO451" i="20"/>
  <c r="BO422" i="20"/>
  <c r="BO322" i="20"/>
  <c r="BO632" i="20"/>
  <c r="BO645" i="20"/>
  <c r="BO214" i="20"/>
  <c r="BO498" i="20"/>
  <c r="BO315" i="20"/>
  <c r="BO567" i="20"/>
  <c r="BO277" i="20"/>
  <c r="BO564" i="20"/>
  <c r="BO545" i="20"/>
  <c r="BO206" i="20"/>
  <c r="BO296" i="20"/>
  <c r="BO540" i="20"/>
  <c r="BO477" i="20"/>
  <c r="BO82" i="20"/>
  <c r="BO305" i="20"/>
  <c r="BO272" i="20"/>
  <c r="BO594" i="20"/>
  <c r="BO148" i="20"/>
  <c r="BO335" i="20"/>
  <c r="BQ4" i="20"/>
  <c r="BO341" i="20"/>
  <c r="BO323" i="20"/>
  <c r="BO127" i="20"/>
  <c r="BO505" i="20"/>
  <c r="BO624" i="20"/>
  <c r="BO371" i="20"/>
  <c r="BO480" i="20"/>
  <c r="BO531" i="20"/>
  <c r="BO334" i="20"/>
  <c r="BO65" i="20"/>
  <c r="BO501" i="20"/>
  <c r="BO86" i="20"/>
  <c r="BO385" i="20"/>
  <c r="BO78" i="20"/>
  <c r="BO619" i="20"/>
  <c r="BO54" i="20"/>
  <c r="BO417" i="20"/>
  <c r="BO47" i="20"/>
  <c r="BO370" i="20"/>
  <c r="BO211" i="20"/>
  <c r="BO475" i="20"/>
  <c r="BO258" i="20"/>
  <c r="BO219" i="20"/>
  <c r="BO27" i="20"/>
  <c r="BO173" i="20"/>
  <c r="BO91" i="20"/>
  <c r="BO357" i="20"/>
  <c r="BO405" i="20"/>
  <c r="BO126" i="20"/>
  <c r="BO614" i="20"/>
  <c r="BO469" i="20"/>
  <c r="BO343" i="20"/>
  <c r="BO194" i="20"/>
  <c r="BO295" i="20"/>
  <c r="BO264" i="20"/>
  <c r="BO581" i="20"/>
  <c r="BO20" i="20"/>
  <c r="BO333" i="20"/>
  <c r="BO236" i="20"/>
  <c r="BO641" i="20"/>
  <c r="BO369" i="20"/>
  <c r="BO606" i="20"/>
  <c r="BO280" i="20"/>
  <c r="BO187" i="20"/>
  <c r="BO115" i="20"/>
  <c r="BO544" i="20"/>
  <c r="BO139" i="20"/>
  <c r="BO553" i="20"/>
  <c r="BO583" i="20"/>
  <c r="BO257" i="20"/>
  <c r="BO446" i="20"/>
  <c r="BO365" i="20"/>
  <c r="BO470" i="20"/>
  <c r="BO51" i="20"/>
  <c r="BO300" i="20"/>
  <c r="BO237" i="20"/>
  <c r="BO273" i="20"/>
  <c r="BO623" i="20"/>
  <c r="BO443" i="20"/>
  <c r="BO167" i="20"/>
  <c r="BO599" i="20"/>
  <c r="BO388" i="20"/>
  <c r="BO284" i="20"/>
  <c r="BO145" i="20"/>
  <c r="BO396" i="20"/>
  <c r="BO35" i="20"/>
  <c r="BO11" i="20"/>
  <c r="BO342" i="20"/>
  <c r="BO579" i="20"/>
  <c r="BO592" i="20"/>
  <c r="BO520" i="20"/>
  <c r="BO449" i="20"/>
  <c r="BO491" i="20"/>
  <c r="BO459" i="20"/>
  <c r="BO52" i="20"/>
  <c r="BO76" i="20"/>
  <c r="BO364" i="20"/>
  <c r="BO278" i="20"/>
  <c r="BO274" i="20"/>
  <c r="BO253" i="20"/>
  <c r="BO44" i="20"/>
  <c r="BO161" i="20"/>
  <c r="BO55" i="20"/>
  <c r="BO416" i="20"/>
  <c r="BO548" i="20"/>
  <c r="BO390" i="20"/>
  <c r="BO373" i="20"/>
  <c r="BO412" i="20"/>
  <c r="BO192" i="20"/>
  <c r="BO183" i="20"/>
  <c r="BO150" i="20"/>
  <c r="BO29" i="20"/>
  <c r="BO589" i="20"/>
  <c r="BO445" i="20"/>
  <c r="BO90" i="20"/>
  <c r="BO98" i="20"/>
  <c r="BO209" i="20"/>
  <c r="BO203" i="20"/>
  <c r="BO162" i="20"/>
  <c r="BO358" i="20"/>
  <c r="BO549" i="20"/>
  <c r="BO293" i="20"/>
  <c r="BO326" i="20"/>
  <c r="BO576" i="20"/>
  <c r="BO313" i="20"/>
  <c r="BO561" i="20"/>
  <c r="BO15" i="20"/>
  <c r="BO519" i="20"/>
  <c r="BO363" i="20"/>
  <c r="BO13" i="20"/>
  <c r="BO616" i="20"/>
  <c r="BO473" i="20"/>
  <c r="BO60" i="20"/>
  <c r="BO433" i="20"/>
  <c r="BO415" i="20"/>
  <c r="BO41" i="20"/>
  <c r="BO403" i="20"/>
  <c r="BO122" i="20"/>
  <c r="BO310" i="20"/>
  <c r="BO92" i="20"/>
  <c r="BO232" i="20"/>
  <c r="BO527" i="20"/>
  <c r="BO603" i="20"/>
  <c r="BO577" i="20"/>
  <c r="BO585" i="20"/>
  <c r="BO298" i="20"/>
  <c r="BO104" i="20"/>
  <c r="BO106" i="20"/>
  <c r="BO254" i="20"/>
  <c r="BO344" i="20"/>
  <c r="BO38" i="20"/>
  <c r="BO387" i="20"/>
  <c r="BO401" i="20"/>
  <c r="BO109" i="20"/>
  <c r="BO288" i="20"/>
  <c r="BO178" i="20"/>
  <c r="BO516" i="20"/>
  <c r="BO63" i="20"/>
  <c r="BO263" i="20"/>
  <c r="BO389" i="20"/>
  <c r="BO112" i="20"/>
  <c r="BO163" i="20"/>
  <c r="BO103" i="20"/>
  <c r="BO428" i="20"/>
  <c r="BO556" i="20"/>
  <c r="BO195" i="20"/>
  <c r="BO169" i="20"/>
  <c r="BO605" i="20"/>
  <c r="BO598" i="20"/>
  <c r="BO484" i="20"/>
  <c r="BO252" i="20"/>
  <c r="BO330" i="20"/>
  <c r="BO159" i="20"/>
  <c r="BO486" i="20"/>
  <c r="BO580" i="20"/>
  <c r="BO204" i="20"/>
  <c r="BO554" i="20"/>
  <c r="BO597" i="20"/>
  <c r="BO514" i="20"/>
  <c r="BO43" i="20"/>
  <c r="BO147" i="20"/>
  <c r="BO141" i="20"/>
  <c r="BO566" i="20"/>
  <c r="BO287" i="20"/>
  <c r="BO368" i="20"/>
  <c r="BO85" i="20"/>
  <c r="BO318" i="20"/>
  <c r="BO559" i="20"/>
  <c r="BO227" i="20"/>
  <c r="BO590" i="20"/>
  <c r="BO246" i="20"/>
  <c r="BO348" i="20"/>
  <c r="BO635" i="20"/>
  <c r="BO345" i="20"/>
  <c r="BO650" i="20"/>
  <c r="BO149" i="20"/>
  <c r="BO244" i="20"/>
  <c r="BO448" i="20"/>
  <c r="BO558" i="20"/>
  <c r="BO128" i="20"/>
  <c r="BO102" i="20"/>
  <c r="BO182" i="20"/>
  <c r="BO517" i="20"/>
  <c r="BO504" i="20"/>
  <c r="BO266" i="20"/>
  <c r="BO158" i="20"/>
  <c r="BO379" i="20"/>
  <c r="BO302" i="20"/>
  <c r="BO633" i="20"/>
  <c r="BO72" i="20"/>
  <c r="BO234" i="20"/>
  <c r="BO129" i="20"/>
  <c r="BO465" i="20"/>
  <c r="BO447" i="20"/>
  <c r="BO479" i="20"/>
  <c r="BO552" i="20"/>
  <c r="BO48" i="20"/>
  <c r="BO649" i="20"/>
  <c r="BO80" i="20"/>
  <c r="BO111" i="20"/>
  <c r="BO651" i="20"/>
  <c r="BO247" i="20"/>
  <c r="BO317" i="20"/>
  <c r="BO497" i="20"/>
  <c r="BO221" i="20"/>
  <c r="BO23" i="20"/>
  <c r="BO402" i="20"/>
  <c r="BO474" i="20"/>
  <c r="BO634" i="20"/>
  <c r="BO116" i="20"/>
  <c r="BO507" i="20"/>
  <c r="BO325" i="20"/>
  <c r="BO541" i="20"/>
  <c r="BO511" i="20"/>
  <c r="BO551" i="20"/>
  <c r="BO600" i="20"/>
  <c r="BO45" i="20"/>
  <c r="BO8" i="20"/>
  <c r="BO37" i="20"/>
  <c r="BO640" i="20"/>
  <c r="BO165" i="20"/>
  <c r="BO304" i="20"/>
  <c r="BO604" i="20"/>
  <c r="BO608" i="20"/>
  <c r="BO230" i="20"/>
  <c r="BO137" i="20"/>
  <c r="BO121" i="20"/>
  <c r="BO100" i="20"/>
  <c r="BO542" i="20"/>
  <c r="BO108" i="20"/>
  <c r="BO512" i="20"/>
  <c r="BO557" i="20"/>
  <c r="BO124" i="20"/>
  <c r="BO207" i="20"/>
  <c r="BO118" i="20"/>
  <c r="BO312" i="20"/>
  <c r="BO197" i="20"/>
  <c r="BO259" i="20"/>
  <c r="BO321" i="20"/>
  <c r="BO521" i="20"/>
  <c r="BO588" i="20"/>
  <c r="BO533" i="20"/>
  <c r="BO196" i="20"/>
  <c r="BO241" i="20"/>
  <c r="BO537" i="20"/>
  <c r="BO562" i="20"/>
  <c r="BO436" i="20"/>
  <c r="BO10" i="20"/>
  <c r="BO175" i="20"/>
  <c r="BO518" i="20"/>
  <c r="BO530" i="20"/>
  <c r="BO198" i="20"/>
  <c r="BO607" i="20"/>
  <c r="BO642" i="20"/>
  <c r="BO170" i="20"/>
  <c r="BO382" i="20"/>
  <c r="BO643" i="20"/>
  <c r="BO535" i="20"/>
  <c r="BO439" i="20"/>
  <c r="BO460" i="20"/>
  <c r="BO140" i="20"/>
  <c r="BO629" i="20"/>
  <c r="BO506" i="20"/>
  <c r="BO64" i="20"/>
  <c r="BO347" i="20"/>
  <c r="BO468" i="20"/>
  <c r="BO377" i="20"/>
  <c r="BO223" i="20"/>
  <c r="BO627" i="20"/>
  <c r="BO550" i="20"/>
  <c r="BO547" i="20"/>
  <c r="BO208" i="20"/>
  <c r="BO430" i="20"/>
  <c r="BO200" i="20"/>
  <c r="BO338" i="20"/>
  <c r="BO593" i="20"/>
  <c r="BO500" i="20"/>
  <c r="BO26" i="20"/>
  <c r="BO595" i="20"/>
  <c r="BO57" i="20"/>
  <c r="BO32" i="20"/>
  <c r="BO378" i="20"/>
  <c r="BO384" i="20"/>
  <c r="BO450" i="20"/>
  <c r="BO421" i="20"/>
  <c r="BO239" i="20"/>
  <c r="BO33" i="20"/>
  <c r="BO225" i="20"/>
  <c r="BO526" i="20"/>
  <c r="BO177" i="20"/>
  <c r="BO154" i="20"/>
  <c r="BO21" i="20"/>
  <c r="BO571" i="20"/>
  <c r="BO391" i="20"/>
  <c r="BO88" i="20"/>
  <c r="BO493" i="20"/>
  <c r="BO495" i="20"/>
  <c r="BO307" i="20"/>
  <c r="BO181" i="20"/>
  <c r="BO327" i="20"/>
  <c r="BO201" i="20"/>
  <c r="BO523" i="20"/>
  <c r="BO134" i="20"/>
  <c r="BO610" i="20"/>
  <c r="BO329" i="20"/>
  <c r="BO423" i="20"/>
  <c r="BO185" i="20"/>
  <c r="BO53" i="20"/>
  <c r="BO360" i="20"/>
  <c r="BO189" i="20"/>
  <c r="BO269" i="20"/>
  <c r="BO297" i="20"/>
  <c r="BO34" i="20"/>
  <c r="BO243" i="20"/>
  <c r="BO176" i="20"/>
  <c r="BO199" i="20"/>
  <c r="BO67" i="20"/>
  <c r="BO240" i="20"/>
  <c r="BO233" i="20"/>
  <c r="BO332" i="20"/>
  <c r="BO94" i="20"/>
  <c r="BO120" i="20"/>
  <c r="BO494" i="20"/>
  <c r="BO496" i="20"/>
  <c r="BO123" i="20"/>
  <c r="BO596" i="20"/>
  <c r="BO563" i="20"/>
  <c r="BO638" i="20"/>
  <c r="BO509" i="20"/>
  <c r="BO570" i="20"/>
  <c r="BO7" i="20"/>
  <c r="BO89" i="20"/>
  <c r="BO262" i="20"/>
  <c r="BO146" i="20"/>
  <c r="BO409" i="20"/>
  <c r="BO132" i="20"/>
  <c r="BO395" i="20"/>
  <c r="BO406" i="20"/>
  <c r="BO119" i="20"/>
  <c r="BO336" i="20"/>
  <c r="BO231" i="20"/>
  <c r="BO56" i="20"/>
  <c r="BO184" i="20"/>
  <c r="BO84" i="20"/>
  <c r="BO281" i="20"/>
  <c r="BO529" i="20"/>
  <c r="BO271" i="20"/>
  <c r="BO350" i="20"/>
  <c r="BO25" i="20"/>
  <c r="BO457" i="20"/>
  <c r="BO301" i="20"/>
  <c r="BO546" i="20"/>
  <c r="BO205" i="20"/>
  <c r="BO160" i="20"/>
  <c r="BO489" i="20"/>
  <c r="BO410" i="20"/>
  <c r="BO96" i="20"/>
  <c r="BO513" i="20"/>
  <c r="BO367" i="20"/>
  <c r="BO375" i="20"/>
  <c r="BO636" i="20"/>
  <c r="BO294" i="20"/>
  <c r="BO275" i="20"/>
  <c r="BO456" i="20"/>
  <c r="BO426" i="20"/>
  <c r="BO303" i="20"/>
  <c r="BO228" i="20"/>
  <c r="BO414" i="20"/>
  <c r="BO75" i="20"/>
  <c r="BO12" i="20"/>
  <c r="BO308" i="20"/>
  <c r="BO337" i="20"/>
  <c r="BO19" i="20"/>
  <c r="BO77" i="20"/>
  <c r="BO444" i="20"/>
  <c r="BO328" i="20"/>
  <c r="BO435" i="20"/>
  <c r="BO646" i="20"/>
  <c r="BO404" i="20"/>
  <c r="BO510" i="20"/>
  <c r="BO324" i="20"/>
  <c r="BO131" i="20"/>
  <c r="BO251" i="20"/>
  <c r="BO74" i="20"/>
  <c r="BO270" i="20"/>
  <c r="BO316" i="20"/>
  <c r="BO217" i="20"/>
  <c r="BO314" i="20"/>
  <c r="BO442" i="20"/>
  <c r="BO340" i="20"/>
  <c r="BO311" i="20"/>
  <c r="BO105" i="20"/>
  <c r="BO349" i="20"/>
  <c r="BO174" i="20"/>
  <c r="BO380" i="20"/>
  <c r="BO440" i="20"/>
  <c r="BO612" i="20"/>
  <c r="BO503" i="20"/>
  <c r="BO374" i="20"/>
  <c r="BO622" i="20"/>
  <c r="BO411" i="20"/>
  <c r="BO574" i="20"/>
  <c r="BO248" i="20"/>
  <c r="BO99" i="20"/>
  <c r="BO631" i="20"/>
  <c r="BO488" i="20"/>
  <c r="BO572" i="20"/>
  <c r="BO620" i="20"/>
  <c r="BO639" i="20"/>
  <c r="BO331" i="20"/>
  <c r="BO431" i="20"/>
  <c r="BO628" i="20"/>
  <c r="BO107" i="20"/>
  <c r="BO644" i="20"/>
  <c r="BO267" i="20"/>
  <c r="BO408" i="20"/>
  <c r="BO471" i="20"/>
  <c r="BO502" i="20"/>
  <c r="BO95" i="20"/>
  <c r="BO215" i="20"/>
  <c r="BO17" i="20"/>
  <c r="BO397" i="20"/>
  <c r="BO180" i="20"/>
  <c r="BO478" i="20"/>
  <c r="BO339" i="20"/>
  <c r="BO179" i="20"/>
  <c r="BO152" i="20"/>
  <c r="BO49" i="20"/>
  <c r="BO157" i="20"/>
  <c r="BO135" i="20"/>
  <c r="BO125" i="20"/>
  <c r="BO93" i="20"/>
  <c r="BO213" i="20"/>
  <c r="BO356" i="20"/>
  <c r="BO609" i="20"/>
  <c r="BO366" i="20"/>
  <c r="BO290" i="20"/>
  <c r="BO39" i="20"/>
  <c r="BO392" i="20"/>
  <c r="BO458" i="20"/>
  <c r="BO286" i="20"/>
  <c r="BO441" i="20"/>
  <c r="BO40" i="20"/>
  <c r="BO565" i="20"/>
  <c r="BO188" i="20"/>
  <c r="BO226" i="20"/>
  <c r="BO615" i="20"/>
  <c r="BO399" i="20"/>
  <c r="BO538" i="20"/>
  <c r="BO617" i="20"/>
  <c r="BO394" i="20"/>
  <c r="BO648" i="20"/>
  <c r="BO218" i="20"/>
  <c r="BO461" i="20"/>
  <c r="BO171" i="20"/>
  <c r="BO652" i="20"/>
  <c r="BO582" i="20"/>
  <c r="BO483" i="20"/>
  <c r="BO492" i="20"/>
  <c r="BO463" i="20"/>
  <c r="BO466" i="20"/>
  <c r="BO97" i="20"/>
  <c r="BO279" i="20"/>
  <c r="BO250" i="20"/>
  <c r="BO508" i="20"/>
  <c r="BO79" i="20"/>
  <c r="BO28" i="20"/>
  <c r="BO569" i="20"/>
  <c r="BO113" i="20"/>
  <c r="BO164" i="20"/>
  <c r="BO393" i="20"/>
  <c r="BO202" i="20"/>
  <c r="BO299" i="20"/>
  <c r="BO276" i="20"/>
  <c r="BO186" i="20"/>
  <c r="BO191" i="20"/>
  <c r="BO437" i="20"/>
  <c r="BO602" i="20"/>
  <c r="BO229" i="20"/>
  <c r="BO346" i="20"/>
  <c r="BO419" i="20"/>
  <c r="BO647" i="20"/>
  <c r="BO515" i="20"/>
  <c r="BO381" i="20"/>
  <c r="BO319" i="20"/>
  <c r="BO434" i="20"/>
  <c r="BO222" i="20"/>
  <c r="BO424" i="20"/>
  <c r="BO534" i="20"/>
  <c r="BO354" i="20"/>
  <c r="BO68" i="20"/>
  <c r="BO151" i="20"/>
  <c r="BO499" i="20"/>
  <c r="BO625" i="20"/>
  <c r="BO255" i="20"/>
  <c r="BO50" i="20"/>
  <c r="BO66" i="20"/>
  <c r="BO30" i="20"/>
  <c r="BO83" i="20"/>
  <c r="BO14" i="20"/>
  <c r="BO24" i="20"/>
  <c r="BO528" i="20"/>
  <c r="BO427" i="20"/>
  <c r="BO261" i="20"/>
  <c r="BO543" i="20"/>
  <c r="BO362" i="20"/>
  <c r="BO172" i="20"/>
  <c r="BO46" i="20"/>
  <c r="BO309" i="20"/>
  <c r="BO407" i="20"/>
  <c r="BO143" i="20"/>
  <c r="BO481" i="20"/>
  <c r="BO568" i="20"/>
  <c r="BO462" i="20"/>
  <c r="BO464" i="20"/>
  <c r="BO210" i="20"/>
  <c r="BO9" i="20"/>
  <c r="BO42" i="20"/>
  <c r="BO429" i="20"/>
  <c r="BO476" i="20"/>
  <c r="BO265" i="20"/>
  <c r="BO413" i="20"/>
  <c r="BO242" i="20"/>
  <c r="BO245" i="20"/>
  <c r="BO110" i="20"/>
  <c r="BO291" i="20"/>
  <c r="BO224" i="20"/>
  <c r="BO62" i="20"/>
  <c r="BO425" i="20"/>
  <c r="BO432" i="20"/>
  <c r="BO138" i="20"/>
  <c r="BO485" i="20"/>
  <c r="BO482" i="20"/>
  <c r="BO114" i="20"/>
  <c r="BO611" i="20"/>
  <c r="BO292" i="20"/>
  <c r="BO420" i="20"/>
  <c r="BO282" i="20"/>
  <c r="BO621" i="20"/>
  <c r="BO355" i="20"/>
  <c r="BO352" i="20"/>
  <c r="BO130" i="20"/>
  <c r="BO400" i="20"/>
  <c r="BO455" i="20"/>
  <c r="BO539" i="20"/>
  <c r="BO386" i="20"/>
  <c r="BO613" i="20"/>
  <c r="BO235" i="20"/>
  <c r="BO216" i="20"/>
  <c r="BO142" i="20"/>
  <c r="BO70" i="20"/>
  <c r="BO555" i="20"/>
  <c r="BO575" i="20"/>
  <c r="BO168" i="20"/>
  <c r="BO587" i="20"/>
  <c r="BO306" i="20"/>
  <c r="BO69" i="20"/>
  <c r="BO101" i="20"/>
  <c r="BO601" i="20"/>
  <c r="BO626" i="20"/>
  <c r="BO398" i="20"/>
  <c r="BO36" i="20"/>
  <c r="BO383" i="20"/>
  <c r="BO532" i="20"/>
  <c r="BO16" i="20"/>
  <c r="BO87" i="20"/>
  <c r="BO573" i="20"/>
  <c r="BO418" i="20"/>
  <c r="BO133" i="20"/>
  <c r="BO249" i="20"/>
  <c r="BO320" i="20"/>
  <c r="BO452" i="20"/>
  <c r="BO618" i="20"/>
  <c r="BO136" i="20"/>
  <c r="BO212" i="20"/>
  <c r="BO59" i="20"/>
  <c r="BO166" i="20"/>
  <c r="BO351" i="20"/>
  <c r="BO586" i="20"/>
  <c r="BO361" i="20"/>
  <c r="BO359" i="20"/>
  <c r="BO22" i="20"/>
  <c r="BO372" i="20"/>
  <c r="BO490" i="20"/>
  <c r="BO18" i="20"/>
  <c r="AR21" i="40"/>
  <c r="O20" i="40"/>
  <c r="BU310" i="35"/>
  <c r="BU26" i="35"/>
  <c r="BU109" i="35"/>
  <c r="BU303" i="35"/>
  <c r="BU307" i="35"/>
  <c r="BU87" i="35"/>
  <c r="BU40" i="35"/>
  <c r="BU411" i="35"/>
  <c r="BU53" i="35"/>
  <c r="BU240" i="35"/>
  <c r="BU231" i="35"/>
  <c r="AZ14" i="23"/>
  <c r="AV14" i="23"/>
  <c r="AX14" i="23"/>
  <c r="BD14" i="23"/>
  <c r="AN14" i="23"/>
  <c r="V14" i="23"/>
  <c r="BN14" i="23"/>
  <c r="BL14" i="23"/>
  <c r="AL14" i="23"/>
  <c r="W14" i="23"/>
  <c r="BB14" i="23"/>
  <c r="AF14" i="23"/>
  <c r="BP14" i="23"/>
  <c r="BF14" i="23"/>
  <c r="AB14" i="23"/>
  <c r="AT14" i="23"/>
  <c r="AP14" i="23"/>
  <c r="AH14" i="23"/>
  <c r="AJ14" i="23"/>
  <c r="BJ14" i="23"/>
  <c r="AD14" i="23"/>
  <c r="AR14" i="23"/>
  <c r="BH14" i="23"/>
  <c r="BR14" i="23"/>
  <c r="BV12" i="23"/>
  <c r="BV11" i="23"/>
  <c r="BV10" i="23"/>
  <c r="BV13" i="23"/>
  <c r="BV14" i="23"/>
  <c r="BU367" i="35" l="1"/>
  <c r="BU181" i="35"/>
  <c r="BU88" i="35"/>
  <c r="BU225" i="35"/>
  <c r="BU47" i="35"/>
  <c r="BU491" i="35"/>
  <c r="BU207" i="35"/>
  <c r="BU84" i="35"/>
  <c r="BU337" i="35"/>
  <c r="BU140" i="35"/>
  <c r="BU308" i="35"/>
  <c r="BU180" i="35"/>
  <c r="BU316" i="35"/>
  <c r="BU503" i="35"/>
  <c r="BU464" i="35"/>
  <c r="BU95" i="35"/>
  <c r="BU425" i="35"/>
  <c r="BU7" i="35"/>
  <c r="BU222" i="35"/>
  <c r="BU23" i="35"/>
  <c r="BU291" i="35"/>
  <c r="BU439" i="35"/>
  <c r="BU64" i="35"/>
  <c r="BU9" i="35"/>
  <c r="BU75" i="35"/>
  <c r="BU142" i="35"/>
  <c r="BU301" i="35"/>
  <c r="BU78" i="35"/>
  <c r="BU116" i="35"/>
  <c r="BU431" i="35"/>
  <c r="BU15" i="35"/>
  <c r="BU347" i="35"/>
  <c r="BU300" i="35"/>
  <c r="BU98" i="35"/>
  <c r="BU14" i="35"/>
  <c r="BU135" i="35"/>
  <c r="BU386" i="35"/>
  <c r="BU296" i="35"/>
  <c r="BU34" i="35"/>
  <c r="BU530" i="35"/>
  <c r="BU277" i="35"/>
  <c r="BU522" i="35"/>
  <c r="BU85" i="35"/>
  <c r="BU406" i="35"/>
  <c r="BS3" i="35"/>
  <c r="BU216" i="35"/>
  <c r="BU234" i="35"/>
  <c r="BU55" i="35"/>
  <c r="BU252" i="35"/>
  <c r="BU185" i="35"/>
  <c r="BU236" i="35"/>
  <c r="BU196" i="35"/>
  <c r="BU91" i="35"/>
  <c r="BU368" i="35"/>
  <c r="BU59" i="35"/>
  <c r="BU70" i="35"/>
  <c r="BU54" i="35"/>
  <c r="BU250" i="35"/>
  <c r="BU106" i="35"/>
  <c r="BU29" i="35"/>
  <c r="BU235" i="35"/>
  <c r="BU388" i="35"/>
  <c r="BU134" i="35"/>
  <c r="BU366" i="35"/>
  <c r="BU253" i="35"/>
  <c r="BU206" i="35"/>
  <c r="BU115" i="35"/>
  <c r="BU380" i="35"/>
  <c r="BU133" i="35"/>
  <c r="BU56" i="35"/>
  <c r="BU517" i="35"/>
  <c r="BU129" i="35"/>
  <c r="BU274" i="35"/>
  <c r="BU266" i="35"/>
  <c r="BU259" i="35"/>
  <c r="BU110" i="35"/>
  <c r="BU330" i="35"/>
  <c r="BU143" i="35"/>
  <c r="BU428" i="35"/>
  <c r="BU318" i="35"/>
  <c r="BU198" i="35"/>
  <c r="BU362" i="35"/>
  <c r="BU20" i="35"/>
  <c r="BU209" i="35"/>
  <c r="BU306" i="35"/>
  <c r="BU342" i="35"/>
  <c r="BU489" i="35"/>
  <c r="BU293" i="35"/>
  <c r="BU208" i="35"/>
  <c r="BU19" i="35"/>
  <c r="BU327" i="35"/>
  <c r="BU211" i="35"/>
  <c r="BU415" i="35"/>
  <c r="BU490" i="35"/>
  <c r="BU107" i="35"/>
  <c r="BU136" i="35"/>
  <c r="BU506" i="35"/>
  <c r="BU397" i="35"/>
  <c r="BU186" i="35"/>
  <c r="BU179" i="35"/>
  <c r="BU149" i="35"/>
  <c r="BU80" i="35"/>
  <c r="BU159" i="35"/>
  <c r="BU146" i="35"/>
  <c r="BU468" i="35"/>
  <c r="BU470" i="35"/>
  <c r="BU445" i="35"/>
  <c r="BU245" i="35"/>
  <c r="BU82" i="35"/>
  <c r="BU496" i="35"/>
  <c r="BU92" i="35"/>
  <c r="BU103" i="35"/>
  <c r="BU269" i="35"/>
  <c r="BU50" i="35"/>
  <c r="BU407" i="35"/>
  <c r="BU441" i="35"/>
  <c r="BU346" i="35"/>
  <c r="BU111" i="35"/>
  <c r="BU420" i="35"/>
  <c r="BU474" i="35"/>
  <c r="BU520" i="35"/>
  <c r="BU119" i="35"/>
  <c r="BU96" i="35"/>
  <c r="BU176" i="35"/>
  <c r="BU228" i="35"/>
  <c r="BU451" i="35"/>
  <c r="BU227" i="35"/>
  <c r="BU529" i="35"/>
  <c r="BU153" i="35"/>
  <c r="BU459" i="35"/>
  <c r="BU359" i="35"/>
  <c r="BU261" i="35"/>
  <c r="BU398" i="35"/>
  <c r="BU273" i="35"/>
  <c r="BU215" i="35"/>
  <c r="BU165" i="35"/>
  <c r="BU8" i="35"/>
  <c r="BU220" i="35"/>
  <c r="BU28" i="35"/>
  <c r="BU450" i="35"/>
  <c r="BU212" i="35"/>
  <c r="BU104" i="35"/>
  <c r="BU52" i="35"/>
  <c r="BU173" i="35"/>
  <c r="BU267" i="35"/>
  <c r="BU147" i="35"/>
  <c r="BU178" i="35"/>
  <c r="BW4" i="35"/>
  <c r="BW390" i="35" s="1"/>
  <c r="BU21" i="35"/>
  <c r="BU433" i="35"/>
  <c r="BU335" i="35"/>
  <c r="BU74" i="35"/>
  <c r="BU353" i="35"/>
  <c r="BU432" i="35"/>
  <c r="BU239" i="35"/>
  <c r="BU463" i="35"/>
  <c r="BU505" i="35"/>
  <c r="BU282" i="35"/>
  <c r="BU229" i="35"/>
  <c r="BU188" i="35"/>
  <c r="BU199" i="35"/>
  <c r="BU358" i="35"/>
  <c r="BU329" i="35"/>
  <c r="BU526" i="35"/>
  <c r="BU494" i="35"/>
  <c r="BU486" i="35"/>
  <c r="BU287" i="35"/>
  <c r="BU172" i="35"/>
  <c r="BU338" i="35"/>
  <c r="BU62" i="35"/>
  <c r="BU108" i="35"/>
  <c r="BU145" i="35"/>
  <c r="BU360" i="35"/>
  <c r="BU156" i="35"/>
  <c r="BU314" i="35"/>
  <c r="BU409" i="35"/>
  <c r="BU214" i="35"/>
  <c r="BU203" i="35"/>
  <c r="BU376" i="35"/>
  <c r="BU471" i="35"/>
  <c r="BU139" i="35"/>
  <c r="BU448" i="35"/>
  <c r="BU484" i="35"/>
  <c r="BU247" i="35"/>
  <c r="BU311" i="35"/>
  <c r="BU289" i="35"/>
  <c r="BU527" i="35"/>
  <c r="BU148" i="35"/>
  <c r="BU400" i="35"/>
  <c r="BU204" i="35"/>
  <c r="BU97" i="35"/>
  <c r="BU507" i="35"/>
  <c r="BU24" i="35"/>
  <c r="BU233" i="35"/>
  <c r="BU86" i="35"/>
  <c r="BU10" i="35"/>
  <c r="BU387" i="35"/>
  <c r="BU202" i="35"/>
  <c r="BU444" i="35"/>
  <c r="BU248" i="35"/>
  <c r="BU374" i="35"/>
  <c r="BU504" i="35"/>
  <c r="BU175" i="35"/>
  <c r="BU408" i="35"/>
  <c r="BU341" i="35"/>
  <c r="BU251" i="35"/>
  <c r="BU405" i="35"/>
  <c r="BU436" i="35"/>
  <c r="BU170" i="35"/>
  <c r="BU356" i="35"/>
  <c r="BU458" i="35"/>
  <c r="BU232" i="35"/>
  <c r="BU260" i="35"/>
  <c r="BU275" i="35"/>
  <c r="BU33" i="35"/>
  <c r="BU230" i="35"/>
  <c r="BU169" i="35"/>
  <c r="BU466" i="35"/>
  <c r="BU122" i="35"/>
  <c r="BU516" i="35"/>
  <c r="BU161" i="35"/>
  <c r="BU284" i="35"/>
  <c r="BU378" i="35"/>
  <c r="BU482" i="35"/>
  <c r="BU395" i="35"/>
  <c r="BU90" i="35"/>
  <c r="BU219" i="35"/>
  <c r="BU402" i="35"/>
  <c r="BU94" i="35"/>
  <c r="BU518" i="35"/>
  <c r="BU114" i="35"/>
  <c r="BU509" i="35"/>
  <c r="BU83" i="35"/>
  <c r="BU472" i="35"/>
  <c r="BU370" i="35"/>
  <c r="BU46" i="35"/>
  <c r="BU200" i="35"/>
  <c r="BU512" i="35"/>
  <c r="BU246" i="35"/>
  <c r="BU290" i="35"/>
  <c r="BU323" i="35"/>
  <c r="BU424" i="35"/>
  <c r="BU238" i="35"/>
  <c r="BU48" i="35"/>
  <c r="BU213" i="35"/>
  <c r="BU510" i="35"/>
  <c r="BU354" i="35"/>
  <c r="BU344" i="35"/>
  <c r="BU264" i="35"/>
  <c r="BU89" i="35"/>
  <c r="BU13" i="35"/>
  <c r="BU336" i="35"/>
  <c r="BU194" i="35"/>
  <c r="BU81" i="35"/>
  <c r="BU443" i="35"/>
  <c r="BU332" i="35"/>
  <c r="BU243" i="35"/>
  <c r="BU390" i="35"/>
  <c r="BU41" i="35"/>
  <c r="BU132" i="35"/>
  <c r="BU393" i="35"/>
  <c r="BU385" i="35"/>
  <c r="BU317" i="35"/>
  <c r="BU294" i="35"/>
  <c r="BU99" i="35"/>
  <c r="BU138" i="35"/>
  <c r="BU357" i="35"/>
  <c r="BU124" i="35"/>
  <c r="BU288" i="35"/>
  <c r="BU331" i="35"/>
  <c r="BU524" i="35"/>
  <c r="BU525" i="35"/>
  <c r="BU27" i="35"/>
  <c r="BU419" i="35"/>
  <c r="BU440" i="35"/>
  <c r="BU391" i="35"/>
  <c r="BU226" i="35"/>
  <c r="BU61" i="35"/>
  <c r="BU123" i="35"/>
  <c r="BU500" i="35"/>
  <c r="BU521" i="35"/>
  <c r="BU223" i="35"/>
  <c r="BU394" i="35"/>
  <c r="BU429" i="35"/>
  <c r="BU295" i="35"/>
  <c r="BU77" i="35"/>
  <c r="BU113" i="35"/>
  <c r="BU201" i="35"/>
  <c r="BU36" i="35"/>
  <c r="BU447" i="35"/>
  <c r="BU66" i="35"/>
  <c r="BU371" i="35"/>
  <c r="BU151" i="35"/>
  <c r="BU383" i="35"/>
  <c r="BU44" i="35"/>
  <c r="BU492" i="35"/>
  <c r="BU155" i="35"/>
  <c r="BU237" i="35"/>
  <c r="BU437" i="35"/>
  <c r="BU16" i="35"/>
  <c r="BU157" i="35"/>
  <c r="BU49" i="35"/>
  <c r="BU190" i="35"/>
  <c r="BU152" i="35"/>
  <c r="BU452" i="35"/>
  <c r="BU379" i="35"/>
  <c r="BU455" i="35"/>
  <c r="BU137" i="35"/>
  <c r="BU487" i="35"/>
  <c r="BU373" i="35"/>
  <c r="BU477" i="35"/>
  <c r="BU413" i="35"/>
  <c r="BU37" i="35"/>
  <c r="BU299" i="35"/>
  <c r="BU42" i="35"/>
  <c r="BU217" i="35"/>
  <c r="BU328" i="35"/>
  <c r="BU304" i="35"/>
  <c r="BU72" i="35"/>
  <c r="BU271" i="35"/>
  <c r="BU45" i="35"/>
  <c r="BU426" i="35"/>
  <c r="BU324" i="35"/>
  <c r="BU322" i="35"/>
  <c r="BU350" i="35"/>
  <c r="BU485" i="35"/>
  <c r="BU501" i="35"/>
  <c r="BU454" i="35"/>
  <c r="BU508" i="35"/>
  <c r="BU112" i="35"/>
  <c r="BU60" i="35"/>
  <c r="BU349" i="35"/>
  <c r="BU279" i="35"/>
  <c r="BU195" i="35"/>
  <c r="BU446" i="35"/>
  <c r="BU523" i="35"/>
  <c r="BU355" i="35"/>
  <c r="BU242" i="35"/>
  <c r="BU150" i="35"/>
  <c r="BU164" i="35"/>
  <c r="BU438" i="35"/>
  <c r="BU244" i="35"/>
  <c r="BU502" i="35"/>
  <c r="BU189" i="35"/>
  <c r="BU434" i="35"/>
  <c r="BU130" i="35"/>
  <c r="BU272" i="35"/>
  <c r="BU100" i="35"/>
  <c r="BU351" i="35"/>
  <c r="BU270" i="35"/>
  <c r="BU414" i="35"/>
  <c r="BU364" i="35"/>
  <c r="BU154" i="35"/>
  <c r="BU31" i="35"/>
  <c r="BU221" i="35"/>
  <c r="BU268" i="35"/>
  <c r="BU121" i="35"/>
  <c r="BU67" i="35"/>
  <c r="BU68" i="35"/>
  <c r="BU401" i="35"/>
  <c r="BU320" i="35"/>
  <c r="BU495" i="35"/>
  <c r="BU280" i="35"/>
  <c r="BU460" i="35"/>
  <c r="BU389" i="35"/>
  <c r="BU476" i="35"/>
  <c r="BU177" i="35"/>
  <c r="BU462" i="35"/>
  <c r="BU71" i="35"/>
  <c r="BU254" i="35"/>
  <c r="BU412" i="35"/>
  <c r="BU442" i="35"/>
  <c r="BU416" i="35"/>
  <c r="BU162" i="35"/>
  <c r="BU423" i="35"/>
  <c r="BU377" i="35"/>
  <c r="BU258" i="35"/>
  <c r="BU166" i="35"/>
  <c r="BU76" i="35"/>
  <c r="BU312" i="35"/>
  <c r="BU39" i="35"/>
  <c r="BU25" i="35"/>
  <c r="BU493" i="35"/>
  <c r="BU102" i="35"/>
  <c r="BU184" i="35"/>
  <c r="BU321" i="35"/>
  <c r="BU418" i="35"/>
  <c r="BU249" i="35"/>
  <c r="BU241" i="35"/>
  <c r="BU205" i="35"/>
  <c r="BU339" i="35"/>
  <c r="BU361" i="35"/>
  <c r="BU473" i="35"/>
  <c r="BU511" i="35"/>
  <c r="BU58" i="35"/>
  <c r="BU480" i="35"/>
  <c r="BU465" i="35"/>
  <c r="BU298" i="35"/>
  <c r="BU263" i="35"/>
  <c r="BU531" i="35"/>
  <c r="BU399" i="35"/>
  <c r="BU513" i="35"/>
  <c r="BU32" i="35"/>
  <c r="BU51" i="35"/>
  <c r="BU118" i="35"/>
  <c r="BU363" i="35"/>
  <c r="BU313" i="35"/>
  <c r="BU375" i="35"/>
  <c r="BU183" i="35"/>
  <c r="BU43" i="35"/>
  <c r="BU57" i="35"/>
  <c r="BU65" i="35"/>
  <c r="BU396" i="35"/>
  <c r="BU483" i="35"/>
  <c r="BU319" i="35"/>
  <c r="BU283" i="35"/>
  <c r="BU333" i="35"/>
  <c r="BU93" i="35"/>
  <c r="BU325" i="35"/>
  <c r="BU343" i="35"/>
  <c r="BU392" i="35"/>
  <c r="BU369" i="35"/>
  <c r="BU430" i="35"/>
  <c r="BU488" i="35"/>
  <c r="BU30" i="35"/>
  <c r="BU381" i="35"/>
  <c r="BU365" i="35"/>
  <c r="BU192" i="35"/>
  <c r="BU372" i="35"/>
  <c r="BU38" i="35"/>
  <c r="BU340" i="35"/>
  <c r="BU305" i="35"/>
  <c r="BU224" i="35"/>
  <c r="BU187" i="35"/>
  <c r="BU276" i="35"/>
  <c r="BU12" i="35"/>
  <c r="BU515" i="35"/>
  <c r="BU334" i="35"/>
  <c r="BU256" i="35"/>
  <c r="BU292" i="35"/>
  <c r="BU456" i="35"/>
  <c r="BU35" i="35"/>
  <c r="BU262" i="35"/>
  <c r="BU193" i="35"/>
  <c r="BU168" i="35"/>
  <c r="BU475" i="35"/>
  <c r="BU73" i="35"/>
  <c r="BU528" i="35"/>
  <c r="BU478" i="35"/>
  <c r="BU105" i="35"/>
  <c r="BU479" i="35"/>
  <c r="BU417" i="35"/>
  <c r="BU453" i="35"/>
  <c r="BU163" i="35"/>
  <c r="BU519" i="35"/>
  <c r="BU497" i="35"/>
  <c r="BU404" i="35"/>
  <c r="BU257" i="35"/>
  <c r="BU127" i="35"/>
  <c r="BU144" i="35"/>
  <c r="BU421" i="35"/>
  <c r="BU17" i="35"/>
  <c r="BU120" i="35"/>
  <c r="BU128" i="35"/>
  <c r="BU210" i="35"/>
  <c r="BU11" i="35"/>
  <c r="BU382" i="35"/>
  <c r="BU403" i="35"/>
  <c r="BU197" i="35"/>
  <c r="BU79" i="35"/>
  <c r="BU63" i="35"/>
  <c r="BU309" i="35"/>
  <c r="BU315" i="35"/>
  <c r="BU498" i="35"/>
  <c r="BU125" i="35"/>
  <c r="BU191" i="35"/>
  <c r="BU255" i="35"/>
  <c r="BU182" i="35"/>
  <c r="BU171" i="35"/>
  <c r="BU326" i="35"/>
  <c r="BU286" i="35"/>
  <c r="BU281" i="35"/>
  <c r="BU69" i="35"/>
  <c r="BU384" i="35"/>
  <c r="BU160" i="35"/>
  <c r="BU345" i="35"/>
  <c r="BU18" i="35"/>
  <c r="BU141" i="35"/>
  <c r="BU514" i="35"/>
  <c r="BU302" i="35"/>
  <c r="BU167" i="35"/>
  <c r="BU126" i="35"/>
  <c r="BU422" i="35"/>
  <c r="BU348" i="35"/>
  <c r="BU285" i="35"/>
  <c r="BU499" i="35"/>
  <c r="BU410" i="35"/>
  <c r="BU101" i="35"/>
  <c r="BU457" i="35"/>
  <c r="BU297" i="35"/>
  <c r="BU449" i="35"/>
  <c r="BU218" i="35"/>
  <c r="BU469" i="35"/>
  <c r="BU467" i="35"/>
  <c r="BU278" i="35"/>
  <c r="BU427" i="35"/>
  <c r="BU117" i="35"/>
  <c r="BU131" i="35"/>
  <c r="BU22" i="35"/>
  <c r="BU435" i="35"/>
  <c r="BU461" i="35"/>
  <c r="BU481" i="35"/>
  <c r="BU352" i="35"/>
  <c r="BU174" i="35"/>
  <c r="BU265" i="35"/>
  <c r="AR21" i="39"/>
  <c r="O20" i="39"/>
  <c r="O21" i="40"/>
  <c r="AR22" i="40"/>
  <c r="BO3" i="20"/>
  <c r="BQ495" i="20"/>
  <c r="BQ468" i="20"/>
  <c r="BQ235" i="20"/>
  <c r="BQ536" i="20"/>
  <c r="BQ520" i="20"/>
  <c r="BQ365" i="20"/>
  <c r="BQ594" i="20"/>
  <c r="BQ280" i="20"/>
  <c r="BQ514" i="20"/>
  <c r="BQ466" i="20"/>
  <c r="BQ441" i="20"/>
  <c r="BQ626" i="20"/>
  <c r="BQ584" i="20"/>
  <c r="BQ362" i="20"/>
  <c r="BQ83" i="20"/>
  <c r="BQ265" i="20"/>
  <c r="BQ552" i="20"/>
  <c r="BQ505" i="20"/>
  <c r="BQ331" i="20"/>
  <c r="BQ95" i="20"/>
  <c r="BQ551" i="20"/>
  <c r="BQ511" i="20"/>
  <c r="BQ36" i="20"/>
  <c r="BQ231" i="20"/>
  <c r="BQ156" i="20"/>
  <c r="BQ266" i="20"/>
  <c r="BQ532" i="20"/>
  <c r="BQ159" i="20"/>
  <c r="BQ296" i="20"/>
  <c r="BQ190" i="20"/>
  <c r="BQ99" i="20"/>
  <c r="BQ540" i="20"/>
  <c r="BQ113" i="20"/>
  <c r="BQ23" i="20"/>
  <c r="BQ87" i="20"/>
  <c r="BQ534" i="20"/>
  <c r="BQ318" i="20"/>
  <c r="BQ346" i="20"/>
  <c r="BQ567" i="20"/>
  <c r="BQ324" i="20"/>
  <c r="BQ162" i="20"/>
  <c r="BQ604" i="20"/>
  <c r="BQ561" i="20"/>
  <c r="BQ566" i="20"/>
  <c r="BQ139" i="20"/>
  <c r="BQ563" i="20"/>
  <c r="BQ502" i="20"/>
  <c r="BQ518" i="20"/>
  <c r="BQ476" i="20"/>
  <c r="BQ378" i="20"/>
  <c r="BQ400" i="20"/>
  <c r="BQ392" i="20"/>
  <c r="BQ471" i="20"/>
  <c r="BQ481" i="20"/>
  <c r="BQ244" i="20"/>
  <c r="BQ29" i="20"/>
  <c r="BQ106" i="20"/>
  <c r="BQ173" i="20"/>
  <c r="BQ141" i="20"/>
  <c r="BQ550" i="20"/>
  <c r="BQ88" i="20"/>
  <c r="BQ430" i="20"/>
  <c r="BQ348" i="20"/>
  <c r="BQ459" i="20"/>
  <c r="BQ404" i="20"/>
  <c r="BQ603" i="20"/>
  <c r="BQ601" i="20"/>
  <c r="BQ208" i="20"/>
  <c r="BQ460" i="20"/>
  <c r="BQ189" i="20"/>
  <c r="BQ432" i="20"/>
  <c r="BQ384" i="20"/>
  <c r="BQ452" i="20"/>
  <c r="BQ129" i="20"/>
  <c r="BQ247" i="20"/>
  <c r="BQ264" i="20"/>
  <c r="BQ179" i="20"/>
  <c r="BQ158" i="20"/>
  <c r="BQ539" i="20"/>
  <c r="BQ629" i="20"/>
  <c r="BQ317" i="20"/>
  <c r="BQ255" i="20"/>
  <c r="BQ467" i="20"/>
  <c r="BQ359" i="20"/>
  <c r="BQ177" i="20"/>
  <c r="BQ56" i="20"/>
  <c r="BQ376" i="20"/>
  <c r="BQ330" i="20"/>
  <c r="BQ210" i="20"/>
  <c r="BQ644" i="20"/>
  <c r="BQ367" i="20"/>
  <c r="BQ107" i="20"/>
  <c r="BQ108" i="20"/>
  <c r="BQ63" i="20"/>
  <c r="BQ360" i="20"/>
  <c r="BQ632" i="20"/>
  <c r="BQ287" i="20"/>
  <c r="BQ241" i="20"/>
  <c r="BQ527" i="20"/>
  <c r="BQ544" i="20"/>
  <c r="BQ259" i="20"/>
  <c r="BQ192" i="20"/>
  <c r="BQ308" i="20"/>
  <c r="BQ494" i="20"/>
  <c r="BQ583" i="20"/>
  <c r="BQ508" i="20"/>
  <c r="BQ642" i="20"/>
  <c r="BQ40" i="20"/>
  <c r="BQ73" i="20"/>
  <c r="BQ20" i="20"/>
  <c r="BQ302" i="20"/>
  <c r="BQ448" i="20"/>
  <c r="BQ314" i="20"/>
  <c r="BQ270" i="20"/>
  <c r="BQ191" i="20"/>
  <c r="BQ579" i="20"/>
  <c r="BQ371" i="20"/>
  <c r="BQ137" i="20"/>
  <c r="BQ224" i="20"/>
  <c r="BQ239" i="20"/>
  <c r="BQ157" i="20"/>
  <c r="BQ118" i="20"/>
  <c r="BQ211" i="20"/>
  <c r="BQ116" i="20"/>
  <c r="BQ130" i="20"/>
  <c r="BQ206" i="20"/>
  <c r="BQ136" i="20"/>
  <c r="BQ104" i="20"/>
  <c r="BQ589" i="20"/>
  <c r="BQ140" i="20"/>
  <c r="BQ9" i="20"/>
  <c r="BQ168" i="20"/>
  <c r="BQ90" i="20"/>
  <c r="BQ12" i="20"/>
  <c r="BQ117" i="20"/>
  <c r="BQ519" i="20"/>
  <c r="BQ226" i="20"/>
  <c r="BQ172" i="20"/>
  <c r="BQ283" i="20"/>
  <c r="BQ292" i="20"/>
  <c r="BQ645" i="20"/>
  <c r="BQ454" i="20"/>
  <c r="BQ315" i="20"/>
  <c r="BQ77" i="20"/>
  <c r="BQ398" i="20"/>
  <c r="BQ592" i="20"/>
  <c r="BQ442" i="20"/>
  <c r="BQ525" i="20"/>
  <c r="BQ463" i="20"/>
  <c r="BQ147" i="20"/>
  <c r="BQ305" i="20"/>
  <c r="BQ198" i="20"/>
  <c r="BQ153" i="20"/>
  <c r="BQ68" i="20"/>
  <c r="BQ517" i="20"/>
  <c r="BQ342" i="20"/>
  <c r="BQ42" i="20"/>
  <c r="BQ78" i="20"/>
  <c r="BQ565" i="20"/>
  <c r="BQ605" i="20"/>
  <c r="BQ501" i="20"/>
  <c r="BQ503" i="20"/>
  <c r="BQ301" i="20"/>
  <c r="BQ327" i="20"/>
  <c r="BQ150" i="20"/>
  <c r="BQ374" i="20"/>
  <c r="BQ558" i="20"/>
  <c r="BQ268" i="20"/>
  <c r="BQ126" i="20"/>
  <c r="BQ543" i="20"/>
  <c r="BQ133" i="20"/>
  <c r="BQ52" i="20"/>
  <c r="BQ333" i="20"/>
  <c r="BQ617" i="20"/>
  <c r="BQ490" i="20"/>
  <c r="BQ222" i="20"/>
  <c r="BQ381" i="20"/>
  <c r="BQ516" i="20"/>
  <c r="BQ243" i="20"/>
  <c r="BQ385" i="20"/>
  <c r="BQ588" i="20"/>
  <c r="BQ473" i="20"/>
  <c r="BQ526" i="20"/>
  <c r="BQ349" i="20"/>
  <c r="BQ294" i="20"/>
  <c r="BQ602" i="20"/>
  <c r="BQ593" i="20"/>
  <c r="BQ115" i="20"/>
  <c r="BQ219" i="20"/>
  <c r="BQ389" i="20"/>
  <c r="BQ149" i="20"/>
  <c r="BQ610" i="20"/>
  <c r="BQ290" i="20"/>
  <c r="BQ124" i="20"/>
  <c r="BQ154" i="20"/>
  <c r="BQ621" i="20"/>
  <c r="BQ498" i="20"/>
  <c r="BQ612" i="20"/>
  <c r="BQ341" i="20"/>
  <c r="BQ284" i="20"/>
  <c r="BQ497" i="20"/>
  <c r="BQ233" i="20"/>
  <c r="BQ369" i="20"/>
  <c r="BQ354" i="20"/>
  <c r="BQ64" i="20"/>
  <c r="BQ127" i="20"/>
  <c r="BQ546" i="20"/>
  <c r="BQ507" i="20"/>
  <c r="BQ41" i="20"/>
  <c r="BQ483" i="20"/>
  <c r="BQ100" i="20"/>
  <c r="BQ97" i="20"/>
  <c r="BQ553" i="20"/>
  <c r="BQ175" i="20"/>
  <c r="BQ316" i="20"/>
  <c r="BQ209" i="20"/>
  <c r="BQ245" i="20"/>
  <c r="BQ580" i="20"/>
  <c r="BQ81" i="20"/>
  <c r="BQ572" i="20"/>
  <c r="BQ387" i="20"/>
  <c r="BQ17" i="20"/>
  <c r="BQ230" i="20"/>
  <c r="BQ92" i="20"/>
  <c r="BQ484" i="20"/>
  <c r="BQ59" i="20"/>
  <c r="BQ304" i="20"/>
  <c r="BQ34" i="20"/>
  <c r="BQ27" i="20"/>
  <c r="BQ437" i="20"/>
  <c r="BQ238" i="20"/>
  <c r="BQ332" i="20"/>
  <c r="BQ10" i="20"/>
  <c r="BQ143" i="20"/>
  <c r="BQ181" i="20"/>
  <c r="BQ201" i="20"/>
  <c r="BQ564" i="20"/>
  <c r="BQ144" i="20"/>
  <c r="BQ277" i="20"/>
  <c r="BQ637" i="20"/>
  <c r="BQ627" i="20"/>
  <c r="BQ75" i="20"/>
  <c r="BQ275" i="20"/>
  <c r="BQ306" i="20"/>
  <c r="BQ403" i="20"/>
  <c r="BQ559" i="20"/>
  <c r="BQ435" i="20"/>
  <c r="BQ125" i="20"/>
  <c r="BQ18" i="20"/>
  <c r="BQ121" i="20"/>
  <c r="BQ386" i="20"/>
  <c r="BQ344" i="20"/>
  <c r="BQ523" i="20"/>
  <c r="BQ353" i="20"/>
  <c r="BQ161" i="20"/>
  <c r="BQ138" i="20"/>
  <c r="BQ249" i="20"/>
  <c r="BQ329" i="20"/>
  <c r="BQ625" i="20"/>
  <c r="BQ618" i="20"/>
  <c r="BQ634" i="20"/>
  <c r="BQ267" i="20"/>
  <c r="BQ431" i="20"/>
  <c r="BQ204" i="20"/>
  <c r="BQ44" i="20"/>
  <c r="BQ641" i="20"/>
  <c r="BQ585" i="20"/>
  <c r="BQ65" i="20"/>
  <c r="BQ630" i="20"/>
  <c r="BQ165" i="20"/>
  <c r="BQ325" i="20"/>
  <c r="BQ496" i="20"/>
  <c r="BQ356" i="20"/>
  <c r="BQ229" i="20"/>
  <c r="BQ549" i="20"/>
  <c r="BQ582" i="20"/>
  <c r="BQ416" i="20"/>
  <c r="BQ94" i="20"/>
  <c r="BQ458" i="20"/>
  <c r="BQ49" i="20"/>
  <c r="BQ85" i="20"/>
  <c r="BQ541" i="20"/>
  <c r="BQ485" i="20"/>
  <c r="BQ607" i="20"/>
  <c r="BQ411" i="20"/>
  <c r="BQ223" i="20"/>
  <c r="BQ421" i="20"/>
  <c r="BQ182" i="20"/>
  <c r="BQ128" i="20"/>
  <c r="BQ207" i="20"/>
  <c r="BQ649" i="20"/>
  <c r="BQ571" i="20"/>
  <c r="BQ547" i="20"/>
  <c r="BQ352" i="20"/>
  <c r="BQ530" i="20"/>
  <c r="BQ578" i="20"/>
  <c r="BQ96" i="20"/>
  <c r="BQ319" i="20"/>
  <c r="BQ623" i="20"/>
  <c r="BQ146" i="20"/>
  <c r="BQ423" i="20"/>
  <c r="BQ650" i="20"/>
  <c r="BQ217" i="20"/>
  <c r="BQ227" i="20"/>
  <c r="BQ537" i="20"/>
  <c r="BQ32" i="20"/>
  <c r="BQ513" i="20"/>
  <c r="BQ39" i="20"/>
  <c r="BQ51" i="20"/>
  <c r="BQ8" i="20"/>
  <c r="BQ425" i="20"/>
  <c r="BQ477" i="20"/>
  <c r="BQ651" i="20"/>
  <c r="BQ597" i="20"/>
  <c r="BQ271" i="20"/>
  <c r="BQ55" i="20"/>
  <c r="BQ562" i="20"/>
  <c r="BQ254" i="20"/>
  <c r="BQ616" i="20"/>
  <c r="BQ322" i="20"/>
  <c r="BQ281" i="20"/>
  <c r="BQ132" i="20"/>
  <c r="BQ221" i="20"/>
  <c r="BQ93" i="20"/>
  <c r="BQ178" i="20"/>
  <c r="BQ350" i="20"/>
  <c r="BQ187" i="20"/>
  <c r="BQ334" i="20"/>
  <c r="BQ407" i="20"/>
  <c r="BQ420" i="20"/>
  <c r="BQ480" i="20"/>
  <c r="BQ535" i="20"/>
  <c r="BQ119" i="20"/>
  <c r="BQ38" i="20"/>
  <c r="BQ15" i="20"/>
  <c r="BQ347" i="20"/>
  <c r="BQ440" i="20"/>
  <c r="BQ16" i="20"/>
  <c r="BQ529" i="20"/>
  <c r="BQ335" i="20"/>
  <c r="BQ272" i="20"/>
  <c r="BQ76" i="20"/>
  <c r="BQ71" i="20"/>
  <c r="BQ103" i="20"/>
  <c r="BQ336" i="20"/>
  <c r="BQ635" i="20"/>
  <c r="BQ445" i="20"/>
  <c r="BQ279" i="20"/>
  <c r="BQ640" i="20"/>
  <c r="BQ251" i="20"/>
  <c r="BQ174" i="20"/>
  <c r="BQ145" i="20"/>
  <c r="BQ614" i="20"/>
  <c r="BQ419" i="20"/>
  <c r="BQ469" i="20"/>
  <c r="BQ450" i="20"/>
  <c r="BQ462" i="20"/>
  <c r="BQ390" i="20"/>
  <c r="BQ522" i="20"/>
  <c r="BQ80" i="20"/>
  <c r="BQ406" i="20"/>
  <c r="BQ213" i="20"/>
  <c r="BQ303" i="20"/>
  <c r="BQ499" i="20"/>
  <c r="BQ69" i="20"/>
  <c r="BQ26" i="20"/>
  <c r="BQ24" i="20"/>
  <c r="BQ493" i="20"/>
  <c r="BQ456" i="20"/>
  <c r="BQ193" i="20"/>
  <c r="BQ615" i="20"/>
  <c r="BQ608" i="20"/>
  <c r="BQ595" i="20"/>
  <c r="BQ417" i="20"/>
  <c r="BQ648" i="20"/>
  <c r="BQ234" i="20"/>
  <c r="BQ263" i="20"/>
  <c r="BQ478" i="20"/>
  <c r="BQ427" i="20"/>
  <c r="BQ298" i="20"/>
  <c r="BQ364" i="20"/>
  <c r="BQ396" i="20"/>
  <c r="BQ475" i="20"/>
  <c r="BQ587" i="20"/>
  <c r="BQ320" i="20"/>
  <c r="BQ250" i="20"/>
  <c r="BQ409" i="20"/>
  <c r="BQ169" i="20"/>
  <c r="BQ491" i="20"/>
  <c r="BQ62" i="20"/>
  <c r="BQ426" i="20"/>
  <c r="BQ285" i="20"/>
  <c r="BQ323" i="20"/>
  <c r="BQ361" i="20"/>
  <c r="BQ11" i="20"/>
  <c r="BQ131" i="20"/>
  <c r="BQ413" i="20"/>
  <c r="BQ397" i="20"/>
  <c r="BQ261" i="20"/>
  <c r="BQ401" i="20"/>
  <c r="BQ228" i="20"/>
  <c r="BQ449" i="20"/>
  <c r="BQ134" i="20"/>
  <c r="BQ351" i="20"/>
  <c r="BQ489" i="20"/>
  <c r="BQ439" i="20"/>
  <c r="BQ195" i="20"/>
  <c r="BQ240" i="20"/>
  <c r="BQ180" i="20"/>
  <c r="BQ474" i="20"/>
  <c r="BQ545" i="20"/>
  <c r="BQ639" i="20"/>
  <c r="BQ43" i="20"/>
  <c r="BQ237" i="20"/>
  <c r="BQ548" i="20"/>
  <c r="BQ422" i="20"/>
  <c r="BQ310" i="20"/>
  <c r="BQ643" i="20"/>
  <c r="BQ533" i="20"/>
  <c r="BQ590" i="20"/>
  <c r="BQ569" i="20"/>
  <c r="BQ202" i="20"/>
  <c r="BQ120" i="20"/>
  <c r="BQ628" i="20"/>
  <c r="BQ66" i="20"/>
  <c r="BQ286" i="20"/>
  <c r="BQ510" i="20"/>
  <c r="BQ236" i="20"/>
  <c r="BQ598" i="20"/>
  <c r="BQ414" i="20"/>
  <c r="BQ436" i="20"/>
  <c r="BQ429" i="20"/>
  <c r="BQ383" i="20"/>
  <c r="BQ46" i="20"/>
  <c r="BQ443" i="20"/>
  <c r="BQ377" i="20"/>
  <c r="BQ215" i="20"/>
  <c r="BQ171" i="20"/>
  <c r="BQ652" i="20"/>
  <c r="BQ54" i="20"/>
  <c r="BQ47" i="20"/>
  <c r="BQ200" i="20"/>
  <c r="BQ528" i="20"/>
  <c r="BQ309" i="20"/>
  <c r="BQ646" i="20"/>
  <c r="BQ581" i="20"/>
  <c r="BQ464" i="20"/>
  <c r="BQ408" i="20"/>
  <c r="BQ340" i="20"/>
  <c r="BQ555" i="20"/>
  <c r="BQ457" i="20"/>
  <c r="BQ647" i="20"/>
  <c r="BQ58" i="20"/>
  <c r="BQ50" i="20"/>
  <c r="BQ461" i="20"/>
  <c r="BQ14" i="20"/>
  <c r="BQ393" i="20"/>
  <c r="BQ531" i="20"/>
  <c r="BQ220" i="20"/>
  <c r="BQ311" i="20"/>
  <c r="BQ183" i="20"/>
  <c r="BQ274" i="20"/>
  <c r="BQ611" i="20"/>
  <c r="BQ289" i="20"/>
  <c r="BQ524" i="20"/>
  <c r="BQ326" i="20"/>
  <c r="BQ337" i="20"/>
  <c r="BQ345" i="20"/>
  <c r="BQ212" i="20"/>
  <c r="BQ203" i="20"/>
  <c r="BQ70" i="20"/>
  <c r="BQ22" i="20"/>
  <c r="BQ79" i="20"/>
  <c r="BQ328" i="20"/>
  <c r="BQ482" i="20"/>
  <c r="BQ199" i="20"/>
  <c r="BQ151" i="20"/>
  <c r="BQ455" i="20"/>
  <c r="BQ405" i="20"/>
  <c r="BQ98" i="20"/>
  <c r="BQ102" i="20"/>
  <c r="BQ256" i="20"/>
  <c r="BQ570" i="20"/>
  <c r="BQ246" i="20"/>
  <c r="BQ509" i="20"/>
  <c r="BQ488" i="20"/>
  <c r="BQ573" i="20"/>
  <c r="BQ109" i="20"/>
  <c r="BQ293" i="20"/>
  <c r="BQ391" i="20"/>
  <c r="BQ110" i="20"/>
  <c r="BQ370" i="20"/>
  <c r="BQ368" i="20"/>
  <c r="BQ7" i="20"/>
  <c r="BQ185" i="20"/>
  <c r="BQ242" i="20"/>
  <c r="BQ13" i="20"/>
  <c r="BQ577" i="20"/>
  <c r="BQ394" i="20"/>
  <c r="BQ260" i="20"/>
  <c r="BQ382" i="20"/>
  <c r="BQ262" i="20"/>
  <c r="BQ380" i="20"/>
  <c r="BQ37" i="20"/>
  <c r="BQ399" i="20"/>
  <c r="BQ620" i="20"/>
  <c r="BQ45" i="20"/>
  <c r="BQ358" i="20"/>
  <c r="BQ82" i="20"/>
  <c r="BQ218" i="20"/>
  <c r="BQ91" i="20"/>
  <c r="BQ557" i="20"/>
  <c r="BQ465" i="20"/>
  <c r="BQ142" i="20"/>
  <c r="BQ372" i="20"/>
  <c r="BQ164" i="20"/>
  <c r="BQ30" i="20"/>
  <c r="BQ586" i="20"/>
  <c r="BQ21" i="20"/>
  <c r="BQ111" i="20"/>
  <c r="BQ163" i="20"/>
  <c r="BQ366" i="20"/>
  <c r="BQ19" i="20"/>
  <c r="BQ291" i="20"/>
  <c r="BQ57" i="20"/>
  <c r="BQ451" i="20"/>
  <c r="BQ60" i="20"/>
  <c r="BQ600" i="20"/>
  <c r="BQ273" i="20"/>
  <c r="BQ500" i="20"/>
  <c r="BQ216" i="20"/>
  <c r="BQ166" i="20"/>
  <c r="BQ446" i="20"/>
  <c r="BQ599" i="20"/>
  <c r="BQ506" i="20"/>
  <c r="BQ554" i="20"/>
  <c r="BQ135" i="20"/>
  <c r="BQ61" i="20"/>
  <c r="BQ114" i="20"/>
  <c r="BQ35" i="20"/>
  <c r="BQ339" i="20"/>
  <c r="BQ299" i="20"/>
  <c r="BQ606" i="20"/>
  <c r="BQ214" i="20"/>
  <c r="BQ288" i="20"/>
  <c r="BQ160" i="20"/>
  <c r="BQ438" i="20"/>
  <c r="BQ84" i="20"/>
  <c r="BQ633" i="20"/>
  <c r="BQ492" i="20"/>
  <c r="BQ343" i="20"/>
  <c r="BQ375" i="20"/>
  <c r="BQ269" i="20"/>
  <c r="BQ638" i="20"/>
  <c r="BQ560" i="20"/>
  <c r="BQ194" i="20"/>
  <c r="BQ321" i="20"/>
  <c r="BQ48" i="20"/>
  <c r="BQ542" i="20"/>
  <c r="BQ188" i="20"/>
  <c r="BQ89" i="20"/>
  <c r="BQ486" i="20"/>
  <c r="BQ31" i="20"/>
  <c r="BQ295" i="20"/>
  <c r="BS4" i="20"/>
  <c r="BQ596" i="20"/>
  <c r="BQ521" i="20"/>
  <c r="BQ433" i="20"/>
  <c r="BQ252" i="20"/>
  <c r="BQ357" i="20"/>
  <c r="BQ428" i="20"/>
  <c r="BQ186" i="20"/>
  <c r="BQ184" i="20"/>
  <c r="BQ105" i="20"/>
  <c r="BQ624" i="20"/>
  <c r="BQ631" i="20"/>
  <c r="BQ86" i="20"/>
  <c r="BQ395" i="20"/>
  <c r="BQ479" i="20"/>
  <c r="BQ472" i="20"/>
  <c r="BQ373" i="20"/>
  <c r="BQ575" i="20"/>
  <c r="BQ148" i="20"/>
  <c r="BQ338" i="20"/>
  <c r="BQ74" i="20"/>
  <c r="BQ112" i="20"/>
  <c r="BQ257" i="20"/>
  <c r="BQ402" i="20"/>
  <c r="BQ313" i="20"/>
  <c r="BQ258" i="20"/>
  <c r="BQ424" i="20"/>
  <c r="BQ444" i="20"/>
  <c r="BQ282" i="20"/>
  <c r="BQ410" i="20"/>
  <c r="BQ636" i="20"/>
  <c r="BQ613" i="20"/>
  <c r="BQ363" i="20"/>
  <c r="BQ412" i="20"/>
  <c r="BQ28" i="20"/>
  <c r="BQ197" i="20"/>
  <c r="BQ591" i="20"/>
  <c r="BQ300" i="20"/>
  <c r="BQ434" i="20"/>
  <c r="BQ307" i="20"/>
  <c r="BQ453" i="20"/>
  <c r="BQ504" i="20"/>
  <c r="BQ622" i="20"/>
  <c r="BQ155" i="20"/>
  <c r="BQ576" i="20"/>
  <c r="BQ538" i="20"/>
  <c r="BQ388" i="20"/>
  <c r="BQ232" i="20"/>
  <c r="BQ25" i="20"/>
  <c r="BQ312" i="20"/>
  <c r="BQ276" i="20"/>
  <c r="BQ196" i="20"/>
  <c r="BQ574" i="20"/>
  <c r="BQ418" i="20"/>
  <c r="BQ568" i="20"/>
  <c r="BQ225" i="20"/>
  <c r="BQ512" i="20"/>
  <c r="BQ379" i="20"/>
  <c r="BQ53" i="20"/>
  <c r="BQ297" i="20"/>
  <c r="BQ101" i="20"/>
  <c r="BQ515" i="20"/>
  <c r="BQ170" i="20"/>
  <c r="BQ123" i="20"/>
  <c r="BQ205" i="20"/>
  <c r="BQ447" i="20"/>
  <c r="BQ122" i="20"/>
  <c r="BQ67" i="20"/>
  <c r="BQ248" i="20"/>
  <c r="BQ355" i="20"/>
  <c r="BQ152" i="20"/>
  <c r="BQ619" i="20"/>
  <c r="BQ33" i="20"/>
  <c r="BQ487" i="20"/>
  <c r="BQ167" i="20"/>
  <c r="BQ72" i="20"/>
  <c r="BQ470" i="20"/>
  <c r="BQ609" i="20"/>
  <c r="BQ415" i="20"/>
  <c r="BQ556" i="20"/>
  <c r="BQ253" i="20"/>
  <c r="BQ176" i="20"/>
  <c r="BQ278" i="20"/>
  <c r="BW359" i="35"/>
  <c r="BW348" i="35"/>
  <c r="BW262" i="35"/>
  <c r="BW279" i="35"/>
  <c r="BW278" i="35"/>
  <c r="BW384" i="35"/>
  <c r="BW53" i="35"/>
  <c r="BW111" i="35"/>
  <c r="BW222" i="35"/>
  <c r="BW59" i="35"/>
  <c r="BW349" i="35"/>
  <c r="BW509" i="35"/>
  <c r="BW288" i="35"/>
  <c r="BW67" i="35"/>
  <c r="BW491" i="35"/>
  <c r="BW346" i="35"/>
  <c r="BW161" i="35"/>
  <c r="BW140" i="35"/>
  <c r="BW477" i="35"/>
  <c r="BW460" i="35"/>
  <c r="BW46" i="35"/>
  <c r="BW298" i="35"/>
  <c r="BW110" i="35"/>
  <c r="BW385" i="35"/>
  <c r="BW519" i="35"/>
  <c r="BW29" i="35"/>
  <c r="BW526" i="35"/>
  <c r="BW388" i="35"/>
  <c r="BW144" i="35"/>
  <c r="BW175" i="35"/>
  <c r="BW159" i="35"/>
  <c r="BW270" i="35"/>
  <c r="BW116" i="35"/>
  <c r="BW220" i="35"/>
  <c r="BW28" i="35"/>
  <c r="BW48" i="35"/>
  <c r="BW239" i="35"/>
  <c r="BW312" i="35"/>
  <c r="BW209" i="35"/>
  <c r="BW130" i="35"/>
  <c r="BW200" i="35"/>
  <c r="BW471" i="35"/>
  <c r="BW311" i="35"/>
  <c r="BW229" i="35"/>
  <c r="BW484" i="35"/>
  <c r="BW94" i="35"/>
  <c r="BW294" i="35"/>
  <c r="BW80" i="35"/>
  <c r="BW189" i="35"/>
  <c r="BW276" i="35"/>
  <c r="BW194" i="35"/>
  <c r="BW184" i="35"/>
  <c r="BW212" i="35"/>
  <c r="BW419" i="35"/>
  <c r="BW193" i="35"/>
  <c r="BW107" i="35"/>
  <c r="BW495" i="35"/>
  <c r="BW410" i="35"/>
  <c r="BW52" i="35"/>
  <c r="BW38" i="35"/>
  <c r="BW207" i="35"/>
  <c r="BW354" i="35"/>
  <c r="BW134" i="35"/>
  <c r="BW166" i="35"/>
  <c r="BW146" i="35"/>
  <c r="BW320" i="35"/>
  <c r="BW306" i="35"/>
  <c r="BW109" i="35"/>
  <c r="BW369" i="35"/>
  <c r="BW285" i="35"/>
  <c r="BW7" i="35"/>
  <c r="BW275" i="35"/>
  <c r="BW103" i="35"/>
  <c r="BW89" i="35"/>
  <c r="BW211" i="35"/>
  <c r="BW259" i="35"/>
  <c r="BW37" i="35"/>
  <c r="BW511" i="35"/>
  <c r="BW242" i="35"/>
  <c r="BW148" i="35"/>
  <c r="BW167" i="35"/>
  <c r="BW106" i="35"/>
  <c r="BW417" i="35"/>
  <c r="BW358" i="35"/>
  <c r="BW145" i="35"/>
  <c r="BW518" i="35"/>
  <c r="BW375" i="35"/>
  <c r="BW389" i="35"/>
  <c r="BW138" i="35"/>
  <c r="BW531" i="35"/>
  <c r="BW180" i="35"/>
  <c r="BW41" i="35"/>
  <c r="BW281" i="35"/>
  <c r="BW483" i="35"/>
  <c r="BW232" i="35"/>
  <c r="BW272" i="35"/>
  <c r="BW489" i="35"/>
  <c r="BW246" i="35"/>
  <c r="BW456" i="35"/>
  <c r="BW454" i="35"/>
  <c r="BW422" i="35"/>
  <c r="BW463" i="35"/>
  <c r="BW247" i="35"/>
  <c r="BW331" i="35"/>
  <c r="BW127" i="35"/>
  <c r="BW423" i="35"/>
  <c r="BW368" i="35"/>
  <c r="BW256" i="35"/>
  <c r="BW328" i="35"/>
  <c r="BW149" i="35"/>
  <c r="BW108" i="35"/>
  <c r="BW201" i="35"/>
  <c r="BW58" i="35"/>
  <c r="BW12" i="35"/>
  <c r="BW43" i="35"/>
  <c r="BW13" i="35"/>
  <c r="BW31" i="35"/>
  <c r="BW11" i="35"/>
  <c r="BW493" i="35"/>
  <c r="BW249" i="35"/>
  <c r="BW284" i="35"/>
  <c r="BW260" i="35"/>
  <c r="BW336" i="35"/>
  <c r="BW191" i="35"/>
  <c r="BW502" i="35"/>
  <c r="BW101" i="35"/>
  <c r="BW35" i="35"/>
  <c r="BW324" i="35"/>
  <c r="BW63" i="35"/>
  <c r="BW261" i="35"/>
  <c r="BW87" i="35"/>
  <c r="BW57" i="35"/>
  <c r="BW135" i="35"/>
  <c r="BW196" i="35"/>
  <c r="BW507" i="35"/>
  <c r="BW203" i="35"/>
  <c r="BW86" i="35"/>
  <c r="BW15" i="35"/>
  <c r="BW372" i="35"/>
  <c r="BW353" i="35"/>
  <c r="BW527" i="35"/>
  <c r="BW490" i="35"/>
  <c r="BW171" i="35"/>
  <c r="BW164" i="35"/>
  <c r="BW143" i="35"/>
  <c r="BW64" i="35"/>
  <c r="BW334" i="35"/>
  <c r="BW156" i="35"/>
  <c r="BW132" i="35"/>
  <c r="BW197" i="35"/>
  <c r="BW104" i="35"/>
  <c r="BW61" i="35"/>
  <c r="BW45" i="35"/>
  <c r="BW292" i="35"/>
  <c r="BW26" i="35"/>
  <c r="BW257" i="35"/>
  <c r="BW301" i="35"/>
  <c r="BW112" i="35"/>
  <c r="BW344" i="35"/>
  <c r="BW364" i="35"/>
  <c r="BW264" i="35"/>
  <c r="BW523" i="35"/>
  <c r="BW269" i="35"/>
  <c r="BW481" i="35"/>
  <c r="BW414" i="35"/>
  <c r="BW357" i="35"/>
  <c r="BW131" i="35"/>
  <c r="BW176" i="35"/>
  <c r="Y14" i="23"/>
  <c r="T15" i="23"/>
  <c r="BW40" i="35" l="1"/>
  <c r="BW71" i="35"/>
  <c r="BW307" i="35"/>
  <c r="BW160" i="35"/>
  <c r="BW36" i="35"/>
  <c r="BW352" i="35"/>
  <c r="BW204" i="35"/>
  <c r="BW255" i="35"/>
  <c r="BW413" i="35"/>
  <c r="BW499" i="35"/>
  <c r="BW142" i="35"/>
  <c r="BW265" i="35"/>
  <c r="BW219" i="35"/>
  <c r="BW248" i="35"/>
  <c r="BW291" i="35"/>
  <c r="BW515" i="35"/>
  <c r="BW244" i="35"/>
  <c r="BW514" i="35"/>
  <c r="BW512" i="35"/>
  <c r="BW153" i="35"/>
  <c r="BW49" i="35"/>
  <c r="BW360" i="35"/>
  <c r="BW274" i="35"/>
  <c r="BW44" i="35"/>
  <c r="BW113" i="35"/>
  <c r="BW338" i="35"/>
  <c r="BW91" i="35"/>
  <c r="BW416" i="35"/>
  <c r="BW478" i="35"/>
  <c r="BW304" i="35"/>
  <c r="BW487" i="35"/>
  <c r="BY4" i="35"/>
  <c r="BY58" i="35" s="1"/>
  <c r="BW227" i="35"/>
  <c r="BW266" i="35"/>
  <c r="BW141" i="35"/>
  <c r="BW32" i="35"/>
  <c r="BW333" i="35"/>
  <c r="BW258" i="35"/>
  <c r="BW351" i="35"/>
  <c r="BW125" i="35"/>
  <c r="BW42" i="35"/>
  <c r="BW387" i="35"/>
  <c r="BW250" i="35"/>
  <c r="BW453" i="35"/>
  <c r="BW235" i="35"/>
  <c r="BW62" i="35"/>
  <c r="BW468" i="35"/>
  <c r="BW84" i="35"/>
  <c r="BW152" i="35"/>
  <c r="BW322" i="35"/>
  <c r="BW128" i="35"/>
  <c r="BW233" i="35"/>
  <c r="BW218" i="35"/>
  <c r="BW501" i="35"/>
  <c r="BW136" i="35"/>
  <c r="BW216" i="35"/>
  <c r="BW524" i="35"/>
  <c r="BW308" i="35"/>
  <c r="BW530" i="35"/>
  <c r="BW371" i="35"/>
  <c r="BW126" i="35"/>
  <c r="BW163" i="35"/>
  <c r="BW329" i="35"/>
  <c r="BW97" i="35"/>
  <c r="BW168" i="35"/>
  <c r="BW123" i="35"/>
  <c r="BW503" i="35"/>
  <c r="BW177" i="35"/>
  <c r="BW205" i="35"/>
  <c r="BW525" i="35"/>
  <c r="BW424" i="35"/>
  <c r="BW271" i="35"/>
  <c r="BW392" i="35"/>
  <c r="BW151" i="35"/>
  <c r="BW486" i="35"/>
  <c r="BW234" i="35"/>
  <c r="BW230" i="35"/>
  <c r="BW251" i="35"/>
  <c r="BW290" i="35"/>
  <c r="BW459" i="35"/>
  <c r="BW115" i="35"/>
  <c r="BW408" i="35"/>
  <c r="BW480" i="35"/>
  <c r="BW492" i="35"/>
  <c r="BW316" i="35"/>
  <c r="BW529" i="35"/>
  <c r="BW347" i="35"/>
  <c r="BW299" i="35"/>
  <c r="BW343" i="35"/>
  <c r="BW508" i="35"/>
  <c r="BW178" i="35"/>
  <c r="BW374" i="35"/>
  <c r="BW55" i="35"/>
  <c r="BW223" i="35"/>
  <c r="BW420" i="35"/>
  <c r="BW195" i="35"/>
  <c r="BW496" i="35"/>
  <c r="BW339" i="35"/>
  <c r="BW226" i="35"/>
  <c r="BW33" i="35"/>
  <c r="BW361" i="35"/>
  <c r="BW208" i="35"/>
  <c r="BW129" i="35"/>
  <c r="BW376" i="35"/>
  <c r="BW182" i="35"/>
  <c r="BW85" i="35"/>
  <c r="BW356" i="35"/>
  <c r="BW418" i="35"/>
  <c r="BW114" i="35"/>
  <c r="BW510" i="35"/>
  <c r="BW66" i="35"/>
  <c r="BW370" i="35"/>
  <c r="BW373" i="35"/>
  <c r="BW102" i="35"/>
  <c r="BW173" i="35"/>
  <c r="BW155" i="35"/>
  <c r="BW287" i="35"/>
  <c r="BW319" i="35"/>
  <c r="BW303" i="35"/>
  <c r="BW88" i="35"/>
  <c r="BW119" i="35"/>
  <c r="BW217" i="35"/>
  <c r="BW192" i="35"/>
  <c r="BW296" i="35"/>
  <c r="BW16" i="35"/>
  <c r="BW170" i="35"/>
  <c r="BW498" i="35"/>
  <c r="BW245" i="35"/>
  <c r="BW54" i="35"/>
  <c r="BW25" i="35"/>
  <c r="BW342" i="35"/>
  <c r="BW83" i="35"/>
  <c r="BW214" i="35"/>
  <c r="BW179" i="35"/>
  <c r="BW363" i="35"/>
  <c r="BW34" i="35"/>
  <c r="BW380" i="35"/>
  <c r="BW323" i="35"/>
  <c r="BW479" i="35"/>
  <c r="BW326" i="35"/>
  <c r="BW72" i="35"/>
  <c r="BW69" i="35"/>
  <c r="BW470" i="35"/>
  <c r="BW412" i="35"/>
  <c r="BW137" i="35"/>
  <c r="BW186" i="35"/>
  <c r="BW365" i="35"/>
  <c r="BW332" i="35"/>
  <c r="BW169" i="35"/>
  <c r="BW154" i="35"/>
  <c r="BW8" i="35"/>
  <c r="BW174" i="35"/>
  <c r="BW238" i="35"/>
  <c r="BW77" i="35"/>
  <c r="BW283" i="35"/>
  <c r="BW461" i="35"/>
  <c r="BW60" i="35"/>
  <c r="BW386" i="35"/>
  <c r="BW462" i="35"/>
  <c r="BW302" i="35"/>
  <c r="BW528" i="35"/>
  <c r="BW254" i="35"/>
  <c r="BW488" i="35"/>
  <c r="BW243" i="35"/>
  <c r="BW476" i="35"/>
  <c r="BW81" i="35"/>
  <c r="BW228" i="35"/>
  <c r="BW464" i="35"/>
  <c r="BW494" i="35"/>
  <c r="BW475" i="35"/>
  <c r="BW341" i="35"/>
  <c r="BW95" i="35"/>
  <c r="BW21" i="35"/>
  <c r="BW82" i="35"/>
  <c r="BW22" i="35"/>
  <c r="BW236" i="35"/>
  <c r="BW50" i="35"/>
  <c r="BW497" i="35"/>
  <c r="BW187" i="35"/>
  <c r="BW181" i="35"/>
  <c r="BW14" i="35"/>
  <c r="BW500" i="35"/>
  <c r="BW158" i="35"/>
  <c r="BW504" i="35"/>
  <c r="BW391" i="35"/>
  <c r="BW313" i="35"/>
  <c r="BW513" i="35"/>
  <c r="BW465" i="35"/>
  <c r="BW268" i="35"/>
  <c r="BW382" i="35"/>
  <c r="BW409" i="35"/>
  <c r="BW415" i="35"/>
  <c r="BW325" i="35"/>
  <c r="BW147" i="35"/>
  <c r="BW337" i="35"/>
  <c r="BW383" i="35"/>
  <c r="BW65" i="35"/>
  <c r="BW315" i="35"/>
  <c r="BW289" i="35"/>
  <c r="BW355" i="35"/>
  <c r="BW366" i="35"/>
  <c r="BW150" i="35"/>
  <c r="BW39" i="35"/>
  <c r="BW297" i="35"/>
  <c r="BW231" i="35"/>
  <c r="BW482" i="35"/>
  <c r="BW335" i="35"/>
  <c r="BW124" i="35"/>
  <c r="BW93" i="35"/>
  <c r="BW157" i="35"/>
  <c r="BW286" i="35"/>
  <c r="BW300" i="35"/>
  <c r="BW277" i="35"/>
  <c r="BW51" i="35"/>
  <c r="BW19" i="35"/>
  <c r="BW118" i="35"/>
  <c r="BW221" i="35"/>
  <c r="BW330" i="35"/>
  <c r="BW457" i="35"/>
  <c r="BW452" i="35"/>
  <c r="BW75" i="35"/>
  <c r="BW105" i="35"/>
  <c r="BW516" i="35"/>
  <c r="BW295" i="35"/>
  <c r="BW210" i="35"/>
  <c r="BW467" i="35"/>
  <c r="BW327" i="35"/>
  <c r="BW76" i="35"/>
  <c r="BW68" i="35"/>
  <c r="BW99" i="35"/>
  <c r="BW224" i="35"/>
  <c r="BW367" i="35"/>
  <c r="BW188" i="35"/>
  <c r="BW378" i="35"/>
  <c r="BW23" i="35"/>
  <c r="BW20" i="35"/>
  <c r="BW253" i="35"/>
  <c r="BW100" i="35"/>
  <c r="BW451" i="35"/>
  <c r="BW280" i="35"/>
  <c r="BW199" i="35"/>
  <c r="BW314" i="35"/>
  <c r="BW237" i="35"/>
  <c r="BW521" i="35"/>
  <c r="BW183" i="35"/>
  <c r="BW206" i="35"/>
  <c r="BW362" i="35"/>
  <c r="BW96" i="35"/>
  <c r="BW92" i="35"/>
  <c r="BW273" i="35"/>
  <c r="BW466" i="35"/>
  <c r="BW98" i="35"/>
  <c r="BW473" i="35"/>
  <c r="BW165" i="35"/>
  <c r="BW73" i="35"/>
  <c r="BW517" i="35"/>
  <c r="BW27" i="35"/>
  <c r="BW421" i="35"/>
  <c r="BW321" i="35"/>
  <c r="BW263" i="35"/>
  <c r="BW310" i="35"/>
  <c r="BW458" i="35"/>
  <c r="BW472" i="35"/>
  <c r="BW340" i="35"/>
  <c r="BW78" i="35"/>
  <c r="BW24" i="35"/>
  <c r="BW252" i="35"/>
  <c r="BW506" i="35"/>
  <c r="BW522" i="35"/>
  <c r="BW469" i="35"/>
  <c r="BW241" i="35"/>
  <c r="BW117" i="35"/>
  <c r="BW377" i="35"/>
  <c r="BW350" i="35"/>
  <c r="BW162" i="35"/>
  <c r="BW293" i="35"/>
  <c r="BW121" i="35"/>
  <c r="BW309" i="35"/>
  <c r="BW10" i="35"/>
  <c r="BW379" i="35"/>
  <c r="BW47" i="35"/>
  <c r="BW485" i="35"/>
  <c r="BW198" i="35"/>
  <c r="BW190" i="35"/>
  <c r="BW225" i="35"/>
  <c r="BW17" i="35"/>
  <c r="BW56" i="35"/>
  <c r="BW267" i="35"/>
  <c r="BW90" i="35"/>
  <c r="BW474" i="35"/>
  <c r="BW505" i="35"/>
  <c r="BW9" i="35"/>
  <c r="BW240" i="35"/>
  <c r="BW18" i="35"/>
  <c r="BW172" i="35"/>
  <c r="BW185" i="35"/>
  <c r="BW393" i="35"/>
  <c r="BW202" i="35"/>
  <c r="BW122" i="35"/>
  <c r="BW318" i="35"/>
  <c r="BW317" i="35"/>
  <c r="BW133" i="35"/>
  <c r="BW411" i="35"/>
  <c r="BW139" i="35"/>
  <c r="BW345" i="35"/>
  <c r="BW70" i="35"/>
  <c r="BW79" i="35"/>
  <c r="BW282" i="35"/>
  <c r="BW520" i="35"/>
  <c r="BW30" i="35"/>
  <c r="BW381" i="35"/>
  <c r="BW305" i="35"/>
  <c r="BW455" i="35"/>
  <c r="BW215" i="35"/>
  <c r="BW120" i="35"/>
  <c r="BW74" i="35"/>
  <c r="BW213" i="35"/>
  <c r="BU3" i="35"/>
  <c r="O21" i="39"/>
  <c r="AR22" i="39"/>
  <c r="BQ3" i="20"/>
  <c r="BS403" i="20"/>
  <c r="BS497" i="20"/>
  <c r="BS466" i="20"/>
  <c r="BS515" i="20"/>
  <c r="BS119" i="20"/>
  <c r="BS452" i="20"/>
  <c r="BS362" i="20"/>
  <c r="BS591" i="20"/>
  <c r="BS39" i="20"/>
  <c r="BS640" i="20"/>
  <c r="BS310" i="20"/>
  <c r="BS41" i="20"/>
  <c r="BS609" i="20"/>
  <c r="BS184" i="20"/>
  <c r="BS99" i="20"/>
  <c r="BS192" i="20"/>
  <c r="BS326" i="20"/>
  <c r="BS460" i="20"/>
  <c r="BS332" i="20"/>
  <c r="BS60" i="20"/>
  <c r="BS17" i="20"/>
  <c r="BS123" i="20"/>
  <c r="BS469" i="20"/>
  <c r="BS42" i="20"/>
  <c r="BS64" i="20"/>
  <c r="BS19" i="20"/>
  <c r="BS327" i="20"/>
  <c r="BS478" i="20"/>
  <c r="BS498" i="20"/>
  <c r="BS159" i="20"/>
  <c r="BS239" i="20"/>
  <c r="BS197" i="20"/>
  <c r="BS174" i="20"/>
  <c r="BS154" i="20"/>
  <c r="BS331" i="20"/>
  <c r="BS615" i="20"/>
  <c r="BS344" i="20"/>
  <c r="BS177" i="20"/>
  <c r="BS621" i="20"/>
  <c r="BS204" i="20"/>
  <c r="BS618" i="20"/>
  <c r="BS334" i="20"/>
  <c r="BS12" i="20"/>
  <c r="BS453" i="20"/>
  <c r="BS276" i="20"/>
  <c r="BS247" i="20"/>
  <c r="BS309" i="20"/>
  <c r="BS503" i="20"/>
  <c r="BS494" i="20"/>
  <c r="BS586" i="20"/>
  <c r="BS392" i="20"/>
  <c r="BS636" i="20"/>
  <c r="BS164" i="20"/>
  <c r="BS30" i="20"/>
  <c r="BS608" i="20"/>
  <c r="BS420" i="20"/>
  <c r="BS353" i="20"/>
  <c r="BS638" i="20"/>
  <c r="BS395" i="20"/>
  <c r="BS89" i="20"/>
  <c r="BS88" i="20"/>
  <c r="BS73" i="20"/>
  <c r="BS86" i="20"/>
  <c r="BS267" i="20"/>
  <c r="BS114" i="20"/>
  <c r="BS431" i="20"/>
  <c r="BS202" i="20"/>
  <c r="BS127" i="20"/>
  <c r="BS374" i="20"/>
  <c r="BS43" i="20"/>
  <c r="BS242" i="20"/>
  <c r="BS412" i="20"/>
  <c r="BS234" i="20"/>
  <c r="BS490" i="20"/>
  <c r="BS637" i="20"/>
  <c r="BS24" i="20"/>
  <c r="BS575" i="20"/>
  <c r="BS509" i="20"/>
  <c r="BS639" i="20"/>
  <c r="BS474" i="20"/>
  <c r="BS349" i="20"/>
  <c r="BS45" i="20"/>
  <c r="BS449" i="20"/>
  <c r="BS246" i="20"/>
  <c r="BS445" i="20"/>
  <c r="BS279" i="20"/>
  <c r="BS256" i="20"/>
  <c r="BS477" i="20"/>
  <c r="BS263" i="20"/>
  <c r="BS22" i="20"/>
  <c r="BS352" i="20"/>
  <c r="BS301" i="20"/>
  <c r="BS307" i="20"/>
  <c r="BS55" i="20"/>
  <c r="BS544" i="20"/>
  <c r="BS133" i="20"/>
  <c r="BS406" i="20"/>
  <c r="BS83" i="20"/>
  <c r="BS390" i="20"/>
  <c r="BS531" i="20"/>
  <c r="BS345" i="20"/>
  <c r="BS11" i="20"/>
  <c r="BS16" i="20"/>
  <c r="BS182" i="20"/>
  <c r="BS65" i="20"/>
  <c r="BS504" i="20"/>
  <c r="BS347" i="20"/>
  <c r="BS593" i="20"/>
  <c r="BS291" i="20"/>
  <c r="BS149" i="20"/>
  <c r="BS367" i="20"/>
  <c r="BS400" i="20"/>
  <c r="BS651" i="20"/>
  <c r="BS360" i="20"/>
  <c r="BS355" i="20"/>
  <c r="BS145" i="20"/>
  <c r="BS428" i="20"/>
  <c r="BS230" i="20"/>
  <c r="BS610" i="20"/>
  <c r="BS648" i="20"/>
  <c r="BS198" i="20"/>
  <c r="BS224" i="20"/>
  <c r="BS253" i="20"/>
  <c r="BS62" i="20"/>
  <c r="BS32" i="20"/>
  <c r="BS61" i="20"/>
  <c r="BS384" i="20"/>
  <c r="BS442" i="20"/>
  <c r="BS401" i="20"/>
  <c r="BS212" i="20"/>
  <c r="BS132" i="20"/>
  <c r="BS152" i="20"/>
  <c r="BS178" i="20"/>
  <c r="BS489" i="20"/>
  <c r="BS116" i="20"/>
  <c r="BS7" i="20"/>
  <c r="BS371" i="20"/>
  <c r="BS346" i="20"/>
  <c r="BS220" i="20"/>
  <c r="BS441" i="20"/>
  <c r="BS185" i="20"/>
  <c r="BS542" i="20"/>
  <c r="BS487" i="20"/>
  <c r="BS396" i="20"/>
  <c r="BS495" i="20"/>
  <c r="BS394" i="20"/>
  <c r="BS407" i="20"/>
  <c r="BS26" i="20"/>
  <c r="BS229" i="20"/>
  <c r="BS296" i="20"/>
  <c r="BS269" i="20"/>
  <c r="BS413" i="20"/>
  <c r="BS210" i="20"/>
  <c r="BS624" i="20"/>
  <c r="BS195" i="20"/>
  <c r="BS467" i="20"/>
  <c r="BS108" i="20"/>
  <c r="BS274" i="20"/>
  <c r="BS492" i="20"/>
  <c r="BS508" i="20"/>
  <c r="BS170" i="20"/>
  <c r="BS8" i="20"/>
  <c r="BS244" i="20"/>
  <c r="BS143" i="20"/>
  <c r="BS507" i="20"/>
  <c r="BS245" i="20"/>
  <c r="BS380" i="20"/>
  <c r="BS76" i="20"/>
  <c r="BS82" i="20"/>
  <c r="BS112" i="20"/>
  <c r="BS295" i="20"/>
  <c r="BS322" i="20"/>
  <c r="BS158" i="20"/>
  <c r="BS491" i="20"/>
  <c r="BS188" i="20"/>
  <c r="BS383" i="20"/>
  <c r="BS378" i="20"/>
  <c r="BS302" i="20"/>
  <c r="BS200" i="20"/>
  <c r="BS499" i="20"/>
  <c r="BS54" i="20"/>
  <c r="BS121" i="20"/>
  <c r="BS590" i="20"/>
  <c r="BS23" i="20"/>
  <c r="BS325" i="20"/>
  <c r="BS241" i="20"/>
  <c r="BS304" i="20"/>
  <c r="BS616" i="20"/>
  <c r="BS596" i="20"/>
  <c r="BS451" i="20"/>
  <c r="BS286" i="20"/>
  <c r="BS373" i="20"/>
  <c r="BS201" i="20"/>
  <c r="BS315" i="20"/>
  <c r="BS266" i="20"/>
  <c r="BS470" i="20"/>
  <c r="BS172" i="20"/>
  <c r="BS410" i="20"/>
  <c r="BS48" i="20"/>
  <c r="BS483" i="20"/>
  <c r="BS643" i="20"/>
  <c r="BS641" i="20"/>
  <c r="BS539" i="20"/>
  <c r="BS191" i="20"/>
  <c r="BS272" i="20"/>
  <c r="BS421" i="20"/>
  <c r="BS187" i="20"/>
  <c r="BS282" i="20"/>
  <c r="BS545" i="20"/>
  <c r="BS203" i="20"/>
  <c r="BS592" i="20"/>
  <c r="BS85" i="20"/>
  <c r="BS118" i="20"/>
  <c r="BS139" i="20"/>
  <c r="BS289" i="20"/>
  <c r="BS260" i="20"/>
  <c r="BS419" i="20"/>
  <c r="BS233" i="20"/>
  <c r="BS20" i="20"/>
  <c r="BS109" i="20"/>
  <c r="BS190" i="20"/>
  <c r="BS427" i="20"/>
  <c r="BS510" i="20"/>
  <c r="BS153" i="20"/>
  <c r="BS372" i="20"/>
  <c r="BS351" i="20"/>
  <c r="BS623" i="20"/>
  <c r="BS617" i="20"/>
  <c r="BS580" i="20"/>
  <c r="BS80" i="20"/>
  <c r="BS642" i="20"/>
  <c r="BS457" i="20"/>
  <c r="BS257" i="20"/>
  <c r="BS135" i="20"/>
  <c r="BS90" i="20"/>
  <c r="BS404" i="20"/>
  <c r="BS464" i="20"/>
  <c r="BS166" i="20"/>
  <c r="BS103" i="20"/>
  <c r="BS87" i="20"/>
  <c r="BS627" i="20"/>
  <c r="BS456" i="20"/>
  <c r="BS377" i="20"/>
  <c r="BS70" i="20"/>
  <c r="BS51" i="20"/>
  <c r="BS35" i="20"/>
  <c r="BS67" i="20"/>
  <c r="BS97" i="20"/>
  <c r="BS53" i="20"/>
  <c r="BS361" i="20"/>
  <c r="BS142" i="20"/>
  <c r="BS134" i="20"/>
  <c r="BS111" i="20"/>
  <c r="BS602" i="20"/>
  <c r="BS218" i="20"/>
  <c r="BS604" i="20"/>
  <c r="BS287" i="20"/>
  <c r="BS603" i="20"/>
  <c r="BS138" i="20"/>
  <c r="BS397" i="20"/>
  <c r="BS480" i="20"/>
  <c r="BS252" i="20"/>
  <c r="BS217" i="20"/>
  <c r="BS348" i="20"/>
  <c r="BS514" i="20"/>
  <c r="BS343" i="20"/>
  <c r="BS599" i="20"/>
  <c r="BS533" i="20"/>
  <c r="BS79" i="20"/>
  <c r="BS393" i="20"/>
  <c r="BS299" i="20"/>
  <c r="BU4" i="20"/>
  <c r="BS607" i="20"/>
  <c r="BS493" i="20"/>
  <c r="BS237" i="20"/>
  <c r="BS84" i="20"/>
  <c r="BS356" i="20"/>
  <c r="BS506" i="20"/>
  <c r="BS433" i="20"/>
  <c r="BS481" i="20"/>
  <c r="BS297" i="20"/>
  <c r="BS376" i="20"/>
  <c r="BS115" i="20"/>
  <c r="BS414" i="20"/>
  <c r="BS626" i="20"/>
  <c r="BS436" i="20"/>
  <c r="BS288" i="20"/>
  <c r="BS501" i="20"/>
  <c r="BS300" i="20"/>
  <c r="BS541" i="20"/>
  <c r="BS439" i="20"/>
  <c r="BS261" i="20"/>
  <c r="BS298" i="20"/>
  <c r="BS254" i="20"/>
  <c r="BS278" i="20"/>
  <c r="BS273" i="20"/>
  <c r="BS243" i="20"/>
  <c r="BS59" i="20"/>
  <c r="BS488" i="20"/>
  <c r="BS576" i="20"/>
  <c r="BS340" i="20"/>
  <c r="BS530" i="20"/>
  <c r="BS262" i="20"/>
  <c r="BS146" i="20"/>
  <c r="BS321" i="20"/>
  <c r="BS461" i="20"/>
  <c r="BS71" i="20"/>
  <c r="BS92" i="20"/>
  <c r="BS513" i="20"/>
  <c r="BS579" i="20"/>
  <c r="BS339" i="20"/>
  <c r="BS165" i="20"/>
  <c r="BS472" i="20"/>
  <c r="BS303" i="20"/>
  <c r="BS535" i="20"/>
  <c r="BS437" i="20"/>
  <c r="BS128" i="20"/>
  <c r="BS577" i="20"/>
  <c r="BS96" i="20"/>
  <c r="BS418" i="20"/>
  <c r="BS462" i="20"/>
  <c r="BS150" i="20"/>
  <c r="BS137" i="20"/>
  <c r="BS485" i="20"/>
  <c r="BS225" i="20"/>
  <c r="BS388" i="20"/>
  <c r="BS312" i="20"/>
  <c r="BS468" i="20"/>
  <c r="BS444" i="20"/>
  <c r="BS454" i="20"/>
  <c r="BS181" i="20"/>
  <c r="BS110" i="20"/>
  <c r="BS381" i="20"/>
  <c r="BS122" i="20"/>
  <c r="BS271" i="20"/>
  <c r="BS595" i="20"/>
  <c r="BS13" i="20"/>
  <c r="BS584" i="20"/>
  <c r="BS98" i="20"/>
  <c r="BS440" i="20"/>
  <c r="BS107" i="20"/>
  <c r="BS588" i="20"/>
  <c r="BS350" i="20"/>
  <c r="BS317" i="20"/>
  <c r="BS199" i="20"/>
  <c r="BS357" i="20"/>
  <c r="BS649" i="20"/>
  <c r="BS423" i="20"/>
  <c r="BS484" i="20"/>
  <c r="BS365" i="20"/>
  <c r="BS399" i="20"/>
  <c r="BS270" i="20"/>
  <c r="BS223" i="20"/>
  <c r="BS155" i="20"/>
  <c r="BS532" i="20"/>
  <c r="BS91" i="20"/>
  <c r="BS101" i="20"/>
  <c r="BS140" i="20"/>
  <c r="BS536" i="20"/>
  <c r="BS126" i="20"/>
  <c r="BS585" i="20"/>
  <c r="BS601" i="20"/>
  <c r="BS318" i="20"/>
  <c r="BS175" i="20"/>
  <c r="BS183" i="20"/>
  <c r="BS578" i="20"/>
  <c r="BS95" i="20"/>
  <c r="BS156" i="20"/>
  <c r="BS448" i="20"/>
  <c r="BS341" i="20"/>
  <c r="BS40" i="20"/>
  <c r="BS458" i="20"/>
  <c r="BS385" i="20"/>
  <c r="BS250" i="20"/>
  <c r="BS574" i="20"/>
  <c r="BS179" i="20"/>
  <c r="BS336" i="20"/>
  <c r="BS280" i="20"/>
  <c r="BS628" i="20"/>
  <c r="BS148" i="20"/>
  <c r="BS386" i="20"/>
  <c r="BS405" i="20"/>
  <c r="BS104" i="20"/>
  <c r="BS635" i="20"/>
  <c r="BS56" i="20"/>
  <c r="BS68" i="20"/>
  <c r="BS629" i="20"/>
  <c r="BS125" i="20"/>
  <c r="BS163" i="20"/>
  <c r="BS169" i="20"/>
  <c r="BS214" i="20"/>
  <c r="BS573" i="20"/>
  <c r="BS15" i="20"/>
  <c r="BS167" i="20"/>
  <c r="BS426" i="20"/>
  <c r="BS50" i="20"/>
  <c r="BS446" i="20"/>
  <c r="BS546" i="20"/>
  <c r="BS597" i="20"/>
  <c r="BS430" i="20"/>
  <c r="BS415" i="20"/>
  <c r="BS511" i="20"/>
  <c r="BS308" i="20"/>
  <c r="BS620" i="20"/>
  <c r="BS285" i="20"/>
  <c r="BS589" i="20"/>
  <c r="BS366" i="20"/>
  <c r="BS429" i="20"/>
  <c r="BS74" i="20"/>
  <c r="BS151" i="20"/>
  <c r="BS93" i="20"/>
  <c r="BS486" i="20"/>
  <c r="BS69" i="20"/>
  <c r="BS368" i="20"/>
  <c r="BS314" i="20"/>
  <c r="BS31" i="20"/>
  <c r="BS221" i="20"/>
  <c r="BS46" i="20"/>
  <c r="BS66" i="20"/>
  <c r="BS293" i="20"/>
  <c r="BS379" i="20"/>
  <c r="BS459" i="20"/>
  <c r="BS359" i="20"/>
  <c r="BS162" i="20"/>
  <c r="BS408" i="20"/>
  <c r="BS364" i="20"/>
  <c r="BS540" i="20"/>
  <c r="BS496" i="20"/>
  <c r="BS141" i="20"/>
  <c r="BS157" i="20"/>
  <c r="BS512" i="20"/>
  <c r="BS600" i="20"/>
  <c r="BS58" i="20"/>
  <c r="BS363" i="20"/>
  <c r="BS25" i="20"/>
  <c r="BS131" i="20"/>
  <c r="BS213" i="20"/>
  <c r="BS632" i="20"/>
  <c r="BS652" i="20"/>
  <c r="BS598" i="20"/>
  <c r="BS72" i="20"/>
  <c r="BS268" i="20"/>
  <c r="BS29" i="20"/>
  <c r="BS171" i="20"/>
  <c r="BS450" i="20"/>
  <c r="BS581" i="20"/>
  <c r="BS416" i="20"/>
  <c r="BS319" i="20"/>
  <c r="BS284" i="20"/>
  <c r="BS611" i="20"/>
  <c r="BS10" i="20"/>
  <c r="BS236" i="20"/>
  <c r="BS211" i="20"/>
  <c r="BS255" i="20"/>
  <c r="BS417" i="20"/>
  <c r="BS391" i="20"/>
  <c r="BS335" i="20"/>
  <c r="BS500" i="20"/>
  <c r="BS205" i="20"/>
  <c r="BS398" i="20"/>
  <c r="BS248" i="20"/>
  <c r="BS281" i="20"/>
  <c r="BS264" i="20"/>
  <c r="BS622" i="20"/>
  <c r="BS375" i="20"/>
  <c r="BS389" i="20"/>
  <c r="BS320" i="20"/>
  <c r="BS354" i="20"/>
  <c r="BS38" i="20"/>
  <c r="BS342" i="20"/>
  <c r="BS232" i="20"/>
  <c r="BS130" i="20"/>
  <c r="BS37" i="20"/>
  <c r="BS94" i="20"/>
  <c r="BS411" i="20"/>
  <c r="BS21" i="20"/>
  <c r="BS337" i="20"/>
  <c r="BS117" i="20"/>
  <c r="BS316" i="20"/>
  <c r="BS422" i="20"/>
  <c r="BS594" i="20"/>
  <c r="BS100" i="20"/>
  <c r="BS409" i="20"/>
  <c r="BS438" i="20"/>
  <c r="BS311" i="20"/>
  <c r="BS476" i="20"/>
  <c r="BS534" i="20"/>
  <c r="BS113" i="20"/>
  <c r="BS193" i="20"/>
  <c r="BS240" i="20"/>
  <c r="BS614" i="20"/>
  <c r="BS124" i="20"/>
  <c r="BS283" i="20"/>
  <c r="BS277" i="20"/>
  <c r="BS482" i="20"/>
  <c r="BS292" i="20"/>
  <c r="BS333" i="20"/>
  <c r="BS161" i="20"/>
  <c r="BS227" i="20"/>
  <c r="BS328" i="20"/>
  <c r="BS402" i="20"/>
  <c r="BS447" i="20"/>
  <c r="BS471" i="20"/>
  <c r="BS102" i="20"/>
  <c r="BS313" i="20"/>
  <c r="BS630" i="20"/>
  <c r="BS455" i="20"/>
  <c r="BS646" i="20"/>
  <c r="BS605" i="20"/>
  <c r="BS215" i="20"/>
  <c r="BS160" i="20"/>
  <c r="BS147" i="20"/>
  <c r="BS222" i="20"/>
  <c r="BS369" i="20"/>
  <c r="BS290" i="20"/>
  <c r="BS502" i="20"/>
  <c r="BS49" i="20"/>
  <c r="BS613" i="20"/>
  <c r="BS206" i="20"/>
  <c r="BS186" i="20"/>
  <c r="BS382" i="20"/>
  <c r="BS329" i="20"/>
  <c r="BS52" i="20"/>
  <c r="BS473" i="20"/>
  <c r="BS625" i="20"/>
  <c r="BS306" i="20"/>
  <c r="BS249" i="20"/>
  <c r="BS120" i="20"/>
  <c r="BS432" i="20"/>
  <c r="BS582" i="20"/>
  <c r="BS358" i="20"/>
  <c r="BS538" i="20"/>
  <c r="BS207" i="20"/>
  <c r="BS435" i="20"/>
  <c r="BS543" i="20"/>
  <c r="BS57" i="20"/>
  <c r="BS644" i="20"/>
  <c r="BS226" i="20"/>
  <c r="BS645" i="20"/>
  <c r="BS583" i="20"/>
  <c r="BS463" i="20"/>
  <c r="BS78" i="20"/>
  <c r="BS647" i="20"/>
  <c r="BS238" i="20"/>
  <c r="BS479" i="20"/>
  <c r="BS77" i="20"/>
  <c r="BS176" i="20"/>
  <c r="BS231" i="20"/>
  <c r="BS606" i="20"/>
  <c r="BS106" i="20"/>
  <c r="BS505" i="20"/>
  <c r="BS631" i="20"/>
  <c r="BS33" i="20"/>
  <c r="BS425" i="20"/>
  <c r="BS650" i="20"/>
  <c r="BS424" i="20"/>
  <c r="BS633" i="20"/>
  <c r="BS443" i="20"/>
  <c r="BS105" i="20"/>
  <c r="BS28" i="20"/>
  <c r="BS258" i="20"/>
  <c r="BS44" i="20"/>
  <c r="BS324" i="20"/>
  <c r="BS216" i="20"/>
  <c r="BS338" i="20"/>
  <c r="BS275" i="20"/>
  <c r="BS587" i="20"/>
  <c r="BS9" i="20"/>
  <c r="BS196" i="20"/>
  <c r="BS475" i="20"/>
  <c r="BS18" i="20"/>
  <c r="BS387" i="20"/>
  <c r="BS330" i="20"/>
  <c r="BS323" i="20"/>
  <c r="BS180" i="20"/>
  <c r="BS537" i="20"/>
  <c r="BS14" i="20"/>
  <c r="BS219" i="20"/>
  <c r="BS36" i="20"/>
  <c r="BS634" i="20"/>
  <c r="BS173" i="20"/>
  <c r="BS47" i="20"/>
  <c r="BS81" i="20"/>
  <c r="BS194" i="20"/>
  <c r="BS208" i="20"/>
  <c r="BS27" i="20"/>
  <c r="BS189" i="20"/>
  <c r="BS136" i="20"/>
  <c r="BS265" i="20"/>
  <c r="BS370" i="20"/>
  <c r="BS75" i="20"/>
  <c r="BS465" i="20"/>
  <c r="BS612" i="20"/>
  <c r="BS294" i="20"/>
  <c r="BS168" i="20"/>
  <c r="BS259" i="20"/>
  <c r="BS251" i="20"/>
  <c r="BS235" i="20"/>
  <c r="BS144" i="20"/>
  <c r="BS305" i="20"/>
  <c r="BS129" i="20"/>
  <c r="BS228" i="20"/>
  <c r="BS63" i="20"/>
  <c r="BS619" i="20"/>
  <c r="BS209" i="20"/>
  <c r="BS34" i="20"/>
  <c r="BS434" i="20"/>
  <c r="AR23" i="40"/>
  <c r="O22" i="40"/>
  <c r="BY69" i="35"/>
  <c r="BY441" i="35"/>
  <c r="BY307" i="35"/>
  <c r="BY179" i="35"/>
  <c r="BY188" i="35"/>
  <c r="BY453" i="35"/>
  <c r="BY239" i="35"/>
  <c r="BY471" i="35"/>
  <c r="BY43" i="35"/>
  <c r="BY160" i="35"/>
  <c r="BY190" i="35"/>
  <c r="BY299" i="35"/>
  <c r="BY488" i="35"/>
  <c r="BY514" i="35"/>
  <c r="BY231" i="35"/>
  <c r="BY363" i="35"/>
  <c r="BR15" i="23"/>
  <c r="AZ15" i="23"/>
  <c r="BD15" i="23"/>
  <c r="BJ15" i="23"/>
  <c r="AX15" i="23"/>
  <c r="AJ15" i="23"/>
  <c r="BP15" i="23"/>
  <c r="BL15" i="23"/>
  <c r="AD15" i="23"/>
  <c r="BF15" i="23"/>
  <c r="BB15" i="23"/>
  <c r="AR15" i="23"/>
  <c r="AV15" i="23"/>
  <c r="BT15" i="23"/>
  <c r="AB15" i="23"/>
  <c r="AL15" i="23"/>
  <c r="AH15" i="23"/>
  <c r="V15" i="23"/>
  <c r="BH15" i="23"/>
  <c r="AF15" i="23"/>
  <c r="BN15" i="23"/>
  <c r="AT15" i="23"/>
  <c r="AN15" i="23"/>
  <c r="AP15" i="23"/>
  <c r="W15" i="23"/>
  <c r="BV15" i="23"/>
  <c r="BY442" i="35" l="1"/>
  <c r="BY61" i="35"/>
  <c r="BY503" i="35"/>
  <c r="BY135" i="35"/>
  <c r="BY164" i="35"/>
  <c r="BY342" i="35"/>
  <c r="BY101" i="35"/>
  <c r="BY531" i="35"/>
  <c r="BY528" i="35"/>
  <c r="BY137" i="35"/>
  <c r="BY184" i="35"/>
  <c r="BY495" i="35"/>
  <c r="BY8" i="35"/>
  <c r="BY322" i="35"/>
  <c r="BY459" i="35"/>
  <c r="BY210" i="35"/>
  <c r="BY12" i="35"/>
  <c r="BY346" i="35"/>
  <c r="BY10" i="35"/>
  <c r="BY21" i="35"/>
  <c r="BY16" i="35"/>
  <c r="BY271" i="35"/>
  <c r="BY11" i="35"/>
  <c r="BY217" i="35"/>
  <c r="BY530" i="35"/>
  <c r="BY292" i="35"/>
  <c r="BY132" i="35"/>
  <c r="BY191" i="35"/>
  <c r="BY165" i="35"/>
  <c r="BY394" i="35"/>
  <c r="BY209" i="35"/>
  <c r="BY42" i="35"/>
  <c r="BY230" i="35"/>
  <c r="BY359" i="35"/>
  <c r="BY169" i="35"/>
  <c r="BY420" i="35"/>
  <c r="BY413" i="35"/>
  <c r="BY32" i="35"/>
  <c r="BY317" i="35"/>
  <c r="BY461" i="35"/>
  <c r="BY521" i="35"/>
  <c r="BY356" i="35"/>
  <c r="BY319" i="35"/>
  <c r="BY334" i="35"/>
  <c r="BY178" i="35"/>
  <c r="BY86" i="35"/>
  <c r="BY92" i="35"/>
  <c r="BY393" i="35"/>
  <c r="BY15" i="35"/>
  <c r="BY258" i="35"/>
  <c r="BY450" i="35"/>
  <c r="BY508" i="35"/>
  <c r="BY173" i="35"/>
  <c r="BY289" i="35"/>
  <c r="BY316" i="35"/>
  <c r="BY419" i="35"/>
  <c r="BY257" i="35"/>
  <c r="BY100" i="35"/>
  <c r="BY384" i="35"/>
  <c r="BY14" i="35"/>
  <c r="BY505" i="35"/>
  <c r="BY254" i="35"/>
  <c r="BY27" i="35"/>
  <c r="BY44" i="35"/>
  <c r="BY25" i="35"/>
  <c r="BY511" i="35"/>
  <c r="BY52" i="35"/>
  <c r="BY48" i="35"/>
  <c r="BY457" i="35"/>
  <c r="BY376" i="35"/>
  <c r="BY246" i="35"/>
  <c r="BY423" i="35"/>
  <c r="BY487" i="35"/>
  <c r="BY280" i="35"/>
  <c r="BY421" i="35"/>
  <c r="BY94" i="35"/>
  <c r="BY392" i="35"/>
  <c r="BY129" i="35"/>
  <c r="BY263" i="35"/>
  <c r="BY242" i="35"/>
  <c r="BY493" i="35"/>
  <c r="BY35" i="35"/>
  <c r="BY105" i="35"/>
  <c r="BY264" i="35"/>
  <c r="BY193" i="35"/>
  <c r="BY360" i="35"/>
  <c r="BY328" i="35"/>
  <c r="BY350" i="35"/>
  <c r="BY250" i="35"/>
  <c r="BY81" i="35"/>
  <c r="BY84" i="35"/>
  <c r="BY340" i="35"/>
  <c r="BY424" i="35"/>
  <c r="BY195" i="35"/>
  <c r="BY268" i="35"/>
  <c r="BY472" i="35"/>
  <c r="BY411" i="35"/>
  <c r="BY525" i="35"/>
  <c r="BY252" i="35"/>
  <c r="BY507" i="35"/>
  <c r="BY99" i="35"/>
  <c r="BY506" i="35"/>
  <c r="BY28" i="35"/>
  <c r="BY501" i="35"/>
  <c r="BY467" i="35"/>
  <c r="BY296" i="35"/>
  <c r="BY267" i="35"/>
  <c r="BY147" i="35"/>
  <c r="BY430" i="35"/>
  <c r="BY365" i="35"/>
  <c r="BY440" i="35"/>
  <c r="BY96" i="35"/>
  <c r="BY297" i="35"/>
  <c r="BY497" i="35"/>
  <c r="BY117" i="35"/>
  <c r="BY455" i="35"/>
  <c r="BY202" i="35"/>
  <c r="BY462" i="35"/>
  <c r="BY72" i="35"/>
  <c r="BY174" i="35"/>
  <c r="BY306" i="35"/>
  <c r="BY109" i="35"/>
  <c r="BY83" i="35"/>
  <c r="BY353" i="35"/>
  <c r="BY266" i="35"/>
  <c r="BY277" i="35"/>
  <c r="BY175" i="35"/>
  <c r="BY213" i="35"/>
  <c r="BY284" i="35"/>
  <c r="BY464" i="35"/>
  <c r="BY364" i="35"/>
  <c r="BY285" i="35"/>
  <c r="BY159" i="35"/>
  <c r="BY372" i="35"/>
  <c r="BY343" i="35"/>
  <c r="BY181" i="35"/>
  <c r="BY142" i="35"/>
  <c r="BY237" i="35"/>
  <c r="BY408" i="35"/>
  <c r="BY377" i="35"/>
  <c r="BY425" i="35"/>
  <c r="BY145" i="35"/>
  <c r="BY414" i="35"/>
  <c r="BY368" i="35"/>
  <c r="BY335" i="35"/>
  <c r="BY64" i="35"/>
  <c r="BY262" i="35"/>
  <c r="BY443" i="35"/>
  <c r="BY59" i="35"/>
  <c r="BY74" i="35"/>
  <c r="BY75" i="35"/>
  <c r="BY381" i="35"/>
  <c r="BY140" i="35"/>
  <c r="BY406" i="35"/>
  <c r="BY245" i="35"/>
  <c r="BY153" i="35"/>
  <c r="BY98" i="35"/>
  <c r="BY489" i="35"/>
  <c r="BY476" i="35"/>
  <c r="BY37" i="35"/>
  <c r="BY510" i="35"/>
  <c r="BY512" i="35"/>
  <c r="BY198" i="35"/>
  <c r="BY13" i="35"/>
  <c r="BY371" i="35"/>
  <c r="BY166" i="35"/>
  <c r="BY103" i="35"/>
  <c r="BY38" i="35"/>
  <c r="BY358" i="35"/>
  <c r="BY60" i="35"/>
  <c r="BY55" i="35"/>
  <c r="BY218" i="35"/>
  <c r="BY53" i="35"/>
  <c r="BY131" i="35"/>
  <c r="BY186" i="35"/>
  <c r="BY167" i="35"/>
  <c r="BY133" i="35"/>
  <c r="BY369" i="35"/>
  <c r="BY407" i="35"/>
  <c r="BY313" i="35"/>
  <c r="BY469" i="35"/>
  <c r="BY470" i="35"/>
  <c r="BY409" i="35"/>
  <c r="BY91" i="35"/>
  <c r="BY283" i="35"/>
  <c r="BY486" i="35"/>
  <c r="BY383" i="35"/>
  <c r="BY156" i="35"/>
  <c r="BY194" i="35"/>
  <c r="BY385" i="35"/>
  <c r="BY336" i="35"/>
  <c r="BY402" i="35"/>
  <c r="BY51" i="35"/>
  <c r="BY327" i="35"/>
  <c r="BY157" i="35"/>
  <c r="BY220" i="35"/>
  <c r="BY93" i="35"/>
  <c r="BY291" i="35"/>
  <c r="BY29" i="35"/>
  <c r="BY235" i="35"/>
  <c r="BY126" i="35"/>
  <c r="BY429" i="35"/>
  <c r="BY410" i="35"/>
  <c r="BY124" i="35"/>
  <c r="BY438" i="35"/>
  <c r="BY177" i="35"/>
  <c r="BY428" i="35"/>
  <c r="BY150" i="35"/>
  <c r="BY36" i="35"/>
  <c r="BY519" i="35"/>
  <c r="BY24" i="35"/>
  <c r="BY349" i="35"/>
  <c r="BY205" i="35"/>
  <c r="BY504" i="35"/>
  <c r="BY244" i="35"/>
  <c r="BY226" i="35"/>
  <c r="BY460" i="35"/>
  <c r="BY88" i="35"/>
  <c r="BY355" i="35"/>
  <c r="BY315" i="35"/>
  <c r="BY110" i="35"/>
  <c r="BY344" i="35"/>
  <c r="BY114" i="35"/>
  <c r="BY31" i="35"/>
  <c r="BY494" i="35"/>
  <c r="BY517" i="35"/>
  <c r="BY492" i="35"/>
  <c r="BY232" i="35"/>
  <c r="BY116" i="35"/>
  <c r="BY20" i="35"/>
  <c r="BY176" i="35"/>
  <c r="BY168" i="35"/>
  <c r="BY136" i="35"/>
  <c r="BY490" i="35"/>
  <c r="BY520" i="35"/>
  <c r="BY276" i="35"/>
  <c r="BY183" i="35"/>
  <c r="BY502" i="35"/>
  <c r="BY162" i="35"/>
  <c r="BY329" i="35"/>
  <c r="BY79" i="35"/>
  <c r="BY233" i="35"/>
  <c r="BY445" i="35"/>
  <c r="BY386" i="35"/>
  <c r="BY524" i="35"/>
  <c r="BY435" i="35"/>
  <c r="BY236" i="35"/>
  <c r="BY463" i="35"/>
  <c r="BY454" i="35"/>
  <c r="BY468" i="35"/>
  <c r="BY80" i="35"/>
  <c r="BY465" i="35"/>
  <c r="BY380" i="35"/>
  <c r="BY65" i="35"/>
  <c r="BY54" i="35"/>
  <c r="BY516" i="35"/>
  <c r="BY282" i="35"/>
  <c r="BY405" i="35"/>
  <c r="BY320" i="35"/>
  <c r="BY62" i="35"/>
  <c r="BY426" i="35"/>
  <c r="BY272" i="35"/>
  <c r="BY500" i="35"/>
  <c r="BY158" i="35"/>
  <c r="BY259" i="35"/>
  <c r="BY523" i="35"/>
  <c r="BY382" i="35"/>
  <c r="BY247" i="35"/>
  <c r="BY300" i="35"/>
  <c r="BY431" i="35"/>
  <c r="BY152" i="35"/>
  <c r="BY366" i="35"/>
  <c r="BY240" i="35"/>
  <c r="BY224" i="35"/>
  <c r="BY422" i="35"/>
  <c r="BY73" i="35"/>
  <c r="BY208" i="35"/>
  <c r="BY63" i="35"/>
  <c r="BY482" i="35"/>
  <c r="BY400" i="35"/>
  <c r="BY378" i="35"/>
  <c r="BY248" i="35"/>
  <c r="BY189" i="35"/>
  <c r="BY398" i="35"/>
  <c r="BY49" i="35"/>
  <c r="BY192" i="35"/>
  <c r="BY87" i="35"/>
  <c r="BY104" i="35"/>
  <c r="BY288" i="35"/>
  <c r="BY201" i="35"/>
  <c r="BY19" i="35"/>
  <c r="BY466" i="35"/>
  <c r="BY293" i="35"/>
  <c r="BY180" i="35"/>
  <c r="BY125" i="35"/>
  <c r="BY403" i="35"/>
  <c r="BY341" i="35"/>
  <c r="BY287" i="35"/>
  <c r="BY199" i="35"/>
  <c r="BY456" i="35"/>
  <c r="BY261" i="35"/>
  <c r="BY228" i="35"/>
  <c r="BY256" i="35"/>
  <c r="BY374" i="35"/>
  <c r="BY324" i="35"/>
  <c r="BY119" i="35"/>
  <c r="BY373" i="35"/>
  <c r="BY144" i="35"/>
  <c r="BY39" i="35"/>
  <c r="BY7" i="35"/>
  <c r="BY345" i="35"/>
  <c r="BY95" i="35"/>
  <c r="BY416" i="35"/>
  <c r="BY279" i="35"/>
  <c r="BY362" i="35"/>
  <c r="BY390" i="35"/>
  <c r="BY161" i="35"/>
  <c r="BY206" i="35"/>
  <c r="BY295" i="35"/>
  <c r="BY308" i="35"/>
  <c r="BY412" i="35"/>
  <c r="BY388" i="35"/>
  <c r="BY273" i="35"/>
  <c r="BY47" i="35"/>
  <c r="BY515" i="35"/>
  <c r="BY269" i="35"/>
  <c r="BY108" i="35"/>
  <c r="BY22" i="35"/>
  <c r="BY479" i="35"/>
  <c r="BY338" i="35"/>
  <c r="BY127" i="35"/>
  <c r="BY352" i="35"/>
  <c r="BY417" i="35"/>
  <c r="BY128" i="35"/>
  <c r="BY301" i="35"/>
  <c r="BY415" i="35"/>
  <c r="BY123" i="35"/>
  <c r="BY475" i="35"/>
  <c r="BY139" i="35"/>
  <c r="BY122" i="35"/>
  <c r="BY143" i="35"/>
  <c r="BY77" i="35"/>
  <c r="BY112" i="35"/>
  <c r="BY134" i="35"/>
  <c r="BY212" i="35"/>
  <c r="BY33" i="35"/>
  <c r="BY302" i="35"/>
  <c r="BY323" i="35"/>
  <c r="BY367" i="35"/>
  <c r="BY120" i="35"/>
  <c r="BY111" i="35"/>
  <c r="BY509" i="35"/>
  <c r="BY215" i="35"/>
  <c r="BY391" i="35"/>
  <c r="BY477" i="35"/>
  <c r="BY448" i="35"/>
  <c r="BY170" i="35"/>
  <c r="BY225" i="35"/>
  <c r="BY67" i="35"/>
  <c r="BY163" i="35"/>
  <c r="BY332" i="35"/>
  <c r="BY118" i="35"/>
  <c r="BY498" i="35"/>
  <c r="BY483" i="35"/>
  <c r="BY255" i="35"/>
  <c r="BY396" i="35"/>
  <c r="BY148" i="35"/>
  <c r="BY275" i="35"/>
  <c r="BY484" i="35"/>
  <c r="BY241" i="35"/>
  <c r="BY478" i="35"/>
  <c r="BY102" i="35"/>
  <c r="BY265" i="35"/>
  <c r="BY78" i="35"/>
  <c r="BY357" i="35"/>
  <c r="BY447" i="35"/>
  <c r="BY404" i="35"/>
  <c r="BY229" i="35"/>
  <c r="BY312" i="35"/>
  <c r="BY57" i="35"/>
  <c r="BY499" i="35"/>
  <c r="BY270" i="35"/>
  <c r="BY89" i="35"/>
  <c r="BY304" i="35"/>
  <c r="BY290" i="35"/>
  <c r="BY253" i="35"/>
  <c r="BY146" i="35"/>
  <c r="BY370" i="35"/>
  <c r="BY185" i="35"/>
  <c r="BY9" i="35"/>
  <c r="BY216" i="35"/>
  <c r="BY379" i="35"/>
  <c r="BY310" i="35"/>
  <c r="BY433" i="35"/>
  <c r="BY97" i="35"/>
  <c r="BY518" i="35"/>
  <c r="BY527" i="35"/>
  <c r="BY249" i="35"/>
  <c r="BY418" i="35"/>
  <c r="BY200" i="35"/>
  <c r="BY121" i="35"/>
  <c r="BY70" i="35"/>
  <c r="BY243" i="35"/>
  <c r="BY458" i="35"/>
  <c r="BY333" i="35"/>
  <c r="BY171" i="35"/>
  <c r="BY278" i="35"/>
  <c r="BY45" i="35"/>
  <c r="BY211" i="35"/>
  <c r="BY281" i="35"/>
  <c r="BY149" i="35"/>
  <c r="BY294" i="35"/>
  <c r="BY234" i="35"/>
  <c r="BY56" i="35"/>
  <c r="BY187" i="35"/>
  <c r="BY444" i="35"/>
  <c r="BY399" i="35"/>
  <c r="BY446" i="35"/>
  <c r="BY529" i="35"/>
  <c r="BY196" i="35"/>
  <c r="BY361" i="35"/>
  <c r="BY18" i="35"/>
  <c r="BY30" i="35"/>
  <c r="BY347" i="35"/>
  <c r="BY318" i="35"/>
  <c r="BY337" i="35"/>
  <c r="BY311" i="35"/>
  <c r="BY71" i="35"/>
  <c r="BY238" i="35"/>
  <c r="BY513" i="35"/>
  <c r="BY401" i="35"/>
  <c r="BY330" i="35"/>
  <c r="BY251" i="35"/>
  <c r="BY309" i="35"/>
  <c r="BY480" i="35"/>
  <c r="BY223" i="35"/>
  <c r="BY106" i="35"/>
  <c r="BY41" i="35"/>
  <c r="BY437" i="35"/>
  <c r="BY526" i="35"/>
  <c r="BY138" i="35"/>
  <c r="BY204" i="35"/>
  <c r="BY274" i="35"/>
  <c r="BY436" i="35"/>
  <c r="BY113" i="35"/>
  <c r="BY485" i="35"/>
  <c r="BY397" i="35"/>
  <c r="BY107" i="35"/>
  <c r="BY303" i="35"/>
  <c r="BY348" i="35"/>
  <c r="BY17" i="35"/>
  <c r="BY172" i="35"/>
  <c r="BY331" i="35"/>
  <c r="BY115" i="35"/>
  <c r="BY496" i="35"/>
  <c r="BY85" i="35"/>
  <c r="BY434" i="35"/>
  <c r="BY66" i="35"/>
  <c r="BY473" i="35"/>
  <c r="BY68" i="35"/>
  <c r="BY439" i="35"/>
  <c r="BY354" i="35"/>
  <c r="BY427" i="35"/>
  <c r="BY286" i="35"/>
  <c r="BY351" i="35"/>
  <c r="BY34" i="35"/>
  <c r="BY321" i="35"/>
  <c r="BY130" i="35"/>
  <c r="BY339" i="35"/>
  <c r="BY221" i="35"/>
  <c r="BY432" i="35"/>
  <c r="BY375" i="35"/>
  <c r="BY197" i="35"/>
  <c r="BY141" i="35"/>
  <c r="BY46" i="35"/>
  <c r="BY522" i="35"/>
  <c r="BY82" i="35"/>
  <c r="BY50" i="35"/>
  <c r="BY491" i="35"/>
  <c r="BY154" i="35"/>
  <c r="BY452" i="35"/>
  <c r="BY90" i="35"/>
  <c r="BY325" i="35"/>
  <c r="BY155" i="35"/>
  <c r="BY222" i="35"/>
  <c r="BY451" i="35"/>
  <c r="BY182" i="35"/>
  <c r="BY481" i="35"/>
  <c r="BY23" i="35"/>
  <c r="BY449" i="35"/>
  <c r="BY76" i="35"/>
  <c r="BY314" i="35"/>
  <c r="BY305" i="35"/>
  <c r="BY207" i="35"/>
  <c r="BY395" i="35"/>
  <c r="BY326" i="35"/>
  <c r="BY389" i="35"/>
  <c r="BY387" i="35"/>
  <c r="BY227" i="35"/>
  <c r="BY214" i="35"/>
  <c r="BY298" i="35"/>
  <c r="BY474" i="35"/>
  <c r="BY151" i="35"/>
  <c r="BY260" i="35"/>
  <c r="BY203" i="35"/>
  <c r="BY219" i="35"/>
  <c r="BY40" i="35"/>
  <c r="BY26" i="35"/>
  <c r="BW3" i="35"/>
  <c r="O22" i="39"/>
  <c r="AR23" i="39"/>
  <c r="BS3" i="20"/>
  <c r="BU358" i="20"/>
  <c r="BU237" i="20"/>
  <c r="BU162" i="20"/>
  <c r="BU381" i="20"/>
  <c r="BU571" i="20"/>
  <c r="BU597" i="20"/>
  <c r="BU277" i="20"/>
  <c r="BU131" i="20"/>
  <c r="BU481" i="20"/>
  <c r="BU443" i="20"/>
  <c r="BU151" i="20"/>
  <c r="BU417" i="20"/>
  <c r="BU56" i="20"/>
  <c r="BU287" i="20"/>
  <c r="BU520" i="20"/>
  <c r="BU285" i="20"/>
  <c r="BU224" i="20"/>
  <c r="BU111" i="20"/>
  <c r="BU63" i="20"/>
  <c r="BU372" i="20"/>
  <c r="BU316" i="20"/>
  <c r="BU291" i="20"/>
  <c r="BU295" i="20"/>
  <c r="BU647" i="20"/>
  <c r="BU333" i="20"/>
  <c r="BU289" i="20"/>
  <c r="BU591" i="20"/>
  <c r="BU39" i="20"/>
  <c r="BU415" i="20"/>
  <c r="BU383" i="20"/>
  <c r="BU313" i="20"/>
  <c r="BU256" i="20"/>
  <c r="BU471" i="20"/>
  <c r="BU448" i="20"/>
  <c r="BU639" i="20"/>
  <c r="BU94" i="20"/>
  <c r="BU157" i="20"/>
  <c r="BU617" i="20"/>
  <c r="BU268" i="20"/>
  <c r="BU392" i="20"/>
  <c r="BU494" i="20"/>
  <c r="BU95" i="20"/>
  <c r="BU419" i="20"/>
  <c r="BU209" i="20"/>
  <c r="BU400" i="20"/>
  <c r="BU458" i="20"/>
  <c r="BU539" i="20"/>
  <c r="BU231" i="20"/>
  <c r="BU423" i="20"/>
  <c r="BU473" i="20"/>
  <c r="BU241" i="20"/>
  <c r="BU504" i="20"/>
  <c r="BU453" i="20"/>
  <c r="BU228" i="20"/>
  <c r="BU71" i="20"/>
  <c r="BU424" i="20"/>
  <c r="BU511" i="20"/>
  <c r="BU646" i="20"/>
  <c r="BU620" i="20"/>
  <c r="BU536" i="20"/>
  <c r="BU160" i="20"/>
  <c r="BU543" i="20"/>
  <c r="BU389" i="20"/>
  <c r="BU306" i="20"/>
  <c r="BU374" i="20"/>
  <c r="BU265" i="20"/>
  <c r="BU233" i="20"/>
  <c r="BU274" i="20"/>
  <c r="BU493" i="20"/>
  <c r="BU573" i="20"/>
  <c r="BU610" i="20"/>
  <c r="BU619" i="20"/>
  <c r="BU436" i="20"/>
  <c r="BU373" i="20"/>
  <c r="BU240" i="20"/>
  <c r="BU644" i="20"/>
  <c r="BU262" i="20"/>
  <c r="BU472" i="20"/>
  <c r="BU308" i="20"/>
  <c r="BU344" i="20"/>
  <c r="BU474" i="20"/>
  <c r="BU93" i="20"/>
  <c r="BU113" i="20"/>
  <c r="BU280" i="20"/>
  <c r="BU261" i="20"/>
  <c r="BU616" i="20"/>
  <c r="BU75" i="20"/>
  <c r="BU612" i="20"/>
  <c r="BU19" i="20"/>
  <c r="BU342" i="20"/>
  <c r="BU279" i="20"/>
  <c r="BU239" i="20"/>
  <c r="BU54" i="20"/>
  <c r="BU242" i="20"/>
  <c r="BU203" i="20"/>
  <c r="BU273" i="20"/>
  <c r="BU628" i="20"/>
  <c r="BU562" i="20"/>
  <c r="BU86" i="20"/>
  <c r="BU300" i="20"/>
  <c r="BU42" i="20"/>
  <c r="BU384" i="20"/>
  <c r="BU370" i="20"/>
  <c r="BU116" i="20"/>
  <c r="BU257" i="20"/>
  <c r="BU590" i="20"/>
  <c r="BU108" i="20"/>
  <c r="BU48" i="20"/>
  <c r="BU83" i="20"/>
  <c r="BU379" i="20"/>
  <c r="BU461" i="20"/>
  <c r="BU588" i="20"/>
  <c r="BU634" i="20"/>
  <c r="BU211" i="20"/>
  <c r="BU537" i="20"/>
  <c r="BU505" i="20"/>
  <c r="BU309" i="20"/>
  <c r="BU155" i="20"/>
  <c r="BU440" i="20"/>
  <c r="BU327" i="20"/>
  <c r="BU351" i="20"/>
  <c r="BU272" i="20"/>
  <c r="BU466" i="20"/>
  <c r="BU512" i="20"/>
  <c r="BU594" i="20"/>
  <c r="BU623" i="20"/>
  <c r="BU409" i="20"/>
  <c r="BU78" i="20"/>
  <c r="BU110" i="20"/>
  <c r="BU139" i="20"/>
  <c r="BU243" i="20"/>
  <c r="BU166" i="20"/>
  <c r="BU569" i="20"/>
  <c r="BU125" i="20"/>
  <c r="BU393" i="20"/>
  <c r="BU460" i="20"/>
  <c r="BU586" i="20"/>
  <c r="BU394" i="20"/>
  <c r="BU497" i="20"/>
  <c r="BU375" i="20"/>
  <c r="BU328" i="20"/>
  <c r="BU350" i="20"/>
  <c r="BU47" i="20"/>
  <c r="BU74" i="20"/>
  <c r="BU323" i="20"/>
  <c r="BU462" i="20"/>
  <c r="BU303" i="20"/>
  <c r="BU232" i="20"/>
  <c r="BU220" i="20"/>
  <c r="BU479" i="20"/>
  <c r="BU294" i="20"/>
  <c r="BU314" i="20"/>
  <c r="BU465" i="20"/>
  <c r="BU339" i="20"/>
  <c r="BU80" i="20"/>
  <c r="BU451" i="20"/>
  <c r="BU564" i="20"/>
  <c r="BU641" i="20"/>
  <c r="BU69" i="20"/>
  <c r="BU484" i="20"/>
  <c r="BU357" i="20"/>
  <c r="BU329" i="20"/>
  <c r="BU98" i="20"/>
  <c r="BU49" i="20"/>
  <c r="BU364" i="20"/>
  <c r="BU581" i="20"/>
  <c r="BU124" i="20"/>
  <c r="BU176" i="20"/>
  <c r="BU336" i="20"/>
  <c r="BU68" i="20"/>
  <c r="BU368" i="20"/>
  <c r="BU603" i="20"/>
  <c r="BU70" i="20"/>
  <c r="BU452" i="20"/>
  <c r="BU112" i="20"/>
  <c r="BU482" i="20"/>
  <c r="BU73" i="20"/>
  <c r="BU121" i="20"/>
  <c r="BU598" i="20"/>
  <c r="BU500" i="20"/>
  <c r="BU522" i="20"/>
  <c r="BU503" i="20"/>
  <c r="BU560" i="20"/>
  <c r="BU248" i="20"/>
  <c r="BU175" i="20"/>
  <c r="BU538" i="20"/>
  <c r="BU631" i="20"/>
  <c r="BU208" i="20"/>
  <c r="BU428" i="20"/>
  <c r="BU469" i="20"/>
  <c r="BU516" i="20"/>
  <c r="BU491" i="20"/>
  <c r="BU184" i="20"/>
  <c r="BU416" i="20"/>
  <c r="BU58" i="20"/>
  <c r="BU216" i="20"/>
  <c r="BU638" i="20"/>
  <c r="BU310" i="20"/>
  <c r="BU457" i="20"/>
  <c r="BU170" i="20"/>
  <c r="BU11" i="20"/>
  <c r="BU575" i="20"/>
  <c r="BU566" i="20"/>
  <c r="BU366" i="20"/>
  <c r="BU629" i="20"/>
  <c r="BU104" i="20"/>
  <c r="BU174" i="20"/>
  <c r="BU337" i="20"/>
  <c r="BU136" i="20"/>
  <c r="BU253" i="20"/>
  <c r="BU343" i="20"/>
  <c r="BU399" i="20"/>
  <c r="BU576" i="20"/>
  <c r="BU259" i="20"/>
  <c r="BU85" i="20"/>
  <c r="BU144" i="20"/>
  <c r="BU92" i="20"/>
  <c r="BU22" i="20"/>
  <c r="BU59" i="20"/>
  <c r="BU66" i="20"/>
  <c r="BU132" i="20"/>
  <c r="BU362" i="20"/>
  <c r="BU577" i="20"/>
  <c r="BU52" i="20"/>
  <c r="BU252" i="20"/>
  <c r="BU23" i="20"/>
  <c r="BU347" i="20"/>
  <c r="BU650" i="20"/>
  <c r="BU38" i="20"/>
  <c r="BU200" i="20"/>
  <c r="BU193" i="20"/>
  <c r="BU21" i="20"/>
  <c r="BU542" i="20"/>
  <c r="BU135" i="20"/>
  <c r="BU36" i="20"/>
  <c r="BU540" i="20"/>
  <c r="BU222" i="20"/>
  <c r="BU210" i="20"/>
  <c r="BU305" i="20"/>
  <c r="BU523" i="20"/>
  <c r="BU150" i="20"/>
  <c r="BU293" i="20"/>
  <c r="BU177" i="20"/>
  <c r="BU122" i="20"/>
  <c r="BU498" i="20"/>
  <c r="BU82" i="20"/>
  <c r="BU546" i="20"/>
  <c r="BU561" i="20"/>
  <c r="BU281" i="20"/>
  <c r="BU348" i="20"/>
  <c r="BU87" i="20"/>
  <c r="BU62" i="20"/>
  <c r="BU608" i="20"/>
  <c r="BU17" i="20"/>
  <c r="BU30" i="20"/>
  <c r="BU24" i="20"/>
  <c r="BU595" i="20"/>
  <c r="BU8" i="20"/>
  <c r="BU251" i="20"/>
  <c r="BU332" i="20"/>
  <c r="BU119" i="20"/>
  <c r="BU637" i="20"/>
  <c r="BU547" i="20"/>
  <c r="BU172" i="20"/>
  <c r="BU312" i="20"/>
  <c r="BU149" i="20"/>
  <c r="BU249" i="20"/>
  <c r="BU488" i="20"/>
  <c r="BU533" i="20"/>
  <c r="BU183" i="20"/>
  <c r="BU182" i="20"/>
  <c r="BU57" i="20"/>
  <c r="BU266" i="20"/>
  <c r="BU282" i="20"/>
  <c r="BU90" i="20"/>
  <c r="BU607" i="20"/>
  <c r="BU105" i="20"/>
  <c r="BU648" i="20"/>
  <c r="BU532" i="20"/>
  <c r="BU406" i="20"/>
  <c r="BU77" i="20"/>
  <c r="BU31" i="20"/>
  <c r="BU420" i="20"/>
  <c r="BU625" i="20"/>
  <c r="BU463" i="20"/>
  <c r="BU198" i="20"/>
  <c r="BU426" i="20"/>
  <c r="BU20" i="20"/>
  <c r="BU106" i="20"/>
  <c r="BU425" i="20"/>
  <c r="BU551" i="20"/>
  <c r="BU480" i="20"/>
  <c r="BU258" i="20"/>
  <c r="BU526" i="20"/>
  <c r="BU496" i="20"/>
  <c r="BU91" i="20"/>
  <c r="BU483" i="20"/>
  <c r="BU437" i="20"/>
  <c r="BU97" i="20"/>
  <c r="BU403" i="20"/>
  <c r="BU635" i="20"/>
  <c r="BU604" i="20"/>
  <c r="BU552" i="20"/>
  <c r="BU16" i="20"/>
  <c r="BU401" i="20"/>
  <c r="BU197" i="20"/>
  <c r="BU499" i="20"/>
  <c r="BU45" i="20"/>
  <c r="BU169" i="20"/>
  <c r="BU264" i="20"/>
  <c r="BU192" i="20"/>
  <c r="BU614" i="20"/>
  <c r="BU486" i="20"/>
  <c r="BU153" i="20"/>
  <c r="BU427" i="20"/>
  <c r="BU214" i="20"/>
  <c r="BU152" i="20"/>
  <c r="BU202" i="20"/>
  <c r="BU156" i="20"/>
  <c r="BU117" i="20"/>
  <c r="BU245" i="20"/>
  <c r="BU267" i="20"/>
  <c r="BU445" i="20"/>
  <c r="BU388" i="20"/>
  <c r="BU652" i="20"/>
  <c r="BU601" i="20"/>
  <c r="BU485" i="20"/>
  <c r="BU109" i="20"/>
  <c r="BU27" i="20"/>
  <c r="BU254" i="20"/>
  <c r="BU296" i="20"/>
  <c r="BU396" i="20"/>
  <c r="BU229" i="20"/>
  <c r="BU324" i="20"/>
  <c r="BU477" i="20"/>
  <c r="BU627" i="20"/>
  <c r="BU250" i="20"/>
  <c r="BU596" i="20"/>
  <c r="BU367" i="20"/>
  <c r="BU408" i="20"/>
  <c r="BU147" i="20"/>
  <c r="BU593" i="20"/>
  <c r="BU213" i="20"/>
  <c r="BU438" i="20"/>
  <c r="BU215" i="20"/>
  <c r="BU297" i="20"/>
  <c r="BU315" i="20"/>
  <c r="BU555" i="20"/>
  <c r="BU44" i="20"/>
  <c r="BU35" i="20"/>
  <c r="BU412" i="20"/>
  <c r="BU354" i="20"/>
  <c r="BU377" i="20"/>
  <c r="BU622" i="20"/>
  <c r="BU275" i="20"/>
  <c r="BU361" i="20"/>
  <c r="BU487" i="20"/>
  <c r="BU541" i="20"/>
  <c r="BU14" i="20"/>
  <c r="BU621" i="20"/>
  <c r="BU196" i="20"/>
  <c r="BU433" i="20"/>
  <c r="BU398" i="20"/>
  <c r="BU244" i="20"/>
  <c r="BU404" i="20"/>
  <c r="BU529" i="20"/>
  <c r="BU114" i="20"/>
  <c r="BU405" i="20"/>
  <c r="BU508" i="20"/>
  <c r="BU164" i="20"/>
  <c r="BU386" i="20"/>
  <c r="BU76" i="20"/>
  <c r="BU557" i="20"/>
  <c r="BU102" i="20"/>
  <c r="BU158" i="20"/>
  <c r="BU290" i="20"/>
  <c r="BU356" i="20"/>
  <c r="BU640" i="20"/>
  <c r="BU411" i="20"/>
  <c r="BU159" i="20"/>
  <c r="BU283" i="20"/>
  <c r="BU304" i="20"/>
  <c r="BU371" i="20"/>
  <c r="BU502" i="20"/>
  <c r="BU321" i="20"/>
  <c r="BU46" i="20"/>
  <c r="BU168" i="20"/>
  <c r="BU454" i="20"/>
  <c r="BU410" i="20"/>
  <c r="BU163" i="20"/>
  <c r="BU134" i="20"/>
  <c r="BU626" i="20"/>
  <c r="BU630" i="20"/>
  <c r="BU188" i="20"/>
  <c r="BU238" i="20"/>
  <c r="BU190" i="20"/>
  <c r="BU101" i="20"/>
  <c r="BU161" i="20"/>
  <c r="BU181" i="20"/>
  <c r="BU55" i="20"/>
  <c r="BU605" i="20"/>
  <c r="BU609" i="20"/>
  <c r="BU382" i="20"/>
  <c r="BU187" i="20"/>
  <c r="BU278" i="20"/>
  <c r="BU514" i="20"/>
  <c r="BU360" i="20"/>
  <c r="BU118" i="20"/>
  <c r="BU450" i="20"/>
  <c r="BU284" i="20"/>
  <c r="BU326" i="20"/>
  <c r="BU642" i="20"/>
  <c r="BU13" i="20"/>
  <c r="BU199" i="20"/>
  <c r="BU120" i="20"/>
  <c r="BU365" i="20"/>
  <c r="BU600" i="20"/>
  <c r="BU53" i="20"/>
  <c r="BU397" i="20"/>
  <c r="BU227" i="20"/>
  <c r="BU490" i="20"/>
  <c r="BU489" i="20"/>
  <c r="BU422" i="20"/>
  <c r="BU288" i="20"/>
  <c r="BU439" i="20"/>
  <c r="BU510" i="20"/>
  <c r="BU476" i="20"/>
  <c r="BU615" i="20"/>
  <c r="BU223" i="20"/>
  <c r="BU385" i="20"/>
  <c r="BU128" i="20"/>
  <c r="BU207" i="20"/>
  <c r="BU587" i="20"/>
  <c r="BU338" i="20"/>
  <c r="BU407" i="20"/>
  <c r="BU103" i="20"/>
  <c r="BU599" i="20"/>
  <c r="BU43" i="20"/>
  <c r="BU319" i="20"/>
  <c r="BU317" i="20"/>
  <c r="BU205" i="20"/>
  <c r="BU467" i="20"/>
  <c r="BU643" i="20"/>
  <c r="BU148" i="20"/>
  <c r="BU449" i="20"/>
  <c r="BU517" i="20"/>
  <c r="BU143" i="20"/>
  <c r="BU519" i="20"/>
  <c r="BU390" i="20"/>
  <c r="BU574" i="20"/>
  <c r="BU624" i="20"/>
  <c r="BU430" i="20"/>
  <c r="BU578" i="20"/>
  <c r="BU421" i="20"/>
  <c r="BU318" i="20"/>
  <c r="BU589" i="20"/>
  <c r="BU292" i="20"/>
  <c r="BU579" i="20"/>
  <c r="BU359" i="20"/>
  <c r="BU331" i="20"/>
  <c r="BU554" i="20"/>
  <c r="BU186" i="20"/>
  <c r="BU534" i="20"/>
  <c r="BU234" i="20"/>
  <c r="BU632" i="20"/>
  <c r="BU651" i="20"/>
  <c r="BU141" i="20"/>
  <c r="BU584" i="20"/>
  <c r="BU582" i="20"/>
  <c r="BU26" i="20"/>
  <c r="BU613" i="20"/>
  <c r="BU649" i="20"/>
  <c r="BU387" i="20"/>
  <c r="BU15" i="20"/>
  <c r="BU618" i="20"/>
  <c r="BU363" i="20"/>
  <c r="BU311" i="20"/>
  <c r="BU154" i="20"/>
  <c r="BU51" i="20"/>
  <c r="BU217" i="20"/>
  <c r="BU583" i="20"/>
  <c r="BU633" i="20"/>
  <c r="BU18" i="20"/>
  <c r="BU191" i="20"/>
  <c r="BU435" i="20"/>
  <c r="BU123" i="20"/>
  <c r="BU413" i="20"/>
  <c r="BU41" i="20"/>
  <c r="BU37" i="20"/>
  <c r="BU524" i="20"/>
  <c r="BU298" i="20"/>
  <c r="BU611" i="20"/>
  <c r="BU556" i="20"/>
  <c r="BU61" i="20"/>
  <c r="BU28" i="20"/>
  <c r="BU171" i="20"/>
  <c r="BU441" i="20"/>
  <c r="BU96" i="20"/>
  <c r="BU509" i="20"/>
  <c r="BU568" i="20"/>
  <c r="BU341" i="20"/>
  <c r="BU230" i="20"/>
  <c r="BU67" i="20"/>
  <c r="BU189" i="20"/>
  <c r="BU418" i="20"/>
  <c r="BU645" i="20"/>
  <c r="BU525" i="20"/>
  <c r="BU456" i="20"/>
  <c r="BU322" i="20"/>
  <c r="BU320" i="20"/>
  <c r="BU12" i="20"/>
  <c r="BU179" i="20"/>
  <c r="BU349" i="20"/>
  <c r="BU335" i="20"/>
  <c r="BU286" i="20"/>
  <c r="BU414" i="20"/>
  <c r="BU475" i="20"/>
  <c r="BU25" i="20"/>
  <c r="BU528" i="20"/>
  <c r="BU127" i="20"/>
  <c r="BU531" i="20"/>
  <c r="BU544" i="20"/>
  <c r="BU545" i="20"/>
  <c r="BU402" i="20"/>
  <c r="BU380" i="20"/>
  <c r="BU246" i="20"/>
  <c r="BU565" i="20"/>
  <c r="BU206" i="20"/>
  <c r="BU137" i="20"/>
  <c r="BU212" i="20"/>
  <c r="BU302" i="20"/>
  <c r="BU459" i="20"/>
  <c r="BU185" i="20"/>
  <c r="BU247" i="20"/>
  <c r="BU340" i="20"/>
  <c r="BU636" i="20"/>
  <c r="BU468" i="20"/>
  <c r="BU194" i="20"/>
  <c r="BU570" i="20"/>
  <c r="BU60" i="20"/>
  <c r="BU89" i="20"/>
  <c r="BU146" i="20"/>
  <c r="BU429" i="20"/>
  <c r="BU271" i="20"/>
  <c r="BU585" i="20"/>
  <c r="BU442" i="20"/>
  <c r="BU550" i="20"/>
  <c r="BU269" i="20"/>
  <c r="BU100" i="20"/>
  <c r="BU50" i="20"/>
  <c r="BU432" i="20"/>
  <c r="BU204" i="20"/>
  <c r="BU236" i="20"/>
  <c r="BU446" i="20"/>
  <c r="BU527" i="20"/>
  <c r="BU126" i="20"/>
  <c r="BU334" i="20"/>
  <c r="BU558" i="20"/>
  <c r="BU138" i="20"/>
  <c r="BU395" i="20"/>
  <c r="BU133" i="20"/>
  <c r="BU178" i="20"/>
  <c r="BU559" i="20"/>
  <c r="BU521" i="20"/>
  <c r="BU225" i="20"/>
  <c r="BU513" i="20"/>
  <c r="BU263" i="20"/>
  <c r="BU376" i="20"/>
  <c r="BU140" i="20"/>
  <c r="BU115" i="20"/>
  <c r="BU130" i="20"/>
  <c r="BU478" i="20"/>
  <c r="BU88" i="20"/>
  <c r="BU530" i="20"/>
  <c r="BU464" i="20"/>
  <c r="BU592" i="20"/>
  <c r="BU9" i="20"/>
  <c r="BU580" i="20"/>
  <c r="BU221" i="20"/>
  <c r="BU563" i="20"/>
  <c r="BU501" i="20"/>
  <c r="BU391" i="20"/>
  <c r="BU434" i="20"/>
  <c r="BU235" i="20"/>
  <c r="BU352" i="20"/>
  <c r="BU219" i="20"/>
  <c r="BU226" i="20"/>
  <c r="BU506" i="20"/>
  <c r="BU567" i="20"/>
  <c r="BU602" i="20"/>
  <c r="BU32" i="20"/>
  <c r="BU180" i="20"/>
  <c r="BU369" i="20"/>
  <c r="BU378" i="20"/>
  <c r="BU33" i="20"/>
  <c r="BU346" i="20"/>
  <c r="BU455" i="20"/>
  <c r="BU79" i="20"/>
  <c r="BU345" i="20"/>
  <c r="BU81" i="20"/>
  <c r="BU40" i="20"/>
  <c r="BU10" i="20"/>
  <c r="BU444" i="20"/>
  <c r="BU270" i="20"/>
  <c r="BU606" i="20"/>
  <c r="BU107" i="20"/>
  <c r="BU495" i="20"/>
  <c r="BU507" i="20"/>
  <c r="BU167" i="20"/>
  <c r="BU549" i="20"/>
  <c r="BU492" i="20"/>
  <c r="BU99" i="20"/>
  <c r="BU64" i="20"/>
  <c r="BU276" i="20"/>
  <c r="BU431" i="20"/>
  <c r="BU201" i="20"/>
  <c r="BU299" i="20"/>
  <c r="BU548" i="20"/>
  <c r="BU7" i="20"/>
  <c r="BU515" i="20"/>
  <c r="BU29" i="20"/>
  <c r="BU518" i="20"/>
  <c r="BU353" i="20"/>
  <c r="BU330" i="20"/>
  <c r="BU72" i="20"/>
  <c r="BU355" i="20"/>
  <c r="BU145" i="20"/>
  <c r="BU553" i="20"/>
  <c r="BU447" i="20"/>
  <c r="BU165" i="20"/>
  <c r="BU195" i="20"/>
  <c r="BU142" i="20"/>
  <c r="BU34" i="20"/>
  <c r="BU325" i="20"/>
  <c r="BU65" i="20"/>
  <c r="BU173" i="20"/>
  <c r="BU260" i="20"/>
  <c r="BU84" i="20"/>
  <c r="BU301" i="20"/>
  <c r="BU129" i="20"/>
  <c r="BU572" i="20"/>
  <c r="BU307" i="20"/>
  <c r="BU255" i="20"/>
  <c r="BU470" i="20"/>
  <c r="BU535" i="20"/>
  <c r="BU218" i="20"/>
  <c r="O23" i="40"/>
  <c r="AR24" i="40"/>
  <c r="BY3" i="35"/>
  <c r="T16" i="23"/>
  <c r="Y15" i="23"/>
  <c r="O23" i="39" l="1"/>
  <c r="AR24" i="39"/>
  <c r="BU3" i="20"/>
  <c r="AR25" i="40"/>
  <c r="AR26" i="40" s="1"/>
  <c r="AR27" i="40" s="1"/>
  <c r="AR28" i="40" s="1"/>
  <c r="AR29" i="40" s="1"/>
  <c r="AR30" i="40" s="1"/>
  <c r="AR31" i="40" s="1"/>
  <c r="AR32" i="40" s="1"/>
  <c r="AR33" i="40" s="1"/>
  <c r="AR34" i="40" s="1"/>
  <c r="AR35" i="40" s="1"/>
  <c r="AR36" i="40" s="1"/>
  <c r="AR37" i="40" s="1"/>
  <c r="AR38" i="40" s="1"/>
  <c r="AR39" i="40" s="1"/>
  <c r="AR40" i="40" s="1"/>
  <c r="AR41" i="40" s="1"/>
  <c r="AR42" i="40" s="1"/>
  <c r="AR43" i="40" s="1"/>
  <c r="AR44" i="40" s="1"/>
  <c r="AR45" i="40" s="1"/>
  <c r="AR46" i="40" s="1"/>
  <c r="AR47" i="40" s="1"/>
  <c r="AR48" i="40" s="1"/>
  <c r="AR49" i="40" s="1"/>
  <c r="AR50" i="40" s="1"/>
  <c r="AR51" i="40" s="1"/>
  <c r="AR52" i="40" s="1"/>
  <c r="AR53" i="40" s="1"/>
  <c r="AR54" i="40" s="1"/>
  <c r="AR55" i="40" s="1"/>
  <c r="AR56" i="40" s="1"/>
  <c r="AR57" i="40" s="1"/>
  <c r="AR58" i="40" s="1"/>
  <c r="AR59" i="40" s="1"/>
  <c r="AR60" i="40" s="1"/>
  <c r="AR61" i="40" s="1"/>
  <c r="AR62" i="40" s="1"/>
  <c r="AR63" i="40" s="1"/>
  <c r="AR64" i="40" s="1"/>
  <c r="AR65" i="40" s="1"/>
  <c r="AR66" i="40" s="1"/>
  <c r="AR67" i="40" s="1"/>
  <c r="AR68" i="40" s="1"/>
  <c r="AR69" i="40" s="1"/>
  <c r="AR70" i="40" s="1"/>
  <c r="AR71" i="40" s="1"/>
  <c r="AR72" i="40" s="1"/>
  <c r="AR73" i="40" s="1"/>
  <c r="AR74" i="40" s="1"/>
  <c r="AR75" i="40" s="1"/>
  <c r="AR76" i="40" s="1"/>
  <c r="AR77" i="40" s="1"/>
  <c r="AR78" i="40" s="1"/>
  <c r="AR79" i="40" s="1"/>
  <c r="AR80" i="40" s="1"/>
  <c r="AR81" i="40" s="1"/>
  <c r="AR82" i="40" s="1"/>
  <c r="AR83" i="40" s="1"/>
  <c r="AR84" i="40" s="1"/>
  <c r="AR85" i="40" s="1"/>
  <c r="AR86" i="40" s="1"/>
  <c r="AR87" i="40" s="1"/>
  <c r="AR88" i="40" s="1"/>
  <c r="AR89" i="40" s="1"/>
  <c r="AR90" i="40" s="1"/>
  <c r="AR91" i="40" s="1"/>
  <c r="AR92" i="40" s="1"/>
  <c r="AR93" i="40" s="1"/>
  <c r="AR94" i="40" s="1"/>
  <c r="AR95" i="40" s="1"/>
  <c r="AR96" i="40" s="1"/>
  <c r="AR97" i="40" s="1"/>
  <c r="AR98" i="40" s="1"/>
  <c r="AR99" i="40" s="1"/>
  <c r="AR100" i="40" s="1"/>
  <c r="AR101" i="40" s="1"/>
  <c r="AR102" i="40" s="1"/>
  <c r="AR103" i="40" s="1"/>
  <c r="AR104" i="40" s="1"/>
  <c r="AR105" i="40" s="1"/>
  <c r="AR106" i="40" s="1"/>
  <c r="AR107" i="40" s="1"/>
  <c r="AR108" i="40" s="1"/>
  <c r="AR109" i="40" s="1"/>
  <c r="AR110" i="40" s="1"/>
  <c r="AR111" i="40" s="1"/>
  <c r="AR112" i="40" s="1"/>
  <c r="AR113" i="40" s="1"/>
  <c r="O24" i="40"/>
  <c r="O114" i="40" s="1"/>
  <c r="BV16" i="23"/>
  <c r="BL16" i="23"/>
  <c r="AL16" i="23"/>
  <c r="AP16" i="23"/>
  <c r="AX16" i="23"/>
  <c r="AV16" i="23"/>
  <c r="V16" i="23"/>
  <c r="BD16" i="23"/>
  <c r="AN16" i="23"/>
  <c r="BB16" i="23"/>
  <c r="BF16" i="23"/>
  <c r="BR16" i="23"/>
  <c r="BJ16" i="23"/>
  <c r="AH16" i="23"/>
  <c r="W16" i="23"/>
  <c r="BN16" i="23"/>
  <c r="BT16" i="23"/>
  <c r="AT16" i="23"/>
  <c r="AD16" i="23"/>
  <c r="BP16" i="23"/>
  <c r="AJ16" i="23"/>
  <c r="AR16" i="23"/>
  <c r="AF16" i="23"/>
  <c r="AB16" i="23"/>
  <c r="AZ16" i="23"/>
  <c r="BH16" i="23"/>
  <c r="O24" i="39" l="1"/>
  <c r="O114" i="39" s="1"/>
  <c r="AR25" i="39"/>
  <c r="AR26" i="39" s="1"/>
  <c r="AR27" i="39" s="1"/>
  <c r="AR28" i="39" s="1"/>
  <c r="AR29" i="39" s="1"/>
  <c r="AR30" i="39" s="1"/>
  <c r="AR31" i="39" s="1"/>
  <c r="AR32" i="39" s="1"/>
  <c r="AR33" i="39" s="1"/>
  <c r="AR34" i="39" s="1"/>
  <c r="AR35" i="39" s="1"/>
  <c r="AR36" i="39" s="1"/>
  <c r="AR37" i="39" s="1"/>
  <c r="AR38" i="39" s="1"/>
  <c r="AR39" i="39" s="1"/>
  <c r="AR40" i="39" s="1"/>
  <c r="AR41" i="39" s="1"/>
  <c r="AR42" i="39" s="1"/>
  <c r="AR43" i="39" s="1"/>
  <c r="AR44" i="39" s="1"/>
  <c r="AR45" i="39" s="1"/>
  <c r="AR46" i="39" s="1"/>
  <c r="AR47" i="39" s="1"/>
  <c r="AR48" i="39" s="1"/>
  <c r="AR49" i="39" s="1"/>
  <c r="AR50" i="39" s="1"/>
  <c r="AR51" i="39" s="1"/>
  <c r="AR52" i="39" s="1"/>
  <c r="AR53" i="39" s="1"/>
  <c r="AR54" i="39" s="1"/>
  <c r="AR55" i="39" s="1"/>
  <c r="AR56" i="39" s="1"/>
  <c r="AR57" i="39" s="1"/>
  <c r="AR58" i="39" s="1"/>
  <c r="AR59" i="39" s="1"/>
  <c r="AR60" i="39" s="1"/>
  <c r="AR61" i="39" s="1"/>
  <c r="AR62" i="39" s="1"/>
  <c r="AR63" i="39" s="1"/>
  <c r="AR64" i="39" s="1"/>
  <c r="AR65" i="39" s="1"/>
  <c r="AR66" i="39" s="1"/>
  <c r="AR67" i="39" s="1"/>
  <c r="AR68" i="39" s="1"/>
  <c r="AR69" i="39" s="1"/>
  <c r="AR70" i="39" s="1"/>
  <c r="AR71" i="39" s="1"/>
  <c r="AR72" i="39" s="1"/>
  <c r="AR73" i="39" s="1"/>
  <c r="AR74" i="39" s="1"/>
  <c r="AR75" i="39" s="1"/>
  <c r="AR76" i="39" s="1"/>
  <c r="AR77" i="39" s="1"/>
  <c r="AR78" i="39" s="1"/>
  <c r="AR79" i="39" s="1"/>
  <c r="AR80" i="39" s="1"/>
  <c r="AR81" i="39" s="1"/>
  <c r="AR82" i="39" s="1"/>
  <c r="AR83" i="39" s="1"/>
  <c r="AR84" i="39" s="1"/>
  <c r="AR85" i="39" s="1"/>
  <c r="AR86" i="39" s="1"/>
  <c r="AR87" i="39" s="1"/>
  <c r="AR88" i="39" s="1"/>
  <c r="AR89" i="39" s="1"/>
  <c r="AR90" i="39" s="1"/>
  <c r="AR91" i="39" s="1"/>
  <c r="AR92" i="39" s="1"/>
  <c r="AR93" i="39" s="1"/>
  <c r="AR94" i="39" s="1"/>
  <c r="AR95" i="39" s="1"/>
  <c r="AR96" i="39" s="1"/>
  <c r="AR97" i="39" s="1"/>
  <c r="AR98" i="39" s="1"/>
  <c r="AR99" i="39" s="1"/>
  <c r="AR100" i="39" s="1"/>
  <c r="AR101" i="39" s="1"/>
  <c r="AR102" i="39" s="1"/>
  <c r="AR103" i="39" s="1"/>
  <c r="AR104" i="39" s="1"/>
  <c r="AR105" i="39" s="1"/>
  <c r="AR106" i="39" s="1"/>
  <c r="AR107" i="39" s="1"/>
  <c r="AR108" i="39" s="1"/>
  <c r="AR109" i="39" s="1"/>
  <c r="AR110" i="39" s="1"/>
  <c r="AR111" i="39" s="1"/>
  <c r="AR112" i="39" s="1"/>
  <c r="AR113" i="39" s="1"/>
  <c r="Y16" i="23"/>
  <c r="T17" i="23"/>
  <c r="BB17" i="23" l="1"/>
  <c r="BH17" i="23"/>
  <c r="W17" i="23"/>
  <c r="BJ17" i="23"/>
  <c r="BR17" i="23"/>
  <c r="AT17" i="23"/>
  <c r="BV17" i="23"/>
  <c r="AR17" i="23"/>
  <c r="AJ17" i="23"/>
  <c r="BL17" i="23"/>
  <c r="V17" i="23"/>
  <c r="AL17" i="23"/>
  <c r="AN17" i="23"/>
  <c r="AV17" i="23"/>
  <c r="AB17" i="23"/>
  <c r="BN17" i="23"/>
  <c r="BT17" i="23"/>
  <c r="AF17" i="23"/>
  <c r="AP17" i="23"/>
  <c r="BF17" i="23"/>
  <c r="AH17" i="23"/>
  <c r="BP17" i="23"/>
  <c r="AD17" i="23"/>
  <c r="AX17" i="23"/>
  <c r="BD17" i="23"/>
  <c r="AZ17" i="23"/>
  <c r="Y17" i="23" l="1"/>
  <c r="T18" i="23"/>
  <c r="AF18" i="23" l="1"/>
  <c r="BD18" i="23"/>
  <c r="AP18" i="23"/>
  <c r="AV18" i="23"/>
  <c r="BL18" i="23"/>
  <c r="AT18" i="23"/>
  <c r="AL18" i="23"/>
  <c r="BN18" i="23"/>
  <c r="V18" i="23"/>
  <c r="AN18" i="23"/>
  <c r="AR18" i="23"/>
  <c r="BB18" i="23"/>
  <c r="AB18" i="23"/>
  <c r="BR18" i="23"/>
  <c r="AX18" i="23"/>
  <c r="BH18" i="23"/>
  <c r="BJ18" i="23"/>
  <c r="AJ18" i="23"/>
  <c r="AD18" i="23"/>
  <c r="AZ18" i="23"/>
  <c r="BF18" i="23"/>
  <c r="BP18" i="23"/>
  <c r="W18" i="23"/>
  <c r="BV18" i="23"/>
  <c r="AH18" i="23"/>
  <c r="BT18" i="23"/>
  <c r="T19" i="23" l="1"/>
  <c r="Y18" i="23"/>
  <c r="AF19" i="23" l="1"/>
  <c r="BL19" i="23"/>
  <c r="AH19" i="23"/>
  <c r="BH19" i="23"/>
  <c r="BN19" i="23"/>
  <c r="AN19" i="23"/>
  <c r="BP19" i="23"/>
  <c r="AV19" i="23"/>
  <c r="AZ19" i="23"/>
  <c r="BT19" i="23"/>
  <c r="BR19" i="23"/>
  <c r="AB19" i="23"/>
  <c r="BB19" i="23"/>
  <c r="BV19" i="23"/>
  <c r="V19" i="23"/>
  <c r="AT19" i="23"/>
  <c r="W19" i="23"/>
  <c r="AJ19" i="23"/>
  <c r="AP19" i="23"/>
  <c r="AX19" i="23"/>
  <c r="AR19" i="23"/>
  <c r="BF19" i="23"/>
  <c r="BD19" i="23"/>
  <c r="BJ19" i="23"/>
  <c r="AD19" i="23"/>
  <c r="AL19" i="23"/>
  <c r="T20" i="23" l="1"/>
  <c r="Y19" i="23"/>
  <c r="BV20" i="23" l="1"/>
  <c r="AP20" i="23"/>
  <c r="BB20" i="23"/>
  <c r="AV20" i="23"/>
  <c r="AD20" i="23"/>
  <c r="AT20" i="23"/>
  <c r="AH20" i="23"/>
  <c r="BL20" i="23"/>
  <c r="BP20" i="23"/>
  <c r="V20" i="23"/>
  <c r="BH20" i="23"/>
  <c r="BD20" i="23"/>
  <c r="BR20" i="23"/>
  <c r="AL20" i="23"/>
  <c r="AF20" i="23"/>
  <c r="AZ20" i="23"/>
  <c r="AJ20" i="23"/>
  <c r="AX20" i="23"/>
  <c r="BT20" i="23"/>
  <c r="AR20" i="23"/>
  <c r="AB20" i="23"/>
  <c r="BJ20" i="23"/>
  <c r="BF20" i="23"/>
  <c r="AN20" i="23"/>
  <c r="BN20" i="23"/>
  <c r="W20" i="23"/>
  <c r="Y20" i="23" l="1"/>
  <c r="T21" i="23"/>
  <c r="AZ21" i="23" l="1"/>
  <c r="AV21" i="23"/>
  <c r="AT21" i="23"/>
  <c r="AD21" i="23"/>
  <c r="BL21" i="23"/>
  <c r="AR21" i="23"/>
  <c r="BP21" i="23"/>
  <c r="AP21" i="23"/>
  <c r="BB21" i="23"/>
  <c r="AH21" i="23"/>
  <c r="AF21" i="23"/>
  <c r="BD21" i="23"/>
  <c r="BN21" i="23"/>
  <c r="BV21" i="23"/>
  <c r="V21" i="23"/>
  <c r="BR21" i="23"/>
  <c r="BH21" i="23"/>
  <c r="AN21" i="23"/>
  <c r="BJ21" i="23"/>
  <c r="AL21" i="23"/>
  <c r="AJ21" i="23"/>
  <c r="AB21" i="23"/>
  <c r="W21" i="23"/>
  <c r="BF21" i="23"/>
  <c r="AX21" i="23"/>
  <c r="BT21" i="23"/>
  <c r="Y21" i="23" l="1"/>
  <c r="T22" i="23"/>
  <c r="AP22" i="23" l="1"/>
  <c r="BB22" i="23"/>
  <c r="AF22" i="23"/>
  <c r="W22" i="23"/>
  <c r="AR22" i="23"/>
  <c r="AX22" i="23"/>
  <c r="AB22" i="23"/>
  <c r="AN22" i="23"/>
  <c r="BV22" i="23"/>
  <c r="BL22" i="23"/>
  <c r="BP22" i="23"/>
  <c r="BN22" i="23"/>
  <c r="AD22" i="23"/>
  <c r="AH22" i="23"/>
  <c r="V22" i="23"/>
  <c r="BJ22" i="23"/>
  <c r="BR22" i="23"/>
  <c r="AV22" i="23"/>
  <c r="BD22" i="23"/>
  <c r="BT22" i="23"/>
  <c r="AT22" i="23"/>
  <c r="AL22" i="23"/>
  <c r="BH22" i="23"/>
  <c r="AJ22" i="23"/>
  <c r="BF22" i="23"/>
  <c r="AZ22" i="23"/>
  <c r="Y22" i="23" l="1"/>
  <c r="T23" i="23"/>
  <c r="AH23" i="23" l="1"/>
  <c r="BD23" i="23"/>
  <c r="BV23" i="23"/>
  <c r="BN23" i="23"/>
  <c r="V23" i="23"/>
  <c r="AB23" i="23"/>
  <c r="AV23" i="23"/>
  <c r="AX23" i="23"/>
  <c r="BR23" i="23"/>
  <c r="BB23" i="23"/>
  <c r="AR23" i="23"/>
  <c r="AF23" i="23"/>
  <c r="BT23" i="23"/>
  <c r="AZ23" i="23"/>
  <c r="W23" i="23"/>
  <c r="AL23" i="23"/>
  <c r="AT23" i="23"/>
  <c r="AP23" i="23"/>
  <c r="BH23" i="23"/>
  <c r="BF23" i="23"/>
  <c r="BL23" i="23"/>
  <c r="AN23" i="23"/>
  <c r="BJ23" i="23"/>
  <c r="BP23" i="23"/>
  <c r="AD23" i="23"/>
  <c r="AJ23" i="23"/>
  <c r="T24" i="23" l="1"/>
  <c r="Y23" i="23"/>
  <c r="BF24" i="23" l="1"/>
  <c r="BL24" i="23"/>
  <c r="AR24" i="23"/>
  <c r="BV24" i="23"/>
  <c r="BJ24" i="23"/>
  <c r="AB24" i="23"/>
  <c r="AH24" i="23"/>
  <c r="BH24" i="23"/>
  <c r="AF24" i="23"/>
  <c r="BN24" i="23"/>
  <c r="AP24" i="23"/>
  <c r="AJ24" i="23"/>
  <c r="AN24" i="23"/>
  <c r="AV24" i="23"/>
  <c r="AD24" i="23"/>
  <c r="BB24" i="23"/>
  <c r="AL24" i="23"/>
  <c r="BR24" i="23"/>
  <c r="BT24" i="23"/>
  <c r="V24" i="23"/>
  <c r="BD24" i="23"/>
  <c r="AT24" i="23"/>
  <c r="AX24" i="23"/>
  <c r="AZ24" i="23"/>
  <c r="BP24" i="23"/>
  <c r="W24" i="23"/>
  <c r="Y24" i="23" l="1"/>
  <c r="T25" i="23"/>
  <c r="AZ25" i="23" l="1"/>
  <c r="AR25" i="23"/>
  <c r="AJ25" i="23"/>
  <c r="BD25" i="23"/>
  <c r="BB25" i="23"/>
  <c r="AX25" i="23"/>
  <c r="AH25" i="23"/>
  <c r="AV25" i="23"/>
  <c r="V25" i="23"/>
  <c r="BV25" i="23"/>
  <c r="BL25" i="23"/>
  <c r="BT25" i="23"/>
  <c r="AN25" i="23"/>
  <c r="BJ25" i="23"/>
  <c r="BR25" i="23"/>
  <c r="W25" i="23"/>
  <c r="AF25" i="23"/>
  <c r="AD25" i="23"/>
  <c r="BN25" i="23"/>
  <c r="AL25" i="23"/>
  <c r="BH25" i="23"/>
  <c r="AT25" i="23"/>
  <c r="BF25" i="23"/>
  <c r="AB25" i="23"/>
  <c r="BP25" i="23"/>
  <c r="AP25" i="23"/>
  <c r="Y25" i="23" l="1"/>
  <c r="T26" i="23"/>
  <c r="BT26" i="23" l="1"/>
  <c r="BN26" i="23"/>
  <c r="BL26" i="23"/>
  <c r="AR26" i="23"/>
  <c r="BR26" i="23"/>
  <c r="AN26" i="23"/>
  <c r="AF26" i="23"/>
  <c r="AX26" i="23"/>
  <c r="BD26" i="23"/>
  <c r="AP26" i="23"/>
  <c r="W26" i="23"/>
  <c r="AV26" i="23"/>
  <c r="AB26" i="23"/>
  <c r="AT26" i="23"/>
  <c r="BF26" i="23"/>
  <c r="AJ26" i="23"/>
  <c r="BJ26" i="23"/>
  <c r="BB26" i="23"/>
  <c r="AD26" i="23"/>
  <c r="AL26" i="23"/>
  <c r="V26" i="23"/>
  <c r="AZ26" i="23"/>
  <c r="AH26" i="23"/>
  <c r="BH26" i="23"/>
  <c r="BV26" i="23"/>
  <c r="BP26" i="23"/>
  <c r="T27" i="23" l="1"/>
  <c r="Y26" i="23"/>
  <c r="AX27" i="23" l="1"/>
  <c r="AP27" i="23"/>
  <c r="BP27" i="23"/>
  <c r="AL27" i="23"/>
  <c r="AJ27" i="23"/>
  <c r="AD27" i="23"/>
  <c r="AT27" i="23"/>
  <c r="AB27" i="23"/>
  <c r="V27" i="23"/>
  <c r="BB27" i="23"/>
  <c r="BT27" i="23"/>
  <c r="BH27" i="23"/>
  <c r="BF27" i="23"/>
  <c r="BJ27" i="23"/>
  <c r="BL27" i="23"/>
  <c r="AV27" i="23"/>
  <c r="AZ27" i="23"/>
  <c r="BV27" i="23"/>
  <c r="BR27" i="23"/>
  <c r="W27" i="23"/>
  <c r="AN27" i="23"/>
  <c r="AH27" i="23"/>
  <c r="BD27" i="23"/>
  <c r="AF27" i="23"/>
  <c r="BN27" i="23"/>
  <c r="AR27" i="23"/>
  <c r="Y27" i="23" l="1"/>
  <c r="T28" i="23"/>
  <c r="BR28" i="23" l="1"/>
  <c r="AP28" i="23"/>
  <c r="BJ28" i="23"/>
  <c r="BT28" i="23"/>
  <c r="AV28" i="23"/>
  <c r="V28" i="23"/>
  <c r="AL28" i="23"/>
  <c r="BN28" i="23"/>
  <c r="AZ28" i="23"/>
  <c r="AF28" i="23"/>
  <c r="BL28" i="23"/>
  <c r="AN28" i="23"/>
  <c r="BB28" i="23"/>
  <c r="AD28" i="23"/>
  <c r="BF28" i="23"/>
  <c r="AB28" i="23"/>
  <c r="AT28" i="23"/>
  <c r="BV28" i="23"/>
  <c r="AJ28" i="23"/>
  <c r="W28" i="23"/>
  <c r="BP28" i="23"/>
  <c r="BD28" i="23"/>
  <c r="AH28" i="23"/>
  <c r="AR28" i="23"/>
  <c r="BH28" i="23"/>
  <c r="AX28" i="23"/>
  <c r="T29" i="23" l="1"/>
  <c r="Y28" i="23"/>
  <c r="BP29" i="23" l="1"/>
  <c r="BT29" i="23"/>
  <c r="AZ29" i="23"/>
  <c r="AR29" i="23"/>
  <c r="BV29" i="23"/>
  <c r="AP29" i="23"/>
  <c r="AL29" i="23"/>
  <c r="BH29" i="23"/>
  <c r="BD29" i="23"/>
  <c r="AX29" i="23"/>
  <c r="BN29" i="23"/>
  <c r="BB29" i="23"/>
  <c r="BF29" i="23"/>
  <c r="V29" i="23"/>
  <c r="AB29" i="23"/>
  <c r="AJ29" i="23"/>
  <c r="AH29" i="23"/>
  <c r="AN29" i="23"/>
  <c r="AV29" i="23"/>
  <c r="BJ29" i="23"/>
  <c r="AF29" i="23"/>
  <c r="AD29" i="23"/>
  <c r="AT29" i="23"/>
  <c r="BL29" i="23"/>
  <c r="BR29" i="23"/>
  <c r="W29" i="23"/>
  <c r="Y29" i="23" l="1"/>
  <c r="T30" i="23"/>
  <c r="AJ30" i="23" l="1"/>
  <c r="BN30" i="23"/>
  <c r="BT30" i="23"/>
  <c r="BD30" i="23"/>
  <c r="AD30" i="23"/>
  <c r="BB30" i="23"/>
  <c r="AX30" i="23"/>
  <c r="AR30" i="23"/>
  <c r="BL30" i="23"/>
  <c r="BJ30" i="23"/>
  <c r="BP30" i="23"/>
  <c r="AT30" i="23"/>
  <c r="AN30" i="23"/>
  <c r="W30" i="23"/>
  <c r="BR30" i="23"/>
  <c r="AZ30" i="23"/>
  <c r="BV30" i="23"/>
  <c r="AF30" i="23"/>
  <c r="AP30" i="23"/>
  <c r="AV30" i="23"/>
  <c r="AB30" i="23"/>
  <c r="V30" i="23"/>
  <c r="BH30" i="23"/>
  <c r="AL30" i="23"/>
  <c r="AH30" i="23"/>
  <c r="BF30" i="23"/>
  <c r="Y30" i="23" l="1"/>
  <c r="T31" i="23"/>
  <c r="F3" i="23"/>
  <c r="F4" i="23" s="1"/>
  <c r="V31" i="23" l="1"/>
  <c r="AF31" i="23"/>
  <c r="AR31" i="23"/>
  <c r="BT31" i="23"/>
  <c r="AD31" i="23"/>
  <c r="AL31" i="23"/>
  <c r="BH31" i="23"/>
  <c r="AP31" i="23"/>
  <c r="AZ31" i="23"/>
  <c r="BD31" i="23"/>
  <c r="AT31" i="23"/>
  <c r="AX31" i="23"/>
  <c r="G2" i="23"/>
  <c r="BR31" i="23"/>
  <c r="AV31" i="23"/>
  <c r="AJ31" i="23"/>
  <c r="BB31" i="23"/>
  <c r="BF31" i="23"/>
  <c r="BJ31" i="23"/>
  <c r="AN31" i="23"/>
  <c r="AB31" i="23"/>
  <c r="BV31" i="23"/>
  <c r="BN31" i="23"/>
  <c r="BL31" i="23"/>
  <c r="BP31" i="23"/>
  <c r="AH31" i="23"/>
  <c r="W31" i="23"/>
  <c r="T32" i="23" l="1"/>
  <c r="Y31" i="23"/>
  <c r="BF32" i="23" l="1"/>
  <c r="W32" i="23"/>
  <c r="AP32" i="23"/>
  <c r="BB32" i="23"/>
  <c r="BH32" i="23"/>
  <c r="BL32" i="23"/>
  <c r="AT32" i="23"/>
  <c r="AZ32" i="23"/>
  <c r="V32" i="23"/>
  <c r="AB32" i="23"/>
  <c r="BR32" i="23"/>
  <c r="AV32" i="23"/>
  <c r="BN32" i="23"/>
  <c r="BD32" i="23"/>
  <c r="AX32" i="23"/>
  <c r="AL32" i="23"/>
  <c r="AH32" i="23"/>
  <c r="AJ32" i="23"/>
  <c r="BJ32" i="23"/>
  <c r="BT32" i="23"/>
  <c r="AN32" i="23"/>
  <c r="AD32" i="23"/>
  <c r="AR32" i="23"/>
  <c r="BP32" i="23"/>
  <c r="BV32" i="23"/>
  <c r="AF32" i="23"/>
  <c r="Y32" i="23" l="1"/>
  <c r="T33" i="23"/>
  <c r="BP33" i="23" l="1"/>
  <c r="BH33" i="23"/>
  <c r="W33" i="23"/>
  <c r="BV33" i="23"/>
  <c r="AL33" i="23"/>
  <c r="AD33" i="23"/>
  <c r="BB33" i="23"/>
  <c r="BJ33" i="23"/>
  <c r="BL33" i="23"/>
  <c r="AT33" i="23"/>
  <c r="BR33" i="23"/>
  <c r="AZ33" i="23"/>
  <c r="BD33" i="23"/>
  <c r="AF33" i="23"/>
  <c r="AR33" i="23"/>
  <c r="V33" i="23"/>
  <c r="AH33" i="23"/>
  <c r="AP33" i="23"/>
  <c r="AV33" i="23"/>
  <c r="AJ33" i="23"/>
  <c r="AN33" i="23"/>
  <c r="AX33" i="23"/>
  <c r="BN33" i="23"/>
  <c r="AB33" i="23"/>
  <c r="BT33" i="23"/>
  <c r="BF33" i="23"/>
  <c r="T34" i="23" l="1"/>
  <c r="Y33" i="23"/>
  <c r="AZ34" i="23" l="1"/>
  <c r="BH34" i="23"/>
  <c r="AV34" i="23"/>
  <c r="BV34" i="23"/>
  <c r="AT34" i="23"/>
  <c r="BT34" i="23"/>
  <c r="AL34" i="23"/>
  <c r="V34" i="23"/>
  <c r="AD34" i="23"/>
  <c r="BN34" i="23"/>
  <c r="BP34" i="23"/>
  <c r="W34" i="23"/>
  <c r="BL34" i="23"/>
  <c r="AF34" i="23"/>
  <c r="AP34" i="23"/>
  <c r="BR34" i="23"/>
  <c r="AH34" i="23"/>
  <c r="AJ34" i="23"/>
  <c r="AN34" i="23"/>
  <c r="BD34" i="23"/>
  <c r="AB34" i="23"/>
  <c r="BJ34" i="23"/>
  <c r="BB34" i="23"/>
  <c r="BF34" i="23"/>
  <c r="AX34" i="23"/>
  <c r="AR34" i="23"/>
  <c r="T35" i="23" l="1"/>
  <c r="Y34" i="23"/>
  <c r="BL35" i="23" l="1"/>
  <c r="AJ35" i="23"/>
  <c r="BB35" i="23"/>
  <c r="AZ35" i="23"/>
  <c r="BJ35" i="23"/>
  <c r="BF35" i="23"/>
  <c r="AD35" i="23"/>
  <c r="BT35" i="23"/>
  <c r="AN35" i="23"/>
  <c r="AL35" i="23"/>
  <c r="AX35" i="23"/>
  <c r="W35" i="23"/>
  <c r="V35" i="23"/>
  <c r="BH35" i="23"/>
  <c r="AB35" i="23"/>
  <c r="AH35" i="23"/>
  <c r="BN35" i="23"/>
  <c r="AF35" i="23"/>
  <c r="AP35" i="23"/>
  <c r="BR35" i="23"/>
  <c r="AR35" i="23"/>
  <c r="BV35" i="23"/>
  <c r="AV35" i="23"/>
  <c r="BP35" i="23"/>
  <c r="BD35" i="23"/>
  <c r="AT35" i="23"/>
  <c r="T36" i="23" l="1"/>
  <c r="Y35" i="23"/>
  <c r="BL36" i="23" l="1"/>
  <c r="AJ36" i="23"/>
  <c r="BR36" i="23"/>
  <c r="AN36" i="23"/>
  <c r="BT36" i="23"/>
  <c r="AF36" i="23"/>
  <c r="AV36" i="23"/>
  <c r="AL36" i="23"/>
  <c r="V36" i="23"/>
  <c r="AR36" i="23"/>
  <c r="AP36" i="23"/>
  <c r="BV36" i="23"/>
  <c r="BH36" i="23"/>
  <c r="BB36" i="23"/>
  <c r="AZ36" i="23"/>
  <c r="BJ36" i="23"/>
  <c r="AD36" i="23"/>
  <c r="AH36" i="23"/>
  <c r="BN36" i="23"/>
  <c r="AT36" i="23"/>
  <c r="BD36" i="23"/>
  <c r="AX36" i="23"/>
  <c r="W36" i="23"/>
  <c r="BP36" i="23"/>
  <c r="AB36" i="23"/>
  <c r="BF36" i="23"/>
  <c r="T37" i="23" l="1"/>
  <c r="Y36" i="23"/>
  <c r="AB37" i="23" l="1"/>
  <c r="BJ37" i="23"/>
  <c r="BL37" i="23"/>
  <c r="AR37" i="23"/>
  <c r="AH37" i="23"/>
  <c r="AP37" i="23"/>
  <c r="BT37" i="23"/>
  <c r="W37" i="23"/>
  <c r="AX37" i="23"/>
  <c r="AN37" i="23"/>
  <c r="BV37" i="23"/>
  <c r="BH37" i="23"/>
  <c r="AF37" i="23"/>
  <c r="AJ37" i="23"/>
  <c r="AT37" i="23"/>
  <c r="BR37" i="23"/>
  <c r="AD37" i="23"/>
  <c r="BN37" i="23"/>
  <c r="AZ37" i="23"/>
  <c r="AL37" i="23"/>
  <c r="BD37" i="23"/>
  <c r="BB37" i="23"/>
  <c r="BP37" i="23"/>
  <c r="V37" i="23"/>
  <c r="AV37" i="23"/>
  <c r="BF37" i="23"/>
  <c r="T38" i="23" l="1"/>
  <c r="Y37" i="23"/>
  <c r="AH38" i="23" l="1"/>
  <c r="AN38" i="23"/>
  <c r="BJ38" i="23"/>
  <c r="AT38" i="23"/>
  <c r="BH38" i="23"/>
  <c r="AD38" i="23"/>
  <c r="AB38" i="23"/>
  <c r="AX38" i="23"/>
  <c r="AZ38" i="23"/>
  <c r="AV38" i="23"/>
  <c r="BB38" i="23"/>
  <c r="AJ38" i="23"/>
  <c r="AR38" i="23"/>
  <c r="AF38" i="23"/>
  <c r="BN38" i="23"/>
  <c r="W38" i="23"/>
  <c r="BL38" i="23"/>
  <c r="V38" i="23"/>
  <c r="AP38" i="23"/>
  <c r="BT38" i="23"/>
  <c r="BD38" i="23"/>
  <c r="BR38" i="23"/>
  <c r="BV38" i="23"/>
  <c r="AL38" i="23"/>
  <c r="BP38" i="23"/>
  <c r="BF38" i="23"/>
  <c r="T39" i="23" l="1"/>
  <c r="Y38" i="23"/>
  <c r="AV39" i="23" l="1"/>
  <c r="BJ39" i="23"/>
  <c r="AB39" i="23"/>
  <c r="BL39" i="23"/>
  <c r="AF39" i="23"/>
  <c r="BD39" i="23"/>
  <c r="BB39" i="23"/>
  <c r="BH39" i="23"/>
  <c r="BR39" i="23"/>
  <c r="AT39" i="23"/>
  <c r="AL39" i="23"/>
  <c r="AP39" i="23"/>
  <c r="AX39" i="23"/>
  <c r="AD39" i="23"/>
  <c r="BT39" i="23"/>
  <c r="BN39" i="23"/>
  <c r="AH39" i="23"/>
  <c r="W39" i="23"/>
  <c r="AZ39" i="23"/>
  <c r="BV39" i="23"/>
  <c r="V39" i="23"/>
  <c r="BP39" i="23"/>
  <c r="AN39" i="23"/>
  <c r="AR39" i="23"/>
  <c r="BF39" i="23"/>
  <c r="AJ39" i="23"/>
  <c r="T40" i="23" l="1"/>
  <c r="Y39" i="23"/>
  <c r="AN40" i="23" l="1"/>
  <c r="AP40" i="23"/>
  <c r="BT40" i="23"/>
  <c r="AF40" i="23"/>
  <c r="AV40" i="23"/>
  <c r="BR40" i="23"/>
  <c r="BF40" i="23"/>
  <c r="BD40" i="23"/>
  <c r="AT40" i="23"/>
  <c r="W40" i="23"/>
  <c r="AZ40" i="23"/>
  <c r="BL40" i="23"/>
  <c r="AD40" i="23"/>
  <c r="AB40" i="23"/>
  <c r="AH40" i="23"/>
  <c r="AJ40" i="23"/>
  <c r="BH40" i="23"/>
  <c r="BV40" i="23"/>
  <c r="BJ40" i="23"/>
  <c r="BB40" i="23"/>
  <c r="AR40" i="23"/>
  <c r="BN40" i="23"/>
  <c r="BP40" i="23"/>
  <c r="AL40" i="23"/>
  <c r="AX40" i="23"/>
  <c r="V40" i="23"/>
  <c r="Y40" i="23" l="1"/>
  <c r="T41" i="23"/>
  <c r="AT41" i="23" l="1"/>
  <c r="BB41" i="23"/>
  <c r="BF41" i="23"/>
  <c r="AZ41" i="23"/>
  <c r="AP41" i="23"/>
  <c r="BD41" i="23"/>
  <c r="AD41" i="23"/>
  <c r="BT41" i="23"/>
  <c r="AN41" i="23"/>
  <c r="AB41" i="23"/>
  <c r="AR41" i="23"/>
  <c r="BN41" i="23"/>
  <c r="BP41" i="23"/>
  <c r="AL41" i="23"/>
  <c r="AH41" i="23"/>
  <c r="BJ41" i="23"/>
  <c r="W41" i="23"/>
  <c r="BL41" i="23"/>
  <c r="BR41" i="23"/>
  <c r="AV41" i="23"/>
  <c r="AJ41" i="23"/>
  <c r="AX41" i="23"/>
  <c r="V41" i="23"/>
  <c r="BV41" i="23"/>
  <c r="AF41" i="23"/>
  <c r="BH41" i="23"/>
  <c r="Y41" i="23" l="1"/>
  <c r="T42" i="23"/>
  <c r="W42" i="23" l="1"/>
  <c r="AD42" i="23"/>
  <c r="BL42" i="23"/>
  <c r="AL42" i="23"/>
  <c r="BJ42" i="23"/>
  <c r="BP42" i="23"/>
  <c r="AP42" i="23"/>
  <c r="AV42" i="23"/>
  <c r="AH42" i="23"/>
  <c r="AB42" i="23"/>
  <c r="BR42" i="23"/>
  <c r="AZ42" i="23"/>
  <c r="V42" i="23"/>
  <c r="AN42" i="23"/>
  <c r="BB42" i="23"/>
  <c r="AT42" i="23"/>
  <c r="BV42" i="23"/>
  <c r="BH42" i="23"/>
  <c r="BD42" i="23"/>
  <c r="BT42" i="23"/>
  <c r="AR42" i="23"/>
  <c r="BN42" i="23"/>
  <c r="AJ42" i="23"/>
  <c r="AF42" i="23"/>
  <c r="AX42" i="23"/>
  <c r="BF42" i="23"/>
  <c r="T43" i="23" l="1"/>
  <c r="Y42" i="23"/>
  <c r="BL43" i="23" l="1"/>
  <c r="W43" i="23"/>
  <c r="AR43" i="23"/>
  <c r="BN43" i="23"/>
  <c r="BD43" i="23"/>
  <c r="AD43" i="23"/>
  <c r="AF43" i="23"/>
  <c r="AB43" i="23"/>
  <c r="AZ43" i="23"/>
  <c r="BV43" i="23"/>
  <c r="BR43" i="23"/>
  <c r="AV43" i="23"/>
  <c r="BT43" i="23"/>
  <c r="BP43" i="23"/>
  <c r="AN43" i="23"/>
  <c r="V43" i="23"/>
  <c r="AL43" i="23"/>
  <c r="BH43" i="23"/>
  <c r="AP43" i="23"/>
  <c r="AJ43" i="23"/>
  <c r="BB43" i="23"/>
  <c r="AT43" i="23"/>
  <c r="AX43" i="23"/>
  <c r="BJ43" i="23"/>
  <c r="BF43" i="23"/>
  <c r="AH43" i="23"/>
  <c r="Y43" i="23" l="1"/>
  <c r="T44" i="23"/>
  <c r="BR44" i="23" l="1"/>
  <c r="BN44" i="23"/>
  <c r="AR44" i="23"/>
  <c r="AT44" i="23"/>
  <c r="AX44" i="23"/>
  <c r="BD44" i="23"/>
  <c r="AV44" i="23"/>
  <c r="BL44" i="23"/>
  <c r="V44" i="23"/>
  <c r="BH44" i="23"/>
  <c r="BB44" i="23"/>
  <c r="AJ44" i="23"/>
  <c r="BJ44" i="23"/>
  <c r="BV44" i="23"/>
  <c r="AB44" i="23"/>
  <c r="BT44" i="23"/>
  <c r="AH44" i="23"/>
  <c r="AZ44" i="23"/>
  <c r="BP44" i="23"/>
  <c r="AF44" i="23"/>
  <c r="W44" i="23"/>
  <c r="AN44" i="23"/>
  <c r="BF44" i="23"/>
  <c r="AD44" i="23"/>
  <c r="AP44" i="23"/>
  <c r="AL44" i="23"/>
  <c r="Y44" i="23" l="1"/>
  <c r="T45" i="23"/>
  <c r="AP45" i="23" l="1"/>
  <c r="AH45" i="23"/>
  <c r="W45" i="23"/>
  <c r="AX45" i="23"/>
  <c r="BB45" i="23"/>
  <c r="BJ45" i="23"/>
  <c r="BP45" i="23"/>
  <c r="AR45" i="23"/>
  <c r="AF45" i="23"/>
  <c r="AJ45" i="23"/>
  <c r="BV45" i="23"/>
  <c r="V45" i="23"/>
  <c r="AL45" i="23"/>
  <c r="AZ45" i="23"/>
  <c r="AV45" i="23"/>
  <c r="AD45" i="23"/>
  <c r="BR45" i="23"/>
  <c r="BT45" i="23"/>
  <c r="BF45" i="23"/>
  <c r="AT45" i="23"/>
  <c r="BD45" i="23"/>
  <c r="AN45" i="23"/>
  <c r="AB45" i="23"/>
  <c r="BL45" i="23"/>
  <c r="BH45" i="23"/>
  <c r="BN45" i="23"/>
  <c r="T46" i="23" l="1"/>
  <c r="Y45" i="23"/>
  <c r="AF46" i="23" l="1"/>
  <c r="W46" i="23"/>
  <c r="AX46" i="23"/>
  <c r="AP46" i="23"/>
  <c r="AV46" i="23"/>
  <c r="AL46" i="23"/>
  <c r="AN46" i="23"/>
  <c r="AH46" i="23"/>
  <c r="AR46" i="23"/>
  <c r="AJ46" i="23"/>
  <c r="BD46" i="23"/>
  <c r="AT46" i="23"/>
  <c r="BT46" i="23"/>
  <c r="V46" i="23"/>
  <c r="BJ46" i="23"/>
  <c r="BL46" i="23"/>
  <c r="BR46" i="23"/>
  <c r="BH46" i="23"/>
  <c r="BV46" i="23"/>
  <c r="BN46" i="23"/>
  <c r="AZ46" i="23"/>
  <c r="AB46" i="23"/>
  <c r="BF46" i="23"/>
  <c r="BP46" i="23"/>
  <c r="BB46" i="23"/>
  <c r="AD46" i="23"/>
  <c r="T47" i="23" l="1"/>
  <c r="Y46" i="23"/>
  <c r="AF47" i="23" l="1"/>
  <c r="BH47" i="23"/>
  <c r="BV47" i="23"/>
  <c r="AL47" i="23"/>
  <c r="BB47" i="23"/>
  <c r="BN47" i="23"/>
  <c r="BF47" i="23"/>
  <c r="BL47" i="23"/>
  <c r="BP47" i="23"/>
  <c r="BT47" i="23"/>
  <c r="AJ47" i="23"/>
  <c r="AN47" i="23"/>
  <c r="BR47" i="23"/>
  <c r="AV47" i="23"/>
  <c r="AD47" i="23"/>
  <c r="AR47" i="23"/>
  <c r="V47" i="23"/>
  <c r="AP47" i="23"/>
  <c r="AH47" i="23"/>
  <c r="AB47" i="23"/>
  <c r="BJ47" i="23"/>
  <c r="W47" i="23"/>
  <c r="AT47" i="23"/>
  <c r="AZ47" i="23"/>
  <c r="BD47" i="23"/>
  <c r="AX47" i="23"/>
  <c r="T48" i="23" l="1"/>
  <c r="Y47" i="23"/>
  <c r="AR48" i="23" l="1"/>
  <c r="BJ48" i="23"/>
  <c r="BL48" i="23"/>
  <c r="BH48" i="23"/>
  <c r="AT48" i="23"/>
  <c r="AJ48" i="23"/>
  <c r="V48" i="23"/>
  <c r="BN48" i="23"/>
  <c r="BV48" i="23"/>
  <c r="BD48" i="23"/>
  <c r="AX48" i="23"/>
  <c r="AV48" i="23"/>
  <c r="AD48" i="23"/>
  <c r="BF48" i="23"/>
  <c r="BP48" i="23"/>
  <c r="W48" i="23"/>
  <c r="AZ48" i="23"/>
  <c r="BT48" i="23"/>
  <c r="AH48" i="23"/>
  <c r="BB48" i="23"/>
  <c r="AL48" i="23"/>
  <c r="BR48" i="23"/>
  <c r="AB48" i="23"/>
  <c r="AF48" i="23"/>
  <c r="AN48" i="23"/>
  <c r="AP48" i="23"/>
  <c r="T49" i="23" l="1"/>
  <c r="Y48" i="23"/>
  <c r="BL49" i="23" l="1"/>
  <c r="AX49" i="23"/>
  <c r="AJ49" i="23"/>
  <c r="V49" i="23"/>
  <c r="BB49" i="23"/>
  <c r="BH49" i="23"/>
  <c r="AF49" i="23"/>
  <c r="BP49" i="23"/>
  <c r="AP49" i="23"/>
  <c r="BT49" i="23"/>
  <c r="BV49" i="23"/>
  <c r="BN49" i="23"/>
  <c r="BJ49" i="23"/>
  <c r="AR49" i="23"/>
  <c r="AL49" i="23"/>
  <c r="W49" i="23"/>
  <c r="AH49" i="23"/>
  <c r="BD49" i="23"/>
  <c r="BF49" i="23"/>
  <c r="AV49" i="23"/>
  <c r="BR49" i="23"/>
  <c r="AZ49" i="23"/>
  <c r="AB49" i="23"/>
  <c r="AN49" i="23"/>
  <c r="AT49" i="23"/>
  <c r="AD49" i="23"/>
  <c r="T50" i="23" l="1"/>
  <c r="Y49" i="23"/>
  <c r="AT50" i="23" l="1"/>
  <c r="W50" i="23"/>
  <c r="AN50" i="23"/>
  <c r="AV50" i="23"/>
  <c r="BB50" i="23"/>
  <c r="AR50" i="23"/>
  <c r="BL50" i="23"/>
  <c r="AX50" i="23"/>
  <c r="BP50" i="23"/>
  <c r="V50" i="23"/>
  <c r="AF50" i="23"/>
  <c r="BF50" i="23"/>
  <c r="BV50" i="23"/>
  <c r="BH50" i="23"/>
  <c r="BN50" i="23"/>
  <c r="AD50" i="23"/>
  <c r="BT50" i="23"/>
  <c r="AZ50" i="23"/>
  <c r="BR50" i="23"/>
  <c r="AP50" i="23"/>
  <c r="AL50" i="23"/>
  <c r="BJ50" i="23"/>
  <c r="AJ50" i="23"/>
  <c r="AH50" i="23"/>
  <c r="AB50" i="23"/>
  <c r="BD50" i="23"/>
  <c r="Y50" i="23" l="1"/>
  <c r="T51" i="23"/>
  <c r="BB51" i="23" l="1"/>
  <c r="AP51" i="23"/>
  <c r="AD51" i="23"/>
  <c r="V51" i="23"/>
  <c r="AF51" i="23"/>
  <c r="W51" i="23"/>
  <c r="BN51" i="23"/>
  <c r="AJ51" i="23"/>
  <c r="AR51" i="23"/>
  <c r="BT51" i="23"/>
  <c r="AV51" i="23"/>
  <c r="AN51" i="23"/>
  <c r="AL51" i="23"/>
  <c r="BP51" i="23"/>
  <c r="BR51" i="23"/>
  <c r="BV51" i="23"/>
  <c r="BH51" i="23"/>
  <c r="BF51" i="23"/>
  <c r="AZ51" i="23"/>
  <c r="BD51" i="23"/>
  <c r="AB51" i="23"/>
  <c r="AX51" i="23"/>
  <c r="AT51" i="23"/>
  <c r="BJ51" i="23"/>
  <c r="AH51" i="23"/>
  <c r="BL51" i="23"/>
  <c r="Y51" i="23" l="1"/>
  <c r="T52" i="23"/>
  <c r="BR52" i="23" l="1"/>
  <c r="BN52" i="23"/>
  <c r="BT52" i="23"/>
  <c r="BB52" i="23"/>
  <c r="AH52" i="23"/>
  <c r="AX52" i="23"/>
  <c r="BH52" i="23"/>
  <c r="AF52" i="23"/>
  <c r="AZ52" i="23"/>
  <c r="W52" i="23"/>
  <c r="AV52" i="23"/>
  <c r="BD52" i="23"/>
  <c r="AR52" i="23"/>
  <c r="BV52" i="23"/>
  <c r="V52" i="23"/>
  <c r="AD52" i="23"/>
  <c r="AJ52" i="23"/>
  <c r="AP52" i="23"/>
  <c r="AN52" i="23"/>
  <c r="BF52" i="23"/>
  <c r="BP52" i="23"/>
  <c r="BJ52" i="23"/>
  <c r="AB52" i="23"/>
  <c r="BL52" i="23"/>
  <c r="AT52" i="23"/>
  <c r="AL52" i="23"/>
  <c r="T53" i="23" l="1"/>
  <c r="Y52" i="23"/>
  <c r="BR53" i="23" l="1"/>
  <c r="V53" i="23"/>
  <c r="AT53" i="23"/>
  <c r="BJ53" i="23"/>
  <c r="AB53" i="23"/>
  <c r="BV53" i="23"/>
  <c r="BL53" i="23"/>
  <c r="AH53" i="23"/>
  <c r="BF53" i="23"/>
  <c r="W53" i="23"/>
  <c r="BD53" i="23"/>
  <c r="AX53" i="23"/>
  <c r="AJ53" i="23"/>
  <c r="BH53" i="23"/>
  <c r="BP53" i="23"/>
  <c r="BN53" i="23"/>
  <c r="AD53" i="23"/>
  <c r="BT53" i="23"/>
  <c r="AL53" i="23"/>
  <c r="AP53" i="23"/>
  <c r="AF53" i="23"/>
  <c r="BB53" i="23"/>
  <c r="AV53" i="23"/>
  <c r="AR53" i="23"/>
  <c r="AN53" i="23"/>
  <c r="AZ53" i="23"/>
  <c r="T54" i="23" l="1"/>
  <c r="Y53" i="23"/>
  <c r="W54" i="23" l="1"/>
  <c r="AV54" i="23"/>
  <c r="AL54" i="23"/>
  <c r="BD54" i="23"/>
  <c r="V54" i="23"/>
  <c r="AJ54" i="23"/>
  <c r="AT54" i="23"/>
  <c r="BR54" i="23"/>
  <c r="BP54" i="23"/>
  <c r="BT54" i="23"/>
  <c r="AZ54" i="23"/>
  <c r="AD54" i="23"/>
  <c r="BV54" i="23"/>
  <c r="BF54" i="23"/>
  <c r="AN54" i="23"/>
  <c r="AR54" i="23"/>
  <c r="AB54" i="23"/>
  <c r="AF54" i="23"/>
  <c r="BN54" i="23"/>
  <c r="BH54" i="23"/>
  <c r="AH54" i="23"/>
  <c r="AP54" i="23"/>
  <c r="BJ54" i="23"/>
  <c r="AX54" i="23"/>
  <c r="BB54" i="23"/>
  <c r="BL54" i="23"/>
  <c r="Y54" i="23" l="1"/>
  <c r="T55" i="23"/>
  <c r="AN55" i="23" l="1"/>
  <c r="BL55" i="23"/>
  <c r="AB55" i="23"/>
  <c r="AL55" i="23"/>
  <c r="AD55" i="23"/>
  <c r="BP55" i="23"/>
  <c r="AV55" i="23"/>
  <c r="BT55" i="23"/>
  <c r="V55" i="23"/>
  <c r="AJ55" i="23"/>
  <c r="BR55" i="23"/>
  <c r="AF55" i="23"/>
  <c r="BB55" i="23"/>
  <c r="BD55" i="23"/>
  <c r="BJ55" i="23"/>
  <c r="BH55" i="23"/>
  <c r="AH55" i="23"/>
  <c r="AZ55" i="23"/>
  <c r="BV55" i="23"/>
  <c r="AP55" i="23"/>
  <c r="W55" i="23"/>
  <c r="AX55" i="23"/>
  <c r="BF55" i="23"/>
  <c r="AR55" i="23"/>
  <c r="AT55" i="23"/>
  <c r="BN55" i="23"/>
  <c r="T56" i="23" l="1"/>
  <c r="Y55" i="23"/>
  <c r="W56" i="23" l="1"/>
  <c r="AF56" i="23"/>
  <c r="BV56" i="23"/>
  <c r="AN56" i="23"/>
  <c r="BP56" i="23"/>
  <c r="BR56" i="23"/>
  <c r="BT56" i="23"/>
  <c r="BB56" i="23"/>
  <c r="BL56" i="23"/>
  <c r="AL56" i="23"/>
  <c r="BD56" i="23"/>
  <c r="BH56" i="23"/>
  <c r="AP56" i="23"/>
  <c r="AH56" i="23"/>
  <c r="AJ56" i="23"/>
  <c r="V56" i="23"/>
  <c r="BN56" i="23"/>
  <c r="AD56" i="23"/>
  <c r="AZ56" i="23"/>
  <c r="AX56" i="23"/>
  <c r="AB56" i="23"/>
  <c r="AR56" i="23"/>
  <c r="BJ56" i="23"/>
  <c r="BF56" i="23"/>
  <c r="AT56" i="23"/>
  <c r="AV56" i="23"/>
  <c r="T57" i="23" l="1"/>
  <c r="Y56" i="23"/>
  <c r="BJ57" i="23" l="1"/>
  <c r="AD57" i="23"/>
  <c r="BD57" i="23"/>
  <c r="AX57" i="23"/>
  <c r="AR57" i="23"/>
  <c r="V57" i="23"/>
  <c r="AT57" i="23"/>
  <c r="BP57" i="23"/>
  <c r="BB57" i="23"/>
  <c r="BT57" i="23"/>
  <c r="W57" i="23"/>
  <c r="AF57" i="23"/>
  <c r="AB57" i="23"/>
  <c r="AZ57" i="23"/>
  <c r="AJ57" i="23"/>
  <c r="BH57" i="23"/>
  <c r="BR57" i="23"/>
  <c r="BF57" i="23"/>
  <c r="AL57" i="23"/>
  <c r="BV57" i="23"/>
  <c r="BN57" i="23"/>
  <c r="AP57" i="23"/>
  <c r="AH57" i="23"/>
  <c r="BL57" i="23"/>
  <c r="AN57" i="23"/>
  <c r="AV57" i="23"/>
  <c r="T58" i="23" l="1"/>
  <c r="Y57" i="23"/>
  <c r="BH58" i="23" l="1"/>
  <c r="V58" i="23"/>
  <c r="BN58" i="23"/>
  <c r="W58" i="23"/>
  <c r="AT58" i="23"/>
  <c r="AB58" i="23"/>
  <c r="AD58" i="23"/>
  <c r="BP58" i="23"/>
  <c r="BR58" i="23"/>
  <c r="AZ58" i="23"/>
  <c r="AH58" i="23"/>
  <c r="AR58" i="23"/>
  <c r="BJ58" i="23"/>
  <c r="BB58" i="23"/>
  <c r="AL58" i="23"/>
  <c r="AJ58" i="23"/>
  <c r="BD58" i="23"/>
  <c r="AN58" i="23"/>
  <c r="BL58" i="23"/>
  <c r="BF58" i="23"/>
  <c r="AX58" i="23"/>
  <c r="BT58" i="23"/>
  <c r="AF58" i="23"/>
  <c r="AP58" i="23"/>
  <c r="BV58" i="23"/>
  <c r="AV58" i="23"/>
  <c r="Y58" i="23" l="1"/>
  <c r="T59" i="23"/>
  <c r="BH59" i="23" l="1"/>
  <c r="BJ59" i="23"/>
  <c r="AX59" i="23"/>
  <c r="BL59" i="23"/>
  <c r="BN59" i="23"/>
  <c r="AF59" i="23"/>
  <c r="AL59" i="23"/>
  <c r="BP59" i="23"/>
  <c r="AD59" i="23"/>
  <c r="V59" i="23"/>
  <c r="BV59" i="23"/>
  <c r="AZ59" i="23"/>
  <c r="BT59" i="23"/>
  <c r="BB59" i="23"/>
  <c r="AT59" i="23"/>
  <c r="AP59" i="23"/>
  <c r="AN59" i="23"/>
  <c r="BF59" i="23"/>
  <c r="BD59" i="23"/>
  <c r="AB59" i="23"/>
  <c r="AJ59" i="23"/>
  <c r="W59" i="23"/>
  <c r="AV59" i="23"/>
  <c r="AH59" i="23"/>
  <c r="BR59" i="23"/>
  <c r="AR59" i="23"/>
  <c r="T60" i="23" l="1"/>
  <c r="Y59" i="23"/>
  <c r="BD60" i="23" l="1"/>
  <c r="AX60" i="23"/>
  <c r="AP60" i="23"/>
  <c r="AZ60" i="23"/>
  <c r="BB60" i="23"/>
  <c r="BV60" i="23"/>
  <c r="V60" i="23"/>
  <c r="AJ60" i="23"/>
  <c r="BR60" i="23"/>
  <c r="BH60" i="23"/>
  <c r="AB60" i="23"/>
  <c r="AV60" i="23"/>
  <c r="W60" i="23"/>
  <c r="AT60" i="23"/>
  <c r="AD60" i="23"/>
  <c r="AN60" i="23"/>
  <c r="BL60" i="23"/>
  <c r="BF60" i="23"/>
  <c r="BP60" i="23"/>
  <c r="BT60" i="23"/>
  <c r="AL60" i="23"/>
  <c r="BJ60" i="23"/>
  <c r="BN60" i="23"/>
  <c r="AR60" i="23"/>
  <c r="AF60" i="23"/>
  <c r="AH60" i="23"/>
  <c r="T67" i="23" l="1"/>
  <c r="Y60" i="23"/>
  <c r="T61" i="23"/>
  <c r="AN61" i="23" l="1"/>
  <c r="AX61" i="23"/>
  <c r="AL61" i="23"/>
  <c r="AZ61" i="23"/>
  <c r="AP61" i="23"/>
  <c r="BP61" i="23"/>
  <c r="BF61" i="23"/>
  <c r="BV61" i="23"/>
  <c r="AH61" i="23"/>
  <c r="BB61" i="23"/>
  <c r="W61" i="23"/>
  <c r="AT61" i="23"/>
  <c r="AV61" i="23"/>
  <c r="AJ61" i="23"/>
  <c r="BR61" i="23"/>
  <c r="AB61" i="23"/>
  <c r="V61" i="23"/>
  <c r="AF61" i="23"/>
  <c r="BJ61" i="23"/>
  <c r="BH61" i="23"/>
  <c r="BL61" i="23"/>
  <c r="BN61" i="23"/>
  <c r="AR61" i="23"/>
  <c r="BT61" i="23"/>
  <c r="AD61" i="23"/>
  <c r="BD61" i="23"/>
  <c r="AV67" i="23"/>
  <c r="BJ67" i="23"/>
  <c r="AR67" i="23"/>
  <c r="BH67" i="23"/>
  <c r="BL67" i="23"/>
  <c r="AP67" i="23"/>
  <c r="AN67" i="23"/>
  <c r="AB67" i="23"/>
  <c r="W67" i="23"/>
  <c r="BF67" i="23"/>
  <c r="AF67" i="23"/>
  <c r="BV67" i="23"/>
  <c r="AZ67" i="23"/>
  <c r="AD67" i="23"/>
  <c r="AL67" i="23"/>
  <c r="AJ67" i="23"/>
  <c r="BB67" i="23"/>
  <c r="AX67" i="23"/>
  <c r="AH67" i="23"/>
  <c r="BD67" i="23"/>
  <c r="AT67" i="23"/>
  <c r="BP67" i="23"/>
  <c r="V67" i="23"/>
  <c r="BT67" i="23"/>
  <c r="BR67" i="23"/>
  <c r="BN67" i="23"/>
  <c r="Y61" i="23" l="1"/>
  <c r="T62" i="23"/>
  <c r="Y67" i="23"/>
  <c r="T68" i="23"/>
  <c r="BT68" i="23" l="1"/>
  <c r="AN68" i="23"/>
  <c r="AX68" i="23"/>
  <c r="BV68" i="23"/>
  <c r="BD68" i="23"/>
  <c r="AD68" i="23"/>
  <c r="BJ68" i="23"/>
  <c r="AF68" i="23"/>
  <c r="BN68" i="23"/>
  <c r="AB68" i="23"/>
  <c r="BL68" i="23"/>
  <c r="BB68" i="23"/>
  <c r="BF68" i="23"/>
  <c r="AH68" i="23"/>
  <c r="AT68" i="23"/>
  <c r="W68" i="23"/>
  <c r="AR68" i="23"/>
  <c r="V68" i="23"/>
  <c r="AV68" i="23"/>
  <c r="BP68" i="23"/>
  <c r="BH68" i="23"/>
  <c r="AP68" i="23"/>
  <c r="AL68" i="23"/>
  <c r="BR68" i="23"/>
  <c r="AJ68" i="23"/>
  <c r="AZ68" i="23"/>
  <c r="AR62" i="23"/>
  <c r="AX62" i="23"/>
  <c r="BL62" i="23"/>
  <c r="BF62" i="23"/>
  <c r="AT62" i="23"/>
  <c r="V62" i="23"/>
  <c r="AL62" i="23"/>
  <c r="BV62" i="23"/>
  <c r="AZ62" i="23"/>
  <c r="AB62" i="23"/>
  <c r="AN62" i="23"/>
  <c r="BB62" i="23"/>
  <c r="BD62" i="23"/>
  <c r="BJ62" i="23"/>
  <c r="AP62" i="23"/>
  <c r="AV62" i="23"/>
  <c r="AJ62" i="23"/>
  <c r="W62" i="23"/>
  <c r="AF62" i="23"/>
  <c r="BH62" i="23"/>
  <c r="BN62" i="23"/>
  <c r="BT62" i="23"/>
  <c r="AD62" i="23"/>
  <c r="BR62" i="23"/>
  <c r="BP62" i="23"/>
  <c r="AH62" i="23"/>
  <c r="Y68" i="23" l="1"/>
  <c r="T69" i="23"/>
  <c r="T63" i="23"/>
  <c r="Y62" i="23"/>
  <c r="AR63" i="23" l="1"/>
  <c r="AX63" i="23"/>
  <c r="BL63" i="23"/>
  <c r="AT63" i="23"/>
  <c r="AJ63" i="23"/>
  <c r="AZ63" i="23"/>
  <c r="BH63" i="23"/>
  <c r="BB63" i="23"/>
  <c r="V63" i="23"/>
  <c r="AF63" i="23"/>
  <c r="W63" i="23"/>
  <c r="BV63" i="23"/>
  <c r="BN63" i="23"/>
  <c r="BR63" i="23"/>
  <c r="AB63" i="23"/>
  <c r="AN63" i="23"/>
  <c r="BP63" i="23"/>
  <c r="AH63" i="23"/>
  <c r="BJ63" i="23"/>
  <c r="AL63" i="23"/>
  <c r="AD63" i="23"/>
  <c r="BT63" i="23"/>
  <c r="BF63" i="23"/>
  <c r="BD63" i="23"/>
  <c r="AV63" i="23"/>
  <c r="AP63" i="23"/>
  <c r="BR69" i="23"/>
  <c r="BT69" i="23"/>
  <c r="BP69" i="23"/>
  <c r="AT69" i="23"/>
  <c r="BD69" i="23"/>
  <c r="V69" i="23"/>
  <c r="BN69" i="23"/>
  <c r="AJ69" i="23"/>
  <c r="BV69" i="23"/>
  <c r="AD69" i="23"/>
  <c r="AX69" i="23"/>
  <c r="AN69" i="23"/>
  <c r="AL69" i="23"/>
  <c r="AH69" i="23"/>
  <c r="BF69" i="23"/>
  <c r="BL69" i="23"/>
  <c r="BB69" i="23"/>
  <c r="W69" i="23"/>
  <c r="AZ69" i="23"/>
  <c r="BH69" i="23"/>
  <c r="AB69" i="23"/>
  <c r="AR69" i="23"/>
  <c r="BJ69" i="23"/>
  <c r="AP69" i="23"/>
  <c r="AF69" i="23"/>
  <c r="AV69" i="23"/>
  <c r="Y63" i="23" l="1"/>
  <c r="T64" i="23"/>
  <c r="G3" i="23"/>
  <c r="G4" i="23" s="1"/>
  <c r="Y69" i="23"/>
  <c r="BR64" i="23" l="1"/>
  <c r="BH64" i="23"/>
  <c r="BL64" i="23"/>
  <c r="BF64" i="23"/>
  <c r="AT64" i="23"/>
  <c r="AZ64" i="23"/>
  <c r="AX64" i="23"/>
  <c r="AH64" i="23"/>
  <c r="AF64" i="23"/>
  <c r="BP64" i="23"/>
  <c r="AB64" i="23"/>
  <c r="BD64" i="23"/>
  <c r="AR64" i="23"/>
  <c r="BV64" i="23"/>
  <c r="AJ64" i="23"/>
  <c r="AP64" i="23"/>
  <c r="V64" i="23"/>
  <c r="BJ64" i="23"/>
  <c r="AD64" i="23"/>
  <c r="BB64" i="23"/>
  <c r="AN64" i="23"/>
  <c r="AV64" i="23"/>
  <c r="BT64" i="23"/>
  <c r="BN64" i="23"/>
  <c r="AL64" i="23"/>
  <c r="W64" i="23"/>
  <c r="Y64" i="23" l="1"/>
  <c r="T65" i="23"/>
  <c r="P133" i="43"/>
  <c r="S133" i="43" s="1"/>
  <c r="V133" i="43"/>
  <c r="P134" i="43"/>
  <c r="S134" i="43" s="1"/>
  <c r="V134" i="43"/>
  <c r="P208" i="43"/>
  <c r="S208" i="43" s="1"/>
  <c r="V208" i="43"/>
  <c r="P209" i="43"/>
  <c r="S209" i="43" s="1"/>
  <c r="V209" i="43"/>
  <c r="V210" i="43"/>
  <c r="P210" i="43"/>
  <c r="S210" i="43" s="1"/>
  <c r="P269" i="43"/>
  <c r="S269" i="43" s="1"/>
  <c r="V269" i="43"/>
  <c r="V268" i="43"/>
  <c r="P267" i="43"/>
  <c r="S267" i="43" s="1"/>
  <c r="V267" i="43"/>
  <c r="P268" i="43"/>
  <c r="S268" i="43" s="1"/>
  <c r="P275" i="43"/>
  <c r="S275" i="43" s="1"/>
  <c r="V275" i="43"/>
  <c r="P277" i="43"/>
  <c r="S277" i="43" s="1"/>
  <c r="V277" i="43"/>
  <c r="V276" i="43"/>
  <c r="P276" i="43"/>
  <c r="S276" i="43" s="1"/>
  <c r="V294" i="43"/>
  <c r="P294" i="43"/>
  <c r="S294" i="43" s="1"/>
  <c r="P295" i="43"/>
  <c r="S295" i="43" s="1"/>
  <c r="V295" i="43"/>
  <c r="V296" i="43"/>
  <c r="P296" i="43"/>
  <c r="S296" i="43" s="1"/>
  <c r="P301" i="43"/>
  <c r="S301" i="43" s="1"/>
  <c r="V301" i="43"/>
  <c r="P303" i="43"/>
  <c r="S303" i="43" s="1"/>
  <c r="V303" i="43"/>
  <c r="P302" i="43"/>
  <c r="S302" i="43" s="1"/>
  <c r="V302" i="43"/>
  <c r="P308" i="43"/>
  <c r="S308" i="43" s="1"/>
  <c r="V308" i="43"/>
  <c r="V309" i="43"/>
  <c r="P309" i="43"/>
  <c r="S309" i="43" s="1"/>
  <c r="V310" i="43"/>
  <c r="P310" i="43"/>
  <c r="S310" i="43" s="1"/>
  <c r="L496" i="1"/>
  <c r="O496" i="1" s="1"/>
  <c r="R496" i="1"/>
  <c r="L498" i="1"/>
  <c r="O498" i="1" s="1"/>
  <c r="R498" i="1"/>
  <c r="R497" i="1"/>
  <c r="L497" i="1"/>
  <c r="O497" i="1" s="1"/>
  <c r="AP65" i="23" l="1"/>
  <c r="BB65" i="23"/>
  <c r="BD65" i="23"/>
  <c r="BV65" i="23"/>
  <c r="BN65" i="23"/>
  <c r="AX65" i="23"/>
  <c r="BT65" i="23"/>
  <c r="AF65" i="23"/>
  <c r="AT65" i="23"/>
  <c r="BF65" i="23"/>
  <c r="W65" i="23"/>
  <c r="V65" i="23"/>
  <c r="AZ65" i="23"/>
  <c r="AV65" i="23"/>
  <c r="BH65" i="23"/>
  <c r="AB65" i="23"/>
  <c r="AD65" i="23"/>
  <c r="AR65" i="23"/>
  <c r="BR65" i="23"/>
  <c r="BJ65" i="23"/>
  <c r="BL65" i="23"/>
  <c r="AL65" i="23"/>
  <c r="AN65" i="23"/>
  <c r="AJ65" i="23"/>
  <c r="AH65" i="23"/>
  <c r="BP65" i="23"/>
  <c r="Y65" i="23" l="1"/>
  <c r="T66" i="23"/>
  <c r="BT66" i="23" l="1"/>
  <c r="BT6" i="23" s="1"/>
  <c r="AH66" i="23"/>
  <c r="AH6" i="23" s="1"/>
  <c r="AR66" i="23"/>
  <c r="AR6" i="23" s="1"/>
  <c r="AN66" i="23"/>
  <c r="AN6" i="23" s="1"/>
  <c r="AB66" i="23"/>
  <c r="AB6" i="23" s="1"/>
  <c r="AZ66" i="23"/>
  <c r="AZ6" i="23" s="1"/>
  <c r="BL66" i="23"/>
  <c r="BL6" i="23" s="1"/>
  <c r="AX66" i="23"/>
  <c r="AX6" i="23" s="1"/>
  <c r="W66" i="23"/>
  <c r="Y66" i="23" s="1"/>
  <c r="BN66" i="23"/>
  <c r="BN6" i="23" s="1"/>
  <c r="BP66" i="23"/>
  <c r="BP6" i="23" s="1"/>
  <c r="BV66" i="23"/>
  <c r="BV6" i="23" s="1"/>
  <c r="BD66" i="23"/>
  <c r="BD6" i="23" s="1"/>
  <c r="BB66" i="23"/>
  <c r="BB6" i="23" s="1"/>
  <c r="V66" i="23"/>
  <c r="AV66" i="23"/>
  <c r="AV6" i="23" s="1"/>
  <c r="AL66" i="23"/>
  <c r="AL6" i="23" s="1"/>
  <c r="AF66" i="23"/>
  <c r="AF6" i="23" s="1"/>
  <c r="AD66" i="23"/>
  <c r="AD6" i="23" s="1"/>
  <c r="AT66" i="23"/>
  <c r="AT6" i="23" s="1"/>
  <c r="BR66" i="23"/>
  <c r="BR6" i="23" s="1"/>
  <c r="BH66" i="23"/>
  <c r="BH6" i="23" s="1"/>
  <c r="AP66" i="23"/>
  <c r="AP6" i="23" s="1"/>
  <c r="BF66" i="23"/>
  <c r="BF6" i="23" s="1"/>
  <c r="BJ66" i="23"/>
  <c r="BJ6" i="23" s="1"/>
  <c r="AJ66" i="23"/>
  <c r="AJ6" i="23" s="1"/>
  <c r="R221" i="44" l="1"/>
  <c r="V221" i="44"/>
  <c r="U221" i="44" l="1"/>
  <c r="V158" i="44"/>
  <c r="R158" i="44"/>
  <c r="U158" i="44"/>
</calcChain>
</file>

<file path=xl/sharedStrings.xml><?xml version="1.0" encoding="utf-8"?>
<sst xmlns="http://schemas.openxmlformats.org/spreadsheetml/2006/main" count="25785" uniqueCount="968">
  <si>
    <t>DEC Shipwindow</t>
  </si>
  <si>
    <t xml:space="preserve">Process </t>
  </si>
  <si>
    <t>UOM</t>
  </si>
  <si>
    <t xml:space="preserve"> Order Qty</t>
  </si>
  <si>
    <t>As On Date</t>
  </si>
  <si>
    <t>Req Qty</t>
  </si>
  <si>
    <t xml:space="preserve"> Recipt Qty</t>
  </si>
  <si>
    <t>Diff</t>
  </si>
  <si>
    <t>Diff%</t>
  </si>
  <si>
    <t>Grey Yarn</t>
  </si>
  <si>
    <t>KGS</t>
  </si>
  <si>
    <t>Grey Fabric</t>
  </si>
  <si>
    <t>Meters</t>
  </si>
  <si>
    <t>Yarn Dying</t>
  </si>
  <si>
    <t>Weaving</t>
  </si>
  <si>
    <t>Processing</t>
  </si>
  <si>
    <t>Jan Shipwindow</t>
  </si>
  <si>
    <t>Feb Shipwindow</t>
  </si>
  <si>
    <t>Mar Shipwindow</t>
  </si>
  <si>
    <t>Items</t>
  </si>
  <si>
    <t>Buyer</t>
  </si>
  <si>
    <t>GF</t>
  </si>
  <si>
    <t>Design</t>
  </si>
  <si>
    <t>Count / Colour</t>
  </si>
  <si>
    <t>Ex.Fact Date</t>
  </si>
  <si>
    <t>YARN REQ IN Kgs</t>
  </si>
  <si>
    <t>Received      (Kgs)</t>
  </si>
  <si>
    <t>Bal- To Receive</t>
  </si>
  <si>
    <t>Supplier</t>
  </si>
  <si>
    <t>PO raise date /Start Date</t>
  </si>
  <si>
    <t>Received date / End Date</t>
  </si>
  <si>
    <t>Committed date</t>
  </si>
  <si>
    <t>Actual</t>
  </si>
  <si>
    <t>7-13 Oct</t>
  </si>
  <si>
    <t>14-20 Oct</t>
  </si>
  <si>
    <t>21-27 Nov</t>
  </si>
  <si>
    <t>28-03 Nov</t>
  </si>
  <si>
    <t>04-10 Nov</t>
  </si>
  <si>
    <t>11-17 Nov</t>
  </si>
  <si>
    <t>18-24 Nov</t>
  </si>
  <si>
    <t>25-1 Dec</t>
  </si>
  <si>
    <t>02-08 Dec</t>
  </si>
  <si>
    <t>09-15 Dec</t>
  </si>
  <si>
    <t>16-22 Dec</t>
  </si>
  <si>
    <t>23-29 Dec</t>
  </si>
  <si>
    <t>30-5 Jan</t>
  </si>
  <si>
    <t>6-12 Jan</t>
  </si>
  <si>
    <t>13-19 Jan</t>
  </si>
  <si>
    <t>20 - 26 Jan</t>
  </si>
  <si>
    <t>27 - 2 Feb</t>
  </si>
  <si>
    <t>Plan</t>
  </si>
  <si>
    <t>Trigger date Mr. Sabree</t>
  </si>
  <si>
    <t>Advance /Delayed</t>
  </si>
  <si>
    <t>Date</t>
  </si>
  <si>
    <t>Remarks</t>
  </si>
  <si>
    <t>SANDERS</t>
  </si>
  <si>
    <t>Dec</t>
  </si>
  <si>
    <t>Jan</t>
  </si>
  <si>
    <t>Runner</t>
  </si>
  <si>
    <t xml:space="preserve">JYSK </t>
  </si>
  <si>
    <t>Bolan</t>
  </si>
  <si>
    <t>2/20S BLUE YARN DYEING</t>
  </si>
  <si>
    <t>2/20s GREY YARN DYEING</t>
  </si>
  <si>
    <t>2/4S L.GREY YD-WARP</t>
  </si>
  <si>
    <t>2/4S D.GREY YD-WARP</t>
  </si>
  <si>
    <t>2/4S SLUB L.GREY YD-WARP</t>
  </si>
  <si>
    <t>2/4S SLUB D.GREY YD-WARP</t>
  </si>
  <si>
    <t>2/4S D.GREY YD-WEFT</t>
  </si>
  <si>
    <t>2/4S SLUB D.GREY YD-WEFT</t>
  </si>
  <si>
    <t>2/20S GREY-YARN DYEING</t>
  </si>
  <si>
    <t>2/20S A.GREY YD-LOKE</t>
  </si>
  <si>
    <t>2/20S L.GREY YD-LOKE</t>
  </si>
  <si>
    <t>2/20S WHITE YD-LOKE</t>
  </si>
  <si>
    <t>2/20S GREY YD-LOKE-TT</t>
  </si>
  <si>
    <t>HC</t>
  </si>
  <si>
    <t>2/4sOEBCI</t>
  </si>
  <si>
    <t>2/4SSLUBSL</t>
  </si>
  <si>
    <t>10s-OEBCI</t>
  </si>
  <si>
    <t>2/20sOE</t>
  </si>
  <si>
    <t>2/20sOEBCI</t>
  </si>
  <si>
    <t>2/40SRSBCI</t>
  </si>
  <si>
    <t>LOKE</t>
  </si>
  <si>
    <t>2/20S-KNITBCI-RS</t>
  </si>
  <si>
    <t>Oct</t>
  </si>
  <si>
    <t>10s Kora</t>
  </si>
  <si>
    <t>Nov</t>
  </si>
  <si>
    <t>Lemetex</t>
  </si>
  <si>
    <t>Lysa</t>
  </si>
  <si>
    <t>Feb</t>
  </si>
  <si>
    <t>Dosantex</t>
  </si>
  <si>
    <t>Kora</t>
  </si>
  <si>
    <t>Greige (GR)</t>
  </si>
  <si>
    <t>10sOEBCI</t>
  </si>
  <si>
    <t>8s-GRSOEBCI</t>
  </si>
  <si>
    <t>8sspunSPUN</t>
  </si>
  <si>
    <t>300DROTO</t>
  </si>
  <si>
    <t>8s PC</t>
  </si>
  <si>
    <t>DYCKHOFF</t>
  </si>
  <si>
    <t>2/20s</t>
  </si>
  <si>
    <t>ZEN</t>
  </si>
  <si>
    <t>16SX10S-90X46-DYED FAB GREY/MAL-57"</t>
  </si>
  <si>
    <t>MALINDA CPAD SHELLS Beige- 40X38X7CM</t>
  </si>
  <si>
    <t>Issued            ( Kgs)</t>
  </si>
  <si>
    <t>Balance to Issue (Kgs)</t>
  </si>
  <si>
    <t>Issued date /Start Date</t>
  </si>
  <si>
    <t>10S CREAM YARN DYEING</t>
  </si>
  <si>
    <t xml:space="preserve">10S L.GREY YARN DYEING </t>
  </si>
  <si>
    <t>2/4S L.GREEN YD-WARP</t>
  </si>
  <si>
    <t>Attick</t>
  </si>
  <si>
    <t>2/4S D.GREEN YD-WARP</t>
  </si>
  <si>
    <t>2/4S SLUB L.GREEN YD-WARP</t>
  </si>
  <si>
    <t>2/4S SLUB D.GREEN YD-WARP</t>
  </si>
  <si>
    <t>2/4S D.GREEN YD-WEFT</t>
  </si>
  <si>
    <t>2/4S SLUB D.GREEN YD-WEFT</t>
  </si>
  <si>
    <t>10S BEIGE YARN DYEING</t>
  </si>
  <si>
    <t>2/4S L.BEIGE YD-WARP</t>
  </si>
  <si>
    <t>2/4S SLUB L.BEIGE YD-WARP</t>
  </si>
  <si>
    <t>2/4S D.BEIGE YD-WEFT</t>
  </si>
  <si>
    <t>2/4S SLUB D.BEIGE YD-WEFT</t>
  </si>
  <si>
    <t>2/40S BEIGE YD-ENG</t>
  </si>
  <si>
    <t>10S L.BEIGE YD-WEFT</t>
  </si>
  <si>
    <t>10S L.BEIGE YD-WARP</t>
  </si>
  <si>
    <t>10S-GREY YD-WARP</t>
  </si>
  <si>
    <t>10S-GREY YD-WEFT</t>
  </si>
  <si>
    <t>10S BROWN YD-WARP</t>
  </si>
  <si>
    <t>10S BROWN YD-WEFT</t>
  </si>
  <si>
    <t>10S BLUE YD-WARP</t>
  </si>
  <si>
    <t>10S BLUE YD-WEFT</t>
  </si>
  <si>
    <t>10S-GREY-B YD-WARP</t>
  </si>
  <si>
    <t>10S-GREY-B YD-WEFT</t>
  </si>
  <si>
    <t>2/20S L.BEIGE YD-TT</t>
  </si>
  <si>
    <t>2/20S BROWN YD-TT</t>
  </si>
  <si>
    <t>2/20S BLUE YD-TT</t>
  </si>
  <si>
    <t>VKS</t>
  </si>
  <si>
    <t>IKO</t>
  </si>
  <si>
    <t>Cikorie</t>
  </si>
  <si>
    <t>Neem</t>
  </si>
  <si>
    <t>BEIGE (JYELE-0003)</t>
  </si>
  <si>
    <t>GREY (JYELE-0004)</t>
  </si>
  <si>
    <t>D.GREY (JYSKO-0014)</t>
  </si>
  <si>
    <t>L.GREY (JYSKO-0013)</t>
  </si>
  <si>
    <t>A.GREY (JYLOKE-0070)</t>
  </si>
  <si>
    <t>VivinTex</t>
  </si>
  <si>
    <t>L.GREY (JYLOKE-0076)</t>
  </si>
  <si>
    <t>WHITE (JYLOKE-0077)</t>
  </si>
  <si>
    <t>GREY-TT (JYLOKE-0075)</t>
  </si>
  <si>
    <t>BEIGE (JYENG-0026)</t>
  </si>
  <si>
    <t>GREY (JYSAN-0015)</t>
  </si>
  <si>
    <t>WHITE (JYSAN-0016)</t>
  </si>
  <si>
    <t>BLUE(JYNEE-0021)</t>
  </si>
  <si>
    <t>BROWN (JYNEE-0024)</t>
  </si>
  <si>
    <t>GREY (JYNEE-0022)</t>
  </si>
  <si>
    <t>GREY (JYNEE-BL-0066)</t>
  </si>
  <si>
    <t>L.BEIGE (JYNEE-0023)</t>
  </si>
  <si>
    <t>Green</t>
  </si>
  <si>
    <t>Grey</t>
  </si>
  <si>
    <t>Natural</t>
  </si>
  <si>
    <t>Elvesnelle</t>
  </si>
  <si>
    <t>SKOGSIV</t>
  </si>
  <si>
    <t>Jacquard Kitchen Towel</t>
  </si>
  <si>
    <t>JD Natural</t>
  </si>
  <si>
    <t>JD Black</t>
  </si>
  <si>
    <t>Beige</t>
  </si>
  <si>
    <t>Blue</t>
  </si>
  <si>
    <t>Brown</t>
  </si>
  <si>
    <t>Sum of YARN REQ IN Kgs</t>
  </si>
  <si>
    <t>Column Labels</t>
  </si>
  <si>
    <t>Row Labels</t>
  </si>
  <si>
    <t>Grand Total</t>
  </si>
  <si>
    <t>2/20S GREY/WAF YD-WARP</t>
  </si>
  <si>
    <t>8s GREEN YD-NILS</t>
  </si>
  <si>
    <t>8s GREY YD-NILS</t>
  </si>
  <si>
    <t>8s spun GREEN YD-NILS</t>
  </si>
  <si>
    <t>8s spun GREY YD-NILS</t>
  </si>
  <si>
    <t>8s spun GREY/NILS</t>
  </si>
  <si>
    <t>8s spun NATURAL YD-NILS</t>
  </si>
  <si>
    <t>8s spun NATURAL/NILS YARN</t>
  </si>
  <si>
    <t>Weaving Monthly  Plan</t>
  </si>
  <si>
    <t>IH</t>
  </si>
  <si>
    <t>Sree ruby</t>
  </si>
  <si>
    <t>Total   Order Mtrs</t>
  </si>
  <si>
    <t xml:space="preserve">Total  Received </t>
  </si>
  <si>
    <t>Total  Bal To Rec</t>
  </si>
  <si>
    <t>Wvg Month</t>
  </si>
  <si>
    <t xml:space="preserve">  Order Mtrs</t>
  </si>
  <si>
    <t xml:space="preserve"> Received </t>
  </si>
  <si>
    <t xml:space="preserve"> Bal To Rec</t>
  </si>
  <si>
    <t>Chambray</t>
  </si>
  <si>
    <t>JYSK</t>
  </si>
  <si>
    <t>Gravmyrt</t>
  </si>
  <si>
    <t>HYBENROSE</t>
  </si>
  <si>
    <t xml:space="preserve">Vipart </t>
  </si>
  <si>
    <t>Darby Linen</t>
  </si>
  <si>
    <t>ENGFIOL</t>
  </si>
  <si>
    <t>JD</t>
  </si>
  <si>
    <t>KORNBLOMST</t>
  </si>
  <si>
    <t>Kristi - Check</t>
  </si>
  <si>
    <t>Momax Stripe KT</t>
  </si>
  <si>
    <t>Nils</t>
  </si>
  <si>
    <t>Pizzeria AOP</t>
  </si>
  <si>
    <t>Reda</t>
  </si>
  <si>
    <t>Sandarve</t>
  </si>
  <si>
    <t xml:space="preserve">sheer curtain 135 x 260 crudo </t>
  </si>
  <si>
    <t>Stripe KT</t>
  </si>
  <si>
    <t>Twill Stripe</t>
  </si>
  <si>
    <t>UK Elvesnelle</t>
  </si>
  <si>
    <t>UK Gravmyrt</t>
  </si>
  <si>
    <t>Vintage Linen</t>
  </si>
  <si>
    <t>waffle</t>
  </si>
  <si>
    <t>YMSEN</t>
  </si>
  <si>
    <t>(blank)</t>
  </si>
  <si>
    <t>Amaravathi</t>
  </si>
  <si>
    <t>JSK</t>
  </si>
  <si>
    <t>Mohanraj</t>
  </si>
  <si>
    <t>P Prakesh</t>
  </si>
  <si>
    <t>samanth</t>
  </si>
  <si>
    <t>Shri amman</t>
  </si>
  <si>
    <t>Svt</t>
  </si>
  <si>
    <t>Varshan</t>
  </si>
  <si>
    <t>Vasanthi</t>
  </si>
  <si>
    <t>Vinayaga</t>
  </si>
  <si>
    <t>Wvg Start Month</t>
  </si>
  <si>
    <t>G. TOTAL</t>
  </si>
  <si>
    <t xml:space="preserve">SO </t>
  </si>
  <si>
    <t>Item</t>
  </si>
  <si>
    <t>Colour</t>
  </si>
  <si>
    <t>Prod Qty</t>
  </si>
  <si>
    <t>Cons</t>
  </si>
  <si>
    <t xml:space="preserve">Received </t>
  </si>
  <si>
    <t>Bal To Rec</t>
  </si>
  <si>
    <t>Bal to Issue</t>
  </si>
  <si>
    <t>3 - 9 Feb</t>
  </si>
  <si>
    <t>10 -16 Feb</t>
  </si>
  <si>
    <t>17-23 Feb</t>
  </si>
  <si>
    <t>24-02 Mar</t>
  </si>
  <si>
    <t>03-09 Mar</t>
  </si>
  <si>
    <t>10-16 Mar</t>
  </si>
  <si>
    <t>Trigger date Mr. Selvam</t>
  </si>
  <si>
    <t>Black</t>
  </si>
  <si>
    <t>Navy</t>
  </si>
  <si>
    <t>Pet Bed Square</t>
  </si>
  <si>
    <t>Pet Bed Round</t>
  </si>
  <si>
    <t>Cushion</t>
  </si>
  <si>
    <t>Chair pad-25 Tuck</t>
  </si>
  <si>
    <t>Multi</t>
  </si>
  <si>
    <t>BERGMYNTE</t>
  </si>
  <si>
    <t>Napkin</t>
  </si>
  <si>
    <t>Tea Towel</t>
  </si>
  <si>
    <t>ENGFIOL Ø160</t>
  </si>
  <si>
    <t>Tablecloth</t>
  </si>
  <si>
    <t>PELARGONIA</t>
  </si>
  <si>
    <t>,002</t>
  </si>
  <si>
    <t>,005</t>
  </si>
  <si>
    <t>,006</t>
  </si>
  <si>
    <t>,007</t>
  </si>
  <si>
    <t xml:space="preserve">Natural </t>
  </si>
  <si>
    <t>Placemat</t>
  </si>
  <si>
    <t>Amaravathi Tex</t>
  </si>
  <si>
    <t>,008</t>
  </si>
  <si>
    <t>Fabric stock</t>
  </si>
  <si>
    <t>,009</t>
  </si>
  <si>
    <t>011</t>
  </si>
  <si>
    <t>012</t>
  </si>
  <si>
    <t>Samanth</t>
  </si>
  <si>
    <t>013</t>
  </si>
  <si>
    <t>KPS</t>
  </si>
  <si>
    <t>015</t>
  </si>
  <si>
    <t>021</t>
  </si>
  <si>
    <t xml:space="preserve">Nellike </t>
  </si>
  <si>
    <t>Emb-Table cloth</t>
  </si>
  <si>
    <t>Round Table cloth</t>
  </si>
  <si>
    <t>UK HYBENROSE</t>
  </si>
  <si>
    <t>027</t>
  </si>
  <si>
    <t>028</t>
  </si>
  <si>
    <t>Emb-Napkin</t>
  </si>
  <si>
    <t>Emb-Table cloth-320</t>
  </si>
  <si>
    <t>Emb-Runner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</si>
  <si>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</si>
  <si>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</si>
  <si>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</si>
  <si>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</si>
  <si>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</si>
  <si>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</si>
  <si>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</si>
  <si>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</si>
  <si>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</si>
  <si>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Cushion Cover</t>
  </si>
  <si>
    <t>038</t>
  </si>
  <si>
    <t>NILS-BAG</t>
  </si>
  <si>
    <t>Bag</t>
  </si>
  <si>
    <t>DISHCLOTH</t>
  </si>
  <si>
    <t>Anthracite grey</t>
  </si>
  <si>
    <t>Sweater</t>
  </si>
  <si>
    <t xml:space="preserve"> Light grey</t>
  </si>
  <si>
    <t>Off-white</t>
  </si>
  <si>
    <t>068</t>
  </si>
  <si>
    <t>Tea towel</t>
  </si>
  <si>
    <t>069</t>
  </si>
  <si>
    <t>Ornate</t>
  </si>
  <si>
    <t>Goldentex</t>
  </si>
  <si>
    <t>Table Cloth</t>
  </si>
  <si>
    <t>Towel</t>
  </si>
  <si>
    <t>Beaver fur</t>
  </si>
  <si>
    <t xml:space="preserve"> After dark</t>
  </si>
  <si>
    <t>Printed Kitchen Towel</t>
  </si>
  <si>
    <t>AOP - 3 Colour</t>
  </si>
  <si>
    <t>AOP - 2 Colour</t>
  </si>
  <si>
    <t>Big Oven Gloves</t>
  </si>
  <si>
    <t>Glove</t>
  </si>
  <si>
    <t>Pot Holder</t>
  </si>
  <si>
    <t>Mini Oven Gloves</t>
  </si>
  <si>
    <t>K Towel</t>
  </si>
  <si>
    <t>Cushiol</t>
  </si>
  <si>
    <t>decorative cushion 45 x 45 ST TROPEZ crudo mostaza</t>
  </si>
  <si>
    <t>Mostaza</t>
  </si>
  <si>
    <t xml:space="preserve">decorative cushion 45 x 45 ST TROPEZ crudo indigo </t>
  </si>
  <si>
    <t>Indigo</t>
  </si>
  <si>
    <t>decorative cushion 30 x 50 ST TROPEZ crudo mostaza</t>
  </si>
  <si>
    <t xml:space="preserve">decorative cushion 30 x 50 ST TROPEZ crudo indigo </t>
  </si>
  <si>
    <t>floor cushion 45 x 45 x 10 ST TROPEZ crudo mostaza</t>
  </si>
  <si>
    <t xml:space="preserve">floor cushion 45 x 45 x 10 ST TROPEZ crudo indigo </t>
  </si>
  <si>
    <t>decorative cushion 40 x 40 BOHEME PRINTED kaki</t>
  </si>
  <si>
    <t>Kaki</t>
  </si>
  <si>
    <t>decorative cushion 30 x 50 BOHEME PRINTED kaki</t>
  </si>
  <si>
    <t>decorative cushion 50 x 50 BOHEME PRINTED kaki</t>
  </si>
  <si>
    <t>chair cushion 40 x 40 BOHEME PRINTED kaki</t>
  </si>
  <si>
    <t>decorative cushion 40 x 40 BOHEME PLAIN perla</t>
  </si>
  <si>
    <t>Perla</t>
  </si>
  <si>
    <t>decorative cushion 30 x 50 BOHEME PLAIN perla</t>
  </si>
  <si>
    <t>decorative cushion 50 x 50 BOHEME PLAIN perla</t>
  </si>
  <si>
    <t>chair cushion 40 x 40 BOHEME PLAIN perla</t>
  </si>
  <si>
    <t>decorative cushion 40 x 40 CALM embrodery flower crudo</t>
  </si>
  <si>
    <t>Tostado</t>
  </si>
  <si>
    <t>decorative cushion 40 x 40 CALM embrodery flower malva</t>
  </si>
  <si>
    <t>Malva</t>
  </si>
  <si>
    <t>decorative cushion 30 x 50 CALM embrodery flower crudo</t>
  </si>
  <si>
    <t>decorative cushion 30 x 50 CALM embrodery flower malva</t>
  </si>
  <si>
    <t xml:space="preserve">decorative cushion 45 x 45 WAFFLE malva </t>
  </si>
  <si>
    <t xml:space="preserve">decorative cushion 45 x 45 WAFFLE indigo </t>
  </si>
  <si>
    <t xml:space="preserve">decorative cushion 45 x 45 WAFFLE tostado </t>
  </si>
  <si>
    <t>decorative cushion 45 x 45 WAFFLE crudo</t>
  </si>
  <si>
    <t>Crudo</t>
  </si>
  <si>
    <t xml:space="preserve">decorative cushion 30 x 50 WAFFLE malva </t>
  </si>
  <si>
    <t xml:space="preserve">decorative cushion 30 x 50 WAFFLE indigo </t>
  </si>
  <si>
    <t xml:space="preserve">decorative cushion 30 x 50 WAFFLE tostado </t>
  </si>
  <si>
    <t>decorative cushion 30 x 50 WAFFLE crudo</t>
  </si>
  <si>
    <t xml:space="preserve">apron FLORA rose </t>
  </si>
  <si>
    <t>Apron</t>
  </si>
  <si>
    <t>Rose</t>
  </si>
  <si>
    <t>apron FLORA green</t>
  </si>
  <si>
    <t>chair cushion 40 x 40 FLORA rose</t>
  </si>
  <si>
    <t>chair cushion 40 x 40 FLORA green</t>
  </si>
  <si>
    <t>table cloth 140 x 240 FLORA rose</t>
  </si>
  <si>
    <t xml:space="preserve">table cloth 140 x 240 FLORA green </t>
  </si>
  <si>
    <t>table cloth 140 x 180 FLORA rose</t>
  </si>
  <si>
    <t xml:space="preserve">table cloth 140 x 180 FLORA green </t>
  </si>
  <si>
    <t>table cloth 140 x 140 FLORA rose</t>
  </si>
  <si>
    <t xml:space="preserve">table cloth 140 x 140 FLORA green </t>
  </si>
  <si>
    <t>table cloth 100 x 140 FLORA rose</t>
  </si>
  <si>
    <t xml:space="preserve">table cloth 100 x 140 FLORA green </t>
  </si>
  <si>
    <t xml:space="preserve">ribbed single table cloth 50 x 35 FLORA rose </t>
  </si>
  <si>
    <t>ribbed single table cloth 50 x 35 FLORA green</t>
  </si>
  <si>
    <t xml:space="preserve">kitchen towel pack x 2 units 40 x 65 flora rose  print </t>
  </si>
  <si>
    <t xml:space="preserve">kitchen towel pack x 2 units 40 x 65 flora rose  1cm check </t>
  </si>
  <si>
    <t xml:space="preserve">kitchen towel pack x 2 units 40 x 65 flora green print </t>
  </si>
  <si>
    <t>kitchen towel pack x 2 units 40 x 65 flora green 1 cm check</t>
  </si>
  <si>
    <t>JUSTINA NATURAL</t>
  </si>
  <si>
    <t>CP</t>
  </si>
  <si>
    <t>Weaving Req Metrs</t>
  </si>
  <si>
    <t>Design Wise/ Monthly Qty</t>
  </si>
  <si>
    <t>Designs</t>
  </si>
  <si>
    <t>Jan-25</t>
  </si>
  <si>
    <t>Feb-25</t>
  </si>
  <si>
    <t>Oct-24</t>
  </si>
  <si>
    <t>Nov-24</t>
  </si>
  <si>
    <t>Dec -24</t>
  </si>
  <si>
    <t>Kora Req Mtrs</t>
  </si>
  <si>
    <t>ISSUED Mtrs</t>
  </si>
  <si>
    <t>RECEIVED Mtrs</t>
  </si>
  <si>
    <t>BAL TO REC Mtrs</t>
  </si>
  <si>
    <t>BAL TO ISSUE Mtrs</t>
  </si>
  <si>
    <t>SUPPLIER</t>
  </si>
  <si>
    <t>17-23 Mar</t>
  </si>
  <si>
    <t>24-30 Mar</t>
  </si>
  <si>
    <t>31-06 Apr</t>
  </si>
  <si>
    <t>Trigger date Mr. Ramesh</t>
  </si>
  <si>
    <t>Fab tech</t>
  </si>
  <si>
    <t>Fabric</t>
  </si>
  <si>
    <t>Loyal</t>
  </si>
  <si>
    <t>Maxima</t>
  </si>
  <si>
    <t>AGERTIDSEL</t>
  </si>
  <si>
    <t>Futon PIL</t>
  </si>
  <si>
    <t>Chair Cushion</t>
  </si>
  <si>
    <t>Beige/Black</t>
  </si>
  <si>
    <t>001</t>
  </si>
  <si>
    <t>Dishcloth</t>
  </si>
  <si>
    <t>MRC</t>
  </si>
  <si>
    <t>TCPL</t>
  </si>
  <si>
    <t>Table cloth</t>
  </si>
  <si>
    <t>Dish Cloth</t>
  </si>
  <si>
    <t>E-Trade</t>
  </si>
  <si>
    <t>Rajalakshmi</t>
  </si>
  <si>
    <t>Light grey</t>
  </si>
  <si>
    <t>Gloves</t>
  </si>
  <si>
    <t>beige</t>
  </si>
  <si>
    <t>Processing  Req Metrs</t>
  </si>
  <si>
    <t>Design Wise Processing Monthly Req</t>
  </si>
  <si>
    <t>Dec-24</t>
  </si>
  <si>
    <t>March-25</t>
  </si>
  <si>
    <t>Dashes</t>
  </si>
  <si>
    <t>Madia</t>
  </si>
  <si>
    <t>Momax Check</t>
  </si>
  <si>
    <t>Print KT</t>
  </si>
  <si>
    <t>Roan - Design 3</t>
  </si>
  <si>
    <t>Roan - Design 5</t>
  </si>
  <si>
    <t>Truffles Apron</t>
  </si>
  <si>
    <t>Truffles Oven</t>
  </si>
  <si>
    <t>Truffles Potholder</t>
  </si>
  <si>
    <t>UK SKOGSIV</t>
  </si>
  <si>
    <t>PER.DAY</t>
  </si>
  <si>
    <t>Ex-Factry Week</t>
  </si>
  <si>
    <t>Size</t>
  </si>
  <si>
    <t>Order Qty</t>
  </si>
  <si>
    <t>Issued</t>
  </si>
  <si>
    <t>Allocted Tailors</t>
  </si>
  <si>
    <t>Req Days</t>
  </si>
  <si>
    <t>Target/ Day</t>
  </si>
  <si>
    <t>18-25 Mar</t>
  </si>
  <si>
    <t>40x40x4</t>
  </si>
  <si>
    <t>IH-PM</t>
  </si>
  <si>
    <t>45x45</t>
  </si>
  <si>
    <t>OS-Navanethan</t>
  </si>
  <si>
    <t>40x60</t>
  </si>
  <si>
    <t>40x40x5</t>
  </si>
  <si>
    <t>40x40</t>
  </si>
  <si>
    <t xml:space="preserve">25x25 </t>
  </si>
  <si>
    <t>-</t>
  </si>
  <si>
    <t>OS-SSS-Garments</t>
  </si>
  <si>
    <t>35x60</t>
  </si>
  <si>
    <t>OS-Kamchi</t>
  </si>
  <si>
    <t>140x240</t>
  </si>
  <si>
    <t>Grey/White</t>
  </si>
  <si>
    <t>50x70</t>
  </si>
  <si>
    <t>OS</t>
  </si>
  <si>
    <t>UK Gramyrt</t>
  </si>
  <si>
    <t xml:space="preserve">40X60 </t>
  </si>
  <si>
    <t>Repeated</t>
  </si>
  <si>
    <t>309-1</t>
  </si>
  <si>
    <t>Chairpad 16 tuck</t>
  </si>
  <si>
    <t>38x38</t>
  </si>
  <si>
    <t>L.Blue</t>
  </si>
  <si>
    <t>Natural/Green</t>
  </si>
  <si>
    <t>33x42</t>
  </si>
  <si>
    <t>35X60</t>
  </si>
  <si>
    <t>Bed Throw</t>
  </si>
  <si>
    <t>160x220</t>
  </si>
  <si>
    <t>33x48</t>
  </si>
  <si>
    <t>33x180</t>
  </si>
  <si>
    <t>150x250 cm</t>
  </si>
  <si>
    <t>180x300</t>
  </si>
  <si>
    <t>299-4</t>
  </si>
  <si>
    <t>Print</t>
  </si>
  <si>
    <t>Kitchan Towel</t>
  </si>
  <si>
    <t>OS-LIST</t>
  </si>
  <si>
    <t>Solid</t>
  </si>
  <si>
    <t>Stripe</t>
  </si>
  <si>
    <t>Strenger</t>
  </si>
  <si>
    <t>Daily Collection</t>
  </si>
  <si>
    <t>Curtain</t>
  </si>
  <si>
    <t>135x260</t>
  </si>
  <si>
    <t>ST.TROPEZ</t>
  </si>
  <si>
    <t>30x50</t>
  </si>
  <si>
    <t>Box Cushion</t>
  </si>
  <si>
    <t>45x45x10</t>
  </si>
  <si>
    <t>Boheme</t>
  </si>
  <si>
    <t>Chair Pad</t>
  </si>
  <si>
    <t>50x50</t>
  </si>
  <si>
    <t>Calm-Emb</t>
  </si>
  <si>
    <t>Waffle</t>
  </si>
  <si>
    <t>Gastro Flora</t>
  </si>
  <si>
    <t>60x85</t>
  </si>
  <si>
    <t>140x180</t>
  </si>
  <si>
    <t>140x140</t>
  </si>
  <si>
    <t>100x140</t>
  </si>
  <si>
    <t>Ribbed Placemat</t>
  </si>
  <si>
    <t>50x35</t>
  </si>
  <si>
    <t>40x65</t>
  </si>
  <si>
    <t>Oven Mitten</t>
  </si>
  <si>
    <t>18x33</t>
  </si>
  <si>
    <t>20x20</t>
  </si>
  <si>
    <t>Tassel-Stirpe</t>
  </si>
  <si>
    <t>Plomo</t>
  </si>
  <si>
    <t>Tofe</t>
  </si>
  <si>
    <t>Fringe Vichy</t>
  </si>
  <si>
    <t>Tofff</t>
  </si>
  <si>
    <t>Chair Pad-25-Tuck</t>
  </si>
  <si>
    <t>160X220</t>
  </si>
  <si>
    <t>45X45</t>
  </si>
  <si>
    <t>40X60</t>
  </si>
  <si>
    <t>40X40X5</t>
  </si>
  <si>
    <t xml:space="preserve">50x70 </t>
  </si>
  <si>
    <t>Browm</t>
  </si>
  <si>
    <t>Nils-Bag</t>
  </si>
  <si>
    <t xml:space="preserve">40x38x20 </t>
  </si>
  <si>
    <t xml:space="preserve">OS-Vidhya </t>
  </si>
  <si>
    <t>0S-Pooja</t>
  </si>
  <si>
    <t>OS-SP Garments</t>
  </si>
  <si>
    <t>40x38x20</t>
  </si>
  <si>
    <t xml:space="preserve">40x40 </t>
  </si>
  <si>
    <t>18X33</t>
  </si>
  <si>
    <t>Blackout</t>
  </si>
  <si>
    <t>5 Feet-Set of 2</t>
  </si>
  <si>
    <t xml:space="preserve">5 Feet </t>
  </si>
  <si>
    <t xml:space="preserve">35X60 </t>
  </si>
  <si>
    <t>50X70</t>
  </si>
  <si>
    <t>309-2</t>
  </si>
  <si>
    <t xml:space="preserve">160x220 </t>
  </si>
  <si>
    <t>Uk Hybenrose</t>
  </si>
  <si>
    <t>Lemtex</t>
  </si>
  <si>
    <t>45x45 cm</t>
  </si>
  <si>
    <t>Pink</t>
  </si>
  <si>
    <t>30x50 cm</t>
  </si>
  <si>
    <t>Design 3</t>
  </si>
  <si>
    <t>Design5</t>
  </si>
  <si>
    <t>Apricot</t>
  </si>
  <si>
    <t>150x200 cm</t>
  </si>
  <si>
    <t>Beach Blue</t>
  </si>
  <si>
    <t>Lila</t>
  </si>
  <si>
    <t>Red</t>
  </si>
  <si>
    <t>180cm Dia</t>
  </si>
  <si>
    <t>Table Runner</t>
  </si>
  <si>
    <t>45x150cm</t>
  </si>
  <si>
    <t xml:space="preserve">Matress Cushion </t>
  </si>
  <si>
    <t>Dove White</t>
  </si>
  <si>
    <t>40x40cm</t>
  </si>
  <si>
    <t xml:space="preserve">Grey </t>
  </si>
  <si>
    <t>40X40</t>
  </si>
  <si>
    <t>4X040X5</t>
  </si>
  <si>
    <t>Seat Cushion</t>
  </si>
  <si>
    <t>VIPART</t>
  </si>
  <si>
    <t>Roll Fabric</t>
  </si>
  <si>
    <t>57"</t>
  </si>
  <si>
    <t>Rolling</t>
  </si>
  <si>
    <t>Beige/Blue</t>
  </si>
  <si>
    <t>25x25</t>
  </si>
  <si>
    <t>UK Agertidsel</t>
  </si>
  <si>
    <t>CUR YMSEN</t>
  </si>
  <si>
    <t>Off-White</t>
  </si>
  <si>
    <t>140x300</t>
  </si>
  <si>
    <t>40X40X4</t>
  </si>
  <si>
    <t>40x60x</t>
  </si>
  <si>
    <t>309-3</t>
  </si>
  <si>
    <t>Zen Linen</t>
  </si>
  <si>
    <t>Malinda - Grey</t>
  </si>
  <si>
    <t>Sells</t>
  </si>
  <si>
    <t>Malinda Grey</t>
  </si>
  <si>
    <t xml:space="preserve">40x38x7 </t>
  </si>
  <si>
    <t>Chair Pad cover</t>
  </si>
  <si>
    <t xml:space="preserve">40x42x4 </t>
  </si>
  <si>
    <t>JD Grey</t>
  </si>
  <si>
    <t>140X240</t>
  </si>
  <si>
    <t>40x20x38</t>
  </si>
  <si>
    <t xml:space="preserve">Cushion </t>
  </si>
  <si>
    <t>Sleep ID</t>
  </si>
  <si>
    <t>309-4</t>
  </si>
  <si>
    <t>OS-JvmGarments</t>
  </si>
  <si>
    <t>310-1</t>
  </si>
  <si>
    <t>OS-M.M.K</t>
  </si>
  <si>
    <t>310-2</t>
  </si>
  <si>
    <t>422-1</t>
  </si>
  <si>
    <t>20X20</t>
  </si>
  <si>
    <t>OS-SM Garments</t>
  </si>
  <si>
    <t>60X90</t>
  </si>
  <si>
    <t>OS-MANI</t>
  </si>
  <si>
    <t>Off White</t>
  </si>
  <si>
    <t>DOG</t>
  </si>
  <si>
    <t>18X80</t>
  </si>
  <si>
    <t>Kitchen Towel</t>
  </si>
  <si>
    <t>422-2</t>
  </si>
  <si>
    <t>OS-List</t>
  </si>
  <si>
    <t>310-3</t>
  </si>
  <si>
    <t>44x44cm
(38x38x6.5cm)</t>
  </si>
  <si>
    <t>310-4</t>
  </si>
  <si>
    <t>160 Dia</t>
  </si>
  <si>
    <t>311-1</t>
  </si>
  <si>
    <t>311-2</t>
  </si>
  <si>
    <t>003</t>
  </si>
  <si>
    <t>311-3</t>
  </si>
  <si>
    <t>7 Feet -Set of2</t>
  </si>
  <si>
    <t>004</t>
  </si>
  <si>
    <t>grey</t>
  </si>
  <si>
    <t>green</t>
  </si>
  <si>
    <t>natural</t>
  </si>
  <si>
    <t/>
  </si>
  <si>
    <t>Stage</t>
  </si>
  <si>
    <t xml:space="preserve">1 St </t>
  </si>
  <si>
    <t>2 Nd</t>
  </si>
  <si>
    <t xml:space="preserve">Overall </t>
  </si>
  <si>
    <t xml:space="preserve"> Order Start Date</t>
  </si>
  <si>
    <t xml:space="preserve"> End Date for Stitching</t>
  </si>
  <si>
    <t>Check &amp; Packing</t>
  </si>
  <si>
    <t>Req Tailors</t>
  </si>
  <si>
    <t>10 Tailors</t>
  </si>
  <si>
    <t>Req Day</t>
  </si>
  <si>
    <t>Stenger</t>
  </si>
  <si>
    <t>405-1</t>
  </si>
  <si>
    <t>Chambrey Navy</t>
  </si>
  <si>
    <t>Flat pad cushion</t>
  </si>
  <si>
    <t>40X40cm</t>
  </si>
  <si>
    <t>Chambrey Beige</t>
  </si>
  <si>
    <t>Chambrey Grey</t>
  </si>
  <si>
    <t>40X40X8cm</t>
  </si>
  <si>
    <t>Free sheet cushion (cover)</t>
  </si>
  <si>
    <t>43X133cm</t>
  </si>
  <si>
    <t>Chair Pad  Foam</t>
  </si>
  <si>
    <t>42/35X40X4cm</t>
  </si>
  <si>
    <t>46X31X17cm</t>
  </si>
  <si>
    <t>50R cm</t>
  </si>
  <si>
    <t>Doughnuts Cover</t>
  </si>
  <si>
    <t>43R cm</t>
  </si>
  <si>
    <t>405-2</t>
  </si>
  <si>
    <t>405-3</t>
  </si>
  <si>
    <t>Squar</t>
  </si>
  <si>
    <t>Round</t>
  </si>
  <si>
    <t>Dougut</t>
  </si>
  <si>
    <t>Flat Pad</t>
  </si>
  <si>
    <t>Free Sheer</t>
  </si>
  <si>
    <t xml:space="preserve">Items /Priorty </t>
  </si>
  <si>
    <t>Trims</t>
  </si>
  <si>
    <t>Expect to Complete</t>
  </si>
  <si>
    <t>OS-Vela</t>
  </si>
  <si>
    <t>C</t>
  </si>
  <si>
    <t xml:space="preserve">Comp </t>
  </si>
  <si>
    <t>U-Pack</t>
  </si>
  <si>
    <t>U-Tuck-OS</t>
  </si>
  <si>
    <t>419-2</t>
  </si>
  <si>
    <t>OS-Pradeep Garments</t>
  </si>
  <si>
    <t>U-line</t>
  </si>
  <si>
    <t>U-Tuck-IH</t>
  </si>
  <si>
    <t>OS-MMK</t>
  </si>
  <si>
    <t>Rec-7/1</t>
  </si>
  <si>
    <t>R-Tuck -OS</t>
  </si>
  <si>
    <t>U-Tuff</t>
  </si>
  <si>
    <t>IS-3/1; C-8/1</t>
  </si>
  <si>
    <t>0S-Vidhya &amp;Sarth</t>
  </si>
  <si>
    <t>Comp</t>
  </si>
  <si>
    <t>c</t>
  </si>
  <si>
    <t>R/Emb&amp; Cut</t>
  </si>
  <si>
    <t>F-Issued-4/1</t>
  </si>
  <si>
    <t>0S-Vidhya</t>
  </si>
  <si>
    <t>F-13/1;20/1</t>
  </si>
  <si>
    <t>OS-Akila</t>
  </si>
  <si>
    <t>U-Fill</t>
  </si>
  <si>
    <t>F-3/1;13/1</t>
  </si>
  <si>
    <t>OS-DJ</t>
  </si>
  <si>
    <t>U-Sew</t>
  </si>
  <si>
    <t>Move to Sti-7/1</t>
  </si>
  <si>
    <t>OS-Thowsika</t>
  </si>
  <si>
    <t>OS-Vela Garments</t>
  </si>
  <si>
    <t>os</t>
  </si>
  <si>
    <t>OS-Split to Issue-7/1</t>
  </si>
  <si>
    <t>F-6/1;12pm</t>
  </si>
  <si>
    <t>Sti-4/1;Was-6/1</t>
  </si>
  <si>
    <t>Wash-3/1</t>
  </si>
  <si>
    <t>Change to IH</t>
  </si>
  <si>
    <t>Pack-20/1</t>
  </si>
  <si>
    <t>Running</t>
  </si>
  <si>
    <t>u-Cut-4/1</t>
  </si>
  <si>
    <t>Pack-7/1</t>
  </si>
  <si>
    <t>Pcs GTN</t>
  </si>
  <si>
    <t xml:space="preserve">OS-DJ&amp;Lucky </t>
  </si>
  <si>
    <t xml:space="preserve">OS-Murugesan </t>
  </si>
  <si>
    <t>IH-S1</t>
  </si>
  <si>
    <t>Fabric Shorta</t>
  </si>
  <si>
    <t>OS-RK Garments</t>
  </si>
  <si>
    <t xml:space="preserve">OS-Lucky </t>
  </si>
  <si>
    <t>OS-SRK</t>
  </si>
  <si>
    <t>OS-Jegatheshwari</t>
  </si>
  <si>
    <t>OS-Priya Garments</t>
  </si>
  <si>
    <t>Y-03/2;Wvg;10/03;Pr-18/03</t>
  </si>
  <si>
    <t>RK &amp; Thow -800</t>
  </si>
  <si>
    <t>U-Cut &amp; Fab-4/1</t>
  </si>
  <si>
    <t>F-3/1</t>
  </si>
  <si>
    <t>Shell to GTN</t>
  </si>
  <si>
    <t>U-Cut</t>
  </si>
  <si>
    <t>B-?</t>
  </si>
  <si>
    <t>OS-RK</t>
  </si>
  <si>
    <t>OS- SRK</t>
  </si>
  <si>
    <t>F-4/1</t>
  </si>
  <si>
    <t>B-23/1</t>
  </si>
  <si>
    <t>X</t>
  </si>
  <si>
    <t>Cikore</t>
  </si>
  <si>
    <t>Fabric-600 Rec</t>
  </si>
  <si>
    <t>Bal-2000 Pcs req-4/1</t>
  </si>
  <si>
    <t>Nellike Y TO F Plan</t>
  </si>
  <si>
    <t>Kora Yarn</t>
  </si>
  <si>
    <t>Printing</t>
  </si>
  <si>
    <t>Count</t>
  </si>
  <si>
    <t>12 Flex</t>
  </si>
  <si>
    <t>Sizing</t>
  </si>
  <si>
    <t>Sizing Completed</t>
  </si>
  <si>
    <t>Loom 1</t>
  </si>
  <si>
    <t>Loom 2</t>
  </si>
  <si>
    <t>Loom 3</t>
  </si>
  <si>
    <t>Loom 4</t>
  </si>
  <si>
    <t>Loom 5</t>
  </si>
  <si>
    <t>Loom 6</t>
  </si>
  <si>
    <t>Loom 7</t>
  </si>
  <si>
    <t>Loom 8</t>
  </si>
  <si>
    <t>Loom 9</t>
  </si>
  <si>
    <t>Loom 10</t>
  </si>
  <si>
    <t>Loom 11</t>
  </si>
  <si>
    <t>Loom 12</t>
  </si>
  <si>
    <t>Loom 13</t>
  </si>
  <si>
    <t>Loom 14</t>
  </si>
  <si>
    <t>Loom 15</t>
  </si>
  <si>
    <t>Loom 16</t>
  </si>
  <si>
    <t>Loom 17</t>
  </si>
  <si>
    <t>Loom 18</t>
  </si>
  <si>
    <t>Loom 19</t>
  </si>
  <si>
    <t>Loom 20</t>
  </si>
  <si>
    <t>Loom 21</t>
  </si>
  <si>
    <t>Loom 22</t>
  </si>
  <si>
    <t>Loom 23</t>
  </si>
  <si>
    <t>Loom 24</t>
  </si>
  <si>
    <t>Loom 25</t>
  </si>
  <si>
    <t>Total</t>
  </si>
  <si>
    <t>As on Date</t>
  </si>
  <si>
    <t>Jayavinyaga</t>
  </si>
  <si>
    <t>RAJA</t>
  </si>
  <si>
    <t>Premier</t>
  </si>
  <si>
    <t>PKPN</t>
  </si>
  <si>
    <t>Jyotrimayer</t>
  </si>
  <si>
    <t>LT</t>
  </si>
  <si>
    <t>62"</t>
  </si>
  <si>
    <t>Width</t>
  </si>
  <si>
    <t>64"</t>
  </si>
  <si>
    <t>Outward</t>
  </si>
  <si>
    <t>Inwards</t>
  </si>
  <si>
    <t>TTL</t>
  </si>
  <si>
    <t>Nellike 64"</t>
  </si>
  <si>
    <t>Nellike 62"</t>
  </si>
  <si>
    <t>Nellike 59"</t>
  </si>
  <si>
    <t>Weaving Plan</t>
  </si>
  <si>
    <t>As Date Meters in weaving</t>
  </si>
  <si>
    <t>TTL Meters</t>
  </si>
  <si>
    <t>Fabric Inward Date</t>
  </si>
  <si>
    <t>O/S</t>
  </si>
  <si>
    <t>Combined Meters IH /OS</t>
  </si>
  <si>
    <t>59"</t>
  </si>
  <si>
    <t>Inward Week</t>
  </si>
  <si>
    <t>Pcs</t>
  </si>
  <si>
    <t>Req</t>
  </si>
  <si>
    <t>Bal To Weave</t>
  </si>
  <si>
    <t>Kgs Req</t>
  </si>
  <si>
    <t>Days</t>
  </si>
  <si>
    <t>Stocks</t>
  </si>
  <si>
    <t>Yet to Dye</t>
  </si>
  <si>
    <t>feb</t>
  </si>
  <si>
    <t>march</t>
  </si>
  <si>
    <t>aprl</t>
  </si>
  <si>
    <t>eng</t>
  </si>
  <si>
    <t>sko</t>
  </si>
  <si>
    <t>nel</t>
  </si>
  <si>
    <t>grav</t>
  </si>
  <si>
    <t>Cutting</t>
  </si>
  <si>
    <t>BUYER</t>
  </si>
  <si>
    <t>SO#</t>
  </si>
  <si>
    <t>Ex-Fact  DT</t>
  </si>
  <si>
    <t>WK</t>
  </si>
  <si>
    <t>Left Days</t>
  </si>
  <si>
    <t>DESIGN</t>
  </si>
  <si>
    <t>DESC /PRODUCT</t>
  </si>
  <si>
    <t>COLOUR</t>
  </si>
  <si>
    <t>ORD QTY</t>
  </si>
  <si>
    <t>Cutting comple Qty</t>
  </si>
  <si>
    <t>BAL TO CUT</t>
  </si>
  <si>
    <t> </t>
  </si>
  <si>
    <t>Pizzeria AOP-PRINT</t>
  </si>
  <si>
    <t>312-3</t>
  </si>
  <si>
    <t>412/338</t>
  </si>
  <si>
    <t xml:space="preserve">DECO </t>
  </si>
  <si>
    <t>Red Stripe</t>
  </si>
  <si>
    <t>Taipe Stripe</t>
  </si>
  <si>
    <t>Chair Pad-Ties</t>
  </si>
  <si>
    <t>38x38x6.5</t>
  </si>
  <si>
    <t>Non Woven</t>
  </si>
  <si>
    <t xml:space="preserve">Filler/Vaccum </t>
  </si>
  <si>
    <t>White</t>
  </si>
  <si>
    <t>IKEHIKO</t>
  </si>
  <si>
    <t>405/431-3</t>
  </si>
  <si>
    <t xml:space="preserve">Chambrey Navy </t>
  </si>
  <si>
    <t>40X40cm
(43X43cm)</t>
  </si>
  <si>
    <t xml:space="preserve">Flat pad cushion </t>
  </si>
  <si>
    <t xml:space="preserve">Chambrey Grey </t>
  </si>
  <si>
    <t>40X40X8cm
(43X43X10cm)</t>
  </si>
  <si>
    <t xml:space="preserve">Box cushion </t>
  </si>
  <si>
    <t>Chair Pad  Foam</t>
  </si>
  <si>
    <t>SLEEP ID</t>
  </si>
  <si>
    <t>Chair Pad Shell</t>
  </si>
  <si>
    <t>37x42</t>
  </si>
  <si>
    <t>312-4</t>
  </si>
  <si>
    <t>Zinna</t>
  </si>
  <si>
    <t>3 G Pillow</t>
  </si>
  <si>
    <t>Pillow</t>
  </si>
  <si>
    <t>41x61</t>
  </si>
  <si>
    <t>199-4</t>
  </si>
  <si>
    <t>JD-Grey</t>
  </si>
  <si>
    <t>JD-Natural</t>
  </si>
  <si>
    <t>40x40+4</t>
  </si>
  <si>
    <t xml:space="preserve">Malinda </t>
  </si>
  <si>
    <t>Paisley Blue</t>
  </si>
  <si>
    <t>18x30</t>
  </si>
  <si>
    <t>5 Feet sET Of 2</t>
  </si>
  <si>
    <t>40x150</t>
  </si>
  <si>
    <t>Emb-Table cloth-B</t>
  </si>
  <si>
    <t>140x320</t>
  </si>
  <si>
    <t>LKR</t>
  </si>
  <si>
    <t>Iko</t>
  </si>
  <si>
    <t xml:space="preserve">10s </t>
  </si>
  <si>
    <t>2/20s Grey</t>
  </si>
  <si>
    <t>CHAMBRAY</t>
  </si>
  <si>
    <t>2/6s-crudo</t>
  </si>
  <si>
    <t>2/20s crudo</t>
  </si>
  <si>
    <t>2/6s Mostaza</t>
  </si>
  <si>
    <t>10s crudo</t>
  </si>
  <si>
    <t>2/6s
Indigo</t>
  </si>
  <si>
    <t>16s Perla</t>
  </si>
  <si>
    <t>16s Off white</t>
  </si>
  <si>
    <t xml:space="preserve">2/20s Rib-Rose
</t>
  </si>
  <si>
    <t xml:space="preserve">2/20s Rib-Green
</t>
  </si>
  <si>
    <t>10s-
white</t>
  </si>
  <si>
    <t>2s-White</t>
  </si>
  <si>
    <t>2/20s-KT
White</t>
  </si>
  <si>
    <t>10s-KT
Rose</t>
  </si>
  <si>
    <t>10s-KT
Green</t>
  </si>
  <si>
    <t>Iswaraya fine</t>
  </si>
  <si>
    <t>Sri Jothi</t>
  </si>
  <si>
    <t>Cushion cover</t>
  </si>
  <si>
    <t xml:space="preserve"> AGERTIDSEL</t>
  </si>
  <si>
    <t>L.BEIGE (JYSKO-0030)</t>
  </si>
  <si>
    <t>D.BEIGE (JYSKO-0031)</t>
  </si>
  <si>
    <t>BEIGE (JYKOR-0001)</t>
  </si>
  <si>
    <t>GREY (JYNILS-0067)</t>
  </si>
  <si>
    <t>GREEN (JYNILS-0068)</t>
  </si>
  <si>
    <t>NATURAL (JYNILS-0069)</t>
  </si>
  <si>
    <t>2/21s-OEBCI</t>
  </si>
  <si>
    <t>M.GREY (JDGY-0088)</t>
  </si>
  <si>
    <t>L.GREY (JDGY-0089)</t>
  </si>
  <si>
    <t>BROWN (JDGY-0090)</t>
  </si>
  <si>
    <t>SO</t>
  </si>
  <si>
    <t>Yarn Stock</t>
  </si>
  <si>
    <t>Days For Cut To Pack</t>
  </si>
  <si>
    <t>Thirumala</t>
  </si>
  <si>
    <t>cushion</t>
  </si>
  <si>
    <t>kora</t>
  </si>
  <si>
    <t>GF080-NIS-25/26-S73-89</t>
  </si>
  <si>
    <t>2/4SSLUBBCI</t>
  </si>
  <si>
    <t>D.GREEN (JYSKO-0012)</t>
  </si>
  <si>
    <t>L.GREEN (JYSKO-0011)</t>
  </si>
  <si>
    <t>10s-OE</t>
  </si>
  <si>
    <t>BLACK (DT-XMAS-0094)</t>
  </si>
  <si>
    <t>BLUE (DTXM-0093)</t>
  </si>
  <si>
    <t>GREEN (DTXM-0095)</t>
  </si>
  <si>
    <t>16SOE</t>
  </si>
  <si>
    <t>10s-RECYCLEDOE</t>
  </si>
  <si>
    <t>2/20S-RECYCLEDOE</t>
  </si>
  <si>
    <t>2/4SOE GRS</t>
  </si>
  <si>
    <t>2/4SSLUBGRS</t>
  </si>
  <si>
    <t>12SFLAX</t>
  </si>
  <si>
    <t>10 days Delay In ERP Release</t>
  </si>
  <si>
    <t>Shri Amman Tex</t>
  </si>
  <si>
    <t>TARTAN</t>
  </si>
  <si>
    <t>PRINT MUERDAGO</t>
  </si>
  <si>
    <t>MANTEL 100% ALGODÓN 140x140 TARTÁN</t>
  </si>
  <si>
    <t>MANTEL 100% ALGODÓN 140x240 TARTÁN</t>
  </si>
  <si>
    <t>MANTEL 100% ALGODÓN 140x180 CUADRO TARTÁN</t>
  </si>
  <si>
    <t>CAMINO DE MESA 100% ALGODÓN 50x150 TARTÁN</t>
  </si>
  <si>
    <t>DELANTAL 100% ALGODÓN TARTÁN</t>
  </si>
  <si>
    <t>AGARRADOR 100% ALGODÓN TARTÁN</t>
  </si>
  <si>
    <t>MANTEL 100% ALGODÓN 140x140 PRINT MUÉRDAGO</t>
  </si>
  <si>
    <t>MANTEL 100% ALGODÓN 140x240 PRINT MUÉRDAGO</t>
  </si>
  <si>
    <t>MANTEL 100% ALGODÓN 140x180 PRINT MUÉRDAGO</t>
  </si>
  <si>
    <t>CAMINO DE MESA 100% ALGODÓN 50x150 PRINT MUÉRDAGO</t>
  </si>
  <si>
    <t>PAÑO 100% ALGODÓN PACK 2 40x65 PRINT MUÉRDAGO</t>
  </si>
  <si>
    <t>DELANTAL 100% ALGODÓN PRINT MUÉRDAGO</t>
  </si>
  <si>
    <t>AGARRADOR 100% ALGODÓN PRINT MUÉRDAGO</t>
  </si>
  <si>
    <t>COJÍN 100% ALGODÓN 30x50 PRINT MUÉRDAGO</t>
  </si>
  <si>
    <t>Red check</t>
  </si>
  <si>
    <t>Loke</t>
  </si>
  <si>
    <t>Aruna</t>
  </si>
  <si>
    <t>Shade Not Ok</t>
  </si>
  <si>
    <t>Krishna</t>
  </si>
  <si>
    <t xml:space="preserve">AGERTIDSEL </t>
  </si>
  <si>
    <t>RK</t>
  </si>
  <si>
    <t>16*10s</t>
  </si>
  <si>
    <t>Yarn Shortage</t>
  </si>
  <si>
    <t>PAÑO 100% ALGODÓN PACK 2 40x65 TARTÁN/ROJO</t>
  </si>
  <si>
    <t>COJÍN 100% ALGODÓN 40x40 TARTÁN</t>
  </si>
  <si>
    <t>Red - 3 colour print</t>
  </si>
  <si>
    <t>Vivintex</t>
  </si>
  <si>
    <t>Hybenrose</t>
  </si>
  <si>
    <t>beige/black</t>
  </si>
  <si>
    <t>Chairpad</t>
  </si>
  <si>
    <t>Adwidth</t>
  </si>
  <si>
    <t>Glodentex</t>
  </si>
  <si>
    <t>6 Days Delay due to kora yarn not send, DC Kgs -2500 send but kora - 1100 kgs only sent</t>
  </si>
  <si>
    <t>MELANGE (MEL-DARBY)</t>
  </si>
  <si>
    <t>2/30s-RS</t>
  </si>
  <si>
    <t>25 LEA SBLINEN</t>
  </si>
  <si>
    <t>White (W)</t>
  </si>
  <si>
    <t>44 LEA SBLINEN</t>
  </si>
  <si>
    <t>H.WHITE (HW)</t>
  </si>
  <si>
    <t>OFF WHITE (HCPIZ-0079)</t>
  </si>
  <si>
    <t>D.GREY (HCPIZ-0078)</t>
  </si>
  <si>
    <t>BEIGE (TWLSTR-BG)</t>
  </si>
  <si>
    <t>BLUE (TWLSTR-BLUE)</t>
  </si>
  <si>
    <t>E Trade</t>
  </si>
  <si>
    <t>Pasiely Blue</t>
  </si>
  <si>
    <t>dusty lilac beige</t>
  </si>
  <si>
    <t>HYACINT</t>
  </si>
  <si>
    <t>lavender</t>
  </si>
  <si>
    <t>16x10s</t>
  </si>
  <si>
    <t>JD Natual</t>
  </si>
  <si>
    <t>Malinda</t>
  </si>
  <si>
    <t>Chair pad</t>
  </si>
  <si>
    <t>Truffles</t>
  </si>
  <si>
    <t>Twill stripe</t>
  </si>
  <si>
    <t>Darby</t>
  </si>
  <si>
    <t>Vintage</t>
  </si>
  <si>
    <t>pizzeria</t>
  </si>
  <si>
    <t>Pizzeria</t>
  </si>
  <si>
    <t>Vintage Linen Apron -90x90 cm-Beige</t>
  </si>
  <si>
    <t>Double oven mitten</t>
  </si>
  <si>
    <t>Kitchen towel</t>
  </si>
  <si>
    <t>Off white</t>
  </si>
  <si>
    <t>D Grey</t>
  </si>
  <si>
    <t>D.BEIGE (JDNAT-0084)</t>
  </si>
  <si>
    <t>HALF WHITE (JDNAT-0082)</t>
  </si>
  <si>
    <t>L.BEIGE (JDNAT-0083)</t>
  </si>
  <si>
    <t>Sree Ruby</t>
  </si>
  <si>
    <t>Fabric Stock - 2300 Mtrs</t>
  </si>
  <si>
    <t>Stock</t>
  </si>
  <si>
    <t>16s-OEBCI</t>
  </si>
  <si>
    <t>.</t>
  </si>
  <si>
    <t>Phoneix</t>
  </si>
  <si>
    <t>RKM</t>
  </si>
  <si>
    <t>Rotomax</t>
  </si>
  <si>
    <t>Fabric Stock</t>
  </si>
  <si>
    <t>Fabric Stock - 2300 mtrs</t>
  </si>
  <si>
    <t>Shri Amman Tex GTN</t>
  </si>
  <si>
    <t>2/10sslubRSBCI</t>
  </si>
  <si>
    <t>Aiswaraya</t>
  </si>
  <si>
    <t>Shade Not Match</t>
  </si>
  <si>
    <t>GRN Pending</t>
  </si>
  <si>
    <t>Fabtech</t>
  </si>
  <si>
    <t>Agertidsel</t>
  </si>
  <si>
    <t xml:space="preserve">RK </t>
  </si>
  <si>
    <t>16Sx10S</t>
  </si>
  <si>
    <t>GREIGE</t>
  </si>
  <si>
    <t>Bal- To Receive Kgs</t>
  </si>
  <si>
    <t>Fabric REQ IN Mtrs</t>
  </si>
  <si>
    <t>Received Mtrs</t>
  </si>
  <si>
    <t>Bal- To Receive Mtrs</t>
  </si>
  <si>
    <t>Print Fabric stock GTN pending</t>
  </si>
  <si>
    <t>After issue Trigger date Mr.Sudhkar</t>
  </si>
  <si>
    <t>10S-OEBCI-GRAV</t>
  </si>
  <si>
    <t>All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</si>
</sst>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64" formatCode="0.000"/>
    <numFmt numFmtId="165" formatCode="0.0"/>
  </numFmts>
  <fonts count="43">
    <font>
      <sz val="11"/>
      <color theme="1"/>
      <name val="Aptos Narrow"/>
      <family val="2"/>
      <scheme val="minor"/>
    </font>
    <font>
      <sz val="8"/>
      <name val="Aptos Narrow"/>
      <family val="2"/>
    </font>
    <font>
      <b/>
      <sz val="11"/>
      <name val="Calibri"/>
      <family val="2"/>
    </font>
    <font>
      <b/>
      <sz val="9"/>
      <name val="Calibri"/>
      <family val="2"/>
    </font>
    <font>
      <b/>
      <sz val="8"/>
      <name val="Calibri"/>
      <family val="2"/>
    </font>
    <font>
      <b/>
      <sz val="10"/>
      <name val="Calibri"/>
      <family val="2"/>
    </font>
    <font>
      <sz val="10"/>
      <name val="Verdana"/>
      <family val="2"/>
    </font>
    <font>
      <sz val="10"/>
      <name val="Arial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9"/>
      <color theme="1"/>
      <name val="Calibri"/>
      <family val="2"/>
    </font>
    <font>
      <b/>
      <sz val="8"/>
      <color theme="1"/>
      <name val="Calibri"/>
      <family val="2"/>
    </font>
    <font>
      <sz val="11"/>
      <color theme="9" tint="-0.499984740745262"/>
      <name val="Calibri"/>
      <family val="2"/>
    </font>
    <font>
      <b/>
      <sz val="10"/>
      <color theme="1"/>
      <name val="Calibri"/>
      <family val="2"/>
    </font>
    <font>
      <b/>
      <sz val="11"/>
      <color theme="0"/>
      <name val="Calibri"/>
      <family val="2"/>
    </font>
    <font>
      <sz val="10"/>
      <color theme="1"/>
      <name val="Aptos Narrow"/>
      <family val="2"/>
      <scheme val="minor"/>
    </font>
    <font>
      <b/>
      <sz val="11"/>
      <color rgb="FFFF0000"/>
      <name val="Calibri"/>
      <family val="2"/>
    </font>
    <font>
      <b/>
      <sz val="8"/>
      <color rgb="FFFF0000"/>
      <name val="Calibri"/>
      <family val="2"/>
    </font>
    <font>
      <b/>
      <sz val="9"/>
      <color rgb="FFFF0000"/>
      <name val="Calibri"/>
      <family val="2"/>
    </font>
    <font>
      <sz val="11"/>
      <color theme="1"/>
      <name val="Times New Roman"/>
      <family val="1"/>
    </font>
    <font>
      <sz val="10"/>
      <color theme="1"/>
      <name val="Calibri"/>
      <family val="2"/>
    </font>
    <font>
      <sz val="11"/>
      <color rgb="FFFF0000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6"/>
      <color theme="1"/>
      <name val="Aptos Narrow"/>
      <family val="2"/>
      <scheme val="minor"/>
    </font>
    <font>
      <b/>
      <sz val="6"/>
      <color theme="1"/>
      <name val="Calibri"/>
      <family val="2"/>
    </font>
    <font>
      <sz val="10"/>
      <color theme="9" tint="-0.499984740745262"/>
      <name val="Calibri"/>
      <family val="2"/>
    </font>
    <font>
      <b/>
      <sz val="18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9"/>
      <color theme="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rgb="FF006100"/>
      <name val="Calibri"/>
      <family val="2"/>
    </font>
    <font>
      <sz val="10"/>
      <color rgb="FFFF0000"/>
      <name val="Calibri"/>
      <family val="2"/>
    </font>
    <font>
      <b/>
      <sz val="10"/>
      <color rgb="FF9C57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sz val="8"/>
      <name val="Aptos Narrow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EB9C"/>
        <bgColor rgb="FF000000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/>
      <top style="thin">
        <color rgb="FF00B0F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/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B0F0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/>
      <bottom/>
      <diagonal/>
    </border>
    <border>
      <left/>
      <right/>
      <top style="thin">
        <color rgb="FF00B0F0"/>
      </top>
      <bottom/>
      <diagonal/>
    </border>
    <border>
      <left/>
      <right style="thin">
        <color rgb="FF00B0F0"/>
      </right>
      <top/>
      <bottom style="thin">
        <color rgb="FF00B0F0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rgb="FF00B0F0"/>
      </right>
      <top style="thin">
        <color rgb="FF00B0F0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theme="4" tint="0.39997558519241921"/>
      </left>
      <right style="thin">
        <color rgb="FF00B0F0"/>
      </right>
      <top/>
      <bottom/>
      <diagonal/>
    </border>
    <border>
      <left style="thin">
        <color theme="4" tint="0.39997558519241921"/>
      </left>
      <right style="thin">
        <color rgb="FF00B0F0"/>
      </right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B0F0"/>
      </top>
      <bottom/>
      <diagonal/>
    </border>
  </borders>
  <cellStyleXfs count="6">
    <xf numFmtId="0" fontId="0" fillId="0" borderId="0"/>
    <xf numFmtId="43" fontId="8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9" fontId="8" fillId="0" borderId="0" applyFont="0" applyFill="0" applyBorder="0" applyAlignment="0" applyProtection="0"/>
  </cellStyleXfs>
  <cellXfs count="417">
    <xf numFmtId="0" fontId="0" fillId="0" borderId="0" xfId="0"/>
    <xf numFmtId="0" fontId="0" fillId="0" borderId="12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12" fillId="5" borderId="12" xfId="0" applyFont="1" applyFill="1" applyBorder="1" applyAlignment="1" applyProtection="1">
      <alignment horizontal="left" vertical="center" wrapText="1"/>
      <protection locked="0"/>
    </xf>
    <xf numFmtId="1" fontId="12" fillId="5" borderId="12" xfId="0" applyNumberFormat="1" applyFont="1" applyFill="1" applyBorder="1" applyAlignment="1" applyProtection="1">
      <alignment horizontal="center" vertical="center" wrapText="1"/>
      <protection locked="0"/>
    </xf>
    <xf numFmtId="1" fontId="12" fillId="5" borderId="12" xfId="0" applyNumberFormat="1" applyFont="1" applyFill="1" applyBorder="1" applyAlignment="1">
      <alignment horizontal="center"/>
    </xf>
    <xf numFmtId="1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3" fillId="5" borderId="13" xfId="0" applyFont="1" applyFill="1" applyBorder="1" applyAlignment="1" applyProtection="1">
      <alignment horizontal="center" vertical="center" wrapText="1"/>
      <protection locked="0"/>
    </xf>
    <xf numFmtId="16" fontId="14" fillId="5" borderId="13" xfId="0" applyNumberFormat="1" applyFont="1" applyFill="1" applyBorder="1" applyAlignment="1" applyProtection="1">
      <alignment horizontal="center" vertical="center" wrapText="1"/>
      <protection locked="0"/>
    </xf>
    <xf numFmtId="16" fontId="4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2" fillId="5" borderId="0" xfId="0" applyFont="1" applyFill="1"/>
    <xf numFmtId="0" fontId="12" fillId="0" borderId="12" xfId="0" applyFont="1" applyBorder="1" applyAlignment="1">
      <alignment horizontal="left"/>
    </xf>
    <xf numFmtId="0" fontId="11" fillId="0" borderId="0" xfId="0" applyFont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" fontId="12" fillId="4" borderId="12" xfId="0" applyNumberFormat="1" applyFont="1" applyFill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164" fontId="12" fillId="0" borderId="12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" fontId="14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4" fillId="5" borderId="12" xfId="0" applyFont="1" applyFill="1" applyBorder="1" applyAlignment="1" applyProtection="1">
      <alignment horizontal="center" vertical="center" wrapText="1"/>
      <protection locked="0"/>
    </xf>
    <xf numFmtId="1" fontId="16" fillId="0" borderId="0" xfId="0" applyNumberFormat="1" applyFont="1" applyAlignment="1">
      <alignment horizontal="center" vertical="center"/>
    </xf>
    <xf numFmtId="1" fontId="0" fillId="0" borderId="12" xfId="0" applyNumberFormat="1" applyBorder="1" applyAlignment="1">
      <alignment horizontal="center"/>
    </xf>
    <xf numFmtId="0" fontId="0" fillId="0" borderId="12" xfId="0" pivotButton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0" fillId="0" borderId="13" xfId="0" pivotButton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pivotButton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2" xfId="0" pivotButton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2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>
      <alignment horizontal="center" vertical="center"/>
    </xf>
    <xf numFmtId="16" fontId="14" fillId="6" borderId="13" xfId="0" applyNumberFormat="1" applyFont="1" applyFill="1" applyBorder="1" applyAlignment="1" applyProtection="1">
      <alignment horizontal="center" vertical="center" wrapText="1"/>
      <protection locked="0"/>
    </xf>
    <xf numFmtId="16" fontId="4" fillId="6" borderId="12" xfId="0" applyNumberFormat="1" applyFont="1" applyFill="1" applyBorder="1" applyAlignment="1" applyProtection="1">
      <alignment horizontal="center" vertical="center" wrapText="1"/>
      <protection locked="0"/>
    </xf>
    <xf numFmtId="1" fontId="12" fillId="5" borderId="19" xfId="0" applyNumberFormat="1" applyFont="1" applyFill="1" applyBorder="1" applyAlignment="1" applyProtection="1">
      <alignment horizontal="center" vertical="center" wrapText="1"/>
      <protection locked="0"/>
    </xf>
    <xf numFmtId="16" fontId="14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2" fillId="5" borderId="19" xfId="0" applyFont="1" applyFill="1" applyBorder="1" applyAlignment="1" applyProtection="1">
      <alignment horizontal="center" vertical="center" wrapText="1"/>
      <protection locked="0"/>
    </xf>
    <xf numFmtId="16" fontId="14" fillId="7" borderId="1" xfId="0" applyNumberFormat="1" applyFont="1" applyFill="1" applyBorder="1" applyAlignment="1" applyProtection="1">
      <alignment horizontal="center" vertical="center" wrapText="1"/>
      <protection locked="0"/>
    </xf>
    <xf numFmtId="16" fontId="4" fillId="7" borderId="1" xfId="0" applyNumberFormat="1" applyFont="1" applyFill="1" applyBorder="1" applyAlignment="1" applyProtection="1">
      <alignment horizontal="center" vertical="center" wrapText="1"/>
      <protection locked="0"/>
    </xf>
    <xf numFmtId="16" fontId="14" fillId="0" borderId="1" xfId="0" applyNumberFormat="1" applyFont="1" applyBorder="1" applyAlignment="1" applyProtection="1">
      <alignment horizontal="center" vertical="center" wrapText="1"/>
      <protection locked="0"/>
    </xf>
    <xf numFmtId="16" fontId="4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1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16" fontId="14" fillId="5" borderId="1" xfId="0" applyNumberFormat="1" applyFont="1" applyFill="1" applyBorder="1" applyAlignment="1" applyProtection="1">
      <alignment horizontal="center" vertical="center" wrapText="1"/>
      <protection locked="0"/>
    </xf>
    <xf numFmtId="1" fontId="3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5" borderId="1" xfId="0" applyFont="1" applyFill="1" applyBorder="1" applyAlignment="1" applyProtection="1">
      <alignment horizontal="center" vertical="center" wrapText="1"/>
      <protection locked="0"/>
    </xf>
    <xf numFmtId="1" fontId="14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0" fillId="0" borderId="1" xfId="0" pivotButton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8" fillId="0" borderId="1" xfId="0" pivotButton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0" borderId="1" xfId="0" applyBorder="1" applyAlignment="1">
      <alignment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" fontId="0" fillId="0" borderId="1" xfId="0" applyNumberFormat="1" applyBorder="1" applyAlignment="1">
      <alignment horizontal="center"/>
    </xf>
    <xf numFmtId="1" fontId="0" fillId="0" borderId="1" xfId="0" pivotButton="1" applyNumberFormat="1" applyBorder="1" applyAlignment="1">
      <alignment horizontal="center"/>
    </xf>
    <xf numFmtId="1" fontId="0" fillId="0" borderId="1" xfId="0" pivotButton="1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" fontId="19" fillId="5" borderId="1" xfId="0" applyNumberFormat="1" applyFont="1" applyFill="1" applyBorder="1" applyAlignment="1" applyProtection="1">
      <alignment horizontal="center" vertical="center" wrapText="1"/>
      <protection locked="0"/>
    </xf>
    <xf numFmtId="16" fontId="20" fillId="5" borderId="1" xfId="0" applyNumberFormat="1" applyFont="1" applyFill="1" applyBorder="1" applyAlignment="1" applyProtection="1">
      <alignment horizontal="center" vertical="center" wrapText="1"/>
      <protection locked="0"/>
    </xf>
    <xf numFmtId="1" fontId="21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21" fillId="5" borderId="1" xfId="0" applyFont="1" applyFill="1" applyBorder="1" applyAlignment="1" applyProtection="1">
      <alignment horizontal="center" vertical="center" wrapText="1"/>
      <protection locked="0"/>
    </xf>
    <xf numFmtId="1" fontId="20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20" fillId="5" borderId="1" xfId="0" applyFont="1" applyFill="1" applyBorder="1" applyAlignment="1" applyProtection="1">
      <alignment horizontal="center" vertical="center" wrapText="1"/>
      <protection locked="0"/>
    </xf>
    <xf numFmtId="16" fontId="23" fillId="4" borderId="12" xfId="0" applyNumberFormat="1" applyFont="1" applyFill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6" fontId="16" fillId="5" borderId="13" xfId="0" applyNumberFormat="1" applyFont="1" applyFill="1" applyBorder="1" applyAlignment="1" applyProtection="1">
      <alignment horizontal="center" vertical="center" wrapText="1"/>
      <protection locked="0"/>
    </xf>
    <xf numFmtId="16" fontId="13" fillId="5" borderId="13" xfId="0" applyNumberFormat="1" applyFont="1" applyFill="1" applyBorder="1" applyAlignment="1" applyProtection="1">
      <alignment horizontal="center" vertical="center" wrapText="1"/>
      <protection locked="0"/>
    </xf>
    <xf numFmtId="164" fontId="22" fillId="0" borderId="12" xfId="0" applyNumberFormat="1" applyFont="1" applyBorder="1" applyAlignment="1">
      <alignment horizontal="center"/>
    </xf>
    <xf numFmtId="1" fontId="12" fillId="5" borderId="18" xfId="0" applyNumberFormat="1" applyFont="1" applyFill="1" applyBorder="1" applyAlignment="1">
      <alignment horizontal="center" vertical="center"/>
    </xf>
    <xf numFmtId="1" fontId="12" fillId="5" borderId="18" xfId="0" applyNumberFormat="1" applyFont="1" applyFill="1" applyBorder="1" applyAlignment="1">
      <alignment horizontal="left" vertical="center"/>
    </xf>
    <xf numFmtId="0" fontId="12" fillId="0" borderId="19" xfId="0" applyFont="1" applyBorder="1" applyAlignment="1">
      <alignment horizontal="center" vertical="center"/>
    </xf>
    <xf numFmtId="0" fontId="3" fillId="7" borderId="1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11" fillId="0" borderId="0" xfId="0" applyFont="1" applyAlignment="1" applyProtection="1">
      <alignment horizontal="center" vertical="center"/>
      <protection locked="0"/>
    </xf>
    <xf numFmtId="1" fontId="0" fillId="0" borderId="0" xfId="0" applyNumberFormat="1" applyAlignment="1" applyProtection="1">
      <alignment horizontal="center"/>
      <protection locked="0"/>
    </xf>
    <xf numFmtId="2" fontId="0" fillId="0" borderId="0" xfId="0" applyNumberFormat="1" applyProtection="1">
      <protection locked="0"/>
    </xf>
    <xf numFmtId="1" fontId="16" fillId="0" borderId="0" xfId="0" applyNumberFormat="1" applyFont="1" applyAlignment="1" applyProtection="1">
      <alignment horizontal="center" vertical="center"/>
      <protection locked="0"/>
    </xf>
    <xf numFmtId="1" fontId="11" fillId="0" borderId="0" xfId="0" applyNumberFormat="1" applyFont="1" applyAlignment="1" applyProtection="1">
      <alignment horizontal="center"/>
      <protection locked="0"/>
    </xf>
    <xf numFmtId="0" fontId="11" fillId="0" borderId="0" xfId="0" applyFont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1" fontId="12" fillId="0" borderId="1" xfId="0" applyNumberFormat="1" applyFont="1" applyBorder="1" applyAlignment="1" applyProtection="1">
      <alignment horizontal="center" vertical="center"/>
      <protection locked="0"/>
    </xf>
    <xf numFmtId="0" fontId="12" fillId="5" borderId="1" xfId="0" applyFont="1" applyFill="1" applyBorder="1" applyAlignment="1" applyProtection="1">
      <alignment horizontal="center" vertical="center"/>
      <protection locked="0"/>
    </xf>
    <xf numFmtId="1" fontId="15" fillId="0" borderId="1" xfId="0" applyNumberFormat="1" applyFont="1" applyBorder="1" applyAlignment="1" applyProtection="1">
      <alignment horizontal="center" vertical="center"/>
      <protection locked="0"/>
    </xf>
    <xf numFmtId="0" fontId="10" fillId="0" borderId="0" xfId="0" applyFont="1" applyProtection="1">
      <protection locked="0"/>
    </xf>
    <xf numFmtId="0" fontId="10" fillId="0" borderId="1" xfId="0" applyFont="1" applyBorder="1" applyAlignment="1" applyProtection="1">
      <alignment horizontal="center"/>
      <protection locked="0"/>
    </xf>
    <xf numFmtId="0" fontId="24" fillId="5" borderId="1" xfId="0" applyFont="1" applyFill="1" applyBorder="1" applyAlignment="1" applyProtection="1">
      <alignment horizontal="center" vertical="center"/>
      <protection locked="0"/>
    </xf>
    <xf numFmtId="1" fontId="24" fillId="5" borderId="1" xfId="0" applyNumberFormat="1" applyFont="1" applyFill="1" applyBorder="1" applyAlignment="1" applyProtection="1">
      <alignment horizontal="center" vertical="center"/>
      <protection locked="0"/>
    </xf>
    <xf numFmtId="1" fontId="12" fillId="5" borderId="1" xfId="0" applyNumberFormat="1" applyFont="1" applyFill="1" applyBorder="1" applyAlignment="1" applyProtection="1">
      <alignment horizontal="center" vertical="center"/>
      <protection locked="0"/>
    </xf>
    <xf numFmtId="1" fontId="12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1" fontId="24" fillId="0" borderId="1" xfId="0" applyNumberFormat="1" applyFon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11" fillId="0" borderId="1" xfId="0" applyFont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16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" fontId="11" fillId="0" borderId="1" xfId="0" applyNumberFormat="1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 vertical="center"/>
    </xf>
    <xf numFmtId="0" fontId="11" fillId="0" borderId="0" xfId="0" applyFont="1" applyProtection="1">
      <protection locked="0"/>
    </xf>
    <xf numFmtId="0" fontId="11" fillId="0" borderId="0" xfId="0" applyFont="1" applyAlignment="1" applyProtection="1">
      <alignment horizontal="left"/>
      <protection locked="0"/>
    </xf>
    <xf numFmtId="0" fontId="12" fillId="0" borderId="0" xfId="0" applyFont="1" applyProtection="1">
      <protection locked="0"/>
    </xf>
    <xf numFmtId="0" fontId="12" fillId="5" borderId="13" xfId="0" quotePrefix="1" applyFont="1" applyFill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  <protection locked="0"/>
    </xf>
    <xf numFmtId="0" fontId="12" fillId="0" borderId="14" xfId="0" applyFont="1" applyBorder="1" applyAlignment="1">
      <alignment horizontal="center"/>
    </xf>
    <xf numFmtId="0" fontId="12" fillId="5" borderId="12" xfId="0" applyFont="1" applyFill="1" applyBorder="1" applyAlignment="1">
      <alignment horizontal="center"/>
    </xf>
    <xf numFmtId="0" fontId="12" fillId="5" borderId="14" xfId="0" quotePrefix="1" applyFont="1" applyFill="1" applyBorder="1" applyAlignment="1">
      <alignment horizontal="center"/>
    </xf>
    <xf numFmtId="16" fontId="14" fillId="5" borderId="13" xfId="0" applyNumberFormat="1" applyFont="1" applyFill="1" applyBorder="1" applyAlignment="1">
      <alignment horizontal="center" vertical="center" wrapText="1"/>
    </xf>
    <xf numFmtId="1" fontId="3" fillId="5" borderId="12" xfId="0" applyNumberFormat="1" applyFont="1" applyFill="1" applyBorder="1" applyAlignment="1">
      <alignment horizontal="center" vertical="center" wrapText="1"/>
    </xf>
    <xf numFmtId="16" fontId="14" fillId="5" borderId="14" xfId="0" applyNumberFormat="1" applyFont="1" applyFill="1" applyBorder="1" applyAlignment="1">
      <alignment horizontal="center" vertical="center" wrapText="1"/>
    </xf>
    <xf numFmtId="164" fontId="12" fillId="0" borderId="12" xfId="0" applyNumberFormat="1" applyFont="1" applyBorder="1" applyAlignment="1">
      <alignment horizontal="center"/>
    </xf>
    <xf numFmtId="0" fontId="12" fillId="0" borderId="14" xfId="0" applyFont="1" applyBorder="1" applyAlignment="1">
      <alignment horizontal="left"/>
    </xf>
    <xf numFmtId="0" fontId="12" fillId="5" borderId="16" xfId="0" quotePrefix="1" applyFont="1" applyFill="1" applyBorder="1" applyAlignment="1">
      <alignment horizontal="center"/>
    </xf>
    <xf numFmtId="0" fontId="12" fillId="0" borderId="14" xfId="0" applyFont="1" applyBorder="1" applyAlignment="1">
      <alignment horizontal="left" vertical="center"/>
    </xf>
    <xf numFmtId="0" fontId="23" fillId="0" borderId="19" xfId="0" applyFont="1" applyBorder="1" applyAlignment="1">
      <alignment horizontal="center" vertical="center"/>
    </xf>
    <xf numFmtId="0" fontId="23" fillId="0" borderId="19" xfId="0" applyFont="1" applyBorder="1" applyAlignment="1">
      <alignment horizontal="left" vertical="center"/>
    </xf>
    <xf numFmtId="16" fontId="23" fillId="4" borderId="19" xfId="0" applyNumberFormat="1" applyFont="1" applyFill="1" applyBorder="1" applyAlignment="1">
      <alignment horizontal="center" vertical="center"/>
    </xf>
    <xf numFmtId="1" fontId="23" fillId="5" borderId="14" xfId="0" applyNumberFormat="1" applyFont="1" applyFill="1" applyBorder="1" applyAlignment="1">
      <alignment horizontal="center" vertical="center" wrapText="1"/>
    </xf>
    <xf numFmtId="16" fontId="16" fillId="5" borderId="13" xfId="0" applyNumberFormat="1" applyFont="1" applyFill="1" applyBorder="1" applyAlignment="1">
      <alignment horizontal="center" vertical="center" wrapText="1"/>
    </xf>
    <xf numFmtId="1" fontId="5" fillId="5" borderId="12" xfId="0" applyNumberFormat="1" applyFont="1" applyFill="1" applyBorder="1" applyAlignment="1">
      <alignment horizontal="center" vertical="center" wrapText="1"/>
    </xf>
    <xf numFmtId="1" fontId="23" fillId="0" borderId="19" xfId="0" applyNumberFormat="1" applyFont="1" applyBorder="1" applyAlignment="1">
      <alignment horizontal="center" vertical="center"/>
    </xf>
    <xf numFmtId="16" fontId="12" fillId="4" borderId="19" xfId="0" applyNumberFormat="1" applyFont="1" applyFill="1" applyBorder="1" applyAlignment="1">
      <alignment horizontal="center" vertical="center"/>
    </xf>
    <xf numFmtId="0" fontId="12" fillId="0" borderId="12" xfId="0" applyFont="1" applyBorder="1" applyAlignment="1">
      <alignment horizontal="left" vertical="center"/>
    </xf>
    <xf numFmtId="0" fontId="12" fillId="0" borderId="13" xfId="0" applyFont="1" applyBorder="1" applyAlignment="1">
      <alignment horizontal="left" vertical="center"/>
    </xf>
    <xf numFmtId="0" fontId="25" fillId="0" borderId="0" xfId="0" applyFont="1"/>
    <xf numFmtId="0" fontId="25" fillId="0" borderId="0" xfId="0" applyFont="1" applyAlignment="1">
      <alignment horizontal="center" vertical="center" wrapText="1"/>
    </xf>
    <xf numFmtId="0" fontId="25" fillId="0" borderId="1" xfId="0" applyFont="1" applyBorder="1"/>
    <xf numFmtId="1" fontId="25" fillId="0" borderId="1" xfId="0" applyNumberFormat="1" applyFont="1" applyBorder="1" applyAlignment="1">
      <alignment horizontal="center"/>
    </xf>
    <xf numFmtId="9" fontId="25" fillId="0" borderId="1" xfId="5" applyFont="1" applyBorder="1" applyAlignment="1">
      <alignment horizontal="center"/>
    </xf>
    <xf numFmtId="0" fontId="25" fillId="8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/>
    </xf>
    <xf numFmtId="0" fontId="0" fillId="0" borderId="19" xfId="0" applyBorder="1"/>
    <xf numFmtId="0" fontId="10" fillId="9" borderId="1" xfId="0" applyFont="1" applyFill="1" applyBorder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16" fontId="10" fillId="9" borderId="1" xfId="0" applyNumberFormat="1" applyFont="1" applyFill="1" applyBorder="1" applyAlignment="1">
      <alignment horizontal="center" vertical="center"/>
    </xf>
    <xf numFmtId="1" fontId="24" fillId="9" borderId="1" xfId="0" applyNumberFormat="1" applyFont="1" applyFill="1" applyBorder="1" applyAlignment="1">
      <alignment horizontal="center" vertical="center"/>
    </xf>
    <xf numFmtId="1" fontId="18" fillId="0" borderId="0" xfId="0" applyNumberFormat="1" applyFont="1" applyAlignment="1" applyProtection="1">
      <alignment horizontal="center" vertical="center"/>
      <protection locked="0"/>
    </xf>
    <xf numFmtId="9" fontId="18" fillId="0" borderId="0" xfId="5" applyFont="1" applyAlignment="1" applyProtection="1">
      <alignment horizontal="center" vertical="center"/>
      <protection locked="0"/>
    </xf>
    <xf numFmtId="165" fontId="0" fillId="0" borderId="0" xfId="0" applyNumberFormat="1" applyAlignment="1" applyProtection="1">
      <alignment horizontal="center"/>
      <protection locked="0"/>
    </xf>
    <xf numFmtId="16" fontId="12" fillId="5" borderId="1" xfId="0" applyNumberFormat="1" applyFont="1" applyFill="1" applyBorder="1" applyAlignment="1" applyProtection="1">
      <alignment horizontal="center" vertical="center"/>
      <protection locked="0"/>
    </xf>
    <xf numFmtId="0" fontId="12" fillId="5" borderId="1" xfId="0" applyFont="1" applyFill="1" applyBorder="1" applyAlignment="1" applyProtection="1">
      <alignment horizontal="left" vertical="center"/>
      <protection locked="0"/>
    </xf>
    <xf numFmtId="16" fontId="0" fillId="0" borderId="0" xfId="0" applyNumberFormat="1" applyProtection="1">
      <protection locked="0"/>
    </xf>
    <xf numFmtId="0" fontId="0" fillId="0" borderId="0" xfId="0" applyAlignment="1" applyProtection="1">
      <alignment horizontal="center"/>
      <protection locked="0"/>
    </xf>
    <xf numFmtId="16" fontId="12" fillId="0" borderId="1" xfId="0" applyNumberFormat="1" applyFont="1" applyBorder="1" applyAlignment="1">
      <alignment horizontal="center" vertical="center"/>
    </xf>
    <xf numFmtId="0" fontId="24" fillId="9" borderId="1" xfId="0" applyFont="1" applyFill="1" applyBorder="1" applyAlignment="1" applyProtection="1">
      <alignment horizontal="center" vertical="center"/>
      <protection locked="0"/>
    </xf>
    <xf numFmtId="0" fontId="18" fillId="0" borderId="1" xfId="0" applyFont="1" applyBorder="1" applyAlignment="1">
      <alignment horizontal="center" vertical="center"/>
    </xf>
    <xf numFmtId="0" fontId="27" fillId="0" borderId="0" xfId="0" applyFont="1" applyProtection="1">
      <protection locked="0"/>
    </xf>
    <xf numFmtId="0" fontId="28" fillId="0" borderId="0" xfId="0" applyFont="1" applyAlignment="1" applyProtection="1">
      <alignment horizontal="center" vertical="center"/>
      <protection locked="0"/>
    </xf>
    <xf numFmtId="16" fontId="12" fillId="10" borderId="1" xfId="0" applyNumberFormat="1" applyFont="1" applyFill="1" applyBorder="1" applyAlignment="1" applyProtection="1">
      <alignment horizontal="center" vertical="center"/>
      <protection locked="0"/>
    </xf>
    <xf numFmtId="0" fontId="12" fillId="10" borderId="1" xfId="0" applyFont="1" applyFill="1" applyBorder="1" applyAlignment="1" applyProtection="1">
      <alignment horizontal="center" vertical="center"/>
      <protection locked="0"/>
    </xf>
    <xf numFmtId="16" fontId="0" fillId="10" borderId="1" xfId="0" applyNumberFormat="1" applyFill="1" applyBorder="1" applyAlignment="1">
      <alignment horizontal="center" vertical="center"/>
    </xf>
    <xf numFmtId="165" fontId="12" fillId="5" borderId="1" xfId="0" applyNumberFormat="1" applyFont="1" applyFill="1" applyBorder="1" applyAlignment="1" applyProtection="1">
      <alignment horizontal="center" vertical="center"/>
      <protection locked="0"/>
    </xf>
    <xf numFmtId="0" fontId="18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16" fontId="18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right" vertical="center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1" fontId="5" fillId="5" borderId="1" xfId="0" applyNumberFormat="1" applyFont="1" applyFill="1" applyBorder="1" applyAlignment="1" applyProtection="1">
      <alignment horizontal="center" vertical="center" wrapText="1"/>
      <protection locked="0"/>
    </xf>
    <xf numFmtId="1" fontId="29" fillId="0" borderId="1" xfId="0" quotePrefix="1" applyNumberFormat="1" applyFont="1" applyBorder="1" applyAlignment="1" applyProtection="1">
      <alignment horizontal="center" vertical="center"/>
      <protection locked="0"/>
    </xf>
    <xf numFmtId="165" fontId="29" fillId="0" borderId="1" xfId="0" quotePrefix="1" applyNumberFormat="1" applyFont="1" applyBorder="1" applyAlignment="1" applyProtection="1">
      <alignment horizontal="center" vertical="center"/>
      <protection locked="0"/>
    </xf>
    <xf numFmtId="0" fontId="18" fillId="0" borderId="1" xfId="0" applyFont="1" applyBorder="1" applyAlignment="1" applyProtection="1">
      <alignment horizontal="center"/>
      <protection locked="0"/>
    </xf>
    <xf numFmtId="16" fontId="16" fillId="11" borderId="1" xfId="0" applyNumberFormat="1" applyFont="1" applyFill="1" applyBorder="1" applyAlignment="1">
      <alignment horizontal="center" vertical="center" wrapText="1"/>
    </xf>
    <xf numFmtId="16" fontId="16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6" fillId="5" borderId="1" xfId="0" applyFont="1" applyFill="1" applyBorder="1" applyAlignment="1" applyProtection="1">
      <alignment horizontal="center" vertical="center" wrapText="1"/>
      <protection locked="0"/>
    </xf>
    <xf numFmtId="1" fontId="16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Protection="1">
      <protection locked="0"/>
    </xf>
    <xf numFmtId="0" fontId="23" fillId="5" borderId="1" xfId="0" applyFont="1" applyFill="1" applyBorder="1" applyAlignment="1">
      <alignment horizontal="center" vertical="center"/>
    </xf>
    <xf numFmtId="1" fontId="29" fillId="0" borderId="1" xfId="0" quotePrefix="1" applyNumberFormat="1" applyFont="1" applyBorder="1" applyAlignment="1">
      <alignment horizontal="center" vertical="center"/>
    </xf>
    <xf numFmtId="165" fontId="29" fillId="0" borderId="1" xfId="0" quotePrefix="1" applyNumberFormat="1" applyFont="1" applyBorder="1" applyAlignment="1">
      <alignment horizontal="center" vertical="center"/>
    </xf>
    <xf numFmtId="0" fontId="18" fillId="0" borderId="0" xfId="0" applyFont="1"/>
    <xf numFmtId="16" fontId="16" fillId="5" borderId="1" xfId="0" applyNumberFormat="1" applyFont="1" applyFill="1" applyBorder="1" applyAlignment="1">
      <alignment horizontal="center" vertical="center" wrapText="1"/>
    </xf>
    <xf numFmtId="0" fontId="12" fillId="9" borderId="1" xfId="0" applyFont="1" applyFill="1" applyBorder="1" applyAlignment="1" applyProtection="1">
      <alignment horizontal="center" vertical="center"/>
      <protection locked="0"/>
    </xf>
    <xf numFmtId="0" fontId="12" fillId="12" borderId="1" xfId="0" applyFont="1" applyFill="1" applyBorder="1" applyAlignment="1" applyProtection="1">
      <alignment horizontal="center" vertical="center"/>
      <protection locked="0"/>
    </xf>
    <xf numFmtId="16" fontId="0" fillId="0" borderId="0" xfId="0" applyNumberFormat="1"/>
    <xf numFmtId="0" fontId="0" fillId="9" borderId="0" xfId="0" applyFill="1"/>
    <xf numFmtId="0" fontId="12" fillId="0" borderId="2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2" fillId="5" borderId="12" xfId="0" applyFont="1" applyFill="1" applyBorder="1" applyAlignment="1">
      <alignment horizontal="center" vertical="center" wrapText="1"/>
    </xf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3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0" fillId="9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22" fillId="0" borderId="12" xfId="0" applyNumberFormat="1" applyFont="1" applyBorder="1" applyAlignment="1">
      <alignment horizontal="center" vertical="center"/>
    </xf>
    <xf numFmtId="1" fontId="11" fillId="6" borderId="15" xfId="0" applyNumberFormat="1" applyFont="1" applyFill="1" applyBorder="1" applyAlignment="1" applyProtection="1">
      <alignment vertical="center"/>
      <protection locked="0"/>
    </xf>
    <xf numFmtId="1" fontId="11" fillId="6" borderId="14" xfId="0" applyNumberFormat="1" applyFont="1" applyFill="1" applyBorder="1" applyAlignment="1" applyProtection="1">
      <alignment vertical="center"/>
      <protection locked="0"/>
    </xf>
    <xf numFmtId="1" fontId="11" fillId="6" borderId="27" xfId="0" applyNumberFormat="1" applyFont="1" applyFill="1" applyBorder="1" applyAlignment="1" applyProtection="1">
      <alignment vertical="center"/>
      <protection locked="0"/>
    </xf>
    <xf numFmtId="1" fontId="11" fillId="6" borderId="23" xfId="0" applyNumberFormat="1" applyFont="1" applyFill="1" applyBorder="1" applyAlignment="1" applyProtection="1">
      <alignment vertical="center"/>
      <protection locked="0"/>
    </xf>
    <xf numFmtId="0" fontId="11" fillId="6" borderId="28" xfId="0" applyFont="1" applyFill="1" applyBorder="1" applyAlignment="1" applyProtection="1">
      <alignment vertical="center" wrapText="1"/>
      <protection locked="0"/>
    </xf>
    <xf numFmtId="0" fontId="11" fillId="6" borderId="29" xfId="0" applyFont="1" applyFill="1" applyBorder="1" applyAlignment="1" applyProtection="1">
      <alignment vertical="center" wrapText="1"/>
      <protection locked="0"/>
    </xf>
    <xf numFmtId="16" fontId="13" fillId="6" borderId="13" xfId="0" applyNumberFormat="1" applyFont="1" applyFill="1" applyBorder="1" applyAlignment="1" applyProtection="1">
      <alignment horizontal="center" vertical="center" wrapText="1"/>
      <protection locked="0"/>
    </xf>
    <xf numFmtId="16" fontId="3" fillId="6" borderId="12" xfId="0" applyNumberFormat="1" applyFont="1" applyFill="1" applyBorder="1" applyAlignment="1" applyProtection="1">
      <alignment horizontal="center" vertical="center" wrapText="1"/>
      <protection locked="0"/>
    </xf>
    <xf numFmtId="16" fontId="3" fillId="2" borderId="12" xfId="0" applyNumberFormat="1" applyFont="1" applyFill="1" applyBorder="1" applyAlignment="1" applyProtection="1">
      <alignment horizontal="center" vertical="center" wrapText="1"/>
      <protection locked="0"/>
    </xf>
    <xf numFmtId="16" fontId="3" fillId="4" borderId="12" xfId="0" applyNumberFormat="1" applyFont="1" applyFill="1" applyBorder="1" applyAlignment="1" applyProtection="1">
      <alignment horizontal="center" vertical="center" wrapText="1"/>
      <protection locked="0"/>
    </xf>
    <xf numFmtId="0" fontId="31" fillId="0" borderId="6" xfId="0" applyFont="1" applyBorder="1" applyAlignment="1">
      <alignment horizontal="center"/>
    </xf>
    <xf numFmtId="0" fontId="30" fillId="0" borderId="0" xfId="0" applyFont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16" fontId="12" fillId="4" borderId="24" xfId="0" applyNumberFormat="1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/>
    </xf>
    <xf numFmtId="1" fontId="11" fillId="2" borderId="0" xfId="0" applyNumberFormat="1" applyFont="1" applyFill="1" applyAlignment="1" applyProtection="1">
      <alignment horizontal="center" indent="2"/>
      <protection locked="0"/>
    </xf>
    <xf numFmtId="1" fontId="11" fillId="5" borderId="0" xfId="0" applyNumberFormat="1" applyFont="1" applyFill="1" applyAlignment="1" applyProtection="1">
      <alignment horizontal="center" indent="2"/>
      <protection locked="0"/>
    </xf>
    <xf numFmtId="1" fontId="11" fillId="3" borderId="0" xfId="0" applyNumberFormat="1" applyFont="1" applyFill="1" applyAlignment="1" applyProtection="1">
      <alignment horizontal="center" indent="2"/>
      <protection locked="0"/>
    </xf>
    <xf numFmtId="1" fontId="17" fillId="13" borderId="0" xfId="0" applyNumberFormat="1" applyFont="1" applyFill="1" applyAlignment="1" applyProtection="1">
      <alignment horizontal="center" indent="2"/>
      <protection locked="0"/>
    </xf>
    <xf numFmtId="0" fontId="13" fillId="6" borderId="16" xfId="0" applyFont="1" applyFill="1" applyBorder="1" applyAlignment="1" applyProtection="1">
      <alignment vertical="center" wrapText="1"/>
      <protection locked="0"/>
    </xf>
    <xf numFmtId="0" fontId="13" fillId="6" borderId="13" xfId="0" applyFont="1" applyFill="1" applyBorder="1" applyAlignment="1" applyProtection="1">
      <alignment vertical="center" wrapText="1"/>
      <protection locked="0"/>
    </xf>
    <xf numFmtId="0" fontId="3" fillId="6" borderId="13" xfId="0" applyFont="1" applyFill="1" applyBorder="1" applyAlignment="1" applyProtection="1">
      <alignment vertical="center" wrapText="1"/>
      <protection locked="0"/>
    </xf>
    <xf numFmtId="0" fontId="2" fillId="6" borderId="13" xfId="0" applyFont="1" applyFill="1" applyBorder="1" applyAlignment="1" applyProtection="1">
      <alignment vertical="center" wrapText="1"/>
      <protection locked="0"/>
    </xf>
    <xf numFmtId="0" fontId="13" fillId="6" borderId="21" xfId="0" applyFont="1" applyFill="1" applyBorder="1" applyAlignment="1" applyProtection="1">
      <alignment vertical="center" wrapText="1"/>
      <protection locked="0"/>
    </xf>
    <xf numFmtId="0" fontId="13" fillId="6" borderId="23" xfId="0" applyFont="1" applyFill="1" applyBorder="1" applyAlignment="1" applyProtection="1">
      <alignment vertical="center" wrapText="1"/>
      <protection locked="0"/>
    </xf>
    <xf numFmtId="0" fontId="13" fillId="6" borderId="18" xfId="0" applyFont="1" applyFill="1" applyBorder="1" applyAlignment="1" applyProtection="1">
      <alignment vertical="center" wrapText="1"/>
      <protection locked="0"/>
    </xf>
    <xf numFmtId="0" fontId="3" fillId="6" borderId="18" xfId="0" applyFont="1" applyFill="1" applyBorder="1" applyAlignment="1" applyProtection="1">
      <alignment vertical="center" wrapText="1"/>
      <protection locked="0"/>
    </xf>
    <xf numFmtId="0" fontId="2" fillId="6" borderId="18" xfId="0" applyFont="1" applyFill="1" applyBorder="1" applyAlignment="1" applyProtection="1">
      <alignment vertical="center" wrapText="1"/>
      <protection locked="0"/>
    </xf>
    <xf numFmtId="0" fontId="13" fillId="6" borderId="26" xfId="0" applyFont="1" applyFill="1" applyBorder="1" applyAlignment="1" applyProtection="1">
      <alignment vertical="center" wrapText="1"/>
      <protection locked="0"/>
    </xf>
    <xf numFmtId="0" fontId="13" fillId="6" borderId="29" xfId="0" applyFont="1" applyFill="1" applyBorder="1" applyAlignment="1" applyProtection="1">
      <alignment vertical="center" wrapText="1"/>
      <protection locked="0"/>
    </xf>
    <xf numFmtId="0" fontId="13" fillId="6" borderId="30" xfId="0" applyFont="1" applyFill="1" applyBorder="1" applyAlignment="1" applyProtection="1">
      <alignment vertical="center" wrapText="1"/>
      <protection locked="0"/>
    </xf>
    <xf numFmtId="0" fontId="3" fillId="6" borderId="30" xfId="0" applyFont="1" applyFill="1" applyBorder="1" applyAlignment="1" applyProtection="1">
      <alignment vertical="center" wrapText="1"/>
      <protection locked="0"/>
    </xf>
    <xf numFmtId="9" fontId="12" fillId="5" borderId="12" xfId="0" applyNumberFormat="1" applyFont="1" applyFill="1" applyBorder="1" applyAlignment="1">
      <alignment horizontal="center" vertical="center"/>
    </xf>
    <xf numFmtId="0" fontId="11" fillId="6" borderId="26" xfId="0" applyFont="1" applyFill="1" applyBorder="1" applyAlignment="1" applyProtection="1">
      <alignment vertical="center" wrapText="1"/>
      <protection locked="0"/>
    </xf>
    <xf numFmtId="0" fontId="33" fillId="14" borderId="8" xfId="0" applyFont="1" applyFill="1" applyBorder="1"/>
    <xf numFmtId="0" fontId="33" fillId="0" borderId="8" xfId="0" applyFont="1" applyBorder="1"/>
    <xf numFmtId="16" fontId="33" fillId="0" borderId="8" xfId="0" applyNumberFormat="1" applyFont="1" applyBorder="1"/>
    <xf numFmtId="0" fontId="34" fillId="0" borderId="8" xfId="0" applyFont="1" applyBorder="1"/>
    <xf numFmtId="0" fontId="35" fillId="15" borderId="1" xfId="0" applyFont="1" applyFill="1" applyBorder="1"/>
    <xf numFmtId="0" fontId="33" fillId="16" borderId="8" xfId="0" applyFont="1" applyFill="1" applyBorder="1"/>
    <xf numFmtId="0" fontId="33" fillId="0" borderId="8" xfId="0" applyFont="1" applyBorder="1" applyAlignment="1">
      <alignment wrapText="1"/>
    </xf>
    <xf numFmtId="0" fontId="36" fillId="0" borderId="8" xfId="0" applyFont="1" applyBorder="1"/>
    <xf numFmtId="0" fontId="33" fillId="17" borderId="8" xfId="0" applyFont="1" applyFill="1" applyBorder="1"/>
    <xf numFmtId="0" fontId="34" fillId="17" borderId="8" xfId="0" applyFont="1" applyFill="1" applyBorder="1"/>
    <xf numFmtId="0" fontId="35" fillId="15" borderId="3" xfId="0" applyFont="1" applyFill="1" applyBorder="1"/>
    <xf numFmtId="0" fontId="0" fillId="0" borderId="0" xfId="0" applyAlignment="1">
      <alignment horizontal="left" indent="1"/>
    </xf>
    <xf numFmtId="0" fontId="33" fillId="14" borderId="8" xfId="0" applyFont="1" applyFill="1" applyBorder="1" applyAlignment="1">
      <alignment horizontal="left" indent="2"/>
    </xf>
    <xf numFmtId="0" fontId="33" fillId="0" borderId="8" xfId="0" applyFont="1" applyBorder="1" applyAlignment="1">
      <alignment horizontal="left" indent="2"/>
    </xf>
    <xf numFmtId="0" fontId="33" fillId="18" borderId="8" xfId="0" applyFont="1" applyFill="1" applyBorder="1" applyAlignment="1">
      <alignment horizontal="left" indent="2"/>
    </xf>
    <xf numFmtId="0" fontId="0" fillId="0" borderId="0" xfId="0" applyAlignment="1">
      <alignment horizontal="left" indent="2"/>
    </xf>
    <xf numFmtId="0" fontId="33" fillId="0" borderId="3" xfId="0" applyFont="1" applyBorder="1" applyAlignment="1">
      <alignment horizontal="left" indent="1"/>
    </xf>
    <xf numFmtId="0" fontId="5" fillId="19" borderId="31" xfId="0" applyFont="1" applyFill="1" applyBorder="1" applyAlignment="1">
      <alignment horizontal="center" vertical="center" wrapText="1"/>
    </xf>
    <xf numFmtId="0" fontId="5" fillId="19" borderId="31" xfId="0" applyFont="1" applyFill="1" applyBorder="1" applyAlignment="1">
      <alignment horizontal="center" vertical="center"/>
    </xf>
    <xf numFmtId="0" fontId="37" fillId="20" borderId="31" xfId="0" applyFont="1" applyFill="1" applyBorder="1" applyAlignment="1">
      <alignment horizontal="center" vertical="center" wrapText="1"/>
    </xf>
    <xf numFmtId="0" fontId="38" fillId="0" borderId="31" xfId="0" applyFont="1" applyBorder="1" applyAlignment="1">
      <alignment horizontal="center"/>
    </xf>
    <xf numFmtId="0" fontId="13" fillId="6" borderId="19" xfId="0" applyFont="1" applyFill="1" applyBorder="1" applyAlignment="1" applyProtection="1">
      <alignment vertical="center" wrapText="1"/>
      <protection locked="0"/>
    </xf>
    <xf numFmtId="0" fontId="3" fillId="6" borderId="19" xfId="0" applyFont="1" applyFill="1" applyBorder="1" applyAlignment="1" applyProtection="1">
      <alignment vertical="center" wrapText="1"/>
      <protection locked="0"/>
    </xf>
    <xf numFmtId="0" fontId="3" fillId="6" borderId="23" xfId="0" applyFont="1" applyFill="1" applyBorder="1" applyAlignment="1" applyProtection="1">
      <alignment vertical="center" wrapText="1"/>
      <protection locked="0"/>
    </xf>
    <xf numFmtId="0" fontId="38" fillId="0" borderId="32" xfId="0" applyFont="1" applyBorder="1" applyAlignment="1">
      <alignment horizontal="center" indent="1"/>
    </xf>
    <xf numFmtId="0" fontId="39" fillId="19" borderId="33" xfId="0" applyFont="1" applyFill="1" applyBorder="1" applyAlignment="1">
      <alignment horizontal="center" vertical="center" wrapText="1"/>
    </xf>
    <xf numFmtId="0" fontId="5" fillId="19" borderId="33" xfId="0" applyFont="1" applyFill="1" applyBorder="1" applyAlignment="1">
      <alignment horizontal="center" vertical="center"/>
    </xf>
    <xf numFmtId="0" fontId="5" fillId="19" borderId="33" xfId="0" applyFont="1" applyFill="1" applyBorder="1" applyAlignment="1">
      <alignment horizontal="center" vertical="center" wrapText="1"/>
    </xf>
    <xf numFmtId="0" fontId="39" fillId="19" borderId="33" xfId="0" applyFont="1" applyFill="1" applyBorder="1" applyAlignment="1">
      <alignment horizontal="center" vertical="center"/>
    </xf>
    <xf numFmtId="0" fontId="12" fillId="0" borderId="17" xfId="0" applyFont="1" applyBorder="1" applyAlignment="1">
      <alignment horizontal="left" vertical="center"/>
    </xf>
    <xf numFmtId="0" fontId="12" fillId="5" borderId="12" xfId="0" applyFont="1" applyFill="1" applyBorder="1" applyAlignment="1" applyProtection="1">
      <alignment horizontal="left" vertical="center"/>
      <protection locked="0"/>
    </xf>
    <xf numFmtId="1" fontId="13" fillId="6" borderId="13" xfId="0" applyNumberFormat="1" applyFont="1" applyFill="1" applyBorder="1" applyAlignment="1" applyProtection="1">
      <alignment vertical="center" wrapText="1"/>
      <protection locked="0"/>
    </xf>
    <xf numFmtId="1" fontId="13" fillId="6" borderId="30" xfId="0" applyNumberFormat="1" applyFont="1" applyFill="1" applyBorder="1" applyAlignment="1" applyProtection="1">
      <alignment vertical="center" wrapText="1"/>
      <protection locked="0"/>
    </xf>
    <xf numFmtId="0" fontId="13" fillId="6" borderId="26" xfId="0" applyFont="1" applyFill="1" applyBorder="1" applyAlignment="1" applyProtection="1">
      <alignment horizontal="left" vertical="center" wrapText="1"/>
      <protection locked="0"/>
    </xf>
    <xf numFmtId="0" fontId="13" fillId="6" borderId="29" xfId="0" applyFont="1" applyFill="1" applyBorder="1" applyAlignment="1" applyProtection="1">
      <alignment horizontal="left" vertical="center" wrapText="1"/>
      <protection locked="0"/>
    </xf>
    <xf numFmtId="0" fontId="12" fillId="0" borderId="15" xfId="0" applyFont="1" applyBorder="1" applyAlignment="1">
      <alignment horizontal="left" vertical="center"/>
    </xf>
    <xf numFmtId="0" fontId="12" fillId="5" borderId="13" xfId="0" applyFont="1" applyFill="1" applyBorder="1" applyAlignment="1" applyProtection="1">
      <alignment horizontal="center"/>
      <protection locked="0"/>
    </xf>
    <xf numFmtId="16" fontId="23" fillId="4" borderId="19" xfId="0" applyNumberFormat="1" applyFont="1" applyFill="1" applyBorder="1" applyAlignment="1">
      <alignment horizontal="left" vertical="center"/>
    </xf>
    <xf numFmtId="0" fontId="12" fillId="5" borderId="14" xfId="0" quotePrefix="1" applyFont="1" applyFill="1" applyBorder="1" applyAlignment="1">
      <alignment horizontal="left"/>
    </xf>
    <xf numFmtId="0" fontId="12" fillId="5" borderId="16" xfId="0" quotePrefix="1" applyFont="1" applyFill="1" applyBorder="1" applyAlignment="1">
      <alignment horizontal="left"/>
    </xf>
    <xf numFmtId="0" fontId="12" fillId="5" borderId="12" xfId="0" applyFont="1" applyFill="1" applyBorder="1" applyAlignment="1">
      <alignment horizontal="left" vertical="center"/>
    </xf>
    <xf numFmtId="0" fontId="12" fillId="5" borderId="12" xfId="0" applyFont="1" applyFill="1" applyBorder="1" applyAlignment="1">
      <alignment horizontal="left" vertical="center" wrapText="1"/>
    </xf>
    <xf numFmtId="1" fontId="3" fillId="5" borderId="13" xfId="0" applyNumberFormat="1" applyFont="1" applyFill="1" applyBorder="1" applyAlignment="1">
      <alignment horizontal="center" vertical="center" wrapText="1"/>
    </xf>
    <xf numFmtId="0" fontId="12" fillId="5" borderId="13" xfId="0" quotePrefix="1" applyFont="1" applyFill="1" applyBorder="1" applyAlignment="1" applyProtection="1">
      <alignment horizontal="left"/>
      <protection locked="0"/>
    </xf>
    <xf numFmtId="0" fontId="32" fillId="5" borderId="13" xfId="0" applyFont="1" applyFill="1" applyBorder="1" applyAlignment="1" applyProtection="1">
      <alignment horizontal="center" vertical="center" wrapText="1"/>
      <protection locked="0"/>
    </xf>
    <xf numFmtId="16" fontId="16" fillId="5" borderId="13" xfId="0" applyNumberFormat="1" applyFont="1" applyFill="1" applyBorder="1" applyAlignment="1" applyProtection="1">
      <alignment horizontal="center" vertical="center"/>
      <protection locked="0"/>
    </xf>
    <xf numFmtId="0" fontId="12" fillId="21" borderId="14" xfId="0" applyFont="1" applyFill="1" applyBorder="1" applyAlignment="1">
      <alignment horizontal="left" vertical="center"/>
    </xf>
    <xf numFmtId="0" fontId="12" fillId="9" borderId="14" xfId="0" applyFont="1" applyFill="1" applyBorder="1" applyAlignment="1">
      <alignment horizontal="left" vertical="center"/>
    </xf>
    <xf numFmtId="0" fontId="12" fillId="7" borderId="14" xfId="0" applyFont="1" applyFill="1" applyBorder="1" applyAlignment="1">
      <alignment horizontal="left" vertical="center"/>
    </xf>
    <xf numFmtId="0" fontId="12" fillId="13" borderId="14" xfId="0" applyFont="1" applyFill="1" applyBorder="1" applyAlignment="1">
      <alignment horizontal="left" vertical="center"/>
    </xf>
    <xf numFmtId="0" fontId="12" fillId="21" borderId="12" xfId="0" applyFont="1" applyFill="1" applyBorder="1" applyAlignment="1">
      <alignment horizontal="left" vertical="center"/>
    </xf>
    <xf numFmtId="0" fontId="12" fillId="22" borderId="14" xfId="0" applyFont="1" applyFill="1" applyBorder="1" applyAlignment="1">
      <alignment horizontal="left" vertical="center"/>
    </xf>
    <xf numFmtId="0" fontId="23" fillId="21" borderId="19" xfId="0" applyFont="1" applyFill="1" applyBorder="1" applyAlignment="1">
      <alignment horizontal="left" vertical="center"/>
    </xf>
    <xf numFmtId="0" fontId="23" fillId="9" borderId="19" xfId="0" applyFont="1" applyFill="1" applyBorder="1" applyAlignment="1">
      <alignment horizontal="left" vertical="center"/>
    </xf>
    <xf numFmtId="0" fontId="23" fillId="5" borderId="19" xfId="0" applyFont="1" applyFill="1" applyBorder="1" applyAlignment="1">
      <alignment horizontal="left" vertical="center"/>
    </xf>
    <xf numFmtId="0" fontId="12" fillId="5" borderId="14" xfId="0" applyFont="1" applyFill="1" applyBorder="1" applyAlignment="1">
      <alignment horizontal="center" vertical="center"/>
    </xf>
    <xf numFmtId="164" fontId="12" fillId="5" borderId="12" xfId="0" applyNumberFormat="1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left" vertical="center"/>
    </xf>
    <xf numFmtId="0" fontId="12" fillId="5" borderId="13" xfId="0" applyFont="1" applyFill="1" applyBorder="1" applyAlignment="1">
      <alignment horizontal="center" vertical="center"/>
    </xf>
    <xf numFmtId="1" fontId="12" fillId="5" borderId="12" xfId="0" applyNumberFormat="1" applyFont="1" applyFill="1" applyBorder="1" applyAlignment="1">
      <alignment horizontal="center" vertical="center"/>
    </xf>
    <xf numFmtId="164" fontId="22" fillId="5" borderId="12" xfId="0" applyNumberFormat="1" applyFont="1" applyFill="1" applyBorder="1" applyAlignment="1">
      <alignment horizontal="center"/>
    </xf>
    <xf numFmtId="0" fontId="12" fillId="5" borderId="12" xfId="0" applyFont="1" applyFill="1" applyBorder="1" applyAlignment="1">
      <alignment horizontal="left"/>
    </xf>
    <xf numFmtId="0" fontId="23" fillId="22" borderId="19" xfId="0" applyFont="1" applyFill="1" applyBorder="1" applyAlignment="1">
      <alignment horizontal="left" vertical="center"/>
    </xf>
    <xf numFmtId="0" fontId="12" fillId="22" borderId="12" xfId="0" applyFont="1" applyFill="1" applyBorder="1" applyAlignment="1" applyProtection="1">
      <alignment horizontal="left" vertical="center"/>
      <protection locked="0"/>
    </xf>
    <xf numFmtId="1" fontId="12" fillId="22" borderId="18" xfId="0" applyNumberFormat="1" applyFont="1" applyFill="1" applyBorder="1" applyAlignment="1">
      <alignment horizontal="left" vertical="center"/>
    </xf>
    <xf numFmtId="1" fontId="12" fillId="21" borderId="18" xfId="0" applyNumberFormat="1" applyFont="1" applyFill="1" applyBorder="1" applyAlignment="1">
      <alignment horizontal="left" vertical="center"/>
    </xf>
    <xf numFmtId="16" fontId="23" fillId="0" borderId="19" xfId="0" applyNumberFormat="1" applyFont="1" applyBorder="1" applyAlignment="1">
      <alignment horizontal="center" vertical="center"/>
    </xf>
    <xf numFmtId="0" fontId="0" fillId="0" borderId="13" xfId="0" applyBorder="1"/>
    <xf numFmtId="0" fontId="12" fillId="0" borderId="13" xfId="0" applyFont="1" applyBorder="1" applyAlignment="1">
      <alignment horizontal="left"/>
    </xf>
    <xf numFmtId="0" fontId="12" fillId="19" borderId="14" xfId="0" applyFont="1" applyFill="1" applyBorder="1" applyAlignment="1">
      <alignment horizontal="left" vertical="center"/>
    </xf>
    <xf numFmtId="0" fontId="12" fillId="0" borderId="16" xfId="0" applyFont="1" applyBorder="1" applyAlignment="1">
      <alignment horizontal="center"/>
    </xf>
    <xf numFmtId="0" fontId="12" fillId="0" borderId="17" xfId="0" applyFont="1" applyBorder="1" applyAlignment="1">
      <alignment horizontal="left"/>
    </xf>
    <xf numFmtId="164" fontId="12" fillId="0" borderId="14" xfId="0" applyNumberFormat="1" applyFont="1" applyBorder="1" applyAlignment="1">
      <alignment horizontal="center"/>
    </xf>
    <xf numFmtId="0" fontId="12" fillId="9" borderId="13" xfId="0" applyFont="1" applyFill="1" applyBorder="1" applyAlignment="1">
      <alignment horizontal="left"/>
    </xf>
    <xf numFmtId="1" fontId="3" fillId="5" borderId="17" xfId="0" applyNumberFormat="1" applyFont="1" applyFill="1" applyBorder="1" applyAlignment="1">
      <alignment horizontal="center" vertical="center" wrapText="1"/>
    </xf>
    <xf numFmtId="0" fontId="13" fillId="5" borderId="13" xfId="0" applyFont="1" applyFill="1" applyBorder="1" applyAlignment="1" applyProtection="1">
      <alignment horizontal="center" vertical="center"/>
      <protection locked="0"/>
    </xf>
    <xf numFmtId="16" fontId="13" fillId="5" borderId="13" xfId="0" applyNumberFormat="1" applyFont="1" applyFill="1" applyBorder="1" applyAlignment="1" applyProtection="1">
      <alignment horizontal="left" vertical="center"/>
      <protection locked="0"/>
    </xf>
    <xf numFmtId="0" fontId="3" fillId="6" borderId="13" xfId="0" applyFont="1" applyFill="1" applyBorder="1" applyAlignment="1" applyProtection="1">
      <alignment horizontal="center" vertical="center" wrapText="1"/>
      <protection locked="0"/>
    </xf>
    <xf numFmtId="0" fontId="13" fillId="6" borderId="13" xfId="0" applyFont="1" applyFill="1" applyBorder="1" applyAlignment="1" applyProtection="1">
      <alignment horizontal="center" vertical="center" wrapText="1"/>
      <protection locked="0"/>
    </xf>
    <xf numFmtId="0" fontId="1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26" xfId="0" applyFont="1" applyFill="1" applyBorder="1" applyAlignment="1" applyProtection="1">
      <alignment horizontal="center" vertical="center" wrapText="1"/>
      <protection locked="0"/>
    </xf>
    <xf numFmtId="0" fontId="12" fillId="0" borderId="12" xfId="0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41" fillId="0" borderId="4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5" xfId="0" applyFont="1" applyBorder="1" applyAlignment="1">
      <alignment horizontal="center" vertical="center"/>
    </xf>
    <xf numFmtId="0" fontId="25" fillId="8" borderId="2" xfId="0" applyFont="1" applyFill="1" applyBorder="1" applyAlignment="1">
      <alignment horizontal="center" vertical="center" wrapText="1"/>
    </xf>
    <xf numFmtId="0" fontId="25" fillId="8" borderId="3" xfId="0" applyFont="1" applyFill="1" applyBorder="1" applyAlignment="1">
      <alignment horizontal="center" vertical="center" wrapText="1"/>
    </xf>
    <xf numFmtId="0" fontId="40" fillId="0" borderId="4" xfId="0" applyFont="1" applyBorder="1" applyAlignment="1">
      <alignment horizontal="center"/>
    </xf>
    <xf numFmtId="0" fontId="40" fillId="0" borderId="9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16" fontId="13" fillId="6" borderId="17" xfId="0" applyNumberFormat="1" applyFont="1" applyFill="1" applyBorder="1" applyAlignment="1" applyProtection="1">
      <alignment horizontal="center" vertical="center" wrapText="1"/>
      <protection locked="0"/>
    </xf>
    <xf numFmtId="16" fontId="13" fillId="6" borderId="22" xfId="0" applyNumberFormat="1" applyFont="1" applyFill="1" applyBorder="1" applyAlignment="1" applyProtection="1">
      <alignment horizontal="center" vertical="center" wrapText="1"/>
      <protection locked="0"/>
    </xf>
    <xf numFmtId="16" fontId="13" fillId="6" borderId="16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16" xfId="0" applyFont="1" applyFill="1" applyBorder="1" applyAlignment="1" applyProtection="1">
      <alignment horizontal="center" vertical="center" wrapText="1"/>
      <protection locked="0"/>
    </xf>
    <xf numFmtId="0" fontId="13" fillId="6" borderId="23" xfId="0" applyFont="1" applyFill="1" applyBorder="1" applyAlignment="1" applyProtection="1">
      <alignment horizontal="center" vertical="center" wrapText="1"/>
      <protection locked="0"/>
    </xf>
    <xf numFmtId="0" fontId="13" fillId="6" borderId="13" xfId="0" applyFont="1" applyFill="1" applyBorder="1" applyAlignment="1" applyProtection="1">
      <alignment horizontal="left" vertical="center" wrapText="1"/>
      <protection locked="0"/>
    </xf>
    <xf numFmtId="0" fontId="13" fillId="6" borderId="18" xfId="0" applyFont="1" applyFill="1" applyBorder="1" applyAlignment="1" applyProtection="1">
      <alignment horizontal="left" vertical="center" wrapText="1"/>
      <protection locked="0"/>
    </xf>
    <xf numFmtId="1" fontId="13" fillId="6" borderId="13" xfId="0" applyNumberFormat="1" applyFont="1" applyFill="1" applyBorder="1" applyAlignment="1" applyProtection="1">
      <alignment horizontal="center" vertical="center" wrapText="1"/>
      <protection locked="0"/>
    </xf>
    <xf numFmtId="1" fontId="13" fillId="6" borderId="18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3" xfId="0" applyFont="1" applyFill="1" applyBorder="1" applyAlignment="1" applyProtection="1">
      <alignment horizontal="center" vertical="center" wrapText="1"/>
      <protection locked="0"/>
    </xf>
    <xf numFmtId="0" fontId="3" fillId="6" borderId="18" xfId="0" applyFont="1" applyFill="1" applyBorder="1" applyAlignment="1" applyProtection="1">
      <alignment horizontal="center" vertical="center" wrapText="1"/>
      <protection locked="0"/>
    </xf>
    <xf numFmtId="16" fontId="13" fillId="6" borderId="34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>
      <alignment horizontal="center" vertical="center" wrapText="1"/>
    </xf>
    <xf numFmtId="16" fontId="13" fillId="6" borderId="13" xfId="0" applyNumberFormat="1" applyFont="1" applyFill="1" applyBorder="1" applyAlignment="1" applyProtection="1">
      <alignment horizontal="center" vertical="center" wrapText="1"/>
      <protection locked="0"/>
    </xf>
    <xf numFmtId="16" fontId="13" fillId="6" borderId="18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21" xfId="0" applyFont="1" applyFill="1" applyBorder="1" applyAlignment="1" applyProtection="1">
      <alignment horizontal="center" vertical="center" wrapText="1"/>
      <protection locked="0"/>
    </xf>
    <xf numFmtId="0" fontId="13" fillId="6" borderId="18" xfId="0" applyFont="1" applyFill="1" applyBorder="1" applyAlignment="1" applyProtection="1">
      <alignment horizontal="center" vertical="center" wrapText="1"/>
      <protection locked="0"/>
    </xf>
    <xf numFmtId="1" fontId="11" fillId="0" borderId="1" xfId="0" applyNumberFormat="1" applyFont="1" applyBorder="1" applyAlignment="1" applyProtection="1">
      <alignment horizontal="center" vertical="center"/>
      <protection locked="0"/>
    </xf>
    <xf numFmtId="0" fontId="3" fillId="7" borderId="1" xfId="0" applyFont="1" applyFill="1" applyBorder="1" applyAlignment="1" applyProtection="1">
      <alignment horizontal="center" vertical="center" wrapText="1"/>
      <protection locked="0"/>
    </xf>
    <xf numFmtId="16" fontId="14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7" borderId="2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 wrapText="1"/>
      <protection locked="0"/>
    </xf>
    <xf numFmtId="0" fontId="3" fillId="7" borderId="3" xfId="0" applyFont="1" applyFill="1" applyBorder="1" applyAlignment="1" applyProtection="1">
      <alignment horizontal="center" vertical="center" wrapText="1"/>
      <protection locked="0"/>
    </xf>
    <xf numFmtId="0" fontId="2" fillId="7" borderId="1" xfId="0" applyFont="1" applyFill="1" applyBorder="1" applyAlignment="1" applyProtection="1">
      <alignment horizontal="center" vertical="center" wrapText="1"/>
      <protection locked="0"/>
    </xf>
    <xf numFmtId="0" fontId="13" fillId="7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1" fontId="11" fillId="7" borderId="1" xfId="0" applyNumberFormat="1" applyFont="1" applyFill="1" applyBorder="1" applyAlignment="1" applyProtection="1">
      <alignment horizontal="center" vertical="center" wrapText="1"/>
      <protection locked="0"/>
    </xf>
    <xf numFmtId="1" fontId="2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17" xfId="0" applyFont="1" applyFill="1" applyBorder="1" applyAlignment="1" applyProtection="1">
      <alignment horizontal="center" vertical="center" wrapText="1"/>
      <protection locked="0"/>
    </xf>
    <xf numFmtId="0" fontId="13" fillId="6" borderId="22" xfId="0" applyFont="1" applyFill="1" applyBorder="1" applyAlignment="1" applyProtection="1">
      <alignment horizontal="center" vertical="center" wrapText="1"/>
      <protection locked="0"/>
    </xf>
    <xf numFmtId="0" fontId="13" fillId="6" borderId="20" xfId="0" applyFont="1" applyFill="1" applyBorder="1" applyAlignment="1" applyProtection="1">
      <alignment horizontal="center" vertical="center" wrapText="1"/>
      <protection locked="0"/>
    </xf>
    <xf numFmtId="0" fontId="13" fillId="6" borderId="27" xfId="0" applyFont="1" applyFill="1" applyBorder="1" applyAlignment="1" applyProtection="1">
      <alignment horizontal="center" vertical="center" wrapText="1"/>
      <protection locked="0"/>
    </xf>
    <xf numFmtId="0" fontId="13" fillId="6" borderId="13" xfId="0" applyFont="1" applyFill="1" applyBorder="1" applyAlignment="1" applyProtection="1">
      <alignment horizontal="center" vertical="center" wrapText="1"/>
      <protection locked="0"/>
    </xf>
    <xf numFmtId="1" fontId="11" fillId="0" borderId="1" xfId="0" applyNumberFormat="1" applyFont="1" applyBorder="1" applyAlignment="1">
      <alignment horizontal="center" vertical="center"/>
    </xf>
    <xf numFmtId="0" fontId="3" fillId="9" borderId="1" xfId="0" applyFont="1" applyFill="1" applyBorder="1" applyAlignment="1" applyProtection="1">
      <alignment horizontal="center" vertical="center" wrapText="1"/>
      <protection locked="0"/>
    </xf>
    <xf numFmtId="0" fontId="13" fillId="7" borderId="2" xfId="0" applyFont="1" applyFill="1" applyBorder="1" applyAlignment="1" applyProtection="1">
      <alignment horizontal="center" vertical="center" wrapText="1"/>
      <protection locked="0"/>
    </xf>
    <xf numFmtId="0" fontId="13" fillId="7" borderId="7" xfId="0" applyFont="1" applyFill="1" applyBorder="1" applyAlignment="1" applyProtection="1">
      <alignment horizontal="center" vertical="center" wrapText="1"/>
      <protection locked="0"/>
    </xf>
    <xf numFmtId="0" fontId="13" fillId="7" borderId="3" xfId="0" applyFont="1" applyFill="1" applyBorder="1" applyAlignment="1" applyProtection="1">
      <alignment horizontal="center" vertical="center" wrapText="1"/>
      <protection locked="0"/>
    </xf>
    <xf numFmtId="0" fontId="11" fillId="7" borderId="2" xfId="0" applyFont="1" applyFill="1" applyBorder="1" applyAlignment="1" applyProtection="1">
      <alignment horizontal="center" vertical="center" textRotation="90"/>
      <protection locked="0"/>
    </xf>
    <xf numFmtId="0" fontId="11" fillId="7" borderId="7" xfId="0" applyFont="1" applyFill="1" applyBorder="1" applyAlignment="1" applyProtection="1">
      <alignment horizontal="center" vertical="center" textRotation="90"/>
      <protection locked="0"/>
    </xf>
    <xf numFmtId="0" fontId="11" fillId="7" borderId="3" xfId="0" applyFont="1" applyFill="1" applyBorder="1" applyAlignment="1" applyProtection="1">
      <alignment horizontal="center" vertical="center" textRotation="90"/>
      <protection locked="0"/>
    </xf>
    <xf numFmtId="0" fontId="16" fillId="7" borderId="1" xfId="0" applyFont="1" applyFill="1" applyBorder="1" applyAlignment="1" applyProtection="1">
      <alignment horizontal="center" vertical="center" wrapText="1"/>
      <protection locked="0"/>
    </xf>
    <xf numFmtId="0" fontId="14" fillId="7" borderId="1" xfId="0" applyFont="1" applyFill="1" applyBorder="1" applyAlignment="1" applyProtection="1">
      <alignment horizontal="center" vertical="center" wrapText="1"/>
      <protection locked="0"/>
    </xf>
    <xf numFmtId="0" fontId="16" fillId="7" borderId="2" xfId="0" applyFont="1" applyFill="1" applyBorder="1" applyAlignment="1" applyProtection="1">
      <alignment horizontal="center" vertical="center" textRotation="90"/>
      <protection locked="0"/>
    </xf>
    <xf numFmtId="0" fontId="16" fillId="7" borderId="7" xfId="0" applyFont="1" applyFill="1" applyBorder="1" applyAlignment="1" applyProtection="1">
      <alignment horizontal="center" vertical="center" textRotation="90"/>
      <protection locked="0"/>
    </xf>
    <xf numFmtId="0" fontId="16" fillId="7" borderId="3" xfId="0" applyFont="1" applyFill="1" applyBorder="1" applyAlignment="1" applyProtection="1">
      <alignment horizontal="center" vertical="center" textRotation="90"/>
      <protection locked="0"/>
    </xf>
    <xf numFmtId="0" fontId="30" fillId="0" borderId="1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0" fontId="30" fillId="0" borderId="11" xfId="0" applyFont="1" applyBorder="1" applyAlignment="1">
      <alignment horizontal="center"/>
    </xf>
    <xf numFmtId="0" fontId="30" fillId="0" borderId="8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31" fillId="0" borderId="9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41" fillId="0" borderId="1" xfId="0" applyFont="1" applyBorder="1" applyAlignment="1">
      <alignment horizontal="center"/>
    </xf>
  </cellXfs>
  <cellStyles count="6">
    <cellStyle name="Comma 2" xfId="1"/>
    <cellStyle name="Normal" xfId="0" builtinId="0"/>
    <cellStyle name="Normal 2" xfId="2"/>
    <cellStyle name="Normal 3" xfId="3"/>
    <cellStyle name="Normal 4" xfId="4"/>
    <cellStyle name="Percent" xfId="5" builtinId="5"/>
  </cellStyles>
  <dxfs count="146">
    <dxf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6"/>
  <sheetViews>
    <sheetView workbookViewId="0">
      <selection activeCell="K1" sqref="K1"/>
    </sheetView>
  </sheetViews>
  <sheetFormatPr defaultColWidth="9" defaultRowHeight="15.5"/>
  <cols>
    <col min="1" max="1" width="9" style="148"/>
    <col min="2" max="2" width="13" style="148" customWidth="1"/>
    <col min="3" max="3" width="7.83203125" style="148" customWidth="1"/>
    <col min="4" max="8" width="9" style="148"/>
    <col min="9" max="9" width="1.4140625" style="148" customWidth="1"/>
    <col min="10" max="16384" width="9" style="148"/>
  </cols>
  <sheetData>
    <row r="2" spans="2:8" ht="21">
      <c r="B2" s="350" t="s">
        <v>0</v>
      </c>
      <c r="C2" s="351"/>
      <c r="D2" s="351"/>
      <c r="E2" s="351"/>
      <c r="F2" s="351"/>
      <c r="G2" s="351"/>
      <c r="H2" s="352"/>
    </row>
    <row r="3" spans="2:8" ht="18.75" customHeight="1">
      <c r="B3" s="154" t="s">
        <v>1</v>
      </c>
      <c r="C3" s="155" t="s">
        <v>2</v>
      </c>
      <c r="D3" s="348" t="s">
        <v>3</v>
      </c>
      <c r="E3" s="345" t="s">
        <v>4</v>
      </c>
      <c r="F3" s="346"/>
      <c r="G3" s="346"/>
      <c r="H3" s="347"/>
    </row>
    <row r="4" spans="2:8" s="149" customFormat="1" ht="31">
      <c r="B4" s="154"/>
      <c r="C4" s="156"/>
      <c r="D4" s="349"/>
      <c r="E4" s="153" t="s">
        <v>5</v>
      </c>
      <c r="F4" s="153" t="s">
        <v>6</v>
      </c>
      <c r="G4" s="153" t="s">
        <v>7</v>
      </c>
      <c r="H4" s="153" t="s">
        <v>8</v>
      </c>
    </row>
    <row r="5" spans="2:8">
      <c r="B5" s="150" t="s">
        <v>9</v>
      </c>
      <c r="C5" s="150" t="s">
        <v>10</v>
      </c>
      <c r="D5" s="150">
        <v>4038.3249999999998</v>
      </c>
      <c r="E5" s="150">
        <v>4038.511</v>
      </c>
      <c r="F5" s="150">
        <v>4038.511</v>
      </c>
      <c r="G5" s="151">
        <v>0</v>
      </c>
      <c r="H5" s="152">
        <f>+G5/D5</f>
        <v>0</v>
      </c>
    </row>
    <row r="6" spans="2:8">
      <c r="B6" s="150" t="s">
        <v>11</v>
      </c>
      <c r="C6" s="150" t="s">
        <v>12</v>
      </c>
      <c r="D6" s="150"/>
      <c r="E6" s="150"/>
      <c r="F6" s="150"/>
      <c r="G6" s="151">
        <v>0</v>
      </c>
      <c r="H6" s="152" t="e">
        <f>+G6/D6</f>
        <v>#DIV/0!</v>
      </c>
    </row>
    <row r="7" spans="2:8">
      <c r="B7" s="150" t="s">
        <v>13</v>
      </c>
      <c r="C7" s="150" t="s">
        <v>10</v>
      </c>
      <c r="D7" s="157">
        <v>3379.37</v>
      </c>
      <c r="E7" s="157">
        <v>3379.37</v>
      </c>
      <c r="F7" s="157">
        <v>3379.37</v>
      </c>
      <c r="G7" s="151">
        <f>+D7-F7</f>
        <v>0</v>
      </c>
      <c r="H7" s="152">
        <f>+G7/D7</f>
        <v>0</v>
      </c>
    </row>
    <row r="8" spans="2:8">
      <c r="B8" s="150" t="s">
        <v>14</v>
      </c>
      <c r="C8" s="150" t="s">
        <v>12</v>
      </c>
      <c r="D8" s="151"/>
      <c r="E8" s="151"/>
      <c r="F8" s="151"/>
      <c r="G8" s="151">
        <f>+D8-F8</f>
        <v>0</v>
      </c>
      <c r="H8" s="152" t="e">
        <f>+G8/D8</f>
        <v>#DIV/0!</v>
      </c>
    </row>
    <row r="9" spans="2:8">
      <c r="B9" s="150" t="s">
        <v>15</v>
      </c>
      <c r="C9" s="150" t="s">
        <v>12</v>
      </c>
      <c r="D9" s="151"/>
      <c r="E9" s="151"/>
      <c r="F9" s="151"/>
      <c r="G9" s="151">
        <f>+D9-F9</f>
        <v>0</v>
      </c>
      <c r="H9" s="152" t="e">
        <f>+G9/D9</f>
        <v>#DIV/0!</v>
      </c>
    </row>
    <row r="11" spans="2:8" ht="21">
      <c r="B11" s="350" t="s">
        <v>16</v>
      </c>
      <c r="C11" s="351"/>
      <c r="D11" s="351"/>
      <c r="E11" s="351"/>
      <c r="F11" s="351"/>
      <c r="G11" s="351"/>
      <c r="H11" s="352"/>
    </row>
    <row r="12" spans="2:8" ht="31.5" customHeight="1">
      <c r="B12" s="154" t="s">
        <v>1</v>
      </c>
      <c r="C12" s="155" t="s">
        <v>2</v>
      </c>
      <c r="D12" s="348" t="s">
        <v>3</v>
      </c>
      <c r="E12" s="345" t="s">
        <v>4</v>
      </c>
      <c r="F12" s="346"/>
      <c r="G12" s="346"/>
      <c r="H12" s="347"/>
    </row>
    <row r="13" spans="2:8" ht="31">
      <c r="B13" s="154"/>
      <c r="C13" s="156"/>
      <c r="D13" s="349"/>
      <c r="E13" s="153" t="s">
        <v>5</v>
      </c>
      <c r="F13" s="153" t="s">
        <v>6</v>
      </c>
      <c r="G13" s="153" t="s">
        <v>7</v>
      </c>
      <c r="H13" s="153" t="s">
        <v>8</v>
      </c>
    </row>
    <row r="14" spans="2:8">
      <c r="B14" s="150" t="s">
        <v>9</v>
      </c>
      <c r="C14" s="150" t="s">
        <v>10</v>
      </c>
      <c r="D14" s="150">
        <v>9815.226999999999</v>
      </c>
      <c r="E14" s="150">
        <v>9815.226999999999</v>
      </c>
      <c r="F14" s="150">
        <v>9815.226999999999</v>
      </c>
      <c r="G14" s="157">
        <f>E14-F14</f>
        <v>0</v>
      </c>
      <c r="H14" s="152">
        <f>+G14/D14</f>
        <v>0</v>
      </c>
    </row>
    <row r="15" spans="2:8">
      <c r="B15" s="150" t="s">
        <v>11</v>
      </c>
      <c r="C15" s="150" t="s">
        <v>12</v>
      </c>
      <c r="D15" s="151"/>
      <c r="E15" s="151"/>
      <c r="F15" s="151"/>
      <c r="G15" s="157">
        <f>E15-F15</f>
        <v>0</v>
      </c>
      <c r="H15" s="152" t="e">
        <f>+G15/D15</f>
        <v>#DIV/0!</v>
      </c>
    </row>
    <row r="16" spans="2:8">
      <c r="B16" s="150" t="s">
        <v>13</v>
      </c>
      <c r="C16" s="150" t="s">
        <v>10</v>
      </c>
      <c r="D16" s="150">
        <v>14196.834000000001</v>
      </c>
      <c r="E16" s="150">
        <v>13486.9923</v>
      </c>
      <c r="F16" s="150">
        <v>7514.4480000000003</v>
      </c>
      <c r="G16" s="157">
        <f>E16-F16</f>
        <v>5972.5442999999996</v>
      </c>
      <c r="H16" s="152">
        <f>+G16/D16</f>
        <v>0.42069550859015464</v>
      </c>
    </row>
    <row r="17" spans="2:8">
      <c r="B17" s="150" t="s">
        <v>14</v>
      </c>
      <c r="C17" s="150" t="s">
        <v>12</v>
      </c>
      <c r="D17" s="151"/>
      <c r="E17" s="151"/>
      <c r="F17" s="151"/>
      <c r="G17" s="157">
        <f>E17-F17</f>
        <v>0</v>
      </c>
      <c r="H17" s="152" t="e">
        <f>+G17/D17</f>
        <v>#DIV/0!</v>
      </c>
    </row>
    <row r="18" spans="2:8">
      <c r="B18" s="150" t="s">
        <v>15</v>
      </c>
      <c r="C18" s="150" t="s">
        <v>12</v>
      </c>
      <c r="D18" s="151"/>
      <c r="E18" s="151"/>
      <c r="F18" s="151"/>
      <c r="G18" s="157">
        <f>E18-F18</f>
        <v>0</v>
      </c>
      <c r="H18" s="152" t="e">
        <f>+G18/D18</f>
        <v>#DIV/0!</v>
      </c>
    </row>
    <row r="20" spans="2:8" ht="21">
      <c r="B20" s="350" t="s">
        <v>17</v>
      </c>
      <c r="C20" s="351"/>
      <c r="D20" s="351"/>
      <c r="E20" s="351"/>
      <c r="F20" s="351"/>
      <c r="G20" s="351"/>
      <c r="H20" s="352"/>
    </row>
    <row r="21" spans="2:8" ht="31.5" customHeight="1">
      <c r="B21" s="154" t="s">
        <v>1</v>
      </c>
      <c r="C21" s="155" t="s">
        <v>2</v>
      </c>
      <c r="D21" s="348" t="s">
        <v>3</v>
      </c>
      <c r="E21" s="345" t="s">
        <v>4</v>
      </c>
      <c r="F21" s="346"/>
      <c r="G21" s="346"/>
      <c r="H21" s="347"/>
    </row>
    <row r="22" spans="2:8" ht="31">
      <c r="B22" s="154"/>
      <c r="C22" s="156"/>
      <c r="D22" s="349"/>
      <c r="E22" s="153" t="s">
        <v>5</v>
      </c>
      <c r="F22" s="153" t="s">
        <v>6</v>
      </c>
      <c r="G22" s="153" t="s">
        <v>7</v>
      </c>
      <c r="H22" s="153" t="s">
        <v>8</v>
      </c>
    </row>
    <row r="23" spans="2:8">
      <c r="B23" s="150" t="s">
        <v>9</v>
      </c>
      <c r="C23" s="150" t="s">
        <v>10</v>
      </c>
      <c r="D23" s="150">
        <v>46822.939999999981</v>
      </c>
      <c r="E23" s="150">
        <v>28551.429</v>
      </c>
      <c r="F23" s="150">
        <v>23703.662</v>
      </c>
      <c r="G23" s="157">
        <f>E23-F23</f>
        <v>4847.7669999999998</v>
      </c>
      <c r="H23" s="152">
        <f>+G23/D23</f>
        <v>0.10353401559150284</v>
      </c>
    </row>
    <row r="24" spans="2:8">
      <c r="B24" s="150" t="s">
        <v>11</v>
      </c>
      <c r="C24" s="150" t="s">
        <v>12</v>
      </c>
      <c r="D24" s="157">
        <v>43637.059000000001</v>
      </c>
      <c r="E24" s="157">
        <v>40721.177000000003</v>
      </c>
      <c r="F24" s="157">
        <v>9005</v>
      </c>
      <c r="G24" s="157">
        <f>E24-F24</f>
        <v>31716.177000000003</v>
      </c>
      <c r="H24" s="152">
        <f>+G24/D24</f>
        <v>0.72681747411070952</v>
      </c>
    </row>
    <row r="25" spans="2:8">
      <c r="B25" s="150" t="s">
        <v>13</v>
      </c>
      <c r="C25" s="150" t="s">
        <v>10</v>
      </c>
      <c r="D25" s="151">
        <v>31875.647999999997</v>
      </c>
      <c r="E25" s="151">
        <v>15799.228999999996</v>
      </c>
      <c r="F25" s="151">
        <v>7755.9</v>
      </c>
      <c r="G25" s="157">
        <f>E25-F25</f>
        <v>8043.3289999999961</v>
      </c>
      <c r="H25" s="152">
        <f>+G25/D25</f>
        <v>0.25233460351927578</v>
      </c>
    </row>
    <row r="26" spans="2:8">
      <c r="B26" s="150" t="s">
        <v>14</v>
      </c>
      <c r="C26" s="150" t="s">
        <v>12</v>
      </c>
      <c r="D26" s="151"/>
      <c r="E26" s="151"/>
      <c r="F26" s="151"/>
      <c r="G26" s="150">
        <f>E26-F26</f>
        <v>0</v>
      </c>
      <c r="H26" s="152" t="e">
        <f>+G26/D26</f>
        <v>#DIV/0!</v>
      </c>
    </row>
    <row r="27" spans="2:8">
      <c r="B27" s="150" t="s">
        <v>15</v>
      </c>
      <c r="C27" s="150" t="s">
        <v>12</v>
      </c>
      <c r="D27" s="151"/>
      <c r="E27" s="151"/>
      <c r="F27" s="151"/>
      <c r="G27" s="150">
        <f>E27-F27</f>
        <v>0</v>
      </c>
      <c r="H27" s="152" t="e">
        <f>+G27/D27</f>
        <v>#DIV/0!</v>
      </c>
    </row>
    <row r="29" spans="2:8" ht="21">
      <c r="B29" s="350" t="s">
        <v>18</v>
      </c>
      <c r="C29" s="351"/>
      <c r="D29" s="351"/>
      <c r="E29" s="351"/>
      <c r="F29" s="351"/>
      <c r="G29" s="351"/>
      <c r="H29" s="352"/>
    </row>
    <row r="30" spans="2:8" ht="31.5" customHeight="1">
      <c r="B30" s="154" t="s">
        <v>1</v>
      </c>
      <c r="C30" s="155" t="s">
        <v>2</v>
      </c>
      <c r="D30" s="348" t="s">
        <v>3</v>
      </c>
      <c r="E30" s="345" t="s">
        <v>4</v>
      </c>
      <c r="F30" s="346"/>
      <c r="G30" s="346"/>
      <c r="H30" s="347"/>
    </row>
    <row r="31" spans="2:8" ht="31">
      <c r="B31" s="154"/>
      <c r="C31" s="156"/>
      <c r="D31" s="349"/>
      <c r="E31" s="153" t="s">
        <v>5</v>
      </c>
      <c r="F31" s="153" t="s">
        <v>6</v>
      </c>
      <c r="G31" s="153" t="s">
        <v>7</v>
      </c>
      <c r="H31" s="153" t="s">
        <v>8</v>
      </c>
    </row>
    <row r="32" spans="2:8">
      <c r="B32" s="150" t="s">
        <v>9</v>
      </c>
      <c r="C32" s="150" t="s">
        <v>10</v>
      </c>
      <c r="D32" s="148">
        <v>9880.3970000000008</v>
      </c>
      <c r="E32" s="151">
        <v>0</v>
      </c>
      <c r="F32" s="148">
        <v>2583.951</v>
      </c>
      <c r="G32" s="151" t="e">
        <f>'Grey yarn'!#REF!</f>
        <v>#REF!</v>
      </c>
      <c r="H32" s="152" t="e">
        <f>+G32/D32</f>
        <v>#REF!</v>
      </c>
    </row>
    <row r="33" spans="2:8">
      <c r="B33" s="150" t="s">
        <v>11</v>
      </c>
      <c r="C33" s="150" t="s">
        <v>12</v>
      </c>
      <c r="D33" s="151"/>
      <c r="E33" s="151"/>
      <c r="F33" s="151"/>
      <c r="G33" s="151"/>
      <c r="H33" s="152" t="e">
        <f>+G33/D33</f>
        <v>#DIV/0!</v>
      </c>
    </row>
    <row r="34" spans="2:8">
      <c r="B34" s="150" t="s">
        <v>13</v>
      </c>
      <c r="C34" s="150" t="s">
        <v>10</v>
      </c>
      <c r="D34" s="151"/>
      <c r="E34" s="151"/>
      <c r="F34" s="151"/>
      <c r="G34" s="151"/>
      <c r="H34" s="152" t="e">
        <f>+G34/D34</f>
        <v>#DIV/0!</v>
      </c>
    </row>
    <row r="35" spans="2:8">
      <c r="B35" s="150" t="s">
        <v>14</v>
      </c>
      <c r="C35" s="150" t="s">
        <v>12</v>
      </c>
      <c r="D35" s="151"/>
      <c r="E35" s="151"/>
      <c r="F35" s="151"/>
      <c r="G35" s="151"/>
      <c r="H35" s="152" t="e">
        <f>+G35/D35</f>
        <v>#DIV/0!</v>
      </c>
    </row>
    <row r="36" spans="2:8">
      <c r="B36" s="150" t="s">
        <v>15</v>
      </c>
      <c r="C36" s="150" t="s">
        <v>12</v>
      </c>
      <c r="D36" s="151"/>
      <c r="E36" s="151"/>
      <c r="F36" s="151"/>
      <c r="G36" s="151"/>
      <c r="H36" s="152" t="e">
        <f>+G36/D36</f>
        <v>#DIV/0!</v>
      </c>
    </row>
  </sheetData>
  <mergeCells count="12">
    <mergeCell ref="E30:H30"/>
    <mergeCell ref="E21:H21"/>
    <mergeCell ref="D30:D31"/>
    <mergeCell ref="B2:H2"/>
    <mergeCell ref="B11:H11"/>
    <mergeCell ref="B20:H20"/>
    <mergeCell ref="B29:H29"/>
    <mergeCell ref="D12:D13"/>
    <mergeCell ref="D21:D22"/>
    <mergeCell ref="E12:H12"/>
    <mergeCell ref="D3:D4"/>
    <mergeCell ref="E3:H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595"/>
  <sheetViews>
    <sheetView tabSelected="1" zoomScale="85" zoomScaleNormal="85" workbookViewId="0">
      <pane xSplit="5" ySplit="2" topLeftCell="F434" activePane="bottomRight" state="frozen"/>
      <selection pane="topRight" activeCell="Q1" sqref="Q1"/>
      <selection pane="bottomLeft" activeCell="A5" sqref="A5"/>
      <selection pane="bottomRight" sqref="A1:XFD1"/>
    </sheetView>
  </sheetViews>
  <sheetFormatPr defaultRowHeight="14"/>
  <cols>
    <col min="1" max="1" width="5.4140625" customWidth="1"/>
    <col min="2" max="2" width="7.4140625" customWidth="1"/>
    <col min="3" max="3" width="20.4140625" customWidth="1"/>
    <col min="4" max="4" width="13.4140625" customWidth="1"/>
    <col min="5" max="5" width="8.25" customWidth="1"/>
    <col min="6" max="6" width="8.25" style="74" customWidth="1"/>
    <col min="7" max="7" width="7.1640625" style="75" customWidth="1"/>
    <col min="8" max="8" width="8" style="74" customWidth="1"/>
    <col min="9" max="9" width="8" customWidth="1"/>
    <col min="10" max="10" width="8.83203125" customWidth="1"/>
    <col min="12" max="12" width="9.83203125" customWidth="1"/>
    <col min="13" max="13" width="9" customWidth="1"/>
    <col min="14" max="14" width="11.1640625" customWidth="1"/>
    <col min="15" max="15" width="7.4140625" customWidth="1"/>
    <col min="16" max="16" width="35.1640625" customWidth="1"/>
  </cols>
  <sheetData>
    <row r="1" spans="1:16" ht="64.5" customHeight="1">
      <c r="A1" s="255" t="s">
        <v>20</v>
      </c>
      <c r="B1" s="247" t="s">
        <v>767</v>
      </c>
      <c r="C1" s="247" t="s">
        <v>697</v>
      </c>
      <c r="D1" s="247" t="s">
        <v>23</v>
      </c>
      <c r="E1" s="248" t="s">
        <v>24</v>
      </c>
      <c r="F1" s="292" t="s">
        <v>25</v>
      </c>
      <c r="G1" s="248" t="s">
        <v>26</v>
      </c>
      <c r="H1" s="248" t="s">
        <v>960</v>
      </c>
      <c r="I1" s="353" t="s">
        <v>29</v>
      </c>
      <c r="J1" s="354"/>
      <c r="K1" s="355"/>
      <c r="L1" s="353" t="s">
        <v>30</v>
      </c>
      <c r="M1" s="354"/>
      <c r="N1" s="355"/>
      <c r="O1" s="353" t="s">
        <v>31</v>
      </c>
      <c r="P1" s="354"/>
    </row>
    <row r="2" spans="1:16" ht="42.75" customHeight="1">
      <c r="A2" s="256"/>
      <c r="B2" s="257"/>
      <c r="C2" s="257"/>
      <c r="D2" s="257"/>
      <c r="E2" s="258"/>
      <c r="F2" s="293"/>
      <c r="G2" s="258"/>
      <c r="H2" s="258"/>
      <c r="I2" s="225" t="s">
        <v>50</v>
      </c>
      <c r="J2" s="226" t="s">
        <v>32</v>
      </c>
      <c r="K2" s="226" t="s">
        <v>52</v>
      </c>
      <c r="L2" s="225" t="s">
        <v>50</v>
      </c>
      <c r="M2" s="226" t="s">
        <v>32</v>
      </c>
      <c r="N2" s="226" t="s">
        <v>52</v>
      </c>
      <c r="O2" s="225" t="s">
        <v>53</v>
      </c>
      <c r="P2" s="225" t="s">
        <v>54</v>
      </c>
    </row>
    <row r="3" spans="1:16" ht="14.5">
      <c r="A3" s="19" t="s">
        <v>818</v>
      </c>
      <c r="B3" s="291">
        <v>95</v>
      </c>
      <c r="C3" s="291" t="s">
        <v>78</v>
      </c>
      <c r="D3" s="291" t="s">
        <v>91</v>
      </c>
      <c r="E3" s="145">
        <v>45828</v>
      </c>
      <c r="F3" s="44">
        <v>1184</v>
      </c>
      <c r="G3" s="46">
        <v>1184</v>
      </c>
      <c r="H3" s="44">
        <f>F3-G3</f>
        <v>0</v>
      </c>
      <c r="I3" s="45">
        <f>L3-5</f>
        <v>45760</v>
      </c>
      <c r="J3" s="45">
        <v>45759</v>
      </c>
      <c r="K3" s="7">
        <f t="shared" ref="K3:K66" ca="1" si="0">+IF(J3="",I3-TODAY(),I3-J3)</f>
        <v>1</v>
      </c>
      <c r="L3" s="9">
        <f>+E3-32-18-13</f>
        <v>45765</v>
      </c>
      <c r="M3" s="45">
        <v>45765</v>
      </c>
      <c r="N3" s="7">
        <f ca="1">+IF(M3="",L3-TODAY(),L3-M3)</f>
        <v>0</v>
      </c>
      <c r="O3" s="85"/>
      <c r="P3" s="8"/>
    </row>
    <row r="4" spans="1:16" ht="14.5">
      <c r="A4" s="19" t="s">
        <v>818</v>
      </c>
      <c r="B4" s="291">
        <v>95</v>
      </c>
      <c r="C4" s="291" t="s">
        <v>819</v>
      </c>
      <c r="D4" s="291" t="s">
        <v>91</v>
      </c>
      <c r="E4" s="145">
        <v>45828</v>
      </c>
      <c r="F4" s="44">
        <v>1037</v>
      </c>
      <c r="G4" s="46">
        <v>1037</v>
      </c>
      <c r="H4" s="44">
        <f>F4-G4</f>
        <v>0</v>
      </c>
      <c r="I4" s="45">
        <f>L4-5</f>
        <v>45760</v>
      </c>
      <c r="J4" s="45">
        <v>45759</v>
      </c>
      <c r="K4" s="7">
        <f t="shared" ca="1" si="0"/>
        <v>1</v>
      </c>
      <c r="L4" s="9">
        <f>+E4-32-18-13</f>
        <v>45765</v>
      </c>
      <c r="M4" s="45">
        <v>45765</v>
      </c>
      <c r="N4" s="7">
        <f ca="1">+IF(M4="",L4-TODAY(),L4-M4)</f>
        <v>0</v>
      </c>
      <c r="O4" s="85"/>
      <c r="P4" s="8"/>
    </row>
    <row r="5" spans="1:16" ht="14.5">
      <c r="A5" s="19" t="s">
        <v>59</v>
      </c>
      <c r="B5" s="291">
        <v>97</v>
      </c>
      <c r="C5" s="291" t="s">
        <v>92</v>
      </c>
      <c r="D5" s="291" t="s">
        <v>91</v>
      </c>
      <c r="E5" s="145">
        <v>45821</v>
      </c>
      <c r="F5" s="44">
        <v>243</v>
      </c>
      <c r="G5" s="46">
        <v>243</v>
      </c>
      <c r="H5" s="44">
        <f>F5-G5</f>
        <v>0</v>
      </c>
      <c r="I5" s="45">
        <v>45765</v>
      </c>
      <c r="J5" s="45">
        <v>45765</v>
      </c>
      <c r="K5" s="7">
        <f t="shared" ca="1" si="0"/>
        <v>0</v>
      </c>
      <c r="L5" s="9">
        <f t="shared" ref="L5:L21" si="1">I5+5</f>
        <v>45770</v>
      </c>
      <c r="M5" s="45">
        <v>45770</v>
      </c>
      <c r="N5" s="7">
        <f ca="1">+IF(M5="",L5-TODAY(),L5-M5)</f>
        <v>0</v>
      </c>
      <c r="O5" s="85"/>
      <c r="P5" s="8"/>
    </row>
    <row r="6" spans="1:16" ht="14.5">
      <c r="A6" s="19" t="s">
        <v>59</v>
      </c>
      <c r="B6" s="291">
        <v>97</v>
      </c>
      <c r="C6" s="291" t="s">
        <v>79</v>
      </c>
      <c r="D6" s="291" t="s">
        <v>91</v>
      </c>
      <c r="E6" s="145">
        <v>45821</v>
      </c>
      <c r="F6" s="44">
        <v>218</v>
      </c>
      <c r="G6" s="46">
        <v>218</v>
      </c>
      <c r="H6" s="44">
        <f t="shared" ref="H6:H21" si="2">F6-G6</f>
        <v>0</v>
      </c>
      <c r="I6" s="45">
        <v>45765</v>
      </c>
      <c r="J6" s="45">
        <v>45765</v>
      </c>
      <c r="K6" s="7">
        <f t="shared" ca="1" si="0"/>
        <v>0</v>
      </c>
      <c r="L6" s="9">
        <f t="shared" si="1"/>
        <v>45770</v>
      </c>
      <c r="M6" s="45">
        <v>45770</v>
      </c>
      <c r="N6" s="7">
        <f t="shared" ref="N6:N21" ca="1" si="3">+IF(M6="",L6-TODAY(),L6-M6)</f>
        <v>0</v>
      </c>
      <c r="O6" s="85"/>
      <c r="P6" s="8"/>
    </row>
    <row r="7" spans="1:16" ht="14.5">
      <c r="A7" s="19" t="s">
        <v>59</v>
      </c>
      <c r="B7" s="291">
        <v>98</v>
      </c>
      <c r="C7" s="291" t="s">
        <v>92</v>
      </c>
      <c r="D7" s="291" t="s">
        <v>91</v>
      </c>
      <c r="E7" s="145">
        <v>45835</v>
      </c>
      <c r="F7" s="44">
        <v>96.1</v>
      </c>
      <c r="G7" s="46">
        <v>96</v>
      </c>
      <c r="H7" s="44">
        <f t="shared" si="2"/>
        <v>9.9999999999994316E-2</v>
      </c>
      <c r="I7" s="45">
        <v>45765</v>
      </c>
      <c r="J7" s="45">
        <v>45765</v>
      </c>
      <c r="K7" s="7">
        <f t="shared" ca="1" si="0"/>
        <v>0</v>
      </c>
      <c r="L7" s="9">
        <f t="shared" si="1"/>
        <v>45770</v>
      </c>
      <c r="M7" s="45">
        <v>45770</v>
      </c>
      <c r="N7" s="7">
        <f t="shared" ca="1" si="3"/>
        <v>0</v>
      </c>
      <c r="O7" s="85"/>
      <c r="P7" s="8"/>
    </row>
    <row r="8" spans="1:16" ht="14.5">
      <c r="A8" s="19" t="s">
        <v>59</v>
      </c>
      <c r="B8" s="291">
        <v>98</v>
      </c>
      <c r="C8" s="291" t="s">
        <v>77</v>
      </c>
      <c r="D8" s="291" t="s">
        <v>91</v>
      </c>
      <c r="E8" s="145">
        <v>45835</v>
      </c>
      <c r="F8" s="44">
        <v>1007.26</v>
      </c>
      <c r="G8" s="46">
        <v>1007</v>
      </c>
      <c r="H8" s="44">
        <f t="shared" si="2"/>
        <v>0.25999999999999091</v>
      </c>
      <c r="I8" s="45">
        <v>45765</v>
      </c>
      <c r="J8" s="45">
        <v>45765</v>
      </c>
      <c r="K8" s="7">
        <f t="shared" ca="1" si="0"/>
        <v>0</v>
      </c>
      <c r="L8" s="9">
        <f t="shared" si="1"/>
        <v>45770</v>
      </c>
      <c r="M8" s="45">
        <v>45770</v>
      </c>
      <c r="N8" s="7">
        <f t="shared" ca="1" si="3"/>
        <v>0</v>
      </c>
      <c r="O8" s="85"/>
      <c r="P8" s="8"/>
    </row>
    <row r="9" spans="1:16" ht="14.5">
      <c r="A9" s="19" t="s">
        <v>59</v>
      </c>
      <c r="B9" s="291">
        <v>98</v>
      </c>
      <c r="C9" s="291" t="s">
        <v>79</v>
      </c>
      <c r="D9" s="291" t="s">
        <v>91</v>
      </c>
      <c r="E9" s="145">
        <v>45835</v>
      </c>
      <c r="F9" s="44">
        <v>154.16999999999999</v>
      </c>
      <c r="G9" s="46">
        <v>154</v>
      </c>
      <c r="H9" s="44">
        <f t="shared" si="2"/>
        <v>0.16999999999998749</v>
      </c>
      <c r="I9" s="45">
        <v>45765</v>
      </c>
      <c r="J9" s="45">
        <v>45765</v>
      </c>
      <c r="K9" s="7">
        <f t="shared" ca="1" si="0"/>
        <v>0</v>
      </c>
      <c r="L9" s="9">
        <f t="shared" si="1"/>
        <v>45770</v>
      </c>
      <c r="M9" s="45">
        <v>45770</v>
      </c>
      <c r="N9" s="7">
        <f t="shared" ca="1" si="3"/>
        <v>0</v>
      </c>
      <c r="O9" s="85"/>
      <c r="P9" s="8"/>
    </row>
    <row r="10" spans="1:16" ht="14.5">
      <c r="A10" s="19" t="s">
        <v>59</v>
      </c>
      <c r="B10" s="291">
        <v>99</v>
      </c>
      <c r="C10" s="291" t="s">
        <v>92</v>
      </c>
      <c r="D10" s="291" t="s">
        <v>91</v>
      </c>
      <c r="E10" s="145">
        <v>45835</v>
      </c>
      <c r="F10" s="44">
        <v>0</v>
      </c>
      <c r="G10" s="46">
        <v>0</v>
      </c>
      <c r="H10" s="44">
        <f t="shared" si="2"/>
        <v>0</v>
      </c>
      <c r="I10" s="45">
        <v>45765</v>
      </c>
      <c r="J10" s="45">
        <v>45765</v>
      </c>
      <c r="K10" s="7">
        <f t="shared" ca="1" si="0"/>
        <v>0</v>
      </c>
      <c r="L10" s="9">
        <f t="shared" si="1"/>
        <v>45770</v>
      </c>
      <c r="M10" s="45">
        <v>45770</v>
      </c>
      <c r="N10" s="7">
        <f t="shared" ca="1" si="3"/>
        <v>0</v>
      </c>
      <c r="O10" s="85"/>
      <c r="P10" s="8"/>
    </row>
    <row r="11" spans="1:16" ht="14.5">
      <c r="A11" s="19" t="s">
        <v>59</v>
      </c>
      <c r="B11" s="291">
        <v>99</v>
      </c>
      <c r="C11" s="291" t="s">
        <v>77</v>
      </c>
      <c r="D11" s="291" t="s">
        <v>91</v>
      </c>
      <c r="E11" s="145">
        <v>45835</v>
      </c>
      <c r="F11" s="44">
        <v>66.38</v>
      </c>
      <c r="G11" s="46">
        <v>66</v>
      </c>
      <c r="H11" s="44">
        <f t="shared" si="2"/>
        <v>0.37999999999999545</v>
      </c>
      <c r="I11" s="45">
        <v>45765</v>
      </c>
      <c r="J11" s="45">
        <v>45765</v>
      </c>
      <c r="K11" s="7">
        <f t="shared" ca="1" si="0"/>
        <v>0</v>
      </c>
      <c r="L11" s="9">
        <f t="shared" si="1"/>
        <v>45770</v>
      </c>
      <c r="M11" s="45">
        <v>45770</v>
      </c>
      <c r="N11" s="7">
        <f t="shared" ca="1" si="3"/>
        <v>0</v>
      </c>
      <c r="O11" s="85"/>
      <c r="P11" s="8"/>
    </row>
    <row r="12" spans="1:16" ht="14.5">
      <c r="A12" s="19" t="s">
        <v>59</v>
      </c>
      <c r="B12" s="291">
        <v>99</v>
      </c>
      <c r="C12" s="291" t="s">
        <v>79</v>
      </c>
      <c r="D12" s="291" t="s">
        <v>91</v>
      </c>
      <c r="E12" s="145">
        <v>45835</v>
      </c>
      <c r="F12" s="44">
        <v>59.6</v>
      </c>
      <c r="G12" s="46">
        <v>60</v>
      </c>
      <c r="H12" s="44">
        <f t="shared" si="2"/>
        <v>-0.39999999999999858</v>
      </c>
      <c r="I12" s="45">
        <v>45765</v>
      </c>
      <c r="J12" s="45">
        <v>45765</v>
      </c>
      <c r="K12" s="7">
        <f t="shared" ca="1" si="0"/>
        <v>0</v>
      </c>
      <c r="L12" s="9">
        <f t="shared" si="1"/>
        <v>45770</v>
      </c>
      <c r="M12" s="45">
        <v>45770</v>
      </c>
      <c r="N12" s="7">
        <f t="shared" ca="1" si="3"/>
        <v>0</v>
      </c>
      <c r="O12" s="85"/>
      <c r="P12" s="8"/>
    </row>
    <row r="13" spans="1:16" ht="14.5">
      <c r="A13" s="19" t="s">
        <v>59</v>
      </c>
      <c r="B13" s="291">
        <v>100</v>
      </c>
      <c r="C13" s="291" t="s">
        <v>77</v>
      </c>
      <c r="D13" s="291" t="s">
        <v>91</v>
      </c>
      <c r="E13" s="145">
        <v>45835</v>
      </c>
      <c r="F13" s="44">
        <v>97</v>
      </c>
      <c r="G13" s="46">
        <v>97</v>
      </c>
      <c r="H13" s="44">
        <f t="shared" si="2"/>
        <v>0</v>
      </c>
      <c r="I13" s="45">
        <v>45765</v>
      </c>
      <c r="J13" s="45">
        <v>45765</v>
      </c>
      <c r="K13" s="7">
        <f t="shared" ca="1" si="0"/>
        <v>0</v>
      </c>
      <c r="L13" s="9">
        <f t="shared" si="1"/>
        <v>45770</v>
      </c>
      <c r="M13" s="45">
        <v>45770</v>
      </c>
      <c r="N13" s="7">
        <f t="shared" ca="1" si="3"/>
        <v>0</v>
      </c>
      <c r="O13" s="85"/>
      <c r="P13" s="8"/>
    </row>
    <row r="14" spans="1:16" ht="14.5">
      <c r="A14" s="19" t="s">
        <v>59</v>
      </c>
      <c r="B14" s="291">
        <v>100</v>
      </c>
      <c r="C14" s="291" t="s">
        <v>79</v>
      </c>
      <c r="D14" s="291" t="s">
        <v>91</v>
      </c>
      <c r="E14" s="145">
        <v>45835</v>
      </c>
      <c r="F14" s="44">
        <v>87</v>
      </c>
      <c r="G14" s="46">
        <v>87</v>
      </c>
      <c r="H14" s="44">
        <f t="shared" si="2"/>
        <v>0</v>
      </c>
      <c r="I14" s="45">
        <v>45765</v>
      </c>
      <c r="J14" s="45">
        <v>45765</v>
      </c>
      <c r="K14" s="7">
        <f t="shared" ca="1" si="0"/>
        <v>0</v>
      </c>
      <c r="L14" s="9">
        <f t="shared" si="1"/>
        <v>45770</v>
      </c>
      <c r="M14" s="45">
        <v>45770</v>
      </c>
      <c r="N14" s="7">
        <f t="shared" ca="1" si="3"/>
        <v>0</v>
      </c>
      <c r="O14" s="85"/>
      <c r="P14" s="8"/>
    </row>
    <row r="15" spans="1:16" ht="14.5">
      <c r="A15" s="19" t="s">
        <v>59</v>
      </c>
      <c r="B15" s="291">
        <v>100</v>
      </c>
      <c r="C15" s="291" t="s">
        <v>95</v>
      </c>
      <c r="D15" s="291" t="s">
        <v>91</v>
      </c>
      <c r="E15" s="145">
        <v>45835</v>
      </c>
      <c r="F15" s="44">
        <v>42.1</v>
      </c>
      <c r="G15" s="46">
        <v>42</v>
      </c>
      <c r="H15" s="44">
        <f t="shared" si="2"/>
        <v>0.10000000000000142</v>
      </c>
      <c r="I15" s="45">
        <v>45765</v>
      </c>
      <c r="J15" s="45">
        <v>45765</v>
      </c>
      <c r="K15" s="7">
        <f t="shared" ca="1" si="0"/>
        <v>0</v>
      </c>
      <c r="L15" s="9">
        <f t="shared" si="1"/>
        <v>45770</v>
      </c>
      <c r="M15" s="45">
        <v>45770</v>
      </c>
      <c r="N15" s="7">
        <f t="shared" ca="1" si="3"/>
        <v>0</v>
      </c>
      <c r="O15" s="85"/>
      <c r="P15" s="8"/>
    </row>
    <row r="16" spans="1:16" ht="14.5">
      <c r="A16" s="19" t="s">
        <v>59</v>
      </c>
      <c r="B16" s="291">
        <v>100</v>
      </c>
      <c r="C16" s="291" t="s">
        <v>96</v>
      </c>
      <c r="D16" s="291" t="s">
        <v>91</v>
      </c>
      <c r="E16" s="145">
        <v>45835</v>
      </c>
      <c r="F16" s="44">
        <v>194.8</v>
      </c>
      <c r="G16" s="46">
        <v>195</v>
      </c>
      <c r="H16" s="44">
        <f t="shared" si="2"/>
        <v>-0.19999999999998863</v>
      </c>
      <c r="I16" s="45">
        <v>45765</v>
      </c>
      <c r="J16" s="45">
        <v>45765</v>
      </c>
      <c r="K16" s="7">
        <f t="shared" ca="1" si="0"/>
        <v>0</v>
      </c>
      <c r="L16" s="9">
        <f t="shared" si="1"/>
        <v>45770</v>
      </c>
      <c r="M16" s="45">
        <v>45770</v>
      </c>
      <c r="N16" s="7">
        <f t="shared" ca="1" si="3"/>
        <v>0</v>
      </c>
      <c r="O16" s="85"/>
      <c r="P16" s="8"/>
    </row>
    <row r="17" spans="1:16" ht="14.5">
      <c r="A17" s="19" t="s">
        <v>59</v>
      </c>
      <c r="B17" s="291">
        <v>101</v>
      </c>
      <c r="C17" s="324" t="s">
        <v>77</v>
      </c>
      <c r="D17" s="291" t="s">
        <v>91</v>
      </c>
      <c r="E17" s="145">
        <v>45842</v>
      </c>
      <c r="F17" s="44">
        <v>97</v>
      </c>
      <c r="G17" s="46">
        <v>97</v>
      </c>
      <c r="H17" s="44">
        <f t="shared" si="2"/>
        <v>0</v>
      </c>
      <c r="I17" s="45">
        <v>45765</v>
      </c>
      <c r="J17" s="45">
        <v>45765</v>
      </c>
      <c r="K17" s="7">
        <f t="shared" ca="1" si="0"/>
        <v>0</v>
      </c>
      <c r="L17" s="9">
        <f t="shared" si="1"/>
        <v>45770</v>
      </c>
      <c r="M17" s="45">
        <v>45770</v>
      </c>
      <c r="N17" s="7">
        <f t="shared" ca="1" si="3"/>
        <v>0</v>
      </c>
      <c r="O17" s="85"/>
      <c r="P17" s="8"/>
    </row>
    <row r="18" spans="1:16" ht="14.5">
      <c r="A18" s="19" t="s">
        <v>59</v>
      </c>
      <c r="B18" s="291">
        <v>101</v>
      </c>
      <c r="C18" s="324" t="s">
        <v>79</v>
      </c>
      <c r="D18" s="291" t="s">
        <v>91</v>
      </c>
      <c r="E18" s="145">
        <v>45842</v>
      </c>
      <c r="F18" s="44">
        <v>87</v>
      </c>
      <c r="G18" s="46">
        <v>87</v>
      </c>
      <c r="H18" s="44">
        <f t="shared" si="2"/>
        <v>0</v>
      </c>
      <c r="I18" s="45">
        <v>45765</v>
      </c>
      <c r="J18" s="45">
        <v>45765</v>
      </c>
      <c r="K18" s="7">
        <f t="shared" ca="1" si="0"/>
        <v>0</v>
      </c>
      <c r="L18" s="9">
        <f t="shared" si="1"/>
        <v>45770</v>
      </c>
      <c r="M18" s="45">
        <v>45770</v>
      </c>
      <c r="N18" s="7">
        <f t="shared" ca="1" si="3"/>
        <v>0</v>
      </c>
      <c r="O18" s="85"/>
      <c r="P18" s="8"/>
    </row>
    <row r="19" spans="1:16" ht="14.5">
      <c r="A19" s="19" t="s">
        <v>59</v>
      </c>
      <c r="B19" s="291">
        <v>101</v>
      </c>
      <c r="C19" s="324" t="s">
        <v>93</v>
      </c>
      <c r="D19" s="291" t="s">
        <v>91</v>
      </c>
      <c r="E19" s="145">
        <v>45842</v>
      </c>
      <c r="F19" s="44">
        <v>133.5</v>
      </c>
      <c r="G19" s="46">
        <v>134</v>
      </c>
      <c r="H19" s="44">
        <f t="shared" si="2"/>
        <v>-0.5</v>
      </c>
      <c r="I19" s="45">
        <v>45765</v>
      </c>
      <c r="J19" s="45">
        <v>45765</v>
      </c>
      <c r="K19" s="7">
        <f t="shared" ca="1" si="0"/>
        <v>0</v>
      </c>
      <c r="L19" s="9">
        <f t="shared" si="1"/>
        <v>45770</v>
      </c>
      <c r="M19" s="45">
        <v>45770</v>
      </c>
      <c r="N19" s="7">
        <f t="shared" ca="1" si="3"/>
        <v>0</v>
      </c>
      <c r="O19" s="85"/>
      <c r="P19" s="8"/>
    </row>
    <row r="20" spans="1:16" ht="14.5">
      <c r="A20" s="19" t="s">
        <v>59</v>
      </c>
      <c r="B20" s="291">
        <v>102</v>
      </c>
      <c r="C20" s="324" t="s">
        <v>75</v>
      </c>
      <c r="D20" s="291" t="s">
        <v>91</v>
      </c>
      <c r="E20" s="145">
        <v>45842</v>
      </c>
      <c r="F20" s="44">
        <v>66.599999999999994</v>
      </c>
      <c r="G20" s="46">
        <v>67</v>
      </c>
      <c r="H20" s="44">
        <f t="shared" si="2"/>
        <v>-0.40000000000000568</v>
      </c>
      <c r="I20" s="45">
        <v>45765</v>
      </c>
      <c r="J20" s="45">
        <v>45765</v>
      </c>
      <c r="K20" s="7">
        <f t="shared" ca="1" si="0"/>
        <v>0</v>
      </c>
      <c r="L20" s="9">
        <f t="shared" si="1"/>
        <v>45770</v>
      </c>
      <c r="M20" s="45">
        <v>45770</v>
      </c>
      <c r="N20" s="7">
        <f t="shared" ca="1" si="3"/>
        <v>0</v>
      </c>
      <c r="O20" s="85"/>
      <c r="P20" s="8"/>
    </row>
    <row r="21" spans="1:16" ht="14.5">
      <c r="A21" s="19" t="s">
        <v>59</v>
      </c>
      <c r="B21" s="291">
        <v>102</v>
      </c>
      <c r="C21" s="324" t="s">
        <v>76</v>
      </c>
      <c r="D21" s="291" t="s">
        <v>91</v>
      </c>
      <c r="E21" s="145">
        <v>45842</v>
      </c>
      <c r="F21" s="44">
        <v>195</v>
      </c>
      <c r="G21" s="46">
        <v>195</v>
      </c>
      <c r="H21" s="44">
        <f t="shared" si="2"/>
        <v>0</v>
      </c>
      <c r="I21" s="45">
        <v>45765</v>
      </c>
      <c r="J21" s="45">
        <v>45765</v>
      </c>
      <c r="K21" s="7">
        <f t="shared" ca="1" si="0"/>
        <v>0</v>
      </c>
      <c r="L21" s="9">
        <f t="shared" si="1"/>
        <v>45770</v>
      </c>
      <c r="M21" s="45">
        <v>45770</v>
      </c>
      <c r="N21" s="7">
        <f t="shared" ca="1" si="3"/>
        <v>0</v>
      </c>
      <c r="O21" s="85"/>
      <c r="P21" s="8"/>
    </row>
    <row r="22" spans="1:16" ht="14.5">
      <c r="A22" s="19" t="s">
        <v>74</v>
      </c>
      <c r="B22" s="291">
        <v>96</v>
      </c>
      <c r="C22" s="324" t="s">
        <v>860</v>
      </c>
      <c r="D22" s="291" t="s">
        <v>91</v>
      </c>
      <c r="E22" s="145">
        <v>45865</v>
      </c>
      <c r="F22" s="44">
        <v>261.91000400000001</v>
      </c>
      <c r="G22" s="46">
        <v>262</v>
      </c>
      <c r="H22" s="44">
        <f>F22-G22</f>
        <v>-8.9995999999985088E-2</v>
      </c>
      <c r="I22" s="45">
        <v>45777</v>
      </c>
      <c r="J22" s="45">
        <v>45777</v>
      </c>
      <c r="K22" s="7">
        <f t="shared" ca="1" si="0"/>
        <v>0</v>
      </c>
      <c r="L22" s="9">
        <f t="shared" ref="L22:L27" si="4">I22+6</f>
        <v>45783</v>
      </c>
      <c r="M22" s="45">
        <v>45783</v>
      </c>
      <c r="N22" s="7">
        <f ca="1">+IF(M22="",L22-TODAY(),L22-M22)</f>
        <v>0</v>
      </c>
      <c r="O22" s="85"/>
      <c r="P22" s="8"/>
    </row>
    <row r="23" spans="1:16" ht="14.5">
      <c r="A23" s="19" t="s">
        <v>74</v>
      </c>
      <c r="B23" s="291">
        <v>96</v>
      </c>
      <c r="C23" s="324" t="s">
        <v>864</v>
      </c>
      <c r="D23" s="291" t="s">
        <v>91</v>
      </c>
      <c r="E23" s="145">
        <v>45865</v>
      </c>
      <c r="F23" s="44">
        <v>489.73998999999998</v>
      </c>
      <c r="G23" s="46">
        <v>490</v>
      </c>
      <c r="H23" s="44">
        <f t="shared" ref="H23:H67" si="5">F23-G23</f>
        <v>-0.2600100000000225</v>
      </c>
      <c r="I23" s="45">
        <v>45777</v>
      </c>
      <c r="J23" s="45">
        <v>45777</v>
      </c>
      <c r="K23" s="7">
        <f t="shared" ca="1" si="0"/>
        <v>0</v>
      </c>
      <c r="L23" s="9">
        <f t="shared" si="4"/>
        <v>45783</v>
      </c>
      <c r="M23" s="45">
        <v>45779</v>
      </c>
      <c r="N23" s="7">
        <f t="shared" ref="N23:N67" ca="1" si="6">+IF(M23="",L23-TODAY(),L23-M23)</f>
        <v>4</v>
      </c>
      <c r="O23" s="85"/>
      <c r="P23" s="8"/>
    </row>
    <row r="24" spans="1:16" ht="14.5">
      <c r="A24" s="19" t="s">
        <v>74</v>
      </c>
      <c r="B24" s="291">
        <v>107</v>
      </c>
      <c r="C24" s="324" t="s">
        <v>860</v>
      </c>
      <c r="D24" s="291" t="s">
        <v>91</v>
      </c>
      <c r="E24" s="145">
        <v>45865</v>
      </c>
      <c r="F24" s="44">
        <v>426.25</v>
      </c>
      <c r="G24" s="46">
        <v>426</v>
      </c>
      <c r="H24" s="44">
        <f t="shared" si="5"/>
        <v>0.25</v>
      </c>
      <c r="I24" s="45">
        <v>45777</v>
      </c>
      <c r="J24" s="45">
        <v>45777</v>
      </c>
      <c r="K24" s="7">
        <f t="shared" ca="1" si="0"/>
        <v>0</v>
      </c>
      <c r="L24" s="9">
        <f t="shared" si="4"/>
        <v>45783</v>
      </c>
      <c r="M24" s="45">
        <v>45783</v>
      </c>
      <c r="N24" s="7">
        <f t="shared" ca="1" si="6"/>
        <v>0</v>
      </c>
      <c r="O24" s="85"/>
      <c r="P24" s="8"/>
    </row>
    <row r="25" spans="1:16" ht="14.5">
      <c r="A25" s="19" t="s">
        <v>74</v>
      </c>
      <c r="B25" s="291">
        <v>107</v>
      </c>
      <c r="C25" s="324" t="s">
        <v>864</v>
      </c>
      <c r="D25" s="291" t="s">
        <v>91</v>
      </c>
      <c r="E25" s="145">
        <v>45865</v>
      </c>
      <c r="F25" s="44">
        <v>797.04998799999998</v>
      </c>
      <c r="G25" s="46">
        <v>797</v>
      </c>
      <c r="H25" s="44">
        <f t="shared" si="5"/>
        <v>4.9987999999984822E-2</v>
      </c>
      <c r="I25" s="45">
        <v>45777</v>
      </c>
      <c r="J25" s="45">
        <v>45777</v>
      </c>
      <c r="K25" s="7">
        <f t="shared" ca="1" si="0"/>
        <v>0</v>
      </c>
      <c r="L25" s="9">
        <f t="shared" si="4"/>
        <v>45783</v>
      </c>
      <c r="M25" s="45">
        <v>45779</v>
      </c>
      <c r="N25" s="7">
        <f t="shared" ca="1" si="6"/>
        <v>4</v>
      </c>
      <c r="O25" s="85"/>
      <c r="P25" s="8"/>
    </row>
    <row r="26" spans="1:16" ht="14.5">
      <c r="A26" s="19" t="s">
        <v>74</v>
      </c>
      <c r="B26" s="291">
        <v>108</v>
      </c>
      <c r="C26" s="324" t="s">
        <v>860</v>
      </c>
      <c r="D26" s="291" t="s">
        <v>91</v>
      </c>
      <c r="E26" s="145">
        <v>45865</v>
      </c>
      <c r="F26" s="44">
        <v>335.07998700000002</v>
      </c>
      <c r="G26" s="46">
        <v>335</v>
      </c>
      <c r="H26" s="44">
        <f t="shared" si="5"/>
        <v>7.9987000000016906E-2</v>
      </c>
      <c r="I26" s="45">
        <v>45777</v>
      </c>
      <c r="J26" s="45">
        <v>45777</v>
      </c>
      <c r="K26" s="7">
        <f t="shared" ca="1" si="0"/>
        <v>0</v>
      </c>
      <c r="L26" s="9">
        <f t="shared" si="4"/>
        <v>45783</v>
      </c>
      <c r="M26" s="45">
        <v>45783</v>
      </c>
      <c r="N26" s="7">
        <f t="shared" ca="1" si="6"/>
        <v>0</v>
      </c>
      <c r="O26" s="85"/>
      <c r="P26" s="8"/>
    </row>
    <row r="27" spans="1:16" ht="14.5">
      <c r="A27" s="19" t="s">
        <v>74</v>
      </c>
      <c r="B27" s="291">
        <v>108</v>
      </c>
      <c r="C27" s="324" t="s">
        <v>864</v>
      </c>
      <c r="D27" s="291" t="s">
        <v>91</v>
      </c>
      <c r="E27" s="145">
        <v>45865</v>
      </c>
      <c r="F27" s="44">
        <v>626.57000700000003</v>
      </c>
      <c r="G27" s="46">
        <v>627</v>
      </c>
      <c r="H27" s="44">
        <f t="shared" si="5"/>
        <v>-0.42999299999996765</v>
      </c>
      <c r="I27" s="45">
        <v>45777</v>
      </c>
      <c r="J27" s="45">
        <v>45777</v>
      </c>
      <c r="K27" s="7">
        <f t="shared" ca="1" si="0"/>
        <v>0</v>
      </c>
      <c r="L27" s="9">
        <f t="shared" si="4"/>
        <v>45783</v>
      </c>
      <c r="M27" s="45">
        <v>45779</v>
      </c>
      <c r="N27" s="7">
        <f t="shared" ca="1" si="6"/>
        <v>4</v>
      </c>
      <c r="O27" s="85"/>
      <c r="P27" s="8"/>
    </row>
    <row r="28" spans="1:16" ht="14.5">
      <c r="A28" s="296" t="s">
        <v>89</v>
      </c>
      <c r="B28" s="291">
        <v>118</v>
      </c>
      <c r="C28" s="324" t="s">
        <v>860</v>
      </c>
      <c r="D28" s="291" t="s">
        <v>91</v>
      </c>
      <c r="E28" s="145">
        <v>45865</v>
      </c>
      <c r="F28" s="44">
        <v>3414.530029</v>
      </c>
      <c r="G28" s="46">
        <v>3415</v>
      </c>
      <c r="H28" s="44">
        <f>F28-G28</f>
        <v>-0.46997099999998682</v>
      </c>
      <c r="I28" s="45">
        <v>45777</v>
      </c>
      <c r="J28" s="45">
        <v>45777</v>
      </c>
      <c r="K28" s="7">
        <f t="shared" ca="1" si="0"/>
        <v>0</v>
      </c>
      <c r="L28" s="9">
        <f>I28+10</f>
        <v>45787</v>
      </c>
      <c r="M28" s="45">
        <v>45790</v>
      </c>
      <c r="N28" s="7">
        <f ca="1">+IF(M28="",L28-TODAY(),L28-M28)</f>
        <v>-3</v>
      </c>
      <c r="O28" s="85"/>
      <c r="P28" s="8"/>
    </row>
    <row r="29" spans="1:16" ht="14.5">
      <c r="A29" s="296" t="s">
        <v>89</v>
      </c>
      <c r="B29" s="291">
        <v>118</v>
      </c>
      <c r="C29" s="324" t="s">
        <v>865</v>
      </c>
      <c r="D29" s="291" t="s">
        <v>91</v>
      </c>
      <c r="E29" s="145">
        <v>45865</v>
      </c>
      <c r="F29" s="44">
        <v>350</v>
      </c>
      <c r="G29" s="46">
        <v>350</v>
      </c>
      <c r="H29" s="44">
        <f>F29-G29</f>
        <v>0</v>
      </c>
      <c r="I29" s="45">
        <v>45777</v>
      </c>
      <c r="J29" s="45">
        <v>45777</v>
      </c>
      <c r="K29" s="7">
        <f t="shared" ca="1" si="0"/>
        <v>0</v>
      </c>
      <c r="L29" s="9">
        <f>I29+15</f>
        <v>45792</v>
      </c>
      <c r="M29" s="45">
        <v>45787</v>
      </c>
      <c r="N29" s="7">
        <f ca="1">+IF(M29="",L29-TODAY(),L29-M29)</f>
        <v>5</v>
      </c>
      <c r="O29" s="85"/>
      <c r="P29" s="8"/>
    </row>
    <row r="30" spans="1:16" ht="14.5">
      <c r="A30" s="296" t="s">
        <v>89</v>
      </c>
      <c r="B30" s="291">
        <v>118</v>
      </c>
      <c r="C30" s="324" t="s">
        <v>78</v>
      </c>
      <c r="D30" s="291" t="s">
        <v>91</v>
      </c>
      <c r="E30" s="145">
        <v>45865</v>
      </c>
      <c r="F30" s="44">
        <v>535</v>
      </c>
      <c r="G30" s="46">
        <v>535</v>
      </c>
      <c r="H30" s="44">
        <f>F30-G30</f>
        <v>0</v>
      </c>
      <c r="I30" s="45">
        <v>45777</v>
      </c>
      <c r="J30" s="45">
        <v>45777</v>
      </c>
      <c r="K30" s="7">
        <f t="shared" ca="1" si="0"/>
        <v>0</v>
      </c>
      <c r="L30" s="9">
        <f>I30+6</f>
        <v>45783</v>
      </c>
      <c r="M30" s="45">
        <v>45780</v>
      </c>
      <c r="N30" s="7">
        <f ca="1">+IF(M30="",L30-TODAY(),L30-M30)</f>
        <v>3</v>
      </c>
      <c r="O30" s="85"/>
      <c r="P30" s="8"/>
    </row>
    <row r="31" spans="1:16" ht="14.5">
      <c r="A31" s="296" t="s">
        <v>89</v>
      </c>
      <c r="B31" s="291">
        <v>118</v>
      </c>
      <c r="C31" s="324" t="s">
        <v>866</v>
      </c>
      <c r="D31" s="291" t="s">
        <v>91</v>
      </c>
      <c r="E31" s="145">
        <v>45865</v>
      </c>
      <c r="F31" s="44">
        <v>350</v>
      </c>
      <c r="G31" s="46">
        <v>350</v>
      </c>
      <c r="H31" s="44">
        <f>F31-G31</f>
        <v>0</v>
      </c>
      <c r="I31" s="45">
        <v>45777</v>
      </c>
      <c r="J31" s="45">
        <v>45777</v>
      </c>
      <c r="K31" s="7">
        <f t="shared" ca="1" si="0"/>
        <v>0</v>
      </c>
      <c r="L31" s="9">
        <f>I31+15</f>
        <v>45792</v>
      </c>
      <c r="M31" s="45">
        <v>45787</v>
      </c>
      <c r="N31" s="7">
        <f ca="1">+IF(M31="",L31-TODAY(),L31-M31)</f>
        <v>5</v>
      </c>
      <c r="O31" s="85"/>
      <c r="P31" s="8"/>
    </row>
    <row r="32" spans="1:16" ht="14.5">
      <c r="A32" s="19" t="s">
        <v>59</v>
      </c>
      <c r="B32" s="291" t="s">
        <v>856</v>
      </c>
      <c r="C32" s="324" t="s">
        <v>93</v>
      </c>
      <c r="D32" s="291" t="s">
        <v>91</v>
      </c>
      <c r="E32" s="145">
        <v>45859</v>
      </c>
      <c r="F32" s="44">
        <v>1143.099976</v>
      </c>
      <c r="G32" s="46">
        <v>1143</v>
      </c>
      <c r="H32" s="44">
        <f t="shared" si="5"/>
        <v>9.9975999999969645E-2</v>
      </c>
      <c r="I32" s="45">
        <v>45777</v>
      </c>
      <c r="J32" s="45">
        <v>45765</v>
      </c>
      <c r="K32" s="7">
        <f t="shared" ca="1" si="0"/>
        <v>12</v>
      </c>
      <c r="L32" s="9">
        <f>I32+20</f>
        <v>45797</v>
      </c>
      <c r="M32" s="45">
        <v>45785</v>
      </c>
      <c r="N32" s="7">
        <f t="shared" ca="1" si="6"/>
        <v>12</v>
      </c>
      <c r="O32" s="85"/>
      <c r="P32" s="305" t="s">
        <v>870</v>
      </c>
    </row>
    <row r="33" spans="1:16" ht="14.5">
      <c r="A33" s="19" t="s">
        <v>59</v>
      </c>
      <c r="B33" s="291" t="s">
        <v>856</v>
      </c>
      <c r="C33" s="324" t="s">
        <v>94</v>
      </c>
      <c r="D33" s="291" t="s">
        <v>91</v>
      </c>
      <c r="E33" s="145">
        <v>45859</v>
      </c>
      <c r="F33" s="44">
        <v>0</v>
      </c>
      <c r="G33" s="46">
        <v>0</v>
      </c>
      <c r="H33" s="44">
        <f t="shared" si="5"/>
        <v>0</v>
      </c>
      <c r="I33" s="45">
        <v>45777</v>
      </c>
      <c r="J33" s="45">
        <v>45765</v>
      </c>
      <c r="K33" s="7">
        <f t="shared" ca="1" si="0"/>
        <v>12</v>
      </c>
      <c r="L33" s="9">
        <f>I33+5</f>
        <v>45782</v>
      </c>
      <c r="M33" s="45">
        <v>45777</v>
      </c>
      <c r="N33" s="7">
        <f t="shared" ca="1" si="6"/>
        <v>5</v>
      </c>
      <c r="O33" s="85"/>
      <c r="P33" s="305" t="s">
        <v>870</v>
      </c>
    </row>
    <row r="34" spans="1:16" ht="14.5">
      <c r="A34" s="19" t="s">
        <v>188</v>
      </c>
      <c r="B34" s="291">
        <v>82</v>
      </c>
      <c r="C34" s="324" t="s">
        <v>92</v>
      </c>
      <c r="D34" s="291" t="s">
        <v>91</v>
      </c>
      <c r="E34" s="145">
        <v>45836</v>
      </c>
      <c r="F34" s="44">
        <v>175</v>
      </c>
      <c r="G34" s="46">
        <v>175</v>
      </c>
      <c r="H34" s="44">
        <f t="shared" si="5"/>
        <v>0</v>
      </c>
      <c r="I34" s="45">
        <v>45777</v>
      </c>
      <c r="J34" s="45">
        <v>45777</v>
      </c>
      <c r="K34" s="7">
        <f t="shared" ca="1" si="0"/>
        <v>0</v>
      </c>
      <c r="L34" s="9">
        <v>45783</v>
      </c>
      <c r="M34" s="45">
        <v>45783</v>
      </c>
      <c r="N34" s="7">
        <f t="shared" ca="1" si="6"/>
        <v>0</v>
      </c>
      <c r="O34" s="85"/>
      <c r="P34" s="305" t="s">
        <v>870</v>
      </c>
    </row>
    <row r="35" spans="1:16" ht="14.5">
      <c r="A35" s="19" t="s">
        <v>188</v>
      </c>
      <c r="B35" s="291">
        <v>82</v>
      </c>
      <c r="C35" s="324" t="s">
        <v>79</v>
      </c>
      <c r="D35" s="291" t="s">
        <v>91</v>
      </c>
      <c r="E35" s="145">
        <v>45836</v>
      </c>
      <c r="F35" s="44">
        <v>157</v>
      </c>
      <c r="G35" s="46">
        <v>157</v>
      </c>
      <c r="H35" s="44">
        <f t="shared" si="5"/>
        <v>0</v>
      </c>
      <c r="I35" s="45">
        <v>45777</v>
      </c>
      <c r="J35" s="45">
        <v>45777</v>
      </c>
      <c r="K35" s="7">
        <f t="shared" ca="1" si="0"/>
        <v>0</v>
      </c>
      <c r="L35" s="9">
        <v>45783</v>
      </c>
      <c r="M35" s="45">
        <v>45780</v>
      </c>
      <c r="N35" s="7">
        <f t="shared" ca="1" si="6"/>
        <v>3</v>
      </c>
      <c r="O35" s="85"/>
      <c r="P35" s="305" t="s">
        <v>870</v>
      </c>
    </row>
    <row r="36" spans="1:16" ht="14.5">
      <c r="A36" s="19" t="s">
        <v>188</v>
      </c>
      <c r="B36" s="291">
        <v>83</v>
      </c>
      <c r="C36" s="324" t="s">
        <v>77</v>
      </c>
      <c r="D36" s="291" t="s">
        <v>91</v>
      </c>
      <c r="E36" s="145">
        <v>45850</v>
      </c>
      <c r="F36" s="44">
        <v>76.699996999999996</v>
      </c>
      <c r="G36" s="46">
        <v>77</v>
      </c>
      <c r="H36" s="44">
        <f t="shared" si="5"/>
        <v>-0.30000300000000379</v>
      </c>
      <c r="I36" s="45">
        <v>45777</v>
      </c>
      <c r="J36" s="45">
        <v>45777</v>
      </c>
      <c r="K36" s="7">
        <f t="shared" ca="1" si="0"/>
        <v>0</v>
      </c>
      <c r="L36" s="9">
        <v>45783</v>
      </c>
      <c r="M36" s="45">
        <v>45783</v>
      </c>
      <c r="N36" s="7">
        <f t="shared" ca="1" si="6"/>
        <v>0</v>
      </c>
      <c r="O36" s="85"/>
      <c r="P36" s="305" t="s">
        <v>870</v>
      </c>
    </row>
    <row r="37" spans="1:16" ht="14.5">
      <c r="A37" s="19" t="s">
        <v>188</v>
      </c>
      <c r="B37" s="291">
        <v>83</v>
      </c>
      <c r="C37" s="324" t="s">
        <v>82</v>
      </c>
      <c r="D37" s="291" t="s">
        <v>91</v>
      </c>
      <c r="E37" s="145">
        <v>45850</v>
      </c>
      <c r="F37" s="44">
        <v>206.10000600000001</v>
      </c>
      <c r="G37" s="46">
        <v>206</v>
      </c>
      <c r="H37" s="44">
        <f t="shared" si="5"/>
        <v>0.10000600000000759</v>
      </c>
      <c r="I37" s="45">
        <v>45777</v>
      </c>
      <c r="J37" s="45">
        <v>45777</v>
      </c>
      <c r="K37" s="7">
        <f t="shared" ca="1" si="0"/>
        <v>0</v>
      </c>
      <c r="L37" s="9">
        <f>I37+5</f>
        <v>45782</v>
      </c>
      <c r="M37" s="45">
        <v>45780</v>
      </c>
      <c r="N37" s="7">
        <f t="shared" ca="1" si="6"/>
        <v>2</v>
      </c>
      <c r="O37" s="85"/>
      <c r="P37" s="305" t="s">
        <v>870</v>
      </c>
    </row>
    <row r="38" spans="1:16" ht="14.5">
      <c r="A38" s="19" t="s">
        <v>188</v>
      </c>
      <c r="B38" s="291">
        <v>83</v>
      </c>
      <c r="C38" s="324" t="s">
        <v>79</v>
      </c>
      <c r="D38" s="291" t="s">
        <v>91</v>
      </c>
      <c r="E38" s="145">
        <v>45850</v>
      </c>
      <c r="F38" s="44">
        <v>74.599997999999999</v>
      </c>
      <c r="G38" s="46">
        <v>75</v>
      </c>
      <c r="H38" s="44">
        <f t="shared" si="5"/>
        <v>-0.40000200000000063</v>
      </c>
      <c r="I38" s="45">
        <v>45777</v>
      </c>
      <c r="J38" s="45">
        <v>45777</v>
      </c>
      <c r="K38" s="7">
        <f t="shared" ca="1" si="0"/>
        <v>0</v>
      </c>
      <c r="L38" s="9">
        <v>45783</v>
      </c>
      <c r="M38" s="45">
        <v>45780</v>
      </c>
      <c r="N38" s="7">
        <f t="shared" ca="1" si="6"/>
        <v>3</v>
      </c>
      <c r="O38" s="85"/>
      <c r="P38" s="305" t="s">
        <v>870</v>
      </c>
    </row>
    <row r="39" spans="1:16" ht="14.5">
      <c r="A39" s="19" t="s">
        <v>188</v>
      </c>
      <c r="B39" s="291">
        <v>83</v>
      </c>
      <c r="C39" s="324" t="s">
        <v>867</v>
      </c>
      <c r="D39" s="291" t="s">
        <v>91</v>
      </c>
      <c r="E39" s="145">
        <v>45850</v>
      </c>
      <c r="F39" s="44">
        <v>80.900002000000001</v>
      </c>
      <c r="G39" s="46">
        <v>81</v>
      </c>
      <c r="H39" s="44">
        <f t="shared" si="5"/>
        <v>-9.9997999999999365E-2</v>
      </c>
      <c r="I39" s="45">
        <v>45777</v>
      </c>
      <c r="J39" s="45">
        <v>45777</v>
      </c>
      <c r="K39" s="7">
        <f t="shared" ca="1" si="0"/>
        <v>0</v>
      </c>
      <c r="L39" s="9">
        <f>I39+20</f>
        <v>45797</v>
      </c>
      <c r="M39" s="45">
        <v>45780</v>
      </c>
      <c r="N39" s="7">
        <f t="shared" ca="1" si="6"/>
        <v>17</v>
      </c>
      <c r="O39" s="85"/>
      <c r="P39" s="305" t="s">
        <v>870</v>
      </c>
    </row>
    <row r="40" spans="1:16" ht="14.5">
      <c r="A40" s="19" t="s">
        <v>188</v>
      </c>
      <c r="B40" s="291">
        <v>83</v>
      </c>
      <c r="C40" s="324" t="s">
        <v>75</v>
      </c>
      <c r="D40" s="291" t="s">
        <v>91</v>
      </c>
      <c r="E40" s="145">
        <v>45850</v>
      </c>
      <c r="F40" s="44">
        <v>138.199997</v>
      </c>
      <c r="G40" s="46">
        <v>138</v>
      </c>
      <c r="H40" s="44">
        <f t="shared" si="5"/>
        <v>0.19999699999999621</v>
      </c>
      <c r="I40" s="45">
        <v>45777</v>
      </c>
      <c r="J40" s="45">
        <v>45777</v>
      </c>
      <c r="K40" s="7">
        <f t="shared" ca="1" si="0"/>
        <v>0</v>
      </c>
      <c r="L40" s="9">
        <f>I40+20</f>
        <v>45797</v>
      </c>
      <c r="M40" s="45">
        <v>45784</v>
      </c>
      <c r="N40" s="7">
        <f t="shared" ca="1" si="6"/>
        <v>13</v>
      </c>
      <c r="O40" s="85"/>
      <c r="P40" s="305" t="s">
        <v>870</v>
      </c>
    </row>
    <row r="41" spans="1:16" ht="14.5">
      <c r="A41" s="19" t="s">
        <v>188</v>
      </c>
      <c r="B41" s="291">
        <v>83</v>
      </c>
      <c r="C41" s="324" t="s">
        <v>857</v>
      </c>
      <c r="D41" s="291" t="s">
        <v>91</v>
      </c>
      <c r="E41" s="145">
        <v>45850</v>
      </c>
      <c r="F41" s="44">
        <v>158.39999399999999</v>
      </c>
      <c r="G41" s="46">
        <v>158</v>
      </c>
      <c r="H41" s="44">
        <f t="shared" si="5"/>
        <v>0.39999399999999241</v>
      </c>
      <c r="I41" s="45">
        <v>45777</v>
      </c>
      <c r="J41" s="45">
        <v>45777</v>
      </c>
      <c r="K41" s="7">
        <f t="shared" ca="1" si="0"/>
        <v>0</v>
      </c>
      <c r="L41" s="9">
        <f>I41+20</f>
        <v>45797</v>
      </c>
      <c r="M41" s="45">
        <v>45784</v>
      </c>
      <c r="N41" s="7">
        <f t="shared" ca="1" si="6"/>
        <v>13</v>
      </c>
      <c r="O41" s="85"/>
      <c r="P41" s="305" t="s">
        <v>870</v>
      </c>
    </row>
    <row r="42" spans="1:16" ht="14.5">
      <c r="A42" s="19" t="s">
        <v>188</v>
      </c>
      <c r="B42" s="291">
        <v>83</v>
      </c>
      <c r="C42" s="324" t="s">
        <v>868</v>
      </c>
      <c r="D42" s="291" t="s">
        <v>91</v>
      </c>
      <c r="E42" s="145">
        <v>45850</v>
      </c>
      <c r="F42" s="44">
        <v>236.800003</v>
      </c>
      <c r="G42" s="46">
        <v>237</v>
      </c>
      <c r="H42" s="44">
        <f t="shared" si="5"/>
        <v>-0.19999699999999621</v>
      </c>
      <c r="I42" s="45">
        <v>45777</v>
      </c>
      <c r="J42" s="45">
        <v>45777</v>
      </c>
      <c r="K42" s="7">
        <f t="shared" ca="1" si="0"/>
        <v>0</v>
      </c>
      <c r="L42" s="9">
        <f>I42+20</f>
        <v>45797</v>
      </c>
      <c r="M42" s="45">
        <v>45780</v>
      </c>
      <c r="N42" s="7">
        <f t="shared" ca="1" si="6"/>
        <v>17</v>
      </c>
      <c r="O42" s="85"/>
      <c r="P42" s="305" t="s">
        <v>870</v>
      </c>
    </row>
    <row r="43" spans="1:16" ht="14.5">
      <c r="A43" s="19" t="s">
        <v>188</v>
      </c>
      <c r="B43" s="291">
        <v>84</v>
      </c>
      <c r="C43" s="324" t="s">
        <v>77</v>
      </c>
      <c r="D43" s="291" t="s">
        <v>91</v>
      </c>
      <c r="E43" s="145">
        <v>45865</v>
      </c>
      <c r="F43" s="44">
        <v>764.39001499999995</v>
      </c>
      <c r="G43" s="46">
        <v>764</v>
      </c>
      <c r="H43" s="44">
        <f t="shared" si="5"/>
        <v>0.39001499999994849</v>
      </c>
      <c r="I43" s="45">
        <v>45777</v>
      </c>
      <c r="J43" s="45">
        <v>45777</v>
      </c>
      <c r="K43" s="7">
        <f t="shared" ca="1" si="0"/>
        <v>0</v>
      </c>
      <c r="L43" s="9">
        <v>45783</v>
      </c>
      <c r="M43" s="45">
        <v>45783</v>
      </c>
      <c r="N43" s="7">
        <f t="shared" ca="1" si="6"/>
        <v>0</v>
      </c>
      <c r="O43" s="85"/>
      <c r="P43" s="305" t="s">
        <v>870</v>
      </c>
    </row>
    <row r="44" spans="1:16" ht="14.5">
      <c r="A44" s="19" t="s">
        <v>188</v>
      </c>
      <c r="B44" s="291">
        <v>84</v>
      </c>
      <c r="C44" s="324" t="s">
        <v>869</v>
      </c>
      <c r="D44" s="291" t="s">
        <v>91</v>
      </c>
      <c r="E44" s="145">
        <v>45865</v>
      </c>
      <c r="F44" s="44">
        <v>1206</v>
      </c>
      <c r="G44" s="46">
        <v>1206</v>
      </c>
      <c r="H44" s="44">
        <f t="shared" si="5"/>
        <v>0</v>
      </c>
      <c r="I44" s="45">
        <v>45777</v>
      </c>
      <c r="J44" s="45">
        <v>45777</v>
      </c>
      <c r="K44" s="7">
        <f t="shared" ca="1" si="0"/>
        <v>0</v>
      </c>
      <c r="L44" s="9">
        <f>I44+5</f>
        <v>45782</v>
      </c>
      <c r="M44" s="45">
        <v>45780</v>
      </c>
      <c r="N44" s="7">
        <f t="shared" ca="1" si="6"/>
        <v>2</v>
      </c>
      <c r="O44" s="85"/>
      <c r="P44" s="305" t="s">
        <v>870</v>
      </c>
    </row>
    <row r="45" spans="1:16" ht="14.5">
      <c r="A45" s="19" t="s">
        <v>188</v>
      </c>
      <c r="B45" s="291">
        <v>84</v>
      </c>
      <c r="C45" s="324" t="s">
        <v>82</v>
      </c>
      <c r="D45" s="291" t="s">
        <v>91</v>
      </c>
      <c r="E45" s="145">
        <v>45865</v>
      </c>
      <c r="F45" s="44">
        <v>177.60000600000001</v>
      </c>
      <c r="G45" s="46">
        <v>178</v>
      </c>
      <c r="H45" s="44">
        <f t="shared" si="5"/>
        <v>-0.39999399999999241</v>
      </c>
      <c r="I45" s="45">
        <v>45777</v>
      </c>
      <c r="J45" s="45">
        <v>45777</v>
      </c>
      <c r="K45" s="7">
        <f t="shared" ca="1" si="0"/>
        <v>0</v>
      </c>
      <c r="L45" s="9">
        <f>I45+5</f>
        <v>45782</v>
      </c>
      <c r="M45" s="45">
        <v>45780</v>
      </c>
      <c r="N45" s="7">
        <f t="shared" ca="1" si="6"/>
        <v>2</v>
      </c>
      <c r="O45" s="85"/>
      <c r="P45" s="305" t="s">
        <v>870</v>
      </c>
    </row>
    <row r="46" spans="1:16" ht="14.5">
      <c r="A46" s="19" t="s">
        <v>188</v>
      </c>
      <c r="B46" s="291">
        <v>84</v>
      </c>
      <c r="C46" s="324" t="s">
        <v>78</v>
      </c>
      <c r="D46" s="291" t="s">
        <v>91</v>
      </c>
      <c r="E46" s="145">
        <v>45865</v>
      </c>
      <c r="F46" s="44">
        <v>1.8</v>
      </c>
      <c r="G46" s="46">
        <v>2</v>
      </c>
      <c r="H46" s="44">
        <f t="shared" si="5"/>
        <v>-0.19999999999999996</v>
      </c>
      <c r="I46" s="45">
        <v>45777</v>
      </c>
      <c r="J46" s="45">
        <v>45777</v>
      </c>
      <c r="K46" s="7">
        <f t="shared" ca="1" si="0"/>
        <v>0</v>
      </c>
      <c r="L46" s="9">
        <v>45783</v>
      </c>
      <c r="M46" s="45">
        <v>45780</v>
      </c>
      <c r="N46" s="7">
        <f t="shared" ca="1" si="6"/>
        <v>3</v>
      </c>
      <c r="O46" s="85"/>
      <c r="P46" s="305" t="s">
        <v>870</v>
      </c>
    </row>
    <row r="47" spans="1:16" ht="14.5">
      <c r="A47" s="19" t="s">
        <v>188</v>
      </c>
      <c r="B47" s="291">
        <v>84</v>
      </c>
      <c r="C47" s="324" t="s">
        <v>79</v>
      </c>
      <c r="D47" s="291" t="s">
        <v>91</v>
      </c>
      <c r="E47" s="145">
        <v>45865</v>
      </c>
      <c r="F47" s="44">
        <v>71.400002000000001</v>
      </c>
      <c r="G47" s="46">
        <v>71</v>
      </c>
      <c r="H47" s="44">
        <f t="shared" si="5"/>
        <v>0.40000200000000063</v>
      </c>
      <c r="I47" s="45">
        <v>45777</v>
      </c>
      <c r="J47" s="45">
        <v>45777</v>
      </c>
      <c r="K47" s="7">
        <f t="shared" ca="1" si="0"/>
        <v>0</v>
      </c>
      <c r="L47" s="9">
        <v>45783</v>
      </c>
      <c r="M47" s="45">
        <v>45780</v>
      </c>
      <c r="N47" s="7">
        <f t="shared" ca="1" si="6"/>
        <v>3</v>
      </c>
      <c r="O47" s="85"/>
      <c r="P47" s="305" t="s">
        <v>870</v>
      </c>
    </row>
    <row r="48" spans="1:16" ht="14.5">
      <c r="A48" s="19" t="s">
        <v>188</v>
      </c>
      <c r="B48" s="291">
        <v>84</v>
      </c>
      <c r="C48" s="324" t="s">
        <v>75</v>
      </c>
      <c r="D48" s="291" t="s">
        <v>91</v>
      </c>
      <c r="E48" s="145">
        <v>45865</v>
      </c>
      <c r="F48" s="44">
        <v>50</v>
      </c>
      <c r="G48" s="46">
        <v>50</v>
      </c>
      <c r="H48" s="44">
        <f t="shared" si="5"/>
        <v>0</v>
      </c>
      <c r="I48" s="45">
        <v>45777</v>
      </c>
      <c r="J48" s="45">
        <v>45777</v>
      </c>
      <c r="K48" s="7">
        <f t="shared" ca="1" si="0"/>
        <v>0</v>
      </c>
      <c r="L48" s="9">
        <f>I48+20</f>
        <v>45797</v>
      </c>
      <c r="M48" s="45">
        <v>45784</v>
      </c>
      <c r="N48" s="7">
        <f t="shared" ca="1" si="6"/>
        <v>13</v>
      </c>
      <c r="O48" s="85"/>
      <c r="P48" s="305" t="s">
        <v>870</v>
      </c>
    </row>
    <row r="49" spans="1:16" ht="14.5">
      <c r="A49" s="19" t="s">
        <v>188</v>
      </c>
      <c r="B49" s="291">
        <v>84</v>
      </c>
      <c r="C49" s="324" t="s">
        <v>857</v>
      </c>
      <c r="D49" s="291" t="s">
        <v>91</v>
      </c>
      <c r="E49" s="145">
        <v>45865</v>
      </c>
      <c r="F49" s="44">
        <v>57.299999</v>
      </c>
      <c r="G49" s="46">
        <v>57</v>
      </c>
      <c r="H49" s="44">
        <f t="shared" si="5"/>
        <v>0.29999899999999968</v>
      </c>
      <c r="I49" s="45">
        <v>45777</v>
      </c>
      <c r="J49" s="45">
        <v>45777</v>
      </c>
      <c r="K49" s="7">
        <f t="shared" ca="1" si="0"/>
        <v>0</v>
      </c>
      <c r="L49" s="9">
        <f>I49+20</f>
        <v>45797</v>
      </c>
      <c r="M49" s="45">
        <v>45784</v>
      </c>
      <c r="N49" s="7">
        <f t="shared" ca="1" si="6"/>
        <v>13</v>
      </c>
      <c r="O49" s="85"/>
      <c r="P49" s="305" t="s">
        <v>870</v>
      </c>
    </row>
    <row r="50" spans="1:16" ht="14.5">
      <c r="A50" s="19" t="s">
        <v>188</v>
      </c>
      <c r="B50" s="291">
        <v>84</v>
      </c>
      <c r="C50" s="324" t="s">
        <v>93</v>
      </c>
      <c r="D50" s="291" t="s">
        <v>91</v>
      </c>
      <c r="E50" s="145">
        <v>45865</v>
      </c>
      <c r="F50" s="44">
        <v>759.96997099999999</v>
      </c>
      <c r="G50" s="46">
        <v>760</v>
      </c>
      <c r="H50" s="44">
        <f t="shared" si="5"/>
        <v>-3.0029000000013184E-2</v>
      </c>
      <c r="I50" s="45">
        <v>45777</v>
      </c>
      <c r="J50" s="45">
        <v>45777</v>
      </c>
      <c r="K50" s="7">
        <f t="shared" ca="1" si="0"/>
        <v>0</v>
      </c>
      <c r="L50" s="9">
        <f>I50+18</f>
        <v>45795</v>
      </c>
      <c r="M50" s="45">
        <v>45785</v>
      </c>
      <c r="N50" s="7">
        <f t="shared" ca="1" si="6"/>
        <v>10</v>
      </c>
      <c r="O50" s="85"/>
      <c r="P50" s="305" t="s">
        <v>870</v>
      </c>
    </row>
    <row r="51" spans="1:16" ht="14.5">
      <c r="A51" s="19" t="s">
        <v>188</v>
      </c>
      <c r="B51" s="291">
        <v>84</v>
      </c>
      <c r="C51" s="324" t="s">
        <v>94</v>
      </c>
      <c r="D51" s="291" t="s">
        <v>91</v>
      </c>
      <c r="E51" s="145">
        <v>45865</v>
      </c>
      <c r="F51" s="44">
        <v>0</v>
      </c>
      <c r="G51" s="46">
        <v>0</v>
      </c>
      <c r="H51" s="44">
        <f t="shared" si="5"/>
        <v>0</v>
      </c>
      <c r="I51" s="45">
        <v>45777</v>
      </c>
      <c r="J51" s="45">
        <v>45777</v>
      </c>
      <c r="K51" s="7">
        <f t="shared" ca="1" si="0"/>
        <v>0</v>
      </c>
      <c r="L51" s="9">
        <f>I51+5</f>
        <v>45782</v>
      </c>
      <c r="M51" s="45">
        <v>45777</v>
      </c>
      <c r="N51" s="7">
        <f t="shared" ca="1" si="6"/>
        <v>5</v>
      </c>
      <c r="O51" s="85"/>
      <c r="P51" s="305" t="s">
        <v>870</v>
      </c>
    </row>
    <row r="52" spans="1:16" ht="14.5">
      <c r="A52" s="19" t="s">
        <v>188</v>
      </c>
      <c r="B52" s="291">
        <v>90</v>
      </c>
      <c r="C52" s="324" t="s">
        <v>77</v>
      </c>
      <c r="D52" s="291" t="s">
        <v>91</v>
      </c>
      <c r="E52" s="145">
        <v>45842</v>
      </c>
      <c r="F52" s="44">
        <v>731</v>
      </c>
      <c r="G52" s="46">
        <v>731</v>
      </c>
      <c r="H52" s="44">
        <f t="shared" si="5"/>
        <v>0</v>
      </c>
      <c r="I52" s="45">
        <v>45777</v>
      </c>
      <c r="J52" s="45">
        <v>45777</v>
      </c>
      <c r="K52" s="7">
        <f t="shared" ca="1" si="0"/>
        <v>0</v>
      </c>
      <c r="L52" s="9">
        <v>45783</v>
      </c>
      <c r="M52" s="45">
        <v>45783</v>
      </c>
      <c r="N52" s="7">
        <f t="shared" ca="1" si="6"/>
        <v>0</v>
      </c>
      <c r="O52" s="85"/>
      <c r="P52" s="305" t="s">
        <v>870</v>
      </c>
    </row>
    <row r="53" spans="1:16" ht="14.5">
      <c r="A53" s="19" t="s">
        <v>188</v>
      </c>
      <c r="B53" s="291">
        <v>90</v>
      </c>
      <c r="C53" s="324" t="s">
        <v>79</v>
      </c>
      <c r="D53" s="291" t="s">
        <v>91</v>
      </c>
      <c r="E53" s="145">
        <v>45842</v>
      </c>
      <c r="F53" s="44">
        <v>11.4</v>
      </c>
      <c r="G53" s="46">
        <v>11</v>
      </c>
      <c r="H53" s="44">
        <f t="shared" si="5"/>
        <v>0.40000000000000036</v>
      </c>
      <c r="I53" s="45">
        <v>45777</v>
      </c>
      <c r="J53" s="45">
        <v>45777</v>
      </c>
      <c r="K53" s="7">
        <f t="shared" ca="1" si="0"/>
        <v>0</v>
      </c>
      <c r="L53" s="9">
        <v>45783</v>
      </c>
      <c r="M53" s="45">
        <v>45780</v>
      </c>
      <c r="N53" s="7">
        <f t="shared" ca="1" si="6"/>
        <v>3</v>
      </c>
      <c r="O53" s="85"/>
      <c r="P53" s="305" t="s">
        <v>870</v>
      </c>
    </row>
    <row r="54" spans="1:16" ht="14.5">
      <c r="A54" s="19" t="s">
        <v>188</v>
      </c>
      <c r="B54" s="291">
        <v>90</v>
      </c>
      <c r="C54" s="324" t="s">
        <v>80</v>
      </c>
      <c r="D54" s="291" t="s">
        <v>91</v>
      </c>
      <c r="E54" s="145">
        <v>45842</v>
      </c>
      <c r="F54" s="44">
        <v>430.29998799999998</v>
      </c>
      <c r="G54" s="46">
        <v>430</v>
      </c>
      <c r="H54" s="44">
        <f t="shared" si="5"/>
        <v>0.29998799999998482</v>
      </c>
      <c r="I54" s="45">
        <v>45777</v>
      </c>
      <c r="J54" s="45">
        <v>45777</v>
      </c>
      <c r="K54" s="7">
        <f t="shared" ca="1" si="0"/>
        <v>0</v>
      </c>
      <c r="L54" s="9">
        <f>I54+10</f>
        <v>45787</v>
      </c>
      <c r="M54" s="45">
        <v>45785</v>
      </c>
      <c r="N54" s="7">
        <f t="shared" ca="1" si="6"/>
        <v>2</v>
      </c>
      <c r="O54" s="85"/>
      <c r="P54" s="305" t="s">
        <v>870</v>
      </c>
    </row>
    <row r="55" spans="1:16" ht="14.5">
      <c r="A55" s="19" t="s">
        <v>188</v>
      </c>
      <c r="B55" s="291">
        <v>90</v>
      </c>
      <c r="C55" s="324" t="s">
        <v>867</v>
      </c>
      <c r="D55" s="291" t="s">
        <v>91</v>
      </c>
      <c r="E55" s="145">
        <v>45842</v>
      </c>
      <c r="F55" s="44">
        <v>68</v>
      </c>
      <c r="G55" s="46">
        <v>68</v>
      </c>
      <c r="H55" s="44">
        <f t="shared" si="5"/>
        <v>0</v>
      </c>
      <c r="I55" s="45">
        <v>45777</v>
      </c>
      <c r="J55" s="45">
        <v>45777</v>
      </c>
      <c r="K55" s="7">
        <f t="shared" ca="1" si="0"/>
        <v>0</v>
      </c>
      <c r="L55" s="9">
        <f>I55+20</f>
        <v>45797</v>
      </c>
      <c r="M55" s="45">
        <v>45780</v>
      </c>
      <c r="N55" s="7">
        <f t="shared" ca="1" si="6"/>
        <v>17</v>
      </c>
      <c r="O55" s="85"/>
      <c r="P55" s="305" t="s">
        <v>870</v>
      </c>
    </row>
    <row r="56" spans="1:16" ht="14.5">
      <c r="A56" s="19" t="s">
        <v>188</v>
      </c>
      <c r="B56" s="291">
        <v>90</v>
      </c>
      <c r="C56" s="324" t="s">
        <v>75</v>
      </c>
      <c r="D56" s="291" t="s">
        <v>91</v>
      </c>
      <c r="E56" s="145">
        <v>45842</v>
      </c>
      <c r="F56" s="44">
        <v>16.299999</v>
      </c>
      <c r="G56" s="46">
        <v>16</v>
      </c>
      <c r="H56" s="44">
        <f t="shared" si="5"/>
        <v>0.29999899999999968</v>
      </c>
      <c r="I56" s="45">
        <v>45777</v>
      </c>
      <c r="J56" s="45">
        <v>45777</v>
      </c>
      <c r="K56" s="7">
        <f t="shared" ca="1" si="0"/>
        <v>0</v>
      </c>
      <c r="L56" s="9">
        <f>I56+20</f>
        <v>45797</v>
      </c>
      <c r="M56" s="45">
        <v>45784</v>
      </c>
      <c r="N56" s="7">
        <f t="shared" ca="1" si="6"/>
        <v>13</v>
      </c>
      <c r="O56" s="85"/>
      <c r="P56" s="305" t="s">
        <v>870</v>
      </c>
    </row>
    <row r="57" spans="1:16" ht="14.5">
      <c r="A57" s="19" t="s">
        <v>188</v>
      </c>
      <c r="B57" s="291">
        <v>90</v>
      </c>
      <c r="C57" s="324" t="s">
        <v>857</v>
      </c>
      <c r="D57" s="291" t="s">
        <v>91</v>
      </c>
      <c r="E57" s="145">
        <v>45842</v>
      </c>
      <c r="F57" s="44">
        <v>18.700001</v>
      </c>
      <c r="G57" s="46">
        <v>19</v>
      </c>
      <c r="H57" s="44">
        <f t="shared" si="5"/>
        <v>-0.29999899999999968</v>
      </c>
      <c r="I57" s="45">
        <v>45777</v>
      </c>
      <c r="J57" s="45">
        <v>45777</v>
      </c>
      <c r="K57" s="7">
        <f t="shared" ca="1" si="0"/>
        <v>0</v>
      </c>
      <c r="L57" s="9">
        <f>I57+20</f>
        <v>45797</v>
      </c>
      <c r="M57" s="45">
        <v>45784</v>
      </c>
      <c r="N57" s="7">
        <f t="shared" ca="1" si="6"/>
        <v>13</v>
      </c>
      <c r="O57" s="85"/>
      <c r="P57" s="305" t="s">
        <v>870</v>
      </c>
    </row>
    <row r="58" spans="1:16" ht="14.5">
      <c r="A58" s="19" t="s">
        <v>188</v>
      </c>
      <c r="B58" s="291">
        <v>90</v>
      </c>
      <c r="C58" s="324" t="s">
        <v>868</v>
      </c>
      <c r="D58" s="291" t="s">
        <v>91</v>
      </c>
      <c r="E58" s="145">
        <v>45842</v>
      </c>
      <c r="F58" s="44">
        <v>199</v>
      </c>
      <c r="G58" s="46">
        <v>199</v>
      </c>
      <c r="H58" s="44">
        <f t="shared" si="5"/>
        <v>0</v>
      </c>
      <c r="I58" s="45">
        <v>45777</v>
      </c>
      <c r="J58" s="45">
        <v>45777</v>
      </c>
      <c r="K58" s="7">
        <f t="shared" ca="1" si="0"/>
        <v>0</v>
      </c>
      <c r="L58" s="9">
        <f>I58+20</f>
        <v>45797</v>
      </c>
      <c r="M58" s="45">
        <v>45780</v>
      </c>
      <c r="N58" s="7">
        <f t="shared" ca="1" si="6"/>
        <v>17</v>
      </c>
      <c r="O58" s="85"/>
      <c r="P58" s="305" t="s">
        <v>870</v>
      </c>
    </row>
    <row r="59" spans="1:16" ht="14.5">
      <c r="A59" s="19" t="s">
        <v>188</v>
      </c>
      <c r="B59" s="291">
        <v>90</v>
      </c>
      <c r="C59" s="324" t="s">
        <v>93</v>
      </c>
      <c r="D59" s="291" t="s">
        <v>91</v>
      </c>
      <c r="E59" s="145">
        <v>45842</v>
      </c>
      <c r="F59" s="44">
        <v>558</v>
      </c>
      <c r="G59" s="46">
        <v>558</v>
      </c>
      <c r="H59" s="44">
        <f t="shared" si="5"/>
        <v>0</v>
      </c>
      <c r="I59" s="45">
        <v>45777</v>
      </c>
      <c r="J59" s="45">
        <v>45777</v>
      </c>
      <c r="K59" s="7">
        <f t="shared" ca="1" si="0"/>
        <v>0</v>
      </c>
      <c r="L59" s="9">
        <f>I59+18</f>
        <v>45795</v>
      </c>
      <c r="M59" s="45">
        <v>45793</v>
      </c>
      <c r="N59" s="7">
        <f t="shared" ca="1" si="6"/>
        <v>2</v>
      </c>
      <c r="O59" s="85"/>
      <c r="P59" s="305" t="s">
        <v>870</v>
      </c>
    </row>
    <row r="60" spans="1:16" ht="14.5">
      <c r="A60" s="19" t="s">
        <v>188</v>
      </c>
      <c r="B60" s="291">
        <v>90</v>
      </c>
      <c r="C60" s="324" t="s">
        <v>94</v>
      </c>
      <c r="D60" s="291" t="s">
        <v>91</v>
      </c>
      <c r="E60" s="145">
        <v>45842</v>
      </c>
      <c r="F60" s="44">
        <v>0</v>
      </c>
      <c r="G60" s="46">
        <v>0</v>
      </c>
      <c r="H60" s="44">
        <f t="shared" si="5"/>
        <v>0</v>
      </c>
      <c r="I60" s="45">
        <v>45777</v>
      </c>
      <c r="J60" s="45">
        <v>45777</v>
      </c>
      <c r="K60" s="7">
        <f t="shared" ca="1" si="0"/>
        <v>0</v>
      </c>
      <c r="L60" s="9">
        <f>I60+5</f>
        <v>45782</v>
      </c>
      <c r="M60" s="45">
        <v>45777</v>
      </c>
      <c r="N60" s="7">
        <f t="shared" ca="1" si="6"/>
        <v>5</v>
      </c>
      <c r="O60" s="85"/>
      <c r="P60" s="305" t="s">
        <v>870</v>
      </c>
    </row>
    <row r="61" spans="1:16" ht="14.5">
      <c r="A61" s="19" t="s">
        <v>188</v>
      </c>
      <c r="B61" s="291">
        <v>91</v>
      </c>
      <c r="C61" s="324" t="s">
        <v>77</v>
      </c>
      <c r="D61" s="291" t="s">
        <v>91</v>
      </c>
      <c r="E61" s="145">
        <v>45842</v>
      </c>
      <c r="F61" s="44">
        <v>1371.8000489999999</v>
      </c>
      <c r="G61" s="46">
        <v>1372</v>
      </c>
      <c r="H61" s="44">
        <f t="shared" si="5"/>
        <v>-0.1999510000000555</v>
      </c>
      <c r="I61" s="45">
        <v>45777</v>
      </c>
      <c r="J61" s="45">
        <v>45777</v>
      </c>
      <c r="K61" s="7">
        <f t="shared" ca="1" si="0"/>
        <v>0</v>
      </c>
      <c r="L61" s="9">
        <v>45783</v>
      </c>
      <c r="M61" s="45">
        <v>45783</v>
      </c>
      <c r="N61" s="7">
        <f t="shared" ca="1" si="6"/>
        <v>0</v>
      </c>
      <c r="O61" s="85"/>
      <c r="P61" s="305" t="s">
        <v>870</v>
      </c>
    </row>
    <row r="62" spans="1:16" ht="14.5">
      <c r="A62" s="19" t="s">
        <v>188</v>
      </c>
      <c r="B62" s="291">
        <v>91</v>
      </c>
      <c r="C62" s="324" t="s">
        <v>78</v>
      </c>
      <c r="D62" s="291" t="s">
        <v>91</v>
      </c>
      <c r="E62" s="145">
        <v>45842</v>
      </c>
      <c r="F62" s="44">
        <v>3</v>
      </c>
      <c r="G62" s="46">
        <v>3</v>
      </c>
      <c r="H62" s="44">
        <f t="shared" si="5"/>
        <v>0</v>
      </c>
      <c r="I62" s="45">
        <v>45777</v>
      </c>
      <c r="J62" s="45">
        <v>45777</v>
      </c>
      <c r="K62" s="7">
        <f t="shared" ca="1" si="0"/>
        <v>0</v>
      </c>
      <c r="L62" s="9">
        <v>45783</v>
      </c>
      <c r="M62" s="45">
        <v>45780</v>
      </c>
      <c r="N62" s="7">
        <f t="shared" ca="1" si="6"/>
        <v>3</v>
      </c>
      <c r="O62" s="85"/>
      <c r="P62" s="305" t="s">
        <v>870</v>
      </c>
    </row>
    <row r="63" spans="1:16" ht="14.5">
      <c r="A63" s="19" t="s">
        <v>188</v>
      </c>
      <c r="B63" s="291">
        <v>91</v>
      </c>
      <c r="C63" s="324" t="s">
        <v>79</v>
      </c>
      <c r="D63" s="291" t="s">
        <v>91</v>
      </c>
      <c r="E63" s="145">
        <v>45842</v>
      </c>
      <c r="F63" s="44">
        <v>87</v>
      </c>
      <c r="G63" s="46">
        <v>87</v>
      </c>
      <c r="H63" s="44">
        <f t="shared" si="5"/>
        <v>0</v>
      </c>
      <c r="I63" s="45">
        <v>45777</v>
      </c>
      <c r="J63" s="45">
        <v>45777</v>
      </c>
      <c r="K63" s="7">
        <f t="shared" ca="1" si="0"/>
        <v>0</v>
      </c>
      <c r="L63" s="9">
        <v>45783</v>
      </c>
      <c r="M63" s="45">
        <v>45780</v>
      </c>
      <c r="N63" s="7">
        <f t="shared" ca="1" si="6"/>
        <v>3</v>
      </c>
      <c r="O63" s="85"/>
      <c r="P63" s="305" t="s">
        <v>870</v>
      </c>
    </row>
    <row r="64" spans="1:16" ht="14.5">
      <c r="A64" s="19" t="s">
        <v>188</v>
      </c>
      <c r="B64" s="291">
        <v>91</v>
      </c>
      <c r="C64" s="324" t="s">
        <v>80</v>
      </c>
      <c r="D64" s="291" t="s">
        <v>91</v>
      </c>
      <c r="E64" s="145">
        <v>45842</v>
      </c>
      <c r="F64" s="44">
        <v>389.60000600000001</v>
      </c>
      <c r="G64" s="46">
        <v>390</v>
      </c>
      <c r="H64" s="44">
        <f t="shared" si="5"/>
        <v>-0.39999399999999241</v>
      </c>
      <c r="I64" s="45">
        <v>45777</v>
      </c>
      <c r="J64" s="45">
        <v>45777</v>
      </c>
      <c r="K64" s="7">
        <f t="shared" ca="1" si="0"/>
        <v>0</v>
      </c>
      <c r="L64" s="9">
        <f>I64+10</f>
        <v>45787</v>
      </c>
      <c r="M64" s="45">
        <v>45785</v>
      </c>
      <c r="N64" s="7">
        <f t="shared" ca="1" si="6"/>
        <v>2</v>
      </c>
      <c r="O64" s="85"/>
      <c r="P64" s="305" t="s">
        <v>870</v>
      </c>
    </row>
    <row r="65" spans="1:16" ht="14.5">
      <c r="A65" s="19" t="s">
        <v>188</v>
      </c>
      <c r="B65" s="291">
        <v>91</v>
      </c>
      <c r="C65" s="324" t="s">
        <v>867</v>
      </c>
      <c r="D65" s="291" t="s">
        <v>91</v>
      </c>
      <c r="E65" s="145">
        <v>45842</v>
      </c>
      <c r="F65" s="44">
        <v>80.400002000000001</v>
      </c>
      <c r="G65" s="46">
        <v>80</v>
      </c>
      <c r="H65" s="44">
        <f t="shared" si="5"/>
        <v>0.40000200000000063</v>
      </c>
      <c r="I65" s="45">
        <v>45777</v>
      </c>
      <c r="J65" s="45">
        <v>45777</v>
      </c>
      <c r="K65" s="7">
        <f t="shared" ca="1" si="0"/>
        <v>0</v>
      </c>
      <c r="L65" s="9">
        <f>I65+20</f>
        <v>45797</v>
      </c>
      <c r="M65" s="45">
        <v>45780</v>
      </c>
      <c r="N65" s="7">
        <f t="shared" ca="1" si="6"/>
        <v>17</v>
      </c>
      <c r="O65" s="85"/>
      <c r="P65" s="305" t="s">
        <v>870</v>
      </c>
    </row>
    <row r="66" spans="1:16" ht="14.5">
      <c r="A66" s="19" t="s">
        <v>188</v>
      </c>
      <c r="B66" s="291">
        <v>91</v>
      </c>
      <c r="C66" s="324" t="s">
        <v>868</v>
      </c>
      <c r="D66" s="291" t="s">
        <v>91</v>
      </c>
      <c r="E66" s="145">
        <v>45842</v>
      </c>
      <c r="F66" s="44">
        <v>235.39999399999999</v>
      </c>
      <c r="G66" s="46">
        <v>235</v>
      </c>
      <c r="H66" s="44">
        <f t="shared" si="5"/>
        <v>0.39999399999999241</v>
      </c>
      <c r="I66" s="45">
        <v>45777</v>
      </c>
      <c r="J66" s="45">
        <v>45777</v>
      </c>
      <c r="K66" s="7">
        <f t="shared" ca="1" si="0"/>
        <v>0</v>
      </c>
      <c r="L66" s="9">
        <f>I66+20</f>
        <v>45797</v>
      </c>
      <c r="M66" s="45">
        <v>45780</v>
      </c>
      <c r="N66" s="7">
        <f t="shared" ca="1" si="6"/>
        <v>17</v>
      </c>
      <c r="O66" s="85"/>
      <c r="P66" s="305" t="s">
        <v>870</v>
      </c>
    </row>
    <row r="67" spans="1:16" ht="14.5">
      <c r="A67" s="19" t="s">
        <v>188</v>
      </c>
      <c r="B67" s="291">
        <v>91</v>
      </c>
      <c r="C67" s="324" t="s">
        <v>95</v>
      </c>
      <c r="D67" s="291" t="s">
        <v>91</v>
      </c>
      <c r="E67" s="145">
        <v>45842</v>
      </c>
      <c r="F67" s="44">
        <v>37.099997999999999</v>
      </c>
      <c r="G67" s="46">
        <v>37</v>
      </c>
      <c r="H67" s="44">
        <f t="shared" si="5"/>
        <v>9.9997999999999365E-2</v>
      </c>
      <c r="I67" s="45">
        <v>45777</v>
      </c>
      <c r="J67" s="45">
        <v>45777</v>
      </c>
      <c r="K67" s="7">
        <f t="shared" ref="K67:K130" ca="1" si="7">+IF(J67="",I67-TODAY(),I67-J67)</f>
        <v>0</v>
      </c>
      <c r="L67" s="9">
        <f>I67+6</f>
        <v>45783</v>
      </c>
      <c r="M67" s="45">
        <v>45783</v>
      </c>
      <c r="N67" s="7">
        <f t="shared" ca="1" si="6"/>
        <v>0</v>
      </c>
      <c r="O67" s="85"/>
      <c r="P67" s="305" t="s">
        <v>870</v>
      </c>
    </row>
    <row r="68" spans="1:16" ht="14.5">
      <c r="A68" s="19" t="s">
        <v>188</v>
      </c>
      <c r="B68" s="291">
        <v>91</v>
      </c>
      <c r="C68" s="324" t="s">
        <v>96</v>
      </c>
      <c r="D68" s="291" t="s">
        <v>91</v>
      </c>
      <c r="E68" s="145">
        <v>45842</v>
      </c>
      <c r="F68" s="44">
        <v>171.89999399999999</v>
      </c>
      <c r="G68" s="46">
        <v>172</v>
      </c>
      <c r="H68" s="44">
        <f t="shared" ref="H68:H131" si="8">F68-G68</f>
        <v>-0.10000600000000759</v>
      </c>
      <c r="I68" s="45">
        <v>45777</v>
      </c>
      <c r="J68" s="45">
        <v>45777</v>
      </c>
      <c r="K68" s="7">
        <f t="shared" ca="1" si="7"/>
        <v>0</v>
      </c>
      <c r="L68" s="9">
        <f>I68+6</f>
        <v>45783</v>
      </c>
      <c r="M68" s="45">
        <v>45780</v>
      </c>
      <c r="N68" s="7">
        <f t="shared" ref="N68:N104" ca="1" si="9">+IF(M68="",L68-TODAY(),L68-M68)</f>
        <v>3</v>
      </c>
      <c r="O68" s="85"/>
      <c r="P68" s="305" t="s">
        <v>870</v>
      </c>
    </row>
    <row r="69" spans="1:16" ht="14.5">
      <c r="A69" s="19" t="s">
        <v>188</v>
      </c>
      <c r="B69" s="291">
        <v>92</v>
      </c>
      <c r="C69" s="324" t="s">
        <v>77</v>
      </c>
      <c r="D69" s="291" t="s">
        <v>91</v>
      </c>
      <c r="E69" s="145">
        <v>45856</v>
      </c>
      <c r="F69" s="44">
        <v>604</v>
      </c>
      <c r="G69" s="46">
        <v>604</v>
      </c>
      <c r="H69" s="44">
        <f t="shared" si="8"/>
        <v>0</v>
      </c>
      <c r="I69" s="45">
        <v>45777</v>
      </c>
      <c r="J69" s="45">
        <v>45777</v>
      </c>
      <c r="K69" s="7">
        <f t="shared" ca="1" si="7"/>
        <v>0</v>
      </c>
      <c r="L69" s="9">
        <v>45783</v>
      </c>
      <c r="M69" s="45">
        <v>45783</v>
      </c>
      <c r="N69" s="7">
        <f t="shared" ca="1" si="9"/>
        <v>0</v>
      </c>
      <c r="O69" s="85"/>
      <c r="P69" s="305" t="s">
        <v>870</v>
      </c>
    </row>
    <row r="70" spans="1:16" ht="14.5">
      <c r="A70" s="19" t="s">
        <v>188</v>
      </c>
      <c r="B70" s="291">
        <v>92</v>
      </c>
      <c r="C70" s="324" t="s">
        <v>79</v>
      </c>
      <c r="D70" s="291" t="s">
        <v>91</v>
      </c>
      <c r="E70" s="145">
        <v>45856</v>
      </c>
      <c r="F70" s="44">
        <v>87</v>
      </c>
      <c r="G70" s="46">
        <v>87</v>
      </c>
      <c r="H70" s="44">
        <f t="shared" si="8"/>
        <v>0</v>
      </c>
      <c r="I70" s="45">
        <v>45777</v>
      </c>
      <c r="J70" s="45">
        <v>45777</v>
      </c>
      <c r="K70" s="7">
        <f t="shared" ca="1" si="7"/>
        <v>0</v>
      </c>
      <c r="L70" s="9">
        <v>45783</v>
      </c>
      <c r="M70" s="45">
        <v>45780</v>
      </c>
      <c r="N70" s="7">
        <f t="shared" ca="1" si="9"/>
        <v>3</v>
      </c>
      <c r="O70" s="85"/>
      <c r="P70" s="305" t="s">
        <v>870</v>
      </c>
    </row>
    <row r="71" spans="1:16" ht="14.5">
      <c r="A71" s="19" t="s">
        <v>188</v>
      </c>
      <c r="B71" s="291">
        <v>92</v>
      </c>
      <c r="C71" s="324" t="s">
        <v>80</v>
      </c>
      <c r="D71" s="291" t="s">
        <v>91</v>
      </c>
      <c r="E71" s="145">
        <v>45856</v>
      </c>
      <c r="F71" s="44">
        <v>306.89999399999999</v>
      </c>
      <c r="G71" s="46">
        <v>307</v>
      </c>
      <c r="H71" s="44">
        <f t="shared" si="8"/>
        <v>-0.10000600000000759</v>
      </c>
      <c r="I71" s="45">
        <v>45777</v>
      </c>
      <c r="J71" s="45">
        <v>45777</v>
      </c>
      <c r="K71" s="7">
        <f t="shared" ca="1" si="7"/>
        <v>0</v>
      </c>
      <c r="L71" s="9">
        <f>I71+10</f>
        <v>45787</v>
      </c>
      <c r="M71" s="45">
        <v>45785</v>
      </c>
      <c r="N71" s="7">
        <f t="shared" ca="1" si="9"/>
        <v>2</v>
      </c>
      <c r="O71" s="85"/>
      <c r="P71" s="305" t="s">
        <v>870</v>
      </c>
    </row>
    <row r="72" spans="1:16" ht="14.5">
      <c r="A72" s="19" t="s">
        <v>188</v>
      </c>
      <c r="B72" s="291">
        <v>92</v>
      </c>
      <c r="C72" s="324" t="s">
        <v>75</v>
      </c>
      <c r="D72" s="291" t="s">
        <v>91</v>
      </c>
      <c r="E72" s="145">
        <v>45856</v>
      </c>
      <c r="F72" s="44">
        <v>146.60000600000001</v>
      </c>
      <c r="G72" s="46">
        <v>147</v>
      </c>
      <c r="H72" s="44">
        <f t="shared" si="8"/>
        <v>-0.39999399999999241</v>
      </c>
      <c r="I72" s="45">
        <v>45777</v>
      </c>
      <c r="J72" s="45">
        <v>45777</v>
      </c>
      <c r="K72" s="7">
        <f t="shared" ca="1" si="7"/>
        <v>0</v>
      </c>
      <c r="L72" s="9">
        <f>I72+20</f>
        <v>45797</v>
      </c>
      <c r="M72" s="45">
        <v>45784</v>
      </c>
      <c r="N72" s="7">
        <f t="shared" ca="1" si="9"/>
        <v>13</v>
      </c>
      <c r="O72" s="85"/>
      <c r="P72" s="305" t="s">
        <v>870</v>
      </c>
    </row>
    <row r="73" spans="1:16" ht="14.5">
      <c r="A73" s="19" t="s">
        <v>188</v>
      </c>
      <c r="B73" s="291">
        <v>92</v>
      </c>
      <c r="C73" s="324" t="s">
        <v>857</v>
      </c>
      <c r="D73" s="291" t="s">
        <v>91</v>
      </c>
      <c r="E73" s="145">
        <v>45856</v>
      </c>
      <c r="F73" s="44">
        <v>168.199997</v>
      </c>
      <c r="G73" s="46">
        <v>168</v>
      </c>
      <c r="H73" s="44">
        <f t="shared" si="8"/>
        <v>0.19999699999999621</v>
      </c>
      <c r="I73" s="45">
        <v>45777</v>
      </c>
      <c r="J73" s="45">
        <v>45777</v>
      </c>
      <c r="K73" s="7">
        <f t="shared" ca="1" si="7"/>
        <v>0</v>
      </c>
      <c r="L73" s="9">
        <f>I73+20</f>
        <v>45797</v>
      </c>
      <c r="M73" s="45">
        <v>45784</v>
      </c>
      <c r="N73" s="7">
        <f t="shared" ca="1" si="9"/>
        <v>13</v>
      </c>
      <c r="O73" s="85"/>
      <c r="P73" s="305" t="s">
        <v>870</v>
      </c>
    </row>
    <row r="74" spans="1:16" ht="14.5">
      <c r="A74" s="19" t="s">
        <v>188</v>
      </c>
      <c r="B74" s="291">
        <v>93</v>
      </c>
      <c r="C74" s="324" t="s">
        <v>77</v>
      </c>
      <c r="D74" s="291" t="s">
        <v>91</v>
      </c>
      <c r="E74" s="145">
        <v>45849</v>
      </c>
      <c r="F74" s="44">
        <v>927</v>
      </c>
      <c r="G74" s="46">
        <v>927</v>
      </c>
      <c r="H74" s="44">
        <f t="shared" si="8"/>
        <v>0</v>
      </c>
      <c r="I74" s="45">
        <v>45777</v>
      </c>
      <c r="J74" s="45">
        <v>45777</v>
      </c>
      <c r="K74" s="7">
        <f t="shared" ca="1" si="7"/>
        <v>0</v>
      </c>
      <c r="L74" s="9">
        <v>45783</v>
      </c>
      <c r="M74" s="45">
        <v>45783</v>
      </c>
      <c r="N74" s="7">
        <f t="shared" ca="1" si="9"/>
        <v>0</v>
      </c>
      <c r="O74" s="85"/>
      <c r="P74" s="305" t="s">
        <v>870</v>
      </c>
    </row>
    <row r="75" spans="1:16" ht="14.5">
      <c r="A75" s="19" t="s">
        <v>188</v>
      </c>
      <c r="B75" s="291">
        <v>93</v>
      </c>
      <c r="C75" s="324" t="s">
        <v>78</v>
      </c>
      <c r="D75" s="291" t="s">
        <v>91</v>
      </c>
      <c r="E75" s="145">
        <v>45870</v>
      </c>
      <c r="F75" s="44">
        <v>5.6</v>
      </c>
      <c r="G75" s="46">
        <v>6</v>
      </c>
      <c r="H75" s="44">
        <f t="shared" si="8"/>
        <v>-0.40000000000000036</v>
      </c>
      <c r="I75" s="45">
        <v>45777</v>
      </c>
      <c r="J75" s="45">
        <v>45777</v>
      </c>
      <c r="K75" s="7">
        <f t="shared" ca="1" si="7"/>
        <v>0</v>
      </c>
      <c r="L75" s="9">
        <v>45783</v>
      </c>
      <c r="M75" s="45">
        <v>45780</v>
      </c>
      <c r="N75" s="7">
        <f t="shared" ca="1" si="9"/>
        <v>3</v>
      </c>
      <c r="O75" s="85"/>
      <c r="P75" s="305" t="s">
        <v>870</v>
      </c>
    </row>
    <row r="76" spans="1:16" ht="14.5">
      <c r="A76" s="19" t="s">
        <v>188</v>
      </c>
      <c r="B76" s="291">
        <v>93</v>
      </c>
      <c r="C76" s="324" t="s">
        <v>79</v>
      </c>
      <c r="D76" s="291" t="s">
        <v>91</v>
      </c>
      <c r="E76" s="145">
        <v>45870</v>
      </c>
      <c r="F76" s="44">
        <v>70.199996999999996</v>
      </c>
      <c r="G76" s="46">
        <v>70</v>
      </c>
      <c r="H76" s="44">
        <f t="shared" si="8"/>
        <v>0.19999699999999621</v>
      </c>
      <c r="I76" s="45">
        <v>45777</v>
      </c>
      <c r="J76" s="45">
        <v>45777</v>
      </c>
      <c r="K76" s="7">
        <f t="shared" ca="1" si="7"/>
        <v>0</v>
      </c>
      <c r="L76" s="9">
        <v>45783</v>
      </c>
      <c r="M76" s="45">
        <v>45780</v>
      </c>
      <c r="N76" s="7">
        <f t="shared" ca="1" si="9"/>
        <v>3</v>
      </c>
      <c r="O76" s="85"/>
      <c r="P76" s="305" t="s">
        <v>870</v>
      </c>
    </row>
    <row r="77" spans="1:16" ht="14.5">
      <c r="A77" s="19" t="s">
        <v>188</v>
      </c>
      <c r="B77" s="291">
        <v>93</v>
      </c>
      <c r="C77" s="324" t="s">
        <v>80</v>
      </c>
      <c r="D77" s="291" t="s">
        <v>91</v>
      </c>
      <c r="E77" s="145">
        <v>45849</v>
      </c>
      <c r="F77" s="44">
        <v>500</v>
      </c>
      <c r="G77" s="46">
        <v>500</v>
      </c>
      <c r="H77" s="44">
        <f t="shared" si="8"/>
        <v>0</v>
      </c>
      <c r="I77" s="45">
        <v>45777</v>
      </c>
      <c r="J77" s="45">
        <v>45777</v>
      </c>
      <c r="K77" s="7">
        <f t="shared" ca="1" si="7"/>
        <v>0</v>
      </c>
      <c r="L77" s="9">
        <f>I77+10</f>
        <v>45787</v>
      </c>
      <c r="M77" s="45">
        <v>45785</v>
      </c>
      <c r="N77" s="7">
        <f t="shared" ca="1" si="9"/>
        <v>2</v>
      </c>
      <c r="O77" s="85"/>
      <c r="P77" s="305" t="s">
        <v>870</v>
      </c>
    </row>
    <row r="78" spans="1:16" ht="14.5">
      <c r="A78" s="19" t="s">
        <v>188</v>
      </c>
      <c r="B78" s="291">
        <v>93</v>
      </c>
      <c r="C78" s="324" t="s">
        <v>75</v>
      </c>
      <c r="D78" s="291" t="s">
        <v>91</v>
      </c>
      <c r="E78" s="145">
        <v>45849</v>
      </c>
      <c r="F78" s="44">
        <v>15.3</v>
      </c>
      <c r="G78" s="46">
        <v>15</v>
      </c>
      <c r="H78" s="44">
        <f t="shared" si="8"/>
        <v>0.30000000000000071</v>
      </c>
      <c r="I78" s="45">
        <v>45777</v>
      </c>
      <c r="J78" s="45">
        <v>45777</v>
      </c>
      <c r="K78" s="7">
        <f t="shared" ca="1" si="7"/>
        <v>0</v>
      </c>
      <c r="L78" s="9">
        <f>I78+20</f>
        <v>45797</v>
      </c>
      <c r="M78" s="45">
        <v>45784</v>
      </c>
      <c r="N78" s="7">
        <f t="shared" ca="1" si="9"/>
        <v>13</v>
      </c>
      <c r="O78" s="85"/>
      <c r="P78" s="305" t="s">
        <v>870</v>
      </c>
    </row>
    <row r="79" spans="1:16" ht="14.5">
      <c r="A79" s="19" t="s">
        <v>188</v>
      </c>
      <c r="B79" s="291">
        <v>93</v>
      </c>
      <c r="C79" s="324" t="s">
        <v>857</v>
      </c>
      <c r="D79" s="291" t="s">
        <v>91</v>
      </c>
      <c r="E79" s="145">
        <v>45849</v>
      </c>
      <c r="F79" s="44">
        <v>17.600000000000001</v>
      </c>
      <c r="G79" s="46">
        <v>18</v>
      </c>
      <c r="H79" s="44">
        <f t="shared" si="8"/>
        <v>-0.39999999999999858</v>
      </c>
      <c r="I79" s="45">
        <v>45777</v>
      </c>
      <c r="J79" s="45">
        <v>45777</v>
      </c>
      <c r="K79" s="7">
        <f t="shared" ca="1" si="7"/>
        <v>0</v>
      </c>
      <c r="L79" s="9">
        <f>I79+20</f>
        <v>45797</v>
      </c>
      <c r="M79" s="45">
        <v>45784</v>
      </c>
      <c r="N79" s="7">
        <f t="shared" ca="1" si="9"/>
        <v>13</v>
      </c>
      <c r="O79" s="85"/>
      <c r="P79" s="305" t="s">
        <v>870</v>
      </c>
    </row>
    <row r="80" spans="1:16" ht="14.5">
      <c r="A80" s="19" t="s">
        <v>188</v>
      </c>
      <c r="B80" s="291">
        <v>93</v>
      </c>
      <c r="C80" s="324" t="s">
        <v>95</v>
      </c>
      <c r="D80" s="291" t="s">
        <v>91</v>
      </c>
      <c r="E80" s="145">
        <v>45849</v>
      </c>
      <c r="F80" s="44">
        <v>37.099997999999999</v>
      </c>
      <c r="G80" s="46">
        <v>37</v>
      </c>
      <c r="H80" s="44">
        <f t="shared" si="8"/>
        <v>9.9997999999999365E-2</v>
      </c>
      <c r="I80" s="45">
        <v>45777</v>
      </c>
      <c r="J80" s="45">
        <v>45777</v>
      </c>
      <c r="K80" s="7">
        <f t="shared" ca="1" si="7"/>
        <v>0</v>
      </c>
      <c r="L80" s="9">
        <f>I80+6</f>
        <v>45783</v>
      </c>
      <c r="M80" s="45">
        <v>45783</v>
      </c>
      <c r="N80" s="7">
        <f t="shared" ca="1" si="9"/>
        <v>0</v>
      </c>
      <c r="O80" s="85"/>
      <c r="P80" s="305" t="s">
        <v>870</v>
      </c>
    </row>
    <row r="81" spans="1:16" ht="14.5">
      <c r="A81" s="19" t="s">
        <v>188</v>
      </c>
      <c r="B81" s="291">
        <v>93</v>
      </c>
      <c r="C81" s="324" t="s">
        <v>96</v>
      </c>
      <c r="D81" s="291" t="s">
        <v>91</v>
      </c>
      <c r="E81" s="145">
        <v>45870</v>
      </c>
      <c r="F81" s="44">
        <v>171.89999399999999</v>
      </c>
      <c r="G81" s="46">
        <v>172</v>
      </c>
      <c r="H81" s="44">
        <f t="shared" si="8"/>
        <v>-0.10000600000000759</v>
      </c>
      <c r="I81" s="45">
        <v>45777</v>
      </c>
      <c r="J81" s="45">
        <v>45777</v>
      </c>
      <c r="K81" s="7">
        <f t="shared" ca="1" si="7"/>
        <v>0</v>
      </c>
      <c r="L81" s="9">
        <f>I81+6</f>
        <v>45783</v>
      </c>
      <c r="M81" s="45">
        <v>45780</v>
      </c>
      <c r="N81" s="7">
        <f t="shared" ca="1" si="9"/>
        <v>3</v>
      </c>
      <c r="O81" s="85"/>
      <c r="P81" s="305" t="s">
        <v>870</v>
      </c>
    </row>
    <row r="82" spans="1:16" ht="14.5">
      <c r="A82" s="19" t="s">
        <v>188</v>
      </c>
      <c r="B82" s="291">
        <v>93</v>
      </c>
      <c r="C82" s="324" t="s">
        <v>93</v>
      </c>
      <c r="D82" s="291" t="s">
        <v>91</v>
      </c>
      <c r="E82" s="145">
        <v>45849</v>
      </c>
      <c r="F82" s="44">
        <v>557.79998799999998</v>
      </c>
      <c r="G82" s="46">
        <v>558</v>
      </c>
      <c r="H82" s="44">
        <f t="shared" si="8"/>
        <v>-0.20001200000001518</v>
      </c>
      <c r="I82" s="45">
        <v>45777</v>
      </c>
      <c r="J82" s="45">
        <v>45777</v>
      </c>
      <c r="K82" s="7">
        <f t="shared" ca="1" si="7"/>
        <v>0</v>
      </c>
      <c r="L82" s="9">
        <f>I82+18</f>
        <v>45795</v>
      </c>
      <c r="M82" s="45">
        <v>45793</v>
      </c>
      <c r="N82" s="7">
        <f t="shared" ca="1" si="9"/>
        <v>2</v>
      </c>
      <c r="O82" s="85"/>
      <c r="P82" s="305" t="s">
        <v>870</v>
      </c>
    </row>
    <row r="83" spans="1:16" ht="14.5">
      <c r="A83" s="19" t="s">
        <v>188</v>
      </c>
      <c r="B83" s="291">
        <v>93</v>
      </c>
      <c r="C83" s="324" t="s">
        <v>94</v>
      </c>
      <c r="D83" s="291" t="s">
        <v>91</v>
      </c>
      <c r="E83" s="145">
        <v>45870</v>
      </c>
      <c r="F83" s="44">
        <v>0</v>
      </c>
      <c r="G83" s="46">
        <v>0</v>
      </c>
      <c r="H83" s="44">
        <f t="shared" si="8"/>
        <v>0</v>
      </c>
      <c r="I83" s="45">
        <v>45777</v>
      </c>
      <c r="J83" s="45">
        <v>45777</v>
      </c>
      <c r="K83" s="7">
        <f t="shared" ca="1" si="7"/>
        <v>0</v>
      </c>
      <c r="L83" s="9">
        <f>I83+5</f>
        <v>45782</v>
      </c>
      <c r="M83" s="45">
        <v>45777</v>
      </c>
      <c r="N83" s="7">
        <f t="shared" ca="1" si="9"/>
        <v>5</v>
      </c>
      <c r="O83" s="85"/>
      <c r="P83" s="305" t="s">
        <v>870</v>
      </c>
    </row>
    <row r="84" spans="1:16" ht="14.5">
      <c r="A84" s="19" t="s">
        <v>188</v>
      </c>
      <c r="B84" s="291">
        <v>103</v>
      </c>
      <c r="C84" s="324" t="s">
        <v>77</v>
      </c>
      <c r="D84" s="291" t="s">
        <v>91</v>
      </c>
      <c r="E84" s="145">
        <v>45842</v>
      </c>
      <c r="F84" s="44">
        <v>112</v>
      </c>
      <c r="G84" s="46">
        <v>112</v>
      </c>
      <c r="H84" s="44">
        <f t="shared" si="8"/>
        <v>0</v>
      </c>
      <c r="I84" s="45">
        <v>45777</v>
      </c>
      <c r="J84" s="45">
        <v>45777</v>
      </c>
      <c r="K84" s="7">
        <f t="shared" ca="1" si="7"/>
        <v>0</v>
      </c>
      <c r="L84" s="9">
        <v>45783</v>
      </c>
      <c r="M84" s="45">
        <v>45783</v>
      </c>
      <c r="N84" s="7">
        <f t="shared" ca="1" si="9"/>
        <v>0</v>
      </c>
      <c r="O84" s="85"/>
      <c r="P84" s="305" t="s">
        <v>870</v>
      </c>
    </row>
    <row r="85" spans="1:16" ht="14.5">
      <c r="A85" s="19" t="s">
        <v>188</v>
      </c>
      <c r="B85" s="291">
        <v>103</v>
      </c>
      <c r="C85" s="324" t="s">
        <v>79</v>
      </c>
      <c r="D85" s="291" t="s">
        <v>91</v>
      </c>
      <c r="E85" s="145">
        <v>45842</v>
      </c>
      <c r="F85" s="44">
        <v>100.5</v>
      </c>
      <c r="G85" s="46">
        <v>101</v>
      </c>
      <c r="H85" s="44">
        <f t="shared" si="8"/>
        <v>-0.5</v>
      </c>
      <c r="I85" s="45">
        <v>45777</v>
      </c>
      <c r="J85" s="45">
        <v>45777</v>
      </c>
      <c r="K85" s="7">
        <f t="shared" ca="1" si="7"/>
        <v>0</v>
      </c>
      <c r="L85" s="9">
        <v>45783</v>
      </c>
      <c r="M85" s="45">
        <v>45780</v>
      </c>
      <c r="N85" s="7">
        <f t="shared" ca="1" si="9"/>
        <v>3</v>
      </c>
      <c r="O85" s="85"/>
      <c r="P85" s="305" t="s">
        <v>870</v>
      </c>
    </row>
    <row r="86" spans="1:16" ht="14.5">
      <c r="A86" s="19" t="s">
        <v>188</v>
      </c>
      <c r="B86" s="291">
        <v>104</v>
      </c>
      <c r="C86" s="324" t="s">
        <v>77</v>
      </c>
      <c r="D86" s="291" t="s">
        <v>91</v>
      </c>
      <c r="E86" s="145">
        <v>45849</v>
      </c>
      <c r="F86" s="44">
        <v>940.5</v>
      </c>
      <c r="G86" s="46">
        <v>941</v>
      </c>
      <c r="H86" s="44">
        <f t="shared" si="8"/>
        <v>-0.5</v>
      </c>
      <c r="I86" s="45">
        <v>45777</v>
      </c>
      <c r="J86" s="45">
        <v>45777</v>
      </c>
      <c r="K86" s="7">
        <f t="shared" ca="1" si="7"/>
        <v>0</v>
      </c>
      <c r="L86" s="9">
        <v>45783</v>
      </c>
      <c r="M86" s="45">
        <v>45783</v>
      </c>
      <c r="N86" s="7">
        <f t="shared" ca="1" si="9"/>
        <v>0</v>
      </c>
      <c r="O86" s="85"/>
      <c r="P86" s="305" t="s">
        <v>870</v>
      </c>
    </row>
    <row r="87" spans="1:16" ht="14.5">
      <c r="A87" s="19" t="s">
        <v>188</v>
      </c>
      <c r="B87" s="291">
        <v>104</v>
      </c>
      <c r="C87" s="324" t="s">
        <v>79</v>
      </c>
      <c r="D87" s="291" t="s">
        <v>91</v>
      </c>
      <c r="E87" s="145">
        <v>45849</v>
      </c>
      <c r="F87" s="44">
        <v>156.699997</v>
      </c>
      <c r="G87" s="46">
        <v>157</v>
      </c>
      <c r="H87" s="44">
        <f t="shared" si="8"/>
        <v>-0.30000300000000379</v>
      </c>
      <c r="I87" s="45">
        <v>45777</v>
      </c>
      <c r="J87" s="45">
        <v>45777</v>
      </c>
      <c r="K87" s="7">
        <f t="shared" ca="1" si="7"/>
        <v>0</v>
      </c>
      <c r="L87" s="9">
        <v>45783</v>
      </c>
      <c r="M87" s="45">
        <v>45780</v>
      </c>
      <c r="N87" s="7">
        <f t="shared" ca="1" si="9"/>
        <v>3</v>
      </c>
      <c r="O87" s="85"/>
      <c r="P87" s="305" t="s">
        <v>870</v>
      </c>
    </row>
    <row r="88" spans="1:16" ht="14.5">
      <c r="A88" s="19" t="s">
        <v>188</v>
      </c>
      <c r="B88" s="291">
        <v>104</v>
      </c>
      <c r="C88" s="324" t="s">
        <v>80</v>
      </c>
      <c r="D88" s="291" t="s">
        <v>91</v>
      </c>
      <c r="E88" s="145">
        <v>45849</v>
      </c>
      <c r="F88" s="44">
        <v>470</v>
      </c>
      <c r="G88" s="46">
        <v>470</v>
      </c>
      <c r="H88" s="44">
        <f t="shared" si="8"/>
        <v>0</v>
      </c>
      <c r="I88" s="45">
        <v>45777</v>
      </c>
      <c r="J88" s="45">
        <v>45777</v>
      </c>
      <c r="K88" s="7">
        <f t="shared" ca="1" si="7"/>
        <v>0</v>
      </c>
      <c r="L88" s="9">
        <f>I88+10</f>
        <v>45787</v>
      </c>
      <c r="M88" s="45">
        <v>45785</v>
      </c>
      <c r="N88" s="7">
        <f t="shared" ca="1" si="9"/>
        <v>2</v>
      </c>
      <c r="O88" s="85"/>
      <c r="P88" s="305" t="s">
        <v>870</v>
      </c>
    </row>
    <row r="89" spans="1:16" ht="14.5">
      <c r="A89" s="19" t="s">
        <v>188</v>
      </c>
      <c r="B89" s="291">
        <v>104</v>
      </c>
      <c r="C89" s="324" t="s">
        <v>75</v>
      </c>
      <c r="D89" s="291" t="s">
        <v>91</v>
      </c>
      <c r="E89" s="145">
        <v>45849</v>
      </c>
      <c r="F89" s="44">
        <v>191.300003</v>
      </c>
      <c r="G89" s="46">
        <v>191</v>
      </c>
      <c r="H89" s="44">
        <f t="shared" si="8"/>
        <v>0.30000300000000379</v>
      </c>
      <c r="I89" s="45">
        <v>45777</v>
      </c>
      <c r="J89" s="45">
        <v>45777</v>
      </c>
      <c r="K89" s="7">
        <f t="shared" ca="1" si="7"/>
        <v>0</v>
      </c>
      <c r="L89" s="9">
        <f>I89+20</f>
        <v>45797</v>
      </c>
      <c r="M89" s="45">
        <v>45784</v>
      </c>
      <c r="N89" s="7">
        <f t="shared" ca="1" si="9"/>
        <v>13</v>
      </c>
      <c r="O89" s="85"/>
      <c r="P89" s="305" t="s">
        <v>870</v>
      </c>
    </row>
    <row r="90" spans="1:16" ht="14.5">
      <c r="A90" s="19" t="s">
        <v>188</v>
      </c>
      <c r="B90" s="291">
        <v>104</v>
      </c>
      <c r="C90" s="324" t="s">
        <v>76</v>
      </c>
      <c r="D90" s="291" t="s">
        <v>91</v>
      </c>
      <c r="E90" s="145">
        <v>45849</v>
      </c>
      <c r="F90" s="44">
        <v>219.300003</v>
      </c>
      <c r="G90" s="46">
        <v>219</v>
      </c>
      <c r="H90" s="44">
        <f t="shared" si="8"/>
        <v>0.30000300000000379</v>
      </c>
      <c r="I90" s="45">
        <v>45777</v>
      </c>
      <c r="J90" s="45">
        <v>45777</v>
      </c>
      <c r="K90" s="7">
        <f t="shared" ca="1" si="7"/>
        <v>0</v>
      </c>
      <c r="L90" s="9">
        <f>I90+20</f>
        <v>45797</v>
      </c>
      <c r="M90" s="45">
        <v>45784</v>
      </c>
      <c r="N90" s="7">
        <f t="shared" ca="1" si="9"/>
        <v>13</v>
      </c>
      <c r="O90" s="85"/>
      <c r="P90" s="305" t="s">
        <v>870</v>
      </c>
    </row>
    <row r="91" spans="1:16" ht="14.5">
      <c r="A91" s="19" t="s">
        <v>188</v>
      </c>
      <c r="B91" s="291">
        <v>105</v>
      </c>
      <c r="C91" s="324" t="s">
        <v>77</v>
      </c>
      <c r="D91" s="291" t="s">
        <v>91</v>
      </c>
      <c r="E91" s="145">
        <v>45849</v>
      </c>
      <c r="F91" s="44">
        <v>96.800003000000004</v>
      </c>
      <c r="G91" s="46">
        <v>97</v>
      </c>
      <c r="H91" s="44">
        <f t="shared" si="8"/>
        <v>-0.19999699999999621</v>
      </c>
      <c r="I91" s="45">
        <v>45777</v>
      </c>
      <c r="J91" s="45">
        <v>45777</v>
      </c>
      <c r="K91" s="7">
        <f t="shared" ca="1" si="7"/>
        <v>0</v>
      </c>
      <c r="L91" s="9">
        <v>45783</v>
      </c>
      <c r="M91" s="45">
        <v>45783</v>
      </c>
      <c r="N91" s="7">
        <f t="shared" ca="1" si="9"/>
        <v>0</v>
      </c>
      <c r="O91" s="85"/>
      <c r="P91" s="305" t="s">
        <v>870</v>
      </c>
    </row>
    <row r="92" spans="1:16" ht="14.5">
      <c r="A92" s="19" t="s">
        <v>188</v>
      </c>
      <c r="B92" s="291">
        <v>105</v>
      </c>
      <c r="C92" s="324" t="s">
        <v>79</v>
      </c>
      <c r="D92" s="291" t="s">
        <v>91</v>
      </c>
      <c r="E92" s="145">
        <v>45849</v>
      </c>
      <c r="F92" s="44">
        <v>87</v>
      </c>
      <c r="G92" s="46">
        <v>87</v>
      </c>
      <c r="H92" s="44">
        <f t="shared" si="8"/>
        <v>0</v>
      </c>
      <c r="I92" s="45">
        <v>45777</v>
      </c>
      <c r="J92" s="45">
        <v>45777</v>
      </c>
      <c r="K92" s="7">
        <f t="shared" ca="1" si="7"/>
        <v>0</v>
      </c>
      <c r="L92" s="9">
        <v>45783</v>
      </c>
      <c r="M92" s="45">
        <v>45780</v>
      </c>
      <c r="N92" s="7">
        <f t="shared" ca="1" si="9"/>
        <v>3</v>
      </c>
      <c r="O92" s="85"/>
      <c r="P92" s="305" t="s">
        <v>870</v>
      </c>
    </row>
    <row r="93" spans="1:16" ht="14.5">
      <c r="A93" s="19" t="s">
        <v>188</v>
      </c>
      <c r="B93" s="291">
        <v>105</v>
      </c>
      <c r="C93" s="324" t="s">
        <v>75</v>
      </c>
      <c r="D93" s="291" t="s">
        <v>91</v>
      </c>
      <c r="E93" s="145">
        <v>45849</v>
      </c>
      <c r="F93" s="44">
        <v>163.5</v>
      </c>
      <c r="G93" s="46">
        <v>164</v>
      </c>
      <c r="H93" s="44">
        <f t="shared" si="8"/>
        <v>-0.5</v>
      </c>
      <c r="I93" s="45">
        <v>45777</v>
      </c>
      <c r="J93" s="45">
        <v>45777</v>
      </c>
      <c r="K93" s="7">
        <f t="shared" ca="1" si="7"/>
        <v>0</v>
      </c>
      <c r="L93" s="9">
        <f>I93+20</f>
        <v>45797</v>
      </c>
      <c r="M93" s="45">
        <v>45784</v>
      </c>
      <c r="N93" s="7">
        <f t="shared" ca="1" si="9"/>
        <v>13</v>
      </c>
      <c r="O93" s="85"/>
      <c r="P93" s="305" t="s">
        <v>870</v>
      </c>
    </row>
    <row r="94" spans="1:16" ht="14.5">
      <c r="A94" s="19" t="s">
        <v>188</v>
      </c>
      <c r="B94" s="291">
        <v>105</v>
      </c>
      <c r="C94" s="324" t="s">
        <v>76</v>
      </c>
      <c r="D94" s="291" t="s">
        <v>91</v>
      </c>
      <c r="E94" s="145">
        <v>45849</v>
      </c>
      <c r="F94" s="44">
        <v>187.39999399999999</v>
      </c>
      <c r="G94" s="46">
        <v>187</v>
      </c>
      <c r="H94" s="44">
        <f t="shared" si="8"/>
        <v>0.39999399999999241</v>
      </c>
      <c r="I94" s="45">
        <v>45777</v>
      </c>
      <c r="J94" s="45">
        <v>45777</v>
      </c>
      <c r="K94" s="7">
        <f t="shared" ca="1" si="7"/>
        <v>0</v>
      </c>
      <c r="L94" s="9">
        <f>I94+20</f>
        <v>45797</v>
      </c>
      <c r="M94" s="45">
        <v>45784</v>
      </c>
      <c r="N94" s="7">
        <f t="shared" ca="1" si="9"/>
        <v>13</v>
      </c>
      <c r="O94" s="85"/>
      <c r="P94" s="305" t="s">
        <v>870</v>
      </c>
    </row>
    <row r="95" spans="1:16" ht="14.5">
      <c r="A95" s="19" t="s">
        <v>188</v>
      </c>
      <c r="B95" s="291">
        <v>106</v>
      </c>
      <c r="C95" s="324" t="s">
        <v>77</v>
      </c>
      <c r="D95" s="291" t="s">
        <v>91</v>
      </c>
      <c r="E95" s="145">
        <v>45870</v>
      </c>
      <c r="F95" s="44">
        <v>91.5</v>
      </c>
      <c r="G95" s="46">
        <v>92</v>
      </c>
      <c r="H95" s="44">
        <f t="shared" si="8"/>
        <v>-0.5</v>
      </c>
      <c r="I95" s="45">
        <v>45777</v>
      </c>
      <c r="J95" s="45">
        <v>45777</v>
      </c>
      <c r="K95" s="7">
        <f t="shared" ca="1" si="7"/>
        <v>0</v>
      </c>
      <c r="L95" s="9">
        <v>45783</v>
      </c>
      <c r="M95" s="45">
        <v>45783</v>
      </c>
      <c r="N95" s="7">
        <f t="shared" ca="1" si="9"/>
        <v>0</v>
      </c>
      <c r="O95" s="85"/>
      <c r="P95" s="305" t="s">
        <v>870</v>
      </c>
    </row>
    <row r="96" spans="1:16" ht="14.5">
      <c r="A96" s="19" t="s">
        <v>188</v>
      </c>
      <c r="B96" s="291">
        <v>106</v>
      </c>
      <c r="C96" s="324" t="s">
        <v>82</v>
      </c>
      <c r="D96" s="291" t="s">
        <v>91</v>
      </c>
      <c r="E96" s="145">
        <v>45870</v>
      </c>
      <c r="F96" s="44">
        <v>206.10000600000001</v>
      </c>
      <c r="G96" s="46">
        <v>206</v>
      </c>
      <c r="H96" s="44">
        <f t="shared" si="8"/>
        <v>0.10000600000000759</v>
      </c>
      <c r="I96" s="45">
        <v>45777</v>
      </c>
      <c r="J96" s="45">
        <v>45777</v>
      </c>
      <c r="K96" s="7">
        <f t="shared" ca="1" si="7"/>
        <v>0</v>
      </c>
      <c r="L96" s="9">
        <f>I96+5</f>
        <v>45782</v>
      </c>
      <c r="M96" s="45">
        <v>45780</v>
      </c>
      <c r="N96" s="7">
        <f t="shared" ca="1" si="9"/>
        <v>2</v>
      </c>
      <c r="O96" s="85"/>
      <c r="P96" s="305" t="s">
        <v>870</v>
      </c>
    </row>
    <row r="97" spans="1:16" ht="14.5">
      <c r="A97" s="19" t="s">
        <v>188</v>
      </c>
      <c r="B97" s="291">
        <v>106</v>
      </c>
      <c r="C97" s="324" t="s">
        <v>79</v>
      </c>
      <c r="D97" s="291" t="s">
        <v>91</v>
      </c>
      <c r="E97" s="145">
        <v>45870</v>
      </c>
      <c r="F97" s="44">
        <v>87.800003000000004</v>
      </c>
      <c r="G97" s="46">
        <v>88</v>
      </c>
      <c r="H97" s="44">
        <f t="shared" si="8"/>
        <v>-0.19999699999999621</v>
      </c>
      <c r="I97" s="45">
        <v>45777</v>
      </c>
      <c r="J97" s="45">
        <v>45777</v>
      </c>
      <c r="K97" s="7">
        <f t="shared" ca="1" si="7"/>
        <v>0</v>
      </c>
      <c r="L97" s="9">
        <v>45783</v>
      </c>
      <c r="M97" s="45">
        <v>45780</v>
      </c>
      <c r="N97" s="7">
        <f t="shared" ca="1" si="9"/>
        <v>3</v>
      </c>
      <c r="O97" s="85"/>
      <c r="P97" s="305" t="s">
        <v>870</v>
      </c>
    </row>
    <row r="98" spans="1:16" ht="14.5">
      <c r="A98" s="19" t="s">
        <v>188</v>
      </c>
      <c r="B98" s="291">
        <v>106</v>
      </c>
      <c r="C98" s="324" t="s">
        <v>75</v>
      </c>
      <c r="D98" s="291" t="s">
        <v>91</v>
      </c>
      <c r="E98" s="145">
        <v>45870</v>
      </c>
      <c r="F98" s="44">
        <v>127.199997</v>
      </c>
      <c r="G98" s="46">
        <v>127</v>
      </c>
      <c r="H98" s="44">
        <f t="shared" si="8"/>
        <v>0.19999699999999621</v>
      </c>
      <c r="I98" s="45">
        <v>45777</v>
      </c>
      <c r="J98" s="45">
        <v>45777</v>
      </c>
      <c r="K98" s="7">
        <f t="shared" ca="1" si="7"/>
        <v>0</v>
      </c>
      <c r="L98" s="9">
        <f>I98+20</f>
        <v>45797</v>
      </c>
      <c r="M98" s="45">
        <v>45784</v>
      </c>
      <c r="N98" s="7">
        <f t="shared" ca="1" si="9"/>
        <v>13</v>
      </c>
      <c r="O98" s="85"/>
      <c r="P98" s="305" t="s">
        <v>870</v>
      </c>
    </row>
    <row r="99" spans="1:16" ht="14.5">
      <c r="A99" s="19" t="s">
        <v>188</v>
      </c>
      <c r="B99" s="291">
        <v>106</v>
      </c>
      <c r="C99" s="324" t="s">
        <v>76</v>
      </c>
      <c r="D99" s="291" t="s">
        <v>91</v>
      </c>
      <c r="E99" s="145">
        <v>45870</v>
      </c>
      <c r="F99" s="44">
        <v>145.800003</v>
      </c>
      <c r="G99" s="46">
        <v>146</v>
      </c>
      <c r="H99" s="44">
        <f t="shared" si="8"/>
        <v>-0.19999699999999621</v>
      </c>
      <c r="I99" s="45">
        <v>45777</v>
      </c>
      <c r="J99" s="45">
        <v>45777</v>
      </c>
      <c r="K99" s="7">
        <f t="shared" ca="1" si="7"/>
        <v>0</v>
      </c>
      <c r="L99" s="9">
        <f>I99+20</f>
        <v>45797</v>
      </c>
      <c r="M99" s="45">
        <v>45784</v>
      </c>
      <c r="N99" s="7">
        <f t="shared" ca="1" si="9"/>
        <v>13</v>
      </c>
      <c r="O99" s="85"/>
      <c r="P99" s="305" t="s">
        <v>870</v>
      </c>
    </row>
    <row r="100" spans="1:16" ht="14.5">
      <c r="A100" s="19" t="s">
        <v>188</v>
      </c>
      <c r="B100" s="291">
        <v>106</v>
      </c>
      <c r="C100" s="324" t="s">
        <v>93</v>
      </c>
      <c r="D100" s="291" t="s">
        <v>91</v>
      </c>
      <c r="E100" s="145">
        <v>45870</v>
      </c>
      <c r="F100" s="44">
        <v>582.40002400000003</v>
      </c>
      <c r="G100" s="46">
        <v>582</v>
      </c>
      <c r="H100" s="44">
        <f t="shared" si="8"/>
        <v>0.40002400000003036</v>
      </c>
      <c r="I100" s="45">
        <v>45777</v>
      </c>
      <c r="J100" s="45">
        <v>45777</v>
      </c>
      <c r="K100" s="7">
        <f t="shared" ca="1" si="7"/>
        <v>0</v>
      </c>
      <c r="L100" s="9">
        <f>I100+18</f>
        <v>45795</v>
      </c>
      <c r="M100" s="45">
        <v>45793</v>
      </c>
      <c r="N100" s="7">
        <f t="shared" ca="1" si="9"/>
        <v>2</v>
      </c>
      <c r="O100" s="85"/>
      <c r="P100" s="305" t="s">
        <v>870</v>
      </c>
    </row>
    <row r="101" spans="1:16" ht="14.5">
      <c r="A101" s="19" t="s">
        <v>188</v>
      </c>
      <c r="B101" s="291">
        <v>106</v>
      </c>
      <c r="C101" s="324" t="s">
        <v>94</v>
      </c>
      <c r="D101" s="291" t="s">
        <v>91</v>
      </c>
      <c r="E101" s="145">
        <v>45870</v>
      </c>
      <c r="F101" s="44">
        <v>0</v>
      </c>
      <c r="G101" s="46">
        <v>0</v>
      </c>
      <c r="H101" s="44">
        <f t="shared" si="8"/>
        <v>0</v>
      </c>
      <c r="I101" s="45">
        <v>45777</v>
      </c>
      <c r="J101" s="45">
        <v>45777</v>
      </c>
      <c r="K101" s="7">
        <f t="shared" ca="1" si="7"/>
        <v>0</v>
      </c>
      <c r="L101" s="9">
        <f>I101+5</f>
        <v>45782</v>
      </c>
      <c r="M101" s="45">
        <v>45777</v>
      </c>
      <c r="N101" s="7">
        <f t="shared" ca="1" si="9"/>
        <v>5</v>
      </c>
      <c r="O101" s="85"/>
      <c r="P101" s="305" t="s">
        <v>870</v>
      </c>
    </row>
    <row r="102" spans="1:16" ht="14.5">
      <c r="A102" s="19" t="s">
        <v>188</v>
      </c>
      <c r="B102" s="291">
        <v>109</v>
      </c>
      <c r="C102" s="324" t="s">
        <v>77</v>
      </c>
      <c r="D102" s="291" t="s">
        <v>91</v>
      </c>
      <c r="E102" s="145">
        <v>45842</v>
      </c>
      <c r="F102" s="44">
        <v>1610.3000489999999</v>
      </c>
      <c r="G102" s="46">
        <v>1610</v>
      </c>
      <c r="H102" s="44">
        <f t="shared" si="8"/>
        <v>0.3000489999999445</v>
      </c>
      <c r="I102" s="45">
        <v>45777</v>
      </c>
      <c r="J102" s="45">
        <v>45777</v>
      </c>
      <c r="K102" s="7">
        <f t="shared" ca="1" si="7"/>
        <v>0</v>
      </c>
      <c r="L102" s="9">
        <v>45783</v>
      </c>
      <c r="M102" s="45">
        <v>45783</v>
      </c>
      <c r="N102" s="7">
        <f t="shared" ca="1" si="9"/>
        <v>0</v>
      </c>
      <c r="O102" s="85"/>
      <c r="P102" s="305" t="s">
        <v>870</v>
      </c>
    </row>
    <row r="103" spans="1:16" ht="14.5">
      <c r="A103" s="19" t="s">
        <v>188</v>
      </c>
      <c r="B103" s="291">
        <v>109</v>
      </c>
      <c r="C103" s="324" t="s">
        <v>79</v>
      </c>
      <c r="D103" s="291" t="s">
        <v>91</v>
      </c>
      <c r="E103" s="145">
        <v>45842</v>
      </c>
      <c r="F103" s="44">
        <v>126.199997</v>
      </c>
      <c r="G103" s="46">
        <v>126</v>
      </c>
      <c r="H103" s="44">
        <f t="shared" si="8"/>
        <v>0.19999699999999621</v>
      </c>
      <c r="I103" s="45">
        <v>45777</v>
      </c>
      <c r="J103" s="45">
        <v>45777</v>
      </c>
      <c r="K103" s="7">
        <f t="shared" ca="1" si="7"/>
        <v>0</v>
      </c>
      <c r="L103" s="9">
        <v>45783</v>
      </c>
      <c r="M103" s="45">
        <v>45780</v>
      </c>
      <c r="N103" s="7">
        <f t="shared" ca="1" si="9"/>
        <v>3</v>
      </c>
      <c r="O103" s="85"/>
      <c r="P103" s="305" t="s">
        <v>870</v>
      </c>
    </row>
    <row r="104" spans="1:16" ht="14.5">
      <c r="A104" s="19" t="s">
        <v>188</v>
      </c>
      <c r="B104" s="291">
        <v>109</v>
      </c>
      <c r="C104" s="324" t="s">
        <v>75</v>
      </c>
      <c r="D104" s="291" t="s">
        <v>91</v>
      </c>
      <c r="E104" s="145">
        <v>45842</v>
      </c>
      <c r="F104" s="44">
        <v>142.89999399999999</v>
      </c>
      <c r="G104" s="46">
        <v>143</v>
      </c>
      <c r="H104" s="44">
        <f t="shared" si="8"/>
        <v>-0.10000600000000759</v>
      </c>
      <c r="I104" s="45">
        <v>45777</v>
      </c>
      <c r="J104" s="45">
        <v>45777</v>
      </c>
      <c r="K104" s="7">
        <f t="shared" ca="1" si="7"/>
        <v>0</v>
      </c>
      <c r="L104" s="9">
        <f>I104+20</f>
        <v>45797</v>
      </c>
      <c r="M104" s="45">
        <v>45784</v>
      </c>
      <c r="N104" s="7">
        <f t="shared" ca="1" si="9"/>
        <v>13</v>
      </c>
      <c r="O104" s="85"/>
      <c r="P104" s="305" t="s">
        <v>870</v>
      </c>
    </row>
    <row r="105" spans="1:16" ht="14.5">
      <c r="A105" s="19" t="s">
        <v>188</v>
      </c>
      <c r="B105" s="291">
        <v>109</v>
      </c>
      <c r="C105" s="324" t="s">
        <v>857</v>
      </c>
      <c r="D105" s="291" t="s">
        <v>91</v>
      </c>
      <c r="E105" s="145">
        <v>45842</v>
      </c>
      <c r="F105" s="44">
        <v>163.89999399999999</v>
      </c>
      <c r="G105" s="46">
        <v>164</v>
      </c>
      <c r="H105" s="44">
        <f t="shared" si="8"/>
        <v>-0.10000600000000759</v>
      </c>
      <c r="I105" s="45">
        <v>45777</v>
      </c>
      <c r="J105" s="45">
        <v>45777</v>
      </c>
      <c r="K105" s="7">
        <f t="shared" ca="1" si="7"/>
        <v>0</v>
      </c>
      <c r="L105" s="9">
        <f>I105+20</f>
        <v>45797</v>
      </c>
      <c r="M105" s="45">
        <v>45784</v>
      </c>
      <c r="N105" s="7">
        <f t="shared" ref="N105:N165" ca="1" si="10">+IF(M105="",L105-TODAY(),L105-M105)</f>
        <v>13</v>
      </c>
      <c r="O105" s="85"/>
      <c r="P105" s="305" t="s">
        <v>870</v>
      </c>
    </row>
    <row r="106" spans="1:16" ht="14.5">
      <c r="A106" s="19" t="s">
        <v>188</v>
      </c>
      <c r="B106" s="291">
        <v>109</v>
      </c>
      <c r="C106" s="324" t="s">
        <v>95</v>
      </c>
      <c r="D106" s="291" t="s">
        <v>91</v>
      </c>
      <c r="E106" s="145">
        <v>45842</v>
      </c>
      <c r="F106" s="44">
        <v>41.900002000000001</v>
      </c>
      <c r="G106" s="46">
        <v>42</v>
      </c>
      <c r="H106" s="44">
        <f t="shared" si="8"/>
        <v>-9.9997999999999365E-2</v>
      </c>
      <c r="I106" s="45">
        <v>45777</v>
      </c>
      <c r="J106" s="45">
        <v>45777</v>
      </c>
      <c r="K106" s="7">
        <f t="shared" ca="1" si="7"/>
        <v>0</v>
      </c>
      <c r="L106" s="9">
        <f>I106+6</f>
        <v>45783</v>
      </c>
      <c r="M106" s="45">
        <v>45783</v>
      </c>
      <c r="N106" s="7">
        <f t="shared" ca="1" si="10"/>
        <v>0</v>
      </c>
      <c r="O106" s="85"/>
      <c r="P106" s="305" t="s">
        <v>870</v>
      </c>
    </row>
    <row r="107" spans="1:16" ht="14.5">
      <c r="A107" s="19" t="s">
        <v>188</v>
      </c>
      <c r="B107" s="291">
        <v>109</v>
      </c>
      <c r="C107" s="324" t="s">
        <v>96</v>
      </c>
      <c r="D107" s="291" t="s">
        <v>91</v>
      </c>
      <c r="E107" s="145">
        <v>45842</v>
      </c>
      <c r="F107" s="44">
        <v>194.10000600000001</v>
      </c>
      <c r="G107" s="46">
        <v>194</v>
      </c>
      <c r="H107" s="44">
        <f t="shared" si="8"/>
        <v>0.10000600000000759</v>
      </c>
      <c r="I107" s="45">
        <v>45777</v>
      </c>
      <c r="J107" s="45">
        <v>45777</v>
      </c>
      <c r="K107" s="7">
        <f t="shared" ca="1" si="7"/>
        <v>0</v>
      </c>
      <c r="L107" s="9">
        <f>I107+6</f>
        <v>45783</v>
      </c>
      <c r="M107" s="45">
        <v>45780</v>
      </c>
      <c r="N107" s="7">
        <f t="shared" ca="1" si="10"/>
        <v>3</v>
      </c>
      <c r="O107" s="85"/>
      <c r="P107" s="305" t="s">
        <v>870</v>
      </c>
    </row>
    <row r="108" spans="1:16" ht="14.5">
      <c r="A108" s="19" t="s">
        <v>188</v>
      </c>
      <c r="B108" s="291">
        <v>110</v>
      </c>
      <c r="C108" s="324" t="s">
        <v>77</v>
      </c>
      <c r="D108" s="291" t="s">
        <v>91</v>
      </c>
      <c r="E108" s="145">
        <v>45842</v>
      </c>
      <c r="F108" s="44">
        <v>1440.8000489999999</v>
      </c>
      <c r="G108" s="46">
        <v>1441</v>
      </c>
      <c r="H108" s="44">
        <f t="shared" si="8"/>
        <v>-0.1999510000000555</v>
      </c>
      <c r="I108" s="45">
        <v>45777</v>
      </c>
      <c r="J108" s="45">
        <v>45777</v>
      </c>
      <c r="K108" s="7">
        <f t="shared" ca="1" si="7"/>
        <v>0</v>
      </c>
      <c r="L108" s="9">
        <v>45783</v>
      </c>
      <c r="M108" s="45">
        <v>45783</v>
      </c>
      <c r="N108" s="7">
        <f t="shared" ca="1" si="10"/>
        <v>0</v>
      </c>
      <c r="O108" s="85"/>
      <c r="P108" s="305" t="s">
        <v>870</v>
      </c>
    </row>
    <row r="109" spans="1:16" ht="14.5">
      <c r="A109" s="19" t="s">
        <v>188</v>
      </c>
      <c r="B109" s="291">
        <v>110</v>
      </c>
      <c r="C109" s="324" t="s">
        <v>78</v>
      </c>
      <c r="D109" s="291" t="s">
        <v>91</v>
      </c>
      <c r="E109" s="145">
        <v>45842</v>
      </c>
      <c r="F109" s="44">
        <v>6.9</v>
      </c>
      <c r="G109" s="46">
        <v>7</v>
      </c>
      <c r="H109" s="44">
        <f t="shared" si="8"/>
        <v>-9.9999999999999645E-2</v>
      </c>
      <c r="I109" s="45">
        <v>45777</v>
      </c>
      <c r="J109" s="45">
        <v>45777</v>
      </c>
      <c r="K109" s="7">
        <f t="shared" ca="1" si="7"/>
        <v>0</v>
      </c>
      <c r="L109" s="9">
        <v>45783</v>
      </c>
      <c r="M109" s="45">
        <v>45780</v>
      </c>
      <c r="N109" s="7">
        <f t="shared" ca="1" si="10"/>
        <v>3</v>
      </c>
      <c r="O109" s="85"/>
      <c r="P109" s="305" t="s">
        <v>870</v>
      </c>
    </row>
    <row r="110" spans="1:16" ht="14.5">
      <c r="A110" s="19" t="s">
        <v>188</v>
      </c>
      <c r="B110" s="291">
        <v>110</v>
      </c>
      <c r="C110" s="324" t="s">
        <v>75</v>
      </c>
      <c r="D110" s="291" t="s">
        <v>91</v>
      </c>
      <c r="E110" s="145">
        <v>45842</v>
      </c>
      <c r="F110" s="44">
        <v>138.199997</v>
      </c>
      <c r="G110" s="46">
        <v>138</v>
      </c>
      <c r="H110" s="44">
        <f t="shared" si="8"/>
        <v>0.19999699999999621</v>
      </c>
      <c r="I110" s="45">
        <v>45777</v>
      </c>
      <c r="J110" s="45">
        <v>45777</v>
      </c>
      <c r="K110" s="7">
        <f t="shared" ca="1" si="7"/>
        <v>0</v>
      </c>
      <c r="L110" s="9">
        <f>I110+20</f>
        <v>45797</v>
      </c>
      <c r="M110" s="45">
        <v>45784</v>
      </c>
      <c r="N110" s="7">
        <f t="shared" ca="1" si="10"/>
        <v>13</v>
      </c>
      <c r="O110" s="85"/>
      <c r="P110" s="305" t="s">
        <v>870</v>
      </c>
    </row>
    <row r="111" spans="1:16" ht="14.5">
      <c r="A111" s="19" t="s">
        <v>188</v>
      </c>
      <c r="B111" s="291">
        <v>110</v>
      </c>
      <c r="C111" s="324" t="s">
        <v>857</v>
      </c>
      <c r="D111" s="291" t="s">
        <v>91</v>
      </c>
      <c r="E111" s="145">
        <v>45842</v>
      </c>
      <c r="F111" s="44">
        <v>158.39999399999999</v>
      </c>
      <c r="G111" s="46">
        <v>158</v>
      </c>
      <c r="H111" s="44">
        <f t="shared" si="8"/>
        <v>0.39999399999999241</v>
      </c>
      <c r="I111" s="45">
        <v>45777</v>
      </c>
      <c r="J111" s="45">
        <v>45777</v>
      </c>
      <c r="K111" s="7">
        <f t="shared" ca="1" si="7"/>
        <v>0</v>
      </c>
      <c r="L111" s="9">
        <f>I111+20</f>
        <v>45797</v>
      </c>
      <c r="M111" s="45">
        <v>45784</v>
      </c>
      <c r="N111" s="7">
        <f t="shared" ca="1" si="10"/>
        <v>13</v>
      </c>
      <c r="O111" s="85"/>
      <c r="P111" s="305" t="s">
        <v>870</v>
      </c>
    </row>
    <row r="112" spans="1:16" ht="14.5">
      <c r="A112" s="19" t="s">
        <v>188</v>
      </c>
      <c r="B112" s="291">
        <v>111</v>
      </c>
      <c r="C112" s="324" t="s">
        <v>77</v>
      </c>
      <c r="D112" s="291" t="s">
        <v>91</v>
      </c>
      <c r="E112" s="145">
        <v>45849</v>
      </c>
      <c r="F112" s="44">
        <v>199.199997</v>
      </c>
      <c r="G112" s="46">
        <v>199</v>
      </c>
      <c r="H112" s="44">
        <f t="shared" si="8"/>
        <v>0.19999699999999621</v>
      </c>
      <c r="I112" s="45">
        <v>45777</v>
      </c>
      <c r="J112" s="45">
        <v>45777</v>
      </c>
      <c r="K112" s="7">
        <f t="shared" ca="1" si="7"/>
        <v>0</v>
      </c>
      <c r="L112" s="9">
        <v>45783</v>
      </c>
      <c r="M112" s="45">
        <v>45783</v>
      </c>
      <c r="N112" s="7">
        <f t="shared" ca="1" si="10"/>
        <v>0</v>
      </c>
      <c r="O112" s="85"/>
      <c r="P112" s="305" t="s">
        <v>870</v>
      </c>
    </row>
    <row r="113" spans="1:16" ht="14.5">
      <c r="A113" s="19" t="s">
        <v>188</v>
      </c>
      <c r="B113" s="291">
        <v>111</v>
      </c>
      <c r="C113" s="324" t="s">
        <v>79</v>
      </c>
      <c r="D113" s="291" t="s">
        <v>91</v>
      </c>
      <c r="E113" s="145">
        <v>45849</v>
      </c>
      <c r="F113" s="44">
        <v>209.699997</v>
      </c>
      <c r="G113" s="46">
        <v>210</v>
      </c>
      <c r="H113" s="44">
        <f t="shared" si="8"/>
        <v>-0.30000300000000379</v>
      </c>
      <c r="I113" s="45">
        <v>45777</v>
      </c>
      <c r="J113" s="45">
        <v>45777</v>
      </c>
      <c r="K113" s="7">
        <f t="shared" ca="1" si="7"/>
        <v>0</v>
      </c>
      <c r="L113" s="9">
        <v>45783</v>
      </c>
      <c r="M113" s="45">
        <v>45780</v>
      </c>
      <c r="N113" s="7">
        <f t="shared" ca="1" si="10"/>
        <v>3</v>
      </c>
      <c r="O113" s="85"/>
      <c r="P113" s="305" t="s">
        <v>870</v>
      </c>
    </row>
    <row r="114" spans="1:16" ht="14.5">
      <c r="A114" s="19" t="s">
        <v>188</v>
      </c>
      <c r="B114" s="291">
        <v>112</v>
      </c>
      <c r="C114" s="324" t="s">
        <v>77</v>
      </c>
      <c r="D114" s="291" t="s">
        <v>91</v>
      </c>
      <c r="E114" s="145">
        <v>45856</v>
      </c>
      <c r="F114" s="44">
        <v>268</v>
      </c>
      <c r="G114" s="46">
        <v>268</v>
      </c>
      <c r="H114" s="44">
        <f t="shared" si="8"/>
        <v>0</v>
      </c>
      <c r="I114" s="45">
        <v>45777</v>
      </c>
      <c r="J114" s="45">
        <v>45777</v>
      </c>
      <c r="K114" s="7">
        <f t="shared" ca="1" si="7"/>
        <v>0</v>
      </c>
      <c r="L114" s="9">
        <v>45783</v>
      </c>
      <c r="M114" s="45">
        <v>45783</v>
      </c>
      <c r="N114" s="7">
        <f t="shared" ca="1" si="10"/>
        <v>0</v>
      </c>
      <c r="O114" s="85"/>
      <c r="P114" s="305" t="s">
        <v>870</v>
      </c>
    </row>
    <row r="115" spans="1:16" ht="14.5">
      <c r="A115" s="19" t="s">
        <v>188</v>
      </c>
      <c r="B115" s="291">
        <v>112</v>
      </c>
      <c r="C115" s="324" t="s">
        <v>82</v>
      </c>
      <c r="D115" s="291" t="s">
        <v>91</v>
      </c>
      <c r="E115" s="145">
        <v>45856</v>
      </c>
      <c r="F115" s="44">
        <v>206.10000600000001</v>
      </c>
      <c r="G115" s="46">
        <v>206</v>
      </c>
      <c r="H115" s="44">
        <f t="shared" si="8"/>
        <v>0.10000600000000759</v>
      </c>
      <c r="I115" s="45">
        <v>45777</v>
      </c>
      <c r="J115" s="45">
        <v>45777</v>
      </c>
      <c r="K115" s="7">
        <f t="shared" ca="1" si="7"/>
        <v>0</v>
      </c>
      <c r="L115" s="9">
        <f>I115+5</f>
        <v>45782</v>
      </c>
      <c r="M115" s="45">
        <v>45780</v>
      </c>
      <c r="N115" s="7">
        <f t="shared" ca="1" si="10"/>
        <v>2</v>
      </c>
      <c r="O115" s="85"/>
      <c r="P115" s="305" t="s">
        <v>870</v>
      </c>
    </row>
    <row r="116" spans="1:16" ht="14.5">
      <c r="A116" s="19" t="s">
        <v>188</v>
      </c>
      <c r="B116" s="291">
        <v>112</v>
      </c>
      <c r="C116" s="324" t="s">
        <v>78</v>
      </c>
      <c r="D116" s="291" t="s">
        <v>91</v>
      </c>
      <c r="E116" s="145">
        <v>45856</v>
      </c>
      <c r="F116" s="44">
        <v>5.3</v>
      </c>
      <c r="G116" s="46">
        <v>5</v>
      </c>
      <c r="H116" s="44">
        <f t="shared" si="8"/>
        <v>0.29999999999999982</v>
      </c>
      <c r="I116" s="45">
        <v>45777</v>
      </c>
      <c r="J116" s="45">
        <v>45777</v>
      </c>
      <c r="K116" s="7">
        <f t="shared" ca="1" si="7"/>
        <v>0</v>
      </c>
      <c r="L116" s="9">
        <v>45783</v>
      </c>
      <c r="M116" s="45">
        <v>45780</v>
      </c>
      <c r="N116" s="7">
        <f t="shared" ca="1" si="10"/>
        <v>3</v>
      </c>
      <c r="O116" s="85"/>
      <c r="P116" s="305" t="s">
        <v>870</v>
      </c>
    </row>
    <row r="117" spans="1:16" ht="14.5">
      <c r="A117" s="19" t="s">
        <v>188</v>
      </c>
      <c r="B117" s="291">
        <v>112</v>
      </c>
      <c r="C117" s="324" t="s">
        <v>79</v>
      </c>
      <c r="D117" s="291" t="s">
        <v>91</v>
      </c>
      <c r="E117" s="145">
        <v>45856</v>
      </c>
      <c r="F117" s="44">
        <v>119.300003</v>
      </c>
      <c r="G117" s="46">
        <v>119</v>
      </c>
      <c r="H117" s="44">
        <f t="shared" si="8"/>
        <v>0.30000300000000379</v>
      </c>
      <c r="I117" s="45">
        <v>45777</v>
      </c>
      <c r="J117" s="45">
        <v>45777</v>
      </c>
      <c r="K117" s="7">
        <f t="shared" ca="1" si="7"/>
        <v>0</v>
      </c>
      <c r="L117" s="9">
        <v>45783</v>
      </c>
      <c r="M117" s="45">
        <v>45780</v>
      </c>
      <c r="N117" s="7">
        <f t="shared" ca="1" si="10"/>
        <v>3</v>
      </c>
      <c r="O117" s="85"/>
      <c r="P117" s="305" t="s">
        <v>870</v>
      </c>
    </row>
    <row r="118" spans="1:16" ht="14.5">
      <c r="A118" s="19" t="s">
        <v>188</v>
      </c>
      <c r="B118" s="291">
        <v>112</v>
      </c>
      <c r="C118" s="324" t="s">
        <v>80</v>
      </c>
      <c r="D118" s="291" t="s">
        <v>91</v>
      </c>
      <c r="E118" s="145">
        <v>45856</v>
      </c>
      <c r="F118" s="44">
        <v>85.5</v>
      </c>
      <c r="G118" s="46">
        <v>86</v>
      </c>
      <c r="H118" s="44">
        <f t="shared" si="8"/>
        <v>-0.5</v>
      </c>
      <c r="I118" s="45">
        <v>45777</v>
      </c>
      <c r="J118" s="45">
        <v>45777</v>
      </c>
      <c r="K118" s="7">
        <f t="shared" ca="1" si="7"/>
        <v>0</v>
      </c>
      <c r="L118" s="9">
        <f>I118+10</f>
        <v>45787</v>
      </c>
      <c r="M118" s="45">
        <v>45785</v>
      </c>
      <c r="N118" s="7">
        <f t="shared" ca="1" si="10"/>
        <v>2</v>
      </c>
      <c r="O118" s="85"/>
      <c r="P118" s="305" t="s">
        <v>870</v>
      </c>
    </row>
    <row r="119" spans="1:16" ht="14.5">
      <c r="A119" s="19" t="s">
        <v>188</v>
      </c>
      <c r="B119" s="291">
        <v>112</v>
      </c>
      <c r="C119" s="324" t="s">
        <v>75</v>
      </c>
      <c r="D119" s="291" t="s">
        <v>91</v>
      </c>
      <c r="E119" s="145">
        <v>45856</v>
      </c>
      <c r="F119" s="44">
        <v>136.5</v>
      </c>
      <c r="G119" s="46">
        <v>137</v>
      </c>
      <c r="H119" s="44">
        <f t="shared" si="8"/>
        <v>-0.5</v>
      </c>
      <c r="I119" s="45">
        <v>45777</v>
      </c>
      <c r="J119" s="45">
        <v>45777</v>
      </c>
      <c r="K119" s="7">
        <f t="shared" ca="1" si="7"/>
        <v>0</v>
      </c>
      <c r="L119" s="9">
        <f>I119+20</f>
        <v>45797</v>
      </c>
      <c r="M119" s="45">
        <v>45784</v>
      </c>
      <c r="N119" s="7">
        <f t="shared" ca="1" si="10"/>
        <v>13</v>
      </c>
      <c r="O119" s="85"/>
      <c r="P119" s="305" t="s">
        <v>870</v>
      </c>
    </row>
    <row r="120" spans="1:16" ht="14.5">
      <c r="A120" s="19" t="s">
        <v>188</v>
      </c>
      <c r="B120" s="291">
        <v>112</v>
      </c>
      <c r="C120" s="324" t="s">
        <v>857</v>
      </c>
      <c r="D120" s="291" t="s">
        <v>91</v>
      </c>
      <c r="E120" s="145">
        <v>45856</v>
      </c>
      <c r="F120" s="44">
        <v>156.60000600000001</v>
      </c>
      <c r="G120" s="46">
        <v>157</v>
      </c>
      <c r="H120" s="44">
        <f t="shared" si="8"/>
        <v>-0.39999399999999241</v>
      </c>
      <c r="I120" s="45">
        <v>45777</v>
      </c>
      <c r="J120" s="45">
        <v>45777</v>
      </c>
      <c r="K120" s="7">
        <f t="shared" ca="1" si="7"/>
        <v>0</v>
      </c>
      <c r="L120" s="9">
        <f>I120+20</f>
        <v>45797</v>
      </c>
      <c r="M120" s="45">
        <v>45784</v>
      </c>
      <c r="N120" s="7">
        <f t="shared" ca="1" si="10"/>
        <v>13</v>
      </c>
      <c r="O120" s="85"/>
      <c r="P120" s="305" t="s">
        <v>870</v>
      </c>
    </row>
    <row r="121" spans="1:16" ht="14.5">
      <c r="A121" s="19" t="s">
        <v>188</v>
      </c>
      <c r="B121" s="291">
        <v>113</v>
      </c>
      <c r="C121" s="324" t="s">
        <v>77</v>
      </c>
      <c r="D121" s="291" t="s">
        <v>91</v>
      </c>
      <c r="E121" s="145">
        <v>45856</v>
      </c>
      <c r="F121" s="44">
        <v>693</v>
      </c>
      <c r="G121" s="46">
        <v>693</v>
      </c>
      <c r="H121" s="44">
        <f t="shared" si="8"/>
        <v>0</v>
      </c>
      <c r="I121" s="45">
        <v>45777</v>
      </c>
      <c r="J121" s="45">
        <v>45777</v>
      </c>
      <c r="K121" s="7">
        <f t="shared" ca="1" si="7"/>
        <v>0</v>
      </c>
      <c r="L121" s="9">
        <v>45783</v>
      </c>
      <c r="M121" s="45">
        <v>45783</v>
      </c>
      <c r="N121" s="7">
        <f t="shared" ca="1" si="10"/>
        <v>0</v>
      </c>
      <c r="O121" s="85"/>
      <c r="P121" s="305" t="s">
        <v>870</v>
      </c>
    </row>
    <row r="122" spans="1:16" ht="14.5">
      <c r="A122" s="19" t="s">
        <v>188</v>
      </c>
      <c r="B122" s="291">
        <v>113</v>
      </c>
      <c r="C122" s="324" t="s">
        <v>80</v>
      </c>
      <c r="D122" s="291" t="s">
        <v>91</v>
      </c>
      <c r="E122" s="145">
        <v>45856</v>
      </c>
      <c r="F122" s="44">
        <v>414</v>
      </c>
      <c r="G122" s="46">
        <v>414</v>
      </c>
      <c r="H122" s="44">
        <f t="shared" si="8"/>
        <v>0</v>
      </c>
      <c r="I122" s="45">
        <v>45777</v>
      </c>
      <c r="J122" s="45">
        <v>45777</v>
      </c>
      <c r="K122" s="7">
        <f t="shared" ca="1" si="7"/>
        <v>0</v>
      </c>
      <c r="L122" s="9">
        <f>I122+10</f>
        <v>45787</v>
      </c>
      <c r="M122" s="45">
        <v>45785</v>
      </c>
      <c r="N122" s="7">
        <f t="shared" ca="1" si="10"/>
        <v>2</v>
      </c>
      <c r="O122" s="85"/>
      <c r="P122" s="305" t="s">
        <v>870</v>
      </c>
    </row>
    <row r="123" spans="1:16" ht="14.5">
      <c r="A123" s="19" t="s">
        <v>188</v>
      </c>
      <c r="B123" s="291">
        <v>113</v>
      </c>
      <c r="C123" s="324" t="s">
        <v>75</v>
      </c>
      <c r="D123" s="291" t="s">
        <v>91</v>
      </c>
      <c r="E123" s="145">
        <v>45856</v>
      </c>
      <c r="F123" s="44">
        <v>136.5</v>
      </c>
      <c r="G123" s="46">
        <v>137</v>
      </c>
      <c r="H123" s="44">
        <f t="shared" si="8"/>
        <v>-0.5</v>
      </c>
      <c r="I123" s="45">
        <v>45777</v>
      </c>
      <c r="J123" s="45">
        <v>45777</v>
      </c>
      <c r="K123" s="7">
        <f t="shared" ca="1" si="7"/>
        <v>0</v>
      </c>
      <c r="L123" s="9">
        <f>I123+20</f>
        <v>45797</v>
      </c>
      <c r="M123" s="45">
        <v>45784</v>
      </c>
      <c r="N123" s="7">
        <f t="shared" ca="1" si="10"/>
        <v>13</v>
      </c>
      <c r="O123" s="85"/>
      <c r="P123" s="305" t="s">
        <v>870</v>
      </c>
    </row>
    <row r="124" spans="1:16" ht="14.5">
      <c r="A124" s="19" t="s">
        <v>188</v>
      </c>
      <c r="B124" s="291">
        <v>113</v>
      </c>
      <c r="C124" s="324" t="s">
        <v>857</v>
      </c>
      <c r="D124" s="291" t="s">
        <v>91</v>
      </c>
      <c r="E124" s="145">
        <v>45856</v>
      </c>
      <c r="F124" s="44">
        <v>156.60000600000001</v>
      </c>
      <c r="G124" s="46">
        <v>157</v>
      </c>
      <c r="H124" s="44">
        <f t="shared" si="8"/>
        <v>-0.39999399999999241</v>
      </c>
      <c r="I124" s="45">
        <v>45777</v>
      </c>
      <c r="J124" s="45">
        <v>45777</v>
      </c>
      <c r="K124" s="7">
        <f t="shared" ca="1" si="7"/>
        <v>0</v>
      </c>
      <c r="L124" s="9">
        <f>I124+20</f>
        <v>45797</v>
      </c>
      <c r="M124" s="45">
        <v>45784</v>
      </c>
      <c r="N124" s="7">
        <f t="shared" ca="1" si="10"/>
        <v>13</v>
      </c>
      <c r="O124" s="85"/>
      <c r="P124" s="305" t="s">
        <v>870</v>
      </c>
    </row>
    <row r="125" spans="1:16" ht="14.5">
      <c r="A125" s="19" t="s">
        <v>188</v>
      </c>
      <c r="B125" s="291">
        <v>114</v>
      </c>
      <c r="C125" s="324" t="s">
        <v>77</v>
      </c>
      <c r="D125" s="291" t="s">
        <v>91</v>
      </c>
      <c r="E125" s="145">
        <v>45863</v>
      </c>
      <c r="F125" s="44">
        <v>1787.599976</v>
      </c>
      <c r="G125" s="46">
        <v>1788</v>
      </c>
      <c r="H125" s="44">
        <f t="shared" si="8"/>
        <v>-0.40002400000003036</v>
      </c>
      <c r="I125" s="45">
        <v>45777</v>
      </c>
      <c r="J125" s="45">
        <v>45777</v>
      </c>
      <c r="K125" s="7">
        <f t="shared" ca="1" si="7"/>
        <v>0</v>
      </c>
      <c r="L125" s="9">
        <v>45783</v>
      </c>
      <c r="M125" s="45">
        <v>45783</v>
      </c>
      <c r="N125" s="7">
        <f t="shared" ca="1" si="10"/>
        <v>0</v>
      </c>
      <c r="O125" s="85"/>
      <c r="P125" s="305" t="s">
        <v>870</v>
      </c>
    </row>
    <row r="126" spans="1:16" ht="14.5">
      <c r="A126" s="19" t="s">
        <v>188</v>
      </c>
      <c r="B126" s="291">
        <v>114</v>
      </c>
      <c r="C126" s="324" t="s">
        <v>78</v>
      </c>
      <c r="D126" s="291" t="s">
        <v>91</v>
      </c>
      <c r="E126" s="145">
        <v>45863</v>
      </c>
      <c r="F126" s="44">
        <v>9.4</v>
      </c>
      <c r="G126" s="46">
        <v>9</v>
      </c>
      <c r="H126" s="44">
        <f t="shared" si="8"/>
        <v>0.40000000000000036</v>
      </c>
      <c r="I126" s="45">
        <v>45777</v>
      </c>
      <c r="J126" s="45">
        <v>45777</v>
      </c>
      <c r="K126" s="7">
        <f t="shared" ca="1" si="7"/>
        <v>0</v>
      </c>
      <c r="L126" s="9">
        <v>45783</v>
      </c>
      <c r="M126" s="45">
        <v>45780</v>
      </c>
      <c r="N126" s="7">
        <f t="shared" ca="1" si="10"/>
        <v>3</v>
      </c>
      <c r="O126" s="85"/>
      <c r="P126" s="305" t="s">
        <v>870</v>
      </c>
    </row>
    <row r="127" spans="1:16" ht="14.5">
      <c r="A127" s="19" t="s">
        <v>188</v>
      </c>
      <c r="B127" s="291">
        <v>114</v>
      </c>
      <c r="C127" s="324" t="s">
        <v>80</v>
      </c>
      <c r="D127" s="291" t="s">
        <v>91</v>
      </c>
      <c r="E127" s="145">
        <v>45863</v>
      </c>
      <c r="F127" s="44">
        <v>582</v>
      </c>
      <c r="G127" s="46">
        <v>582</v>
      </c>
      <c r="H127" s="44">
        <f t="shared" si="8"/>
        <v>0</v>
      </c>
      <c r="I127" s="45">
        <v>45777</v>
      </c>
      <c r="J127" s="45">
        <v>45777</v>
      </c>
      <c r="K127" s="7">
        <f t="shared" ca="1" si="7"/>
        <v>0</v>
      </c>
      <c r="L127" s="9">
        <f>I127+10</f>
        <v>45787</v>
      </c>
      <c r="M127" s="45">
        <v>45785</v>
      </c>
      <c r="N127" s="7">
        <f t="shared" ca="1" si="10"/>
        <v>2</v>
      </c>
      <c r="O127" s="85"/>
      <c r="P127" s="305" t="s">
        <v>870</v>
      </c>
    </row>
    <row r="128" spans="1:16" ht="14.5">
      <c r="A128" s="19" t="s">
        <v>188</v>
      </c>
      <c r="B128" s="291">
        <v>114</v>
      </c>
      <c r="C128" s="324" t="s">
        <v>75</v>
      </c>
      <c r="D128" s="291" t="s">
        <v>91</v>
      </c>
      <c r="E128" s="145">
        <v>45863</v>
      </c>
      <c r="F128" s="44">
        <v>261.79998799999998</v>
      </c>
      <c r="G128" s="46">
        <v>262</v>
      </c>
      <c r="H128" s="44">
        <f t="shared" si="8"/>
        <v>-0.20001200000001518</v>
      </c>
      <c r="I128" s="45">
        <v>45777</v>
      </c>
      <c r="J128" s="45">
        <v>45777</v>
      </c>
      <c r="K128" s="7">
        <f t="shared" ca="1" si="7"/>
        <v>0</v>
      </c>
      <c r="L128" s="9">
        <f>I128+20</f>
        <v>45797</v>
      </c>
      <c r="M128" s="45">
        <v>45784</v>
      </c>
      <c r="N128" s="7">
        <f t="shared" ca="1" si="10"/>
        <v>13</v>
      </c>
      <c r="O128" s="85"/>
      <c r="P128" s="305" t="s">
        <v>870</v>
      </c>
    </row>
    <row r="129" spans="1:16" ht="14.5">
      <c r="A129" s="19" t="s">
        <v>188</v>
      </c>
      <c r="B129" s="291">
        <v>114</v>
      </c>
      <c r="C129" s="324" t="s">
        <v>857</v>
      </c>
      <c r="D129" s="291" t="s">
        <v>91</v>
      </c>
      <c r="E129" s="145">
        <v>45863</v>
      </c>
      <c r="F129" s="44">
        <v>300.10000600000001</v>
      </c>
      <c r="G129" s="46">
        <v>300</v>
      </c>
      <c r="H129" s="44">
        <f t="shared" si="8"/>
        <v>0.10000600000000759</v>
      </c>
      <c r="I129" s="45">
        <v>45777</v>
      </c>
      <c r="J129" s="45">
        <v>45777</v>
      </c>
      <c r="K129" s="7">
        <f t="shared" ca="1" si="7"/>
        <v>0</v>
      </c>
      <c r="L129" s="9">
        <f>I129+20</f>
        <v>45797</v>
      </c>
      <c r="M129" s="45">
        <v>45784</v>
      </c>
      <c r="N129" s="7">
        <f t="shared" ca="1" si="10"/>
        <v>13</v>
      </c>
      <c r="O129" s="85"/>
      <c r="P129" s="305" t="s">
        <v>870</v>
      </c>
    </row>
    <row r="130" spans="1:16" ht="14.5">
      <c r="A130" s="19" t="s">
        <v>188</v>
      </c>
      <c r="B130" s="291">
        <v>114</v>
      </c>
      <c r="C130" s="324" t="s">
        <v>95</v>
      </c>
      <c r="D130" s="291" t="s">
        <v>91</v>
      </c>
      <c r="E130" s="145">
        <v>45863</v>
      </c>
      <c r="F130" s="44">
        <v>38.400002000000001</v>
      </c>
      <c r="G130" s="46">
        <v>38</v>
      </c>
      <c r="H130" s="44">
        <f t="shared" si="8"/>
        <v>0.40000200000000063</v>
      </c>
      <c r="I130" s="45">
        <v>45777</v>
      </c>
      <c r="J130" s="45">
        <v>45777</v>
      </c>
      <c r="K130" s="7">
        <f t="shared" ca="1" si="7"/>
        <v>0</v>
      </c>
      <c r="L130" s="9">
        <f>I130+6</f>
        <v>45783</v>
      </c>
      <c r="M130" s="45">
        <v>45783</v>
      </c>
      <c r="N130" s="7">
        <f t="shared" ca="1" si="10"/>
        <v>0</v>
      </c>
      <c r="O130" s="85"/>
      <c r="P130" s="305" t="s">
        <v>870</v>
      </c>
    </row>
    <row r="131" spans="1:16" ht="14.5">
      <c r="A131" s="19" t="s">
        <v>188</v>
      </c>
      <c r="B131" s="291">
        <v>114</v>
      </c>
      <c r="C131" s="324" t="s">
        <v>96</v>
      </c>
      <c r="D131" s="291" t="s">
        <v>91</v>
      </c>
      <c r="E131" s="145">
        <v>45863</v>
      </c>
      <c r="F131" s="44">
        <v>174.60000600000001</v>
      </c>
      <c r="G131" s="46">
        <v>175</v>
      </c>
      <c r="H131" s="44">
        <f t="shared" si="8"/>
        <v>-0.39999399999999241</v>
      </c>
      <c r="I131" s="45">
        <v>45777</v>
      </c>
      <c r="J131" s="45">
        <v>45777</v>
      </c>
      <c r="K131" s="7">
        <f t="shared" ref="K131:K194" ca="1" si="11">+IF(J131="",I131-TODAY(),I131-J131)</f>
        <v>0</v>
      </c>
      <c r="L131" s="9">
        <f>I131+6</f>
        <v>45783</v>
      </c>
      <c r="M131" s="45">
        <v>45780</v>
      </c>
      <c r="N131" s="7">
        <f t="shared" ca="1" si="10"/>
        <v>3</v>
      </c>
      <c r="O131" s="85"/>
      <c r="P131" s="305" t="s">
        <v>870</v>
      </c>
    </row>
    <row r="132" spans="1:16" ht="14.5">
      <c r="A132" s="19" t="s">
        <v>188</v>
      </c>
      <c r="B132" s="291">
        <v>114</v>
      </c>
      <c r="C132" s="324" t="s">
        <v>93</v>
      </c>
      <c r="D132" s="291" t="s">
        <v>91</v>
      </c>
      <c r="E132" s="145">
        <v>45863</v>
      </c>
      <c r="F132" s="44">
        <v>541.70001200000002</v>
      </c>
      <c r="G132" s="46">
        <v>542</v>
      </c>
      <c r="H132" s="44">
        <f t="shared" ref="H132:H192" si="12">F132-G132</f>
        <v>-0.29998799999998482</v>
      </c>
      <c r="I132" s="45">
        <v>45777</v>
      </c>
      <c r="J132" s="45">
        <v>45777</v>
      </c>
      <c r="K132" s="7">
        <f t="shared" ca="1" si="11"/>
        <v>0</v>
      </c>
      <c r="L132" s="9">
        <f>I132+18</f>
        <v>45795</v>
      </c>
      <c r="M132" s="45">
        <v>45793</v>
      </c>
      <c r="N132" s="7">
        <f t="shared" ca="1" si="10"/>
        <v>2</v>
      </c>
      <c r="O132" s="85"/>
      <c r="P132" s="305" t="s">
        <v>870</v>
      </c>
    </row>
    <row r="133" spans="1:16" ht="14.5">
      <c r="A133" s="19" t="s">
        <v>188</v>
      </c>
      <c r="B133" s="291">
        <v>114</v>
      </c>
      <c r="C133" s="324" t="s">
        <v>94</v>
      </c>
      <c r="D133" s="291" t="s">
        <v>91</v>
      </c>
      <c r="E133" s="145">
        <v>45863</v>
      </c>
      <c r="F133" s="44">
        <v>0</v>
      </c>
      <c r="G133" s="46">
        <v>0</v>
      </c>
      <c r="H133" s="44">
        <f t="shared" si="12"/>
        <v>0</v>
      </c>
      <c r="I133" s="45">
        <v>45777</v>
      </c>
      <c r="J133" s="45">
        <v>45777</v>
      </c>
      <c r="K133" s="7">
        <f t="shared" ca="1" si="11"/>
        <v>0</v>
      </c>
      <c r="L133" s="9">
        <f>I133+5</f>
        <v>45782</v>
      </c>
      <c r="M133" s="45">
        <v>45777</v>
      </c>
      <c r="N133" s="7">
        <f t="shared" ca="1" si="10"/>
        <v>5</v>
      </c>
      <c r="O133" s="85"/>
      <c r="P133" s="305" t="s">
        <v>870</v>
      </c>
    </row>
    <row r="134" spans="1:16" ht="14.5">
      <c r="A134" s="19" t="s">
        <v>188</v>
      </c>
      <c r="B134" s="291">
        <v>119</v>
      </c>
      <c r="C134" s="324" t="s">
        <v>77</v>
      </c>
      <c r="D134" s="291" t="s">
        <v>91</v>
      </c>
      <c r="E134" s="145">
        <v>45849</v>
      </c>
      <c r="F134" s="44">
        <v>101.5</v>
      </c>
      <c r="G134" s="46">
        <v>102</v>
      </c>
      <c r="H134" s="44">
        <f t="shared" si="12"/>
        <v>-0.5</v>
      </c>
      <c r="I134" s="45">
        <v>45783</v>
      </c>
      <c r="J134" s="45">
        <v>45783</v>
      </c>
      <c r="K134" s="7">
        <f t="shared" ca="1" si="11"/>
        <v>0</v>
      </c>
      <c r="L134" s="9">
        <f t="shared" ref="L134:L141" si="13">I134+6</f>
        <v>45789</v>
      </c>
      <c r="M134" s="45">
        <v>45789</v>
      </c>
      <c r="N134" s="7">
        <f t="shared" ca="1" si="10"/>
        <v>0</v>
      </c>
      <c r="O134" s="85"/>
      <c r="P134" s="19"/>
    </row>
    <row r="135" spans="1:16" ht="14.5">
      <c r="A135" s="19" t="s">
        <v>188</v>
      </c>
      <c r="B135" s="291">
        <v>119</v>
      </c>
      <c r="C135" s="324" t="s">
        <v>79</v>
      </c>
      <c r="D135" s="291" t="s">
        <v>91</v>
      </c>
      <c r="E135" s="145">
        <v>45849</v>
      </c>
      <c r="F135" s="44">
        <v>91.599997999999999</v>
      </c>
      <c r="G135" s="46">
        <v>92</v>
      </c>
      <c r="H135" s="44">
        <f t="shared" si="12"/>
        <v>-0.40000200000000063</v>
      </c>
      <c r="I135" s="45">
        <v>45783</v>
      </c>
      <c r="J135" s="45">
        <v>45783</v>
      </c>
      <c r="K135" s="7">
        <f t="shared" ca="1" si="11"/>
        <v>0</v>
      </c>
      <c r="L135" s="9">
        <f t="shared" si="13"/>
        <v>45789</v>
      </c>
      <c r="M135" s="45">
        <v>45789</v>
      </c>
      <c r="N135" s="7">
        <f t="shared" ca="1" si="10"/>
        <v>0</v>
      </c>
      <c r="O135" s="85"/>
      <c r="P135" s="19"/>
    </row>
    <row r="136" spans="1:16" ht="14.5">
      <c r="A136" s="19" t="s">
        <v>188</v>
      </c>
      <c r="B136" s="291">
        <v>119</v>
      </c>
      <c r="C136" s="324" t="s">
        <v>75</v>
      </c>
      <c r="D136" s="291" t="s">
        <v>91</v>
      </c>
      <c r="E136" s="145">
        <v>45849</v>
      </c>
      <c r="F136" s="44">
        <v>248</v>
      </c>
      <c r="G136" s="46">
        <v>248</v>
      </c>
      <c r="H136" s="44">
        <f t="shared" si="12"/>
        <v>0</v>
      </c>
      <c r="I136" s="45">
        <v>45783</v>
      </c>
      <c r="J136" s="45">
        <v>45783</v>
      </c>
      <c r="K136" s="7">
        <f t="shared" ca="1" si="11"/>
        <v>0</v>
      </c>
      <c r="L136" s="9">
        <f t="shared" si="13"/>
        <v>45789</v>
      </c>
      <c r="M136" s="45">
        <v>45789</v>
      </c>
      <c r="N136" s="7">
        <f t="shared" ca="1" si="10"/>
        <v>0</v>
      </c>
      <c r="O136" s="85"/>
      <c r="P136" s="19"/>
    </row>
    <row r="137" spans="1:16" ht="14.5">
      <c r="A137" s="19" t="s">
        <v>188</v>
      </c>
      <c r="B137" s="291">
        <v>119</v>
      </c>
      <c r="C137" s="324" t="s">
        <v>857</v>
      </c>
      <c r="D137" s="291" t="s">
        <v>91</v>
      </c>
      <c r="E137" s="145">
        <v>45849</v>
      </c>
      <c r="F137" s="44">
        <v>284.39999399999999</v>
      </c>
      <c r="G137" s="46">
        <v>284</v>
      </c>
      <c r="H137" s="44">
        <f t="shared" si="12"/>
        <v>0.39999399999999241</v>
      </c>
      <c r="I137" s="45">
        <v>45783</v>
      </c>
      <c r="J137" s="45">
        <v>45783</v>
      </c>
      <c r="K137" s="7">
        <f t="shared" ca="1" si="11"/>
        <v>0</v>
      </c>
      <c r="L137" s="9">
        <f t="shared" si="13"/>
        <v>45789</v>
      </c>
      <c r="M137" s="45">
        <v>45789</v>
      </c>
      <c r="N137" s="7">
        <f t="shared" ca="1" si="10"/>
        <v>0</v>
      </c>
      <c r="O137" s="85"/>
      <c r="P137" s="19"/>
    </row>
    <row r="138" spans="1:16" ht="14.5">
      <c r="A138" s="19" t="s">
        <v>188</v>
      </c>
      <c r="B138" s="291">
        <v>120</v>
      </c>
      <c r="C138" s="324" t="s">
        <v>77</v>
      </c>
      <c r="D138" s="291" t="s">
        <v>91</v>
      </c>
      <c r="E138" s="145">
        <v>45849</v>
      </c>
      <c r="F138" s="44">
        <v>115.599998</v>
      </c>
      <c r="G138" s="46">
        <v>116</v>
      </c>
      <c r="H138" s="44">
        <f t="shared" si="12"/>
        <v>-0.40000200000000063</v>
      </c>
      <c r="I138" s="45">
        <v>45783</v>
      </c>
      <c r="J138" s="45">
        <v>45783</v>
      </c>
      <c r="K138" s="7">
        <f t="shared" ca="1" si="11"/>
        <v>0</v>
      </c>
      <c r="L138" s="9">
        <f t="shared" si="13"/>
        <v>45789</v>
      </c>
      <c r="M138" s="45">
        <v>45789</v>
      </c>
      <c r="N138" s="7">
        <f t="shared" ca="1" si="10"/>
        <v>0</v>
      </c>
      <c r="O138" s="85"/>
      <c r="P138" s="19"/>
    </row>
    <row r="139" spans="1:16" ht="14.5">
      <c r="A139" s="19" t="s">
        <v>188</v>
      </c>
      <c r="B139" s="291">
        <v>120</v>
      </c>
      <c r="C139" s="324" t="s">
        <v>79</v>
      </c>
      <c r="D139" s="291" t="s">
        <v>91</v>
      </c>
      <c r="E139" s="145">
        <v>45849</v>
      </c>
      <c r="F139" s="44">
        <v>104.300003</v>
      </c>
      <c r="G139" s="46">
        <v>104</v>
      </c>
      <c r="H139" s="44">
        <f t="shared" si="12"/>
        <v>0.30000300000000379</v>
      </c>
      <c r="I139" s="45">
        <v>45783</v>
      </c>
      <c r="J139" s="45">
        <v>45783</v>
      </c>
      <c r="K139" s="7">
        <f t="shared" ca="1" si="11"/>
        <v>0</v>
      </c>
      <c r="L139" s="9">
        <f t="shared" si="13"/>
        <v>45789</v>
      </c>
      <c r="M139" s="45">
        <v>45789</v>
      </c>
      <c r="N139" s="7">
        <f t="shared" ca="1" si="10"/>
        <v>0</v>
      </c>
      <c r="O139" s="85"/>
      <c r="P139" s="19"/>
    </row>
    <row r="140" spans="1:16" ht="14.5">
      <c r="A140" s="19" t="s">
        <v>188</v>
      </c>
      <c r="B140" s="291">
        <v>121</v>
      </c>
      <c r="C140" s="324" t="s">
        <v>77</v>
      </c>
      <c r="D140" s="291" t="s">
        <v>91</v>
      </c>
      <c r="E140" s="145">
        <v>45849</v>
      </c>
      <c r="F140" s="44">
        <v>516.09997599999997</v>
      </c>
      <c r="G140" s="46">
        <v>516</v>
      </c>
      <c r="H140" s="44">
        <f t="shared" si="12"/>
        <v>9.9975999999969645E-2</v>
      </c>
      <c r="I140" s="45">
        <v>45783</v>
      </c>
      <c r="J140" s="45">
        <v>45783</v>
      </c>
      <c r="K140" s="7">
        <f t="shared" ca="1" si="11"/>
        <v>0</v>
      </c>
      <c r="L140" s="9">
        <f t="shared" si="13"/>
        <v>45789</v>
      </c>
      <c r="M140" s="45">
        <v>45789</v>
      </c>
      <c r="N140" s="7">
        <f t="shared" ca="1" si="10"/>
        <v>0</v>
      </c>
      <c r="O140" s="85"/>
      <c r="P140" s="19"/>
    </row>
    <row r="141" spans="1:16" ht="14.5">
      <c r="A141" s="19" t="s">
        <v>188</v>
      </c>
      <c r="B141" s="291">
        <v>121</v>
      </c>
      <c r="C141" s="324" t="s">
        <v>79</v>
      </c>
      <c r="D141" s="291" t="s">
        <v>91</v>
      </c>
      <c r="E141" s="145">
        <v>45849</v>
      </c>
      <c r="F141" s="44">
        <v>119</v>
      </c>
      <c r="G141" s="46">
        <v>119</v>
      </c>
      <c r="H141" s="44">
        <f t="shared" si="12"/>
        <v>0</v>
      </c>
      <c r="I141" s="45">
        <v>45783</v>
      </c>
      <c r="J141" s="45">
        <v>45783</v>
      </c>
      <c r="K141" s="7">
        <f t="shared" ca="1" si="11"/>
        <v>0</v>
      </c>
      <c r="L141" s="9">
        <f t="shared" si="13"/>
        <v>45789</v>
      </c>
      <c r="M141" s="45">
        <v>45789</v>
      </c>
      <c r="N141" s="7">
        <f t="shared" ca="1" si="10"/>
        <v>0</v>
      </c>
      <c r="O141" s="85"/>
      <c r="P141" s="19"/>
    </row>
    <row r="142" spans="1:16" ht="14.5">
      <c r="A142" s="19" t="s">
        <v>188</v>
      </c>
      <c r="B142" s="291">
        <v>121</v>
      </c>
      <c r="C142" s="324" t="s">
        <v>80</v>
      </c>
      <c r="D142" s="291" t="s">
        <v>91</v>
      </c>
      <c r="E142" s="145">
        <v>45849</v>
      </c>
      <c r="F142" s="44">
        <v>247</v>
      </c>
      <c r="G142" s="46">
        <v>247</v>
      </c>
      <c r="H142" s="44">
        <f t="shared" si="12"/>
        <v>0</v>
      </c>
      <c r="I142" s="45">
        <v>45783</v>
      </c>
      <c r="J142" s="45">
        <v>45783</v>
      </c>
      <c r="K142" s="7">
        <f t="shared" ca="1" si="11"/>
        <v>0</v>
      </c>
      <c r="L142" s="9">
        <f>I142+4</f>
        <v>45787</v>
      </c>
      <c r="M142" s="45">
        <v>45785</v>
      </c>
      <c r="N142" s="7">
        <f t="shared" ca="1" si="10"/>
        <v>2</v>
      </c>
      <c r="O142" s="85"/>
      <c r="P142" s="19"/>
    </row>
    <row r="143" spans="1:16" ht="14.5">
      <c r="A143" s="19" t="s">
        <v>188</v>
      </c>
      <c r="B143" s="291">
        <v>121</v>
      </c>
      <c r="C143" s="324" t="s">
        <v>75</v>
      </c>
      <c r="D143" s="291" t="s">
        <v>91</v>
      </c>
      <c r="E143" s="145">
        <v>45849</v>
      </c>
      <c r="F143" s="44">
        <v>139.800003</v>
      </c>
      <c r="G143" s="46">
        <v>140</v>
      </c>
      <c r="H143" s="44">
        <f t="shared" si="12"/>
        <v>-0.19999699999999621</v>
      </c>
      <c r="I143" s="45">
        <v>45783</v>
      </c>
      <c r="J143" s="45">
        <v>45783</v>
      </c>
      <c r="K143" s="7">
        <f t="shared" ca="1" si="11"/>
        <v>0</v>
      </c>
      <c r="L143" s="9">
        <f>I143+6</f>
        <v>45789</v>
      </c>
      <c r="M143" s="45">
        <v>45789</v>
      </c>
      <c r="N143" s="7">
        <f t="shared" ca="1" si="10"/>
        <v>0</v>
      </c>
      <c r="O143" s="85"/>
      <c r="P143" s="19"/>
    </row>
    <row r="144" spans="1:16" ht="14.5">
      <c r="A144" s="19" t="s">
        <v>188</v>
      </c>
      <c r="B144" s="291">
        <v>121</v>
      </c>
      <c r="C144" s="324" t="s">
        <v>857</v>
      </c>
      <c r="D144" s="291" t="s">
        <v>91</v>
      </c>
      <c r="E144" s="145">
        <v>45849</v>
      </c>
      <c r="F144" s="44">
        <v>160.300003</v>
      </c>
      <c r="G144" s="46">
        <v>160</v>
      </c>
      <c r="H144" s="44">
        <f t="shared" si="12"/>
        <v>0.30000300000000379</v>
      </c>
      <c r="I144" s="45">
        <v>45783</v>
      </c>
      <c r="J144" s="45">
        <v>45783</v>
      </c>
      <c r="K144" s="7">
        <f t="shared" ca="1" si="11"/>
        <v>0</v>
      </c>
      <c r="L144" s="9">
        <f>I144+6</f>
        <v>45789</v>
      </c>
      <c r="M144" s="45">
        <v>45789</v>
      </c>
      <c r="N144" s="7">
        <f t="shared" ca="1" si="10"/>
        <v>0</v>
      </c>
      <c r="O144" s="85"/>
      <c r="P144" s="19"/>
    </row>
    <row r="145" spans="1:16" ht="14.5">
      <c r="A145" s="19" t="s">
        <v>188</v>
      </c>
      <c r="B145" s="291">
        <v>121</v>
      </c>
      <c r="C145" s="324" t="s">
        <v>95</v>
      </c>
      <c r="D145" s="291" t="s">
        <v>91</v>
      </c>
      <c r="E145" s="145">
        <v>45849</v>
      </c>
      <c r="F145" s="44">
        <v>38</v>
      </c>
      <c r="G145" s="46">
        <v>38</v>
      </c>
      <c r="H145" s="44">
        <f t="shared" si="12"/>
        <v>0</v>
      </c>
      <c r="I145" s="45">
        <v>45783</v>
      </c>
      <c r="J145" s="45">
        <v>45783</v>
      </c>
      <c r="K145" s="7">
        <f t="shared" ca="1" si="11"/>
        <v>0</v>
      </c>
      <c r="L145" s="9">
        <f>I145+6</f>
        <v>45789</v>
      </c>
      <c r="M145" s="45">
        <v>45789</v>
      </c>
      <c r="N145" s="7">
        <f t="shared" ca="1" si="10"/>
        <v>0</v>
      </c>
      <c r="O145" s="85"/>
      <c r="P145" s="19"/>
    </row>
    <row r="146" spans="1:16" ht="14.5">
      <c r="A146" s="19" t="s">
        <v>188</v>
      </c>
      <c r="B146" s="291">
        <v>121</v>
      </c>
      <c r="C146" s="324" t="s">
        <v>96</v>
      </c>
      <c r="D146" s="291" t="s">
        <v>91</v>
      </c>
      <c r="E146" s="145">
        <v>45849</v>
      </c>
      <c r="F146" s="44">
        <v>174.60000600000001</v>
      </c>
      <c r="G146" s="46">
        <v>175</v>
      </c>
      <c r="H146" s="44">
        <f t="shared" si="12"/>
        <v>-0.39999399999999241</v>
      </c>
      <c r="I146" s="45">
        <v>45783</v>
      </c>
      <c r="J146" s="45">
        <v>45783</v>
      </c>
      <c r="K146" s="7">
        <f t="shared" ca="1" si="11"/>
        <v>0</v>
      </c>
      <c r="L146" s="9">
        <f>I146+6</f>
        <v>45789</v>
      </c>
      <c r="M146" s="45">
        <v>45784</v>
      </c>
      <c r="N146" s="7">
        <f t="shared" ca="1" si="10"/>
        <v>5</v>
      </c>
      <c r="O146" s="85"/>
      <c r="P146" s="19"/>
    </row>
    <row r="147" spans="1:16" ht="14.5">
      <c r="A147" s="19" t="s">
        <v>188</v>
      </c>
      <c r="B147" s="291">
        <v>121</v>
      </c>
      <c r="C147" s="324" t="s">
        <v>93</v>
      </c>
      <c r="D147" s="291" t="s">
        <v>91</v>
      </c>
      <c r="E147" s="145">
        <v>45849</v>
      </c>
      <c r="F147" s="44">
        <v>559.09997599999997</v>
      </c>
      <c r="G147" s="46">
        <v>559</v>
      </c>
      <c r="H147" s="44">
        <f t="shared" si="12"/>
        <v>9.9975999999969645E-2</v>
      </c>
      <c r="I147" s="45">
        <v>45783</v>
      </c>
      <c r="J147" s="45">
        <v>45783</v>
      </c>
      <c r="K147" s="7">
        <f t="shared" ca="1" si="11"/>
        <v>0</v>
      </c>
      <c r="L147" s="9">
        <f>I147+10</f>
        <v>45793</v>
      </c>
      <c r="M147" s="45">
        <v>45793</v>
      </c>
      <c r="N147" s="7">
        <f t="shared" ca="1" si="10"/>
        <v>0</v>
      </c>
      <c r="O147" s="85"/>
      <c r="P147" s="19"/>
    </row>
    <row r="148" spans="1:16" ht="14.5">
      <c r="A148" s="19" t="s">
        <v>188</v>
      </c>
      <c r="B148" s="291">
        <v>121</v>
      </c>
      <c r="C148" s="324" t="s">
        <v>94</v>
      </c>
      <c r="D148" s="291" t="s">
        <v>91</v>
      </c>
      <c r="E148" s="145">
        <v>45849</v>
      </c>
      <c r="F148" s="44">
        <v>0</v>
      </c>
      <c r="G148" s="46">
        <v>0</v>
      </c>
      <c r="H148" s="44">
        <f t="shared" si="12"/>
        <v>0</v>
      </c>
      <c r="I148" s="45">
        <v>45783</v>
      </c>
      <c r="J148" s="45">
        <v>45783</v>
      </c>
      <c r="K148" s="7">
        <f t="shared" ca="1" si="11"/>
        <v>0</v>
      </c>
      <c r="L148" s="9">
        <f>I148+6</f>
        <v>45789</v>
      </c>
      <c r="M148" s="45">
        <v>45789</v>
      </c>
      <c r="N148" s="7">
        <f t="shared" ca="1" si="10"/>
        <v>0</v>
      </c>
      <c r="O148" s="85"/>
      <c r="P148" s="19"/>
    </row>
    <row r="149" spans="1:16" ht="14.5">
      <c r="A149" s="19" t="s">
        <v>188</v>
      </c>
      <c r="B149" s="291">
        <v>122</v>
      </c>
      <c r="C149" s="324" t="s">
        <v>77</v>
      </c>
      <c r="D149" s="291" t="s">
        <v>91</v>
      </c>
      <c r="E149" s="145">
        <v>45863</v>
      </c>
      <c r="F149" s="44">
        <v>1047</v>
      </c>
      <c r="G149" s="46">
        <v>1047</v>
      </c>
      <c r="H149" s="44">
        <f t="shared" si="12"/>
        <v>0</v>
      </c>
      <c r="I149" s="45">
        <f>E149-75</f>
        <v>45788</v>
      </c>
      <c r="J149" s="45">
        <v>45783</v>
      </c>
      <c r="K149" s="7">
        <f t="shared" ca="1" si="11"/>
        <v>5</v>
      </c>
      <c r="L149" s="9">
        <f>I149+5</f>
        <v>45793</v>
      </c>
      <c r="M149" s="45">
        <v>45789</v>
      </c>
      <c r="N149" s="7">
        <f t="shared" ca="1" si="10"/>
        <v>4</v>
      </c>
      <c r="O149" s="85"/>
      <c r="P149" s="19"/>
    </row>
    <row r="150" spans="1:16" ht="14.5">
      <c r="A150" s="19" t="s">
        <v>188</v>
      </c>
      <c r="B150" s="291">
        <v>122</v>
      </c>
      <c r="C150" s="324" t="s">
        <v>79</v>
      </c>
      <c r="D150" s="291" t="s">
        <v>91</v>
      </c>
      <c r="E150" s="145">
        <v>45863</v>
      </c>
      <c r="F150" s="44">
        <v>154.5</v>
      </c>
      <c r="G150" s="46">
        <v>155</v>
      </c>
      <c r="H150" s="44">
        <f t="shared" si="12"/>
        <v>-0.5</v>
      </c>
      <c r="I150" s="45">
        <f>E150-75</f>
        <v>45788</v>
      </c>
      <c r="J150" s="45">
        <v>45783</v>
      </c>
      <c r="K150" s="7">
        <f t="shared" ca="1" si="11"/>
        <v>5</v>
      </c>
      <c r="L150" s="9">
        <f>I150+5</f>
        <v>45793</v>
      </c>
      <c r="M150" s="45">
        <v>45789</v>
      </c>
      <c r="N150" s="7">
        <f t="shared" ca="1" si="10"/>
        <v>4</v>
      </c>
      <c r="O150" s="85"/>
      <c r="P150" s="19"/>
    </row>
    <row r="151" spans="1:16" ht="14.5">
      <c r="A151" s="19" t="s">
        <v>188</v>
      </c>
      <c r="B151" s="291">
        <v>122</v>
      </c>
      <c r="C151" s="324" t="s">
        <v>80</v>
      </c>
      <c r="D151" s="291" t="s">
        <v>91</v>
      </c>
      <c r="E151" s="145">
        <v>45863</v>
      </c>
      <c r="F151" s="44">
        <v>540</v>
      </c>
      <c r="G151" s="46">
        <v>540</v>
      </c>
      <c r="H151" s="44">
        <f t="shared" si="12"/>
        <v>0</v>
      </c>
      <c r="I151" s="45">
        <v>45783</v>
      </c>
      <c r="J151" s="45">
        <v>45783</v>
      </c>
      <c r="K151" s="7">
        <f t="shared" ca="1" si="11"/>
        <v>0</v>
      </c>
      <c r="L151" s="9">
        <f>I151+4</f>
        <v>45787</v>
      </c>
      <c r="M151" s="45">
        <v>45785</v>
      </c>
      <c r="N151" s="7">
        <f t="shared" ca="1" si="10"/>
        <v>2</v>
      </c>
      <c r="O151" s="85"/>
      <c r="P151" s="19"/>
    </row>
    <row r="152" spans="1:16" ht="14.5">
      <c r="A152" s="19" t="s">
        <v>188</v>
      </c>
      <c r="B152" s="291">
        <v>122</v>
      </c>
      <c r="C152" s="324" t="s">
        <v>75</v>
      </c>
      <c r="D152" s="291" t="s">
        <v>91</v>
      </c>
      <c r="E152" s="145">
        <v>45863</v>
      </c>
      <c r="F152" s="44">
        <v>74.199996999999996</v>
      </c>
      <c r="G152" s="46">
        <v>74</v>
      </c>
      <c r="H152" s="44">
        <f t="shared" si="12"/>
        <v>0.19999699999999621</v>
      </c>
      <c r="I152" s="45">
        <v>45783</v>
      </c>
      <c r="J152" s="45">
        <v>45783</v>
      </c>
      <c r="K152" s="7">
        <f t="shared" ca="1" si="11"/>
        <v>0</v>
      </c>
      <c r="L152" s="9">
        <f>I152+25</f>
        <v>45808</v>
      </c>
      <c r="M152" s="45">
        <v>45789</v>
      </c>
      <c r="N152" s="7">
        <f t="shared" ca="1" si="10"/>
        <v>19</v>
      </c>
      <c r="O152" s="85"/>
      <c r="P152" s="19"/>
    </row>
    <row r="153" spans="1:16" ht="14.5">
      <c r="A153" s="19" t="s">
        <v>188</v>
      </c>
      <c r="B153" s="291">
        <v>122</v>
      </c>
      <c r="C153" s="324" t="s">
        <v>857</v>
      </c>
      <c r="D153" s="291" t="s">
        <v>91</v>
      </c>
      <c r="E153" s="145">
        <v>45863</v>
      </c>
      <c r="F153" s="44">
        <v>85</v>
      </c>
      <c r="G153" s="46">
        <v>85</v>
      </c>
      <c r="H153" s="44">
        <f t="shared" si="12"/>
        <v>0</v>
      </c>
      <c r="I153" s="45">
        <v>45783</v>
      </c>
      <c r="J153" s="45">
        <v>45783</v>
      </c>
      <c r="K153" s="7">
        <f t="shared" ca="1" si="11"/>
        <v>0</v>
      </c>
      <c r="L153" s="9">
        <f>I153+25</f>
        <v>45808</v>
      </c>
      <c r="M153" s="45">
        <v>45789</v>
      </c>
      <c r="N153" s="7">
        <f t="shared" ca="1" si="10"/>
        <v>19</v>
      </c>
      <c r="O153" s="85"/>
      <c r="P153" s="19"/>
    </row>
    <row r="154" spans="1:16" ht="14.5">
      <c r="A154" s="19" t="s">
        <v>188</v>
      </c>
      <c r="B154" s="291">
        <v>123</v>
      </c>
      <c r="C154" s="324" t="s">
        <v>77</v>
      </c>
      <c r="D154" s="291" t="s">
        <v>91</v>
      </c>
      <c r="E154" s="145">
        <v>45870</v>
      </c>
      <c r="F154" s="44">
        <v>637</v>
      </c>
      <c r="G154" s="46">
        <v>637</v>
      </c>
      <c r="H154" s="44">
        <f t="shared" si="12"/>
        <v>0</v>
      </c>
      <c r="I154" s="45">
        <f>E154-75</f>
        <v>45795</v>
      </c>
      <c r="J154" s="45">
        <v>45783</v>
      </c>
      <c r="K154" s="7">
        <f t="shared" ca="1" si="11"/>
        <v>12</v>
      </c>
      <c r="L154" s="9">
        <f>I154+5</f>
        <v>45800</v>
      </c>
      <c r="M154" s="45">
        <v>45789</v>
      </c>
      <c r="N154" s="7">
        <f t="shared" ca="1" si="10"/>
        <v>11</v>
      </c>
      <c r="O154" s="85"/>
      <c r="P154" s="19"/>
    </row>
    <row r="155" spans="1:16" ht="14.5">
      <c r="A155" s="19" t="s">
        <v>188</v>
      </c>
      <c r="B155" s="291">
        <v>123</v>
      </c>
      <c r="C155" s="324" t="s">
        <v>79</v>
      </c>
      <c r="D155" s="291" t="s">
        <v>91</v>
      </c>
      <c r="E155" s="145">
        <v>45870</v>
      </c>
      <c r="F155" s="44">
        <v>163</v>
      </c>
      <c r="G155" s="46">
        <v>163</v>
      </c>
      <c r="H155" s="44">
        <f t="shared" si="12"/>
        <v>0</v>
      </c>
      <c r="I155" s="45">
        <f>E155-75</f>
        <v>45795</v>
      </c>
      <c r="J155" s="45">
        <v>45783</v>
      </c>
      <c r="K155" s="7">
        <f t="shared" ca="1" si="11"/>
        <v>12</v>
      </c>
      <c r="L155" s="9">
        <f>I155+5</f>
        <v>45800</v>
      </c>
      <c r="M155" s="45">
        <v>45789</v>
      </c>
      <c r="N155" s="7">
        <f t="shared" ca="1" si="10"/>
        <v>11</v>
      </c>
      <c r="O155" s="85"/>
      <c r="P155" s="19"/>
    </row>
    <row r="156" spans="1:16" ht="14.5">
      <c r="A156" s="19" t="s">
        <v>188</v>
      </c>
      <c r="B156" s="291">
        <v>123</v>
      </c>
      <c r="C156" s="324" t="s">
        <v>80</v>
      </c>
      <c r="D156" s="291" t="s">
        <v>91</v>
      </c>
      <c r="E156" s="145">
        <v>45870</v>
      </c>
      <c r="F156" s="44">
        <v>293</v>
      </c>
      <c r="G156" s="46">
        <v>293</v>
      </c>
      <c r="H156" s="44">
        <f t="shared" si="12"/>
        <v>0</v>
      </c>
      <c r="I156" s="45">
        <v>45783</v>
      </c>
      <c r="J156" s="45">
        <v>45783</v>
      </c>
      <c r="K156" s="7">
        <f t="shared" ca="1" si="11"/>
        <v>0</v>
      </c>
      <c r="L156" s="9">
        <f>I156+4</f>
        <v>45787</v>
      </c>
      <c r="M156" s="45">
        <v>45785</v>
      </c>
      <c r="N156" s="7">
        <f t="shared" ca="1" si="10"/>
        <v>2</v>
      </c>
      <c r="O156" s="85"/>
      <c r="P156" s="19"/>
    </row>
    <row r="157" spans="1:16" ht="14.5">
      <c r="A157" s="19" t="s">
        <v>188</v>
      </c>
      <c r="B157" s="291">
        <v>124</v>
      </c>
      <c r="C157" s="324" t="s">
        <v>77</v>
      </c>
      <c r="D157" s="291" t="s">
        <v>91</v>
      </c>
      <c r="E157" s="145">
        <v>45877</v>
      </c>
      <c r="F157" s="44">
        <v>780</v>
      </c>
      <c r="G157" s="46">
        <v>780</v>
      </c>
      <c r="H157" s="44">
        <f t="shared" si="12"/>
        <v>0</v>
      </c>
      <c r="I157" s="45">
        <f>E157-75</f>
        <v>45802</v>
      </c>
      <c r="J157" s="45">
        <v>45783</v>
      </c>
      <c r="K157" s="7">
        <f t="shared" ca="1" si="11"/>
        <v>19</v>
      </c>
      <c r="L157" s="9">
        <f>I157+5</f>
        <v>45807</v>
      </c>
      <c r="M157" s="45">
        <v>45789</v>
      </c>
      <c r="N157" s="7">
        <f t="shared" ca="1" si="10"/>
        <v>18</v>
      </c>
      <c r="O157" s="85"/>
      <c r="P157" s="19"/>
    </row>
    <row r="158" spans="1:16" ht="14.5">
      <c r="A158" s="19" t="s">
        <v>188</v>
      </c>
      <c r="B158" s="291">
        <v>124</v>
      </c>
      <c r="C158" s="324" t="s">
        <v>80</v>
      </c>
      <c r="D158" s="291" t="s">
        <v>91</v>
      </c>
      <c r="E158" s="145">
        <v>45877</v>
      </c>
      <c r="F158" s="44">
        <v>465</v>
      </c>
      <c r="G158" s="46">
        <v>465</v>
      </c>
      <c r="H158" s="44">
        <f t="shared" si="12"/>
        <v>0</v>
      </c>
      <c r="I158" s="45">
        <v>45783</v>
      </c>
      <c r="J158" s="45">
        <v>45783</v>
      </c>
      <c r="K158" s="7">
        <f t="shared" ca="1" si="11"/>
        <v>0</v>
      </c>
      <c r="L158" s="9">
        <f>I158+4</f>
        <v>45787</v>
      </c>
      <c r="M158" s="45">
        <v>45785</v>
      </c>
      <c r="N158" s="7">
        <f t="shared" ca="1" si="10"/>
        <v>2</v>
      </c>
      <c r="O158" s="85"/>
      <c r="P158" s="19"/>
    </row>
    <row r="159" spans="1:16" ht="14.5">
      <c r="A159" s="19" t="s">
        <v>188</v>
      </c>
      <c r="B159" s="291">
        <v>124</v>
      </c>
      <c r="C159" s="324" t="s">
        <v>75</v>
      </c>
      <c r="D159" s="291" t="s">
        <v>91</v>
      </c>
      <c r="E159" s="145">
        <v>45877</v>
      </c>
      <c r="F159" s="44">
        <v>175.10000600000001</v>
      </c>
      <c r="G159" s="46">
        <v>175</v>
      </c>
      <c r="H159" s="44">
        <f t="shared" si="12"/>
        <v>0.10000600000000759</v>
      </c>
      <c r="I159" s="45">
        <v>45783</v>
      </c>
      <c r="J159" s="45">
        <v>45783</v>
      </c>
      <c r="K159" s="7">
        <f t="shared" ca="1" si="11"/>
        <v>0</v>
      </c>
      <c r="L159" s="9">
        <f>I159+25</f>
        <v>45808</v>
      </c>
      <c r="M159" s="45">
        <v>45789</v>
      </c>
      <c r="N159" s="7">
        <f t="shared" ca="1" si="10"/>
        <v>19</v>
      </c>
      <c r="O159" s="85"/>
      <c r="P159" s="19"/>
    </row>
    <row r="160" spans="1:16" ht="14.5">
      <c r="A160" s="19" t="s">
        <v>188</v>
      </c>
      <c r="B160" s="291">
        <v>124</v>
      </c>
      <c r="C160" s="324" t="s">
        <v>857</v>
      </c>
      <c r="D160" s="291" t="s">
        <v>91</v>
      </c>
      <c r="E160" s="145">
        <v>45877</v>
      </c>
      <c r="F160" s="44">
        <v>200.300003</v>
      </c>
      <c r="G160" s="46">
        <v>200</v>
      </c>
      <c r="H160" s="44">
        <f t="shared" si="12"/>
        <v>0.30000300000000379</v>
      </c>
      <c r="I160" s="45">
        <v>45783</v>
      </c>
      <c r="J160" s="45">
        <v>45783</v>
      </c>
      <c r="K160" s="7">
        <f t="shared" ca="1" si="11"/>
        <v>0</v>
      </c>
      <c r="L160" s="9">
        <f>I160+25</f>
        <v>45808</v>
      </c>
      <c r="M160" s="45">
        <v>45789</v>
      </c>
      <c r="N160" s="7">
        <f t="shared" ca="1" si="10"/>
        <v>19</v>
      </c>
      <c r="O160" s="85"/>
      <c r="P160" s="19"/>
    </row>
    <row r="161" spans="1:16" ht="14.5">
      <c r="A161" s="19" t="s">
        <v>188</v>
      </c>
      <c r="B161" s="291">
        <v>124</v>
      </c>
      <c r="C161" s="324" t="s">
        <v>95</v>
      </c>
      <c r="D161" s="291" t="s">
        <v>91</v>
      </c>
      <c r="E161" s="145">
        <v>45877</v>
      </c>
      <c r="F161" s="44">
        <v>38</v>
      </c>
      <c r="G161" s="46">
        <v>38</v>
      </c>
      <c r="H161" s="44">
        <f t="shared" si="12"/>
        <v>0</v>
      </c>
      <c r="I161" s="45">
        <f>E161-75</f>
        <v>45802</v>
      </c>
      <c r="J161" s="45">
        <v>45783</v>
      </c>
      <c r="K161" s="7">
        <f t="shared" ca="1" si="11"/>
        <v>19</v>
      </c>
      <c r="L161" s="9">
        <f>I161+5</f>
        <v>45807</v>
      </c>
      <c r="M161" s="45">
        <v>45789</v>
      </c>
      <c r="N161" s="7">
        <f t="shared" ca="1" si="10"/>
        <v>18</v>
      </c>
      <c r="O161" s="85"/>
      <c r="P161" s="19"/>
    </row>
    <row r="162" spans="1:16" ht="14.5">
      <c r="A162" s="19" t="s">
        <v>188</v>
      </c>
      <c r="B162" s="291">
        <v>124</v>
      </c>
      <c r="C162" s="324" t="s">
        <v>96</v>
      </c>
      <c r="D162" s="291" t="s">
        <v>91</v>
      </c>
      <c r="E162" s="145">
        <v>45877</v>
      </c>
      <c r="F162" s="44">
        <v>172</v>
      </c>
      <c r="G162" s="46">
        <v>172</v>
      </c>
      <c r="H162" s="44">
        <f t="shared" si="12"/>
        <v>0</v>
      </c>
      <c r="I162" s="45">
        <f>E162-75</f>
        <v>45802</v>
      </c>
      <c r="J162" s="45">
        <v>45783</v>
      </c>
      <c r="K162" s="7">
        <f t="shared" ca="1" si="11"/>
        <v>19</v>
      </c>
      <c r="L162" s="9">
        <f>I162+5</f>
        <v>45807</v>
      </c>
      <c r="M162" s="45">
        <v>45784</v>
      </c>
      <c r="N162" s="7">
        <f t="shared" ca="1" si="10"/>
        <v>23</v>
      </c>
      <c r="O162" s="85"/>
      <c r="P162" s="19"/>
    </row>
    <row r="163" spans="1:16" ht="14.5">
      <c r="A163" s="19" t="s">
        <v>188</v>
      </c>
      <c r="B163" s="291">
        <v>124</v>
      </c>
      <c r="C163" s="324" t="s">
        <v>93</v>
      </c>
      <c r="D163" s="291" t="s">
        <v>91</v>
      </c>
      <c r="E163" s="145">
        <v>45877</v>
      </c>
      <c r="F163" s="44">
        <v>562.09997599999997</v>
      </c>
      <c r="G163" s="46">
        <v>562</v>
      </c>
      <c r="H163" s="44">
        <f t="shared" si="12"/>
        <v>9.9975999999969645E-2</v>
      </c>
      <c r="I163" s="45">
        <v>45783</v>
      </c>
      <c r="J163" s="45">
        <v>45783</v>
      </c>
      <c r="K163" s="7">
        <f t="shared" ca="1" si="11"/>
        <v>0</v>
      </c>
      <c r="L163" s="9">
        <f>I163+10</f>
        <v>45793</v>
      </c>
      <c r="M163" s="45">
        <v>45796</v>
      </c>
      <c r="N163" s="7">
        <f t="shared" ca="1" si="10"/>
        <v>-3</v>
      </c>
      <c r="O163" s="85"/>
      <c r="P163" s="19"/>
    </row>
    <row r="164" spans="1:16" ht="14.5">
      <c r="A164" s="19" t="s">
        <v>188</v>
      </c>
      <c r="B164" s="291">
        <v>124</v>
      </c>
      <c r="C164" s="324" t="s">
        <v>94</v>
      </c>
      <c r="D164" s="291" t="s">
        <v>91</v>
      </c>
      <c r="E164" s="145">
        <v>45877</v>
      </c>
      <c r="F164" s="44">
        <v>500</v>
      </c>
      <c r="G164" s="46">
        <v>500</v>
      </c>
      <c r="H164" s="44">
        <f t="shared" si="12"/>
        <v>0</v>
      </c>
      <c r="I164" s="45">
        <v>45783</v>
      </c>
      <c r="J164" s="45">
        <v>45783</v>
      </c>
      <c r="K164" s="7">
        <f t="shared" ca="1" si="11"/>
        <v>0</v>
      </c>
      <c r="L164" s="9">
        <f>I164+30</f>
        <v>45813</v>
      </c>
      <c r="M164" s="45">
        <v>45810</v>
      </c>
      <c r="N164" s="7">
        <f t="shared" ca="1" si="10"/>
        <v>3</v>
      </c>
      <c r="O164" s="85"/>
      <c r="P164" s="19"/>
    </row>
    <row r="165" spans="1:16" ht="14.5">
      <c r="A165" s="19" t="s">
        <v>188</v>
      </c>
      <c r="B165" s="291">
        <v>130</v>
      </c>
      <c r="C165" s="324" t="s">
        <v>77</v>
      </c>
      <c r="D165" s="291" t="s">
        <v>91</v>
      </c>
      <c r="E165" s="145">
        <v>45835</v>
      </c>
      <c r="F165" s="44">
        <v>275.48001099999999</v>
      </c>
      <c r="G165" s="46">
        <v>275</v>
      </c>
      <c r="H165" s="44">
        <f t="shared" si="12"/>
        <v>0.48001099999999042</v>
      </c>
      <c r="I165" s="45">
        <v>45783</v>
      </c>
      <c r="J165" s="45">
        <v>45783</v>
      </c>
      <c r="K165" s="7">
        <f t="shared" ca="1" si="11"/>
        <v>0</v>
      </c>
      <c r="L165" s="9">
        <f>I165+6</f>
        <v>45789</v>
      </c>
      <c r="M165" s="45">
        <v>45789</v>
      </c>
      <c r="N165" s="7">
        <f t="shared" ca="1" si="10"/>
        <v>0</v>
      </c>
      <c r="O165" s="85"/>
      <c r="P165" s="19"/>
    </row>
    <row r="166" spans="1:16" ht="14.5">
      <c r="A166" s="19" t="s">
        <v>188</v>
      </c>
      <c r="B166" s="291">
        <v>130</v>
      </c>
      <c r="C166" s="324" t="s">
        <v>79</v>
      </c>
      <c r="D166" s="291" t="s">
        <v>91</v>
      </c>
      <c r="E166" s="145">
        <v>45835</v>
      </c>
      <c r="F166" s="44">
        <v>248.63999899999999</v>
      </c>
      <c r="G166" s="46">
        <v>249</v>
      </c>
      <c r="H166" s="44">
        <f t="shared" si="12"/>
        <v>-0.36000100000001112</v>
      </c>
      <c r="I166" s="45">
        <v>45783</v>
      </c>
      <c r="J166" s="45">
        <v>45783</v>
      </c>
      <c r="K166" s="7">
        <f t="shared" ca="1" si="11"/>
        <v>0</v>
      </c>
      <c r="L166" s="9">
        <f>I166+6</f>
        <v>45789</v>
      </c>
      <c r="M166" s="45">
        <v>45789</v>
      </c>
      <c r="N166" s="7">
        <f t="shared" ref="N166:N229" ca="1" si="14">+IF(M166="",L166-TODAY(),L166-M166)</f>
        <v>0</v>
      </c>
      <c r="O166" s="85"/>
      <c r="P166" s="19"/>
    </row>
    <row r="167" spans="1:16" ht="14.5">
      <c r="A167" s="19" t="s">
        <v>188</v>
      </c>
      <c r="B167" s="291">
        <v>131</v>
      </c>
      <c r="C167" s="324" t="s">
        <v>77</v>
      </c>
      <c r="D167" s="291" t="s">
        <v>91</v>
      </c>
      <c r="E167" s="145">
        <v>45856</v>
      </c>
      <c r="F167" s="44">
        <v>793.14001499999995</v>
      </c>
      <c r="G167" s="46">
        <v>793</v>
      </c>
      <c r="H167" s="44">
        <f t="shared" si="12"/>
        <v>0.14001499999994849</v>
      </c>
      <c r="I167" s="45">
        <v>45783</v>
      </c>
      <c r="J167" s="45">
        <v>45783</v>
      </c>
      <c r="K167" s="7">
        <f t="shared" ca="1" si="11"/>
        <v>0</v>
      </c>
      <c r="L167" s="9">
        <f>I167+5</f>
        <v>45788</v>
      </c>
      <c r="M167" s="45">
        <v>45789</v>
      </c>
      <c r="N167" s="7">
        <f t="shared" ca="1" si="14"/>
        <v>-1</v>
      </c>
      <c r="O167" s="85"/>
      <c r="P167" s="19"/>
    </row>
    <row r="168" spans="1:16" ht="14.5">
      <c r="A168" s="19" t="s">
        <v>188</v>
      </c>
      <c r="B168" s="291">
        <v>131</v>
      </c>
      <c r="C168" s="324" t="s">
        <v>79</v>
      </c>
      <c r="D168" s="291" t="s">
        <v>91</v>
      </c>
      <c r="E168" s="145">
        <v>45856</v>
      </c>
      <c r="F168" s="44">
        <v>164.38000500000001</v>
      </c>
      <c r="G168" s="46">
        <v>164</v>
      </c>
      <c r="H168" s="44">
        <f t="shared" si="12"/>
        <v>0.38000500000001125</v>
      </c>
      <c r="I168" s="45">
        <v>45783</v>
      </c>
      <c r="J168" s="45">
        <v>45783</v>
      </c>
      <c r="K168" s="7">
        <f t="shared" ca="1" si="11"/>
        <v>0</v>
      </c>
      <c r="L168" s="9">
        <f>I168+5</f>
        <v>45788</v>
      </c>
      <c r="M168" s="45">
        <v>45789</v>
      </c>
      <c r="N168" s="7">
        <f t="shared" ca="1" si="14"/>
        <v>-1</v>
      </c>
      <c r="O168" s="85"/>
      <c r="P168" s="19"/>
    </row>
    <row r="169" spans="1:16" ht="14.5">
      <c r="A169" s="19" t="s">
        <v>188</v>
      </c>
      <c r="B169" s="291">
        <v>131</v>
      </c>
      <c r="C169" s="324" t="s">
        <v>80</v>
      </c>
      <c r="D169" s="291" t="s">
        <v>91</v>
      </c>
      <c r="E169" s="145">
        <v>45856</v>
      </c>
      <c r="F169" s="44">
        <v>389</v>
      </c>
      <c r="G169" s="46">
        <v>389</v>
      </c>
      <c r="H169" s="44">
        <f t="shared" si="12"/>
        <v>0</v>
      </c>
      <c r="I169" s="45">
        <v>45783</v>
      </c>
      <c r="J169" s="45">
        <v>45783</v>
      </c>
      <c r="K169" s="7">
        <f t="shared" ca="1" si="11"/>
        <v>0</v>
      </c>
      <c r="L169" s="9">
        <f>I169+4</f>
        <v>45787</v>
      </c>
      <c r="M169" s="45">
        <v>45785</v>
      </c>
      <c r="N169" s="7">
        <f t="shared" ca="1" si="14"/>
        <v>2</v>
      </c>
      <c r="O169" s="85"/>
      <c r="P169" s="19"/>
    </row>
    <row r="170" spans="1:16" ht="14.5">
      <c r="A170" s="19" t="s">
        <v>188</v>
      </c>
      <c r="B170" s="291">
        <v>131</v>
      </c>
      <c r="C170" s="324" t="s">
        <v>75</v>
      </c>
      <c r="D170" s="291" t="s">
        <v>91</v>
      </c>
      <c r="E170" s="145">
        <v>45856</v>
      </c>
      <c r="F170" s="44">
        <v>74.699996999999996</v>
      </c>
      <c r="G170" s="46">
        <v>75</v>
      </c>
      <c r="H170" s="44">
        <f t="shared" si="12"/>
        <v>-0.30000300000000379</v>
      </c>
      <c r="I170" s="45">
        <v>45783</v>
      </c>
      <c r="J170" s="45">
        <v>45783</v>
      </c>
      <c r="K170" s="7">
        <f t="shared" ca="1" si="11"/>
        <v>0</v>
      </c>
      <c r="L170" s="9">
        <f>I170+25</f>
        <v>45808</v>
      </c>
      <c r="M170" s="45">
        <v>45793</v>
      </c>
      <c r="N170" s="7">
        <f t="shared" ca="1" si="14"/>
        <v>15</v>
      </c>
      <c r="O170" s="85"/>
      <c r="P170" s="19"/>
    </row>
    <row r="171" spans="1:16" ht="14.5">
      <c r="A171" s="19" t="s">
        <v>188</v>
      </c>
      <c r="B171" s="291">
        <v>131</v>
      </c>
      <c r="C171" s="324" t="s">
        <v>857</v>
      </c>
      <c r="D171" s="291" t="s">
        <v>91</v>
      </c>
      <c r="E171" s="145">
        <v>45856</v>
      </c>
      <c r="F171" s="44">
        <v>85.699996999999996</v>
      </c>
      <c r="G171" s="46">
        <v>86</v>
      </c>
      <c r="H171" s="44">
        <f t="shared" si="12"/>
        <v>-0.30000300000000379</v>
      </c>
      <c r="I171" s="45">
        <v>45783</v>
      </c>
      <c r="J171" s="45">
        <v>45783</v>
      </c>
      <c r="K171" s="7">
        <f t="shared" ca="1" si="11"/>
        <v>0</v>
      </c>
      <c r="L171" s="9">
        <f>I171+25</f>
        <v>45808</v>
      </c>
      <c r="M171" s="45">
        <v>45793</v>
      </c>
      <c r="N171" s="7">
        <f t="shared" ca="1" si="14"/>
        <v>15</v>
      </c>
      <c r="O171" s="85"/>
      <c r="P171" s="19"/>
    </row>
    <row r="172" spans="1:16" ht="14.5">
      <c r="A172" s="19" t="s">
        <v>188</v>
      </c>
      <c r="B172" s="291">
        <v>131</v>
      </c>
      <c r="C172" s="324" t="s">
        <v>95</v>
      </c>
      <c r="D172" s="291" t="s">
        <v>91</v>
      </c>
      <c r="E172" s="145">
        <v>45856</v>
      </c>
      <c r="F172" s="44">
        <v>0</v>
      </c>
      <c r="G172" s="46"/>
      <c r="H172" s="44">
        <f t="shared" si="12"/>
        <v>0</v>
      </c>
      <c r="I172" s="45">
        <v>45783</v>
      </c>
      <c r="J172" s="45">
        <v>45783</v>
      </c>
      <c r="K172" s="7">
        <f t="shared" ca="1" si="11"/>
        <v>0</v>
      </c>
      <c r="L172" s="9">
        <f>I172+5</f>
        <v>45788</v>
      </c>
      <c r="M172" s="45">
        <v>45787</v>
      </c>
      <c r="N172" s="7">
        <f t="shared" ca="1" si="14"/>
        <v>1</v>
      </c>
      <c r="O172" s="85"/>
      <c r="P172" s="19"/>
    </row>
    <row r="173" spans="1:16" ht="14.5">
      <c r="A173" s="19" t="s">
        <v>188</v>
      </c>
      <c r="B173" s="291">
        <v>131</v>
      </c>
      <c r="C173" s="324" t="s">
        <v>96</v>
      </c>
      <c r="D173" s="291" t="s">
        <v>91</v>
      </c>
      <c r="E173" s="145">
        <v>45856</v>
      </c>
      <c r="F173" s="44">
        <v>171.740005</v>
      </c>
      <c r="G173" s="46">
        <v>172</v>
      </c>
      <c r="H173" s="44">
        <f t="shared" si="12"/>
        <v>-0.25999500000000353</v>
      </c>
      <c r="I173" s="45">
        <v>45783</v>
      </c>
      <c r="J173" s="45">
        <v>45783</v>
      </c>
      <c r="K173" s="7">
        <f t="shared" ca="1" si="11"/>
        <v>0</v>
      </c>
      <c r="L173" s="9">
        <f>I173+5</f>
        <v>45788</v>
      </c>
      <c r="M173" s="45">
        <v>45784</v>
      </c>
      <c r="N173" s="7">
        <f t="shared" ca="1" si="14"/>
        <v>4</v>
      </c>
      <c r="O173" s="85"/>
      <c r="P173" s="19"/>
    </row>
    <row r="174" spans="1:16" ht="14.5">
      <c r="A174" s="19" t="s">
        <v>188</v>
      </c>
      <c r="B174" s="291">
        <v>132</v>
      </c>
      <c r="C174" s="324" t="s">
        <v>75</v>
      </c>
      <c r="D174" s="291" t="s">
        <v>91</v>
      </c>
      <c r="E174" s="145">
        <v>45856</v>
      </c>
      <c r="F174" s="44">
        <v>392</v>
      </c>
      <c r="G174" s="46">
        <v>392</v>
      </c>
      <c r="H174" s="44">
        <f t="shared" si="12"/>
        <v>0</v>
      </c>
      <c r="I174" s="45">
        <v>45783</v>
      </c>
      <c r="J174" s="45">
        <v>45783</v>
      </c>
      <c r="K174" s="7">
        <f t="shared" ca="1" si="11"/>
        <v>0</v>
      </c>
      <c r="L174" s="9">
        <f>I174+25</f>
        <v>45808</v>
      </c>
      <c r="M174" s="45">
        <v>45793</v>
      </c>
      <c r="N174" s="7">
        <f t="shared" ca="1" si="14"/>
        <v>15</v>
      </c>
      <c r="O174" s="85"/>
      <c r="P174" s="19"/>
    </row>
    <row r="175" spans="1:16" ht="14.5">
      <c r="A175" s="19" t="s">
        <v>188</v>
      </c>
      <c r="B175" s="291">
        <v>132</v>
      </c>
      <c r="C175" s="324" t="s">
        <v>857</v>
      </c>
      <c r="D175" s="291" t="s">
        <v>91</v>
      </c>
      <c r="E175" s="145">
        <v>45856</v>
      </c>
      <c r="F175" s="44">
        <v>449</v>
      </c>
      <c r="G175" s="46">
        <v>449</v>
      </c>
      <c r="H175" s="44">
        <f t="shared" si="12"/>
        <v>0</v>
      </c>
      <c r="I175" s="45">
        <v>45783</v>
      </c>
      <c r="J175" s="45">
        <v>45783</v>
      </c>
      <c r="K175" s="7">
        <f t="shared" ca="1" si="11"/>
        <v>0</v>
      </c>
      <c r="L175" s="9">
        <f>I175+25</f>
        <v>45808</v>
      </c>
      <c r="M175" s="45">
        <v>45793</v>
      </c>
      <c r="N175" s="7">
        <f t="shared" ca="1" si="14"/>
        <v>15</v>
      </c>
      <c r="O175" s="85"/>
      <c r="P175" s="19"/>
    </row>
    <row r="176" spans="1:16" ht="14.5">
      <c r="A176" s="19" t="s">
        <v>188</v>
      </c>
      <c r="B176" s="291">
        <v>133</v>
      </c>
      <c r="C176" s="324" t="s">
        <v>94</v>
      </c>
      <c r="D176" s="291" t="s">
        <v>843</v>
      </c>
      <c r="E176" s="145">
        <v>45863</v>
      </c>
      <c r="F176" s="44">
        <v>45.8</v>
      </c>
      <c r="G176" s="46">
        <v>46</v>
      </c>
      <c r="H176" s="44">
        <f t="shared" si="12"/>
        <v>-0.20000000000000284</v>
      </c>
      <c r="I176" s="45">
        <v>45783</v>
      </c>
      <c r="J176" s="45">
        <v>45783</v>
      </c>
      <c r="K176" s="7">
        <f t="shared" ca="1" si="11"/>
        <v>0</v>
      </c>
      <c r="L176" s="9">
        <f>I176+30</f>
        <v>45813</v>
      </c>
      <c r="M176" s="45">
        <v>45810</v>
      </c>
      <c r="N176" s="7">
        <f t="shared" ca="1" si="14"/>
        <v>3</v>
      </c>
      <c r="O176" s="85"/>
      <c r="P176" s="19"/>
    </row>
    <row r="177" spans="1:16" ht="14.5">
      <c r="A177" s="19" t="s">
        <v>188</v>
      </c>
      <c r="B177" s="291">
        <v>133</v>
      </c>
      <c r="C177" s="324" t="s">
        <v>93</v>
      </c>
      <c r="D177" s="291" t="s">
        <v>91</v>
      </c>
      <c r="E177" s="145">
        <v>45863</v>
      </c>
      <c r="F177" s="44">
        <v>99.6</v>
      </c>
      <c r="G177" s="46">
        <v>100</v>
      </c>
      <c r="H177" s="44">
        <f t="shared" si="12"/>
        <v>-0.40000000000000568</v>
      </c>
      <c r="I177" s="45">
        <v>45783</v>
      </c>
      <c r="J177" s="45">
        <v>45783</v>
      </c>
      <c r="K177" s="7">
        <f t="shared" ca="1" si="11"/>
        <v>0</v>
      </c>
      <c r="L177" s="9">
        <f>I177+10</f>
        <v>45793</v>
      </c>
      <c r="M177" s="45">
        <v>45796</v>
      </c>
      <c r="N177" s="7">
        <f t="shared" ca="1" si="14"/>
        <v>-3</v>
      </c>
      <c r="O177" s="85"/>
      <c r="P177" s="19"/>
    </row>
    <row r="178" spans="1:16" ht="14.5">
      <c r="A178" s="19" t="s">
        <v>188</v>
      </c>
      <c r="B178" s="291">
        <v>133</v>
      </c>
      <c r="C178" s="324" t="s">
        <v>94</v>
      </c>
      <c r="D178" s="291" t="s">
        <v>845</v>
      </c>
      <c r="E178" s="145">
        <v>45863</v>
      </c>
      <c r="F178" s="44">
        <v>30.5</v>
      </c>
      <c r="G178" s="46">
        <v>31</v>
      </c>
      <c r="H178" s="44">
        <f t="shared" si="12"/>
        <v>-0.5</v>
      </c>
      <c r="I178" s="45">
        <v>45783</v>
      </c>
      <c r="J178" s="45">
        <v>45783</v>
      </c>
      <c r="K178" s="7">
        <f t="shared" ca="1" si="11"/>
        <v>0</v>
      </c>
      <c r="L178" s="9">
        <f>I178+30</f>
        <v>45813</v>
      </c>
      <c r="M178" s="45">
        <v>45810</v>
      </c>
      <c r="N178" s="7">
        <f t="shared" ca="1" si="14"/>
        <v>3</v>
      </c>
      <c r="O178" s="85"/>
      <c r="P178" s="19"/>
    </row>
    <row r="179" spans="1:16" ht="14.5">
      <c r="A179" s="19" t="s">
        <v>188</v>
      </c>
      <c r="B179" s="291">
        <v>133</v>
      </c>
      <c r="C179" s="324" t="s">
        <v>79</v>
      </c>
      <c r="D179" s="291" t="s">
        <v>91</v>
      </c>
      <c r="E179" s="145">
        <v>45863</v>
      </c>
      <c r="F179" s="44">
        <v>311.8</v>
      </c>
      <c r="G179" s="46">
        <v>312</v>
      </c>
      <c r="H179" s="44">
        <f t="shared" si="12"/>
        <v>-0.19999999999998863</v>
      </c>
      <c r="I179" s="45">
        <f>E179-75</f>
        <v>45788</v>
      </c>
      <c r="J179" s="45">
        <v>45783</v>
      </c>
      <c r="K179" s="7">
        <f t="shared" ca="1" si="11"/>
        <v>5</v>
      </c>
      <c r="L179" s="9">
        <f>I179+5</f>
        <v>45793</v>
      </c>
      <c r="M179" s="45">
        <v>45789</v>
      </c>
      <c r="N179" s="7">
        <f t="shared" ca="1" si="14"/>
        <v>4</v>
      </c>
      <c r="O179" s="85"/>
      <c r="P179" s="19"/>
    </row>
    <row r="180" spans="1:16" ht="14.5">
      <c r="A180" s="19" t="s">
        <v>188</v>
      </c>
      <c r="B180" s="291">
        <v>133</v>
      </c>
      <c r="C180" s="324" t="s">
        <v>94</v>
      </c>
      <c r="D180" s="291" t="s">
        <v>844</v>
      </c>
      <c r="E180" s="145">
        <v>45863</v>
      </c>
      <c r="F180" s="44">
        <v>38.200000000000003</v>
      </c>
      <c r="G180" s="46">
        <v>38</v>
      </c>
      <c r="H180" s="44">
        <f t="shared" si="12"/>
        <v>0.20000000000000284</v>
      </c>
      <c r="I180" s="45">
        <v>45783</v>
      </c>
      <c r="J180" s="45">
        <v>45783</v>
      </c>
      <c r="K180" s="7">
        <f t="shared" ca="1" si="11"/>
        <v>0</v>
      </c>
      <c r="L180" s="9">
        <f>I180+30</f>
        <v>45813</v>
      </c>
      <c r="M180" s="45">
        <v>45810</v>
      </c>
      <c r="N180" s="7">
        <f t="shared" ca="1" si="14"/>
        <v>3</v>
      </c>
      <c r="O180" s="85"/>
      <c r="P180" s="19"/>
    </row>
    <row r="181" spans="1:16" ht="14.5">
      <c r="A181" s="19" t="s">
        <v>188</v>
      </c>
      <c r="B181" s="291">
        <v>134</v>
      </c>
      <c r="C181" s="324" t="s">
        <v>75</v>
      </c>
      <c r="D181" s="291" t="s">
        <v>91</v>
      </c>
      <c r="E181" s="240">
        <v>45863</v>
      </c>
      <c r="F181" s="44">
        <v>247</v>
      </c>
      <c r="G181" s="46">
        <v>247</v>
      </c>
      <c r="H181" s="44">
        <f t="shared" si="12"/>
        <v>0</v>
      </c>
      <c r="I181" s="45">
        <v>45783</v>
      </c>
      <c r="J181" s="45">
        <v>45783</v>
      </c>
      <c r="K181" s="7">
        <f t="shared" ca="1" si="11"/>
        <v>0</v>
      </c>
      <c r="L181" s="9">
        <f>I181+25</f>
        <v>45808</v>
      </c>
      <c r="M181" s="45">
        <v>45793</v>
      </c>
      <c r="N181" s="7">
        <f t="shared" ca="1" si="14"/>
        <v>15</v>
      </c>
      <c r="O181" s="85"/>
      <c r="P181" s="19"/>
    </row>
    <row r="182" spans="1:16" ht="14.5">
      <c r="A182" s="19" t="s">
        <v>188</v>
      </c>
      <c r="B182" s="291">
        <v>134</v>
      </c>
      <c r="C182" s="324" t="s">
        <v>79</v>
      </c>
      <c r="D182" s="291" t="s">
        <v>91</v>
      </c>
      <c r="E182" s="240">
        <v>45863</v>
      </c>
      <c r="F182" s="44">
        <v>164.38</v>
      </c>
      <c r="G182" s="46">
        <v>164</v>
      </c>
      <c r="H182" s="44">
        <f t="shared" si="12"/>
        <v>0.37999999999999545</v>
      </c>
      <c r="I182" s="45">
        <f>E182-75</f>
        <v>45788</v>
      </c>
      <c r="J182" s="45">
        <v>45783</v>
      </c>
      <c r="K182" s="7">
        <f t="shared" ca="1" si="11"/>
        <v>5</v>
      </c>
      <c r="L182" s="9">
        <f>I182+5</f>
        <v>45793</v>
      </c>
      <c r="M182" s="45">
        <v>45789</v>
      </c>
      <c r="N182" s="7">
        <f t="shared" ca="1" si="14"/>
        <v>4</v>
      </c>
      <c r="O182" s="85"/>
      <c r="P182" s="19"/>
    </row>
    <row r="183" spans="1:16" ht="14.5">
      <c r="A183" s="19" t="s">
        <v>188</v>
      </c>
      <c r="B183" s="291">
        <v>135</v>
      </c>
      <c r="C183" s="324" t="s">
        <v>95</v>
      </c>
      <c r="D183" s="291" t="s">
        <v>91</v>
      </c>
      <c r="E183" s="240">
        <v>45863</v>
      </c>
      <c r="F183" s="44">
        <v>38</v>
      </c>
      <c r="G183" s="46">
        <v>38</v>
      </c>
      <c r="H183" s="44">
        <f t="shared" si="12"/>
        <v>0</v>
      </c>
      <c r="I183" s="45">
        <f>E183-75</f>
        <v>45788</v>
      </c>
      <c r="J183" s="45">
        <v>45783</v>
      </c>
      <c r="K183" s="7">
        <f t="shared" ca="1" si="11"/>
        <v>5</v>
      </c>
      <c r="L183" s="9">
        <f>I183+5</f>
        <v>45793</v>
      </c>
      <c r="M183" s="45">
        <v>45789</v>
      </c>
      <c r="N183" s="7">
        <f t="shared" ca="1" si="14"/>
        <v>4</v>
      </c>
      <c r="O183" s="85"/>
      <c r="P183" s="19"/>
    </row>
    <row r="184" spans="1:16" ht="14.5">
      <c r="A184" s="19" t="s">
        <v>188</v>
      </c>
      <c r="B184" s="291">
        <v>135</v>
      </c>
      <c r="C184" s="324" t="s">
        <v>95</v>
      </c>
      <c r="D184" s="291" t="s">
        <v>842</v>
      </c>
      <c r="E184" s="240">
        <v>45863</v>
      </c>
      <c r="F184" s="44">
        <v>103</v>
      </c>
      <c r="G184" s="46">
        <v>103</v>
      </c>
      <c r="H184" s="44">
        <f t="shared" si="12"/>
        <v>0</v>
      </c>
      <c r="I184" s="45">
        <f>E184-75</f>
        <v>45788</v>
      </c>
      <c r="J184" s="45">
        <v>45783</v>
      </c>
      <c r="K184" s="7">
        <f t="shared" ca="1" si="11"/>
        <v>5</v>
      </c>
      <c r="L184" s="9">
        <f>I184+5</f>
        <v>45793</v>
      </c>
      <c r="M184" s="45">
        <v>45789</v>
      </c>
      <c r="N184" s="7">
        <f t="shared" ca="1" si="14"/>
        <v>4</v>
      </c>
      <c r="O184" s="85"/>
      <c r="P184" s="19"/>
    </row>
    <row r="185" spans="1:16" ht="14.5">
      <c r="A185" s="19" t="s">
        <v>188</v>
      </c>
      <c r="B185" s="291">
        <v>135</v>
      </c>
      <c r="C185" s="324" t="s">
        <v>96</v>
      </c>
      <c r="D185" s="291" t="s">
        <v>91</v>
      </c>
      <c r="E185" s="240">
        <v>45863</v>
      </c>
      <c r="F185" s="44">
        <v>172</v>
      </c>
      <c r="G185" s="46">
        <v>172</v>
      </c>
      <c r="H185" s="44">
        <f t="shared" si="12"/>
        <v>0</v>
      </c>
      <c r="I185" s="45">
        <f>E185-75</f>
        <v>45788</v>
      </c>
      <c r="J185" s="45">
        <v>45783</v>
      </c>
      <c r="K185" s="7">
        <f t="shared" ca="1" si="11"/>
        <v>5</v>
      </c>
      <c r="L185" s="9">
        <f>I185+5</f>
        <v>45793</v>
      </c>
      <c r="M185" s="45">
        <v>45784</v>
      </c>
      <c r="N185" s="7">
        <f t="shared" ca="1" si="14"/>
        <v>9</v>
      </c>
      <c r="O185" s="85"/>
      <c r="P185" s="19"/>
    </row>
    <row r="186" spans="1:16" ht="14.5">
      <c r="A186" s="19" t="s">
        <v>188</v>
      </c>
      <c r="B186" s="291">
        <v>135</v>
      </c>
      <c r="C186" s="324" t="s">
        <v>75</v>
      </c>
      <c r="D186" s="291" t="s">
        <v>91</v>
      </c>
      <c r="E186" s="240">
        <v>45863</v>
      </c>
      <c r="F186" s="44">
        <v>89.5</v>
      </c>
      <c r="G186" s="46">
        <v>90</v>
      </c>
      <c r="H186" s="44">
        <f t="shared" si="12"/>
        <v>-0.5</v>
      </c>
      <c r="I186" s="45">
        <v>45783</v>
      </c>
      <c r="J186" s="45">
        <v>45783</v>
      </c>
      <c r="K186" s="7">
        <f t="shared" ca="1" si="11"/>
        <v>0</v>
      </c>
      <c r="L186" s="9">
        <f>I186+25</f>
        <v>45808</v>
      </c>
      <c r="M186" s="45">
        <v>45793</v>
      </c>
      <c r="N186" s="7">
        <f t="shared" ca="1" si="14"/>
        <v>15</v>
      </c>
      <c r="O186" s="85"/>
      <c r="P186" s="19"/>
    </row>
    <row r="187" spans="1:16" ht="14.5">
      <c r="A187" s="19" t="s">
        <v>188</v>
      </c>
      <c r="B187" s="291">
        <v>135</v>
      </c>
      <c r="C187" s="324" t="s">
        <v>77</v>
      </c>
      <c r="D187" s="291" t="s">
        <v>91</v>
      </c>
      <c r="E187" s="240">
        <v>45863</v>
      </c>
      <c r="F187" s="44">
        <v>3057.6</v>
      </c>
      <c r="G187" s="46">
        <v>3058</v>
      </c>
      <c r="H187" s="44">
        <f t="shared" si="12"/>
        <v>-0.40000000000009095</v>
      </c>
      <c r="I187" s="45">
        <f>E187-75</f>
        <v>45788</v>
      </c>
      <c r="J187" s="45">
        <v>45783</v>
      </c>
      <c r="K187" s="7">
        <f t="shared" ca="1" si="11"/>
        <v>5</v>
      </c>
      <c r="L187" s="9">
        <f>I187+5</f>
        <v>45793</v>
      </c>
      <c r="M187" s="45">
        <v>45789</v>
      </c>
      <c r="N187" s="7">
        <f t="shared" ca="1" si="14"/>
        <v>4</v>
      </c>
      <c r="O187" s="85"/>
      <c r="P187" s="19"/>
    </row>
    <row r="188" spans="1:16" ht="14.5">
      <c r="A188" s="19" t="s">
        <v>188</v>
      </c>
      <c r="B188" s="291">
        <v>135</v>
      </c>
      <c r="C188" s="324" t="s">
        <v>79</v>
      </c>
      <c r="D188" s="291" t="s">
        <v>91</v>
      </c>
      <c r="E188" s="240">
        <v>45863</v>
      </c>
      <c r="F188" s="44">
        <v>6.2</v>
      </c>
      <c r="G188" s="46">
        <v>6</v>
      </c>
      <c r="H188" s="44">
        <f t="shared" si="12"/>
        <v>0.20000000000000018</v>
      </c>
      <c r="I188" s="45">
        <f>E188-75</f>
        <v>45788</v>
      </c>
      <c r="J188" s="45">
        <v>45783</v>
      </c>
      <c r="K188" s="7">
        <f t="shared" ca="1" si="11"/>
        <v>5</v>
      </c>
      <c r="L188" s="9">
        <f>I188+5</f>
        <v>45793</v>
      </c>
      <c r="M188" s="45">
        <v>45789</v>
      </c>
      <c r="N188" s="7">
        <f t="shared" ca="1" si="14"/>
        <v>4</v>
      </c>
      <c r="O188" s="85"/>
      <c r="P188" s="19"/>
    </row>
    <row r="189" spans="1:16" ht="14.5">
      <c r="A189" s="19" t="s">
        <v>188</v>
      </c>
      <c r="B189" s="291">
        <v>136</v>
      </c>
      <c r="C189" s="324" t="s">
        <v>79</v>
      </c>
      <c r="D189" s="291" t="s">
        <v>91</v>
      </c>
      <c r="E189" s="240">
        <v>45863</v>
      </c>
      <c r="F189" s="44">
        <v>251</v>
      </c>
      <c r="G189" s="46">
        <v>251</v>
      </c>
      <c r="H189" s="44">
        <f t="shared" si="12"/>
        <v>0</v>
      </c>
      <c r="I189" s="45">
        <f>E189-75</f>
        <v>45788</v>
      </c>
      <c r="J189" s="45">
        <v>45783</v>
      </c>
      <c r="K189" s="7">
        <f t="shared" ca="1" si="11"/>
        <v>5</v>
      </c>
      <c r="L189" s="9">
        <f>I189+5</f>
        <v>45793</v>
      </c>
      <c r="M189" s="45">
        <v>45789</v>
      </c>
      <c r="N189" s="7">
        <f t="shared" ca="1" si="14"/>
        <v>4</v>
      </c>
      <c r="O189" s="85"/>
      <c r="P189" s="19"/>
    </row>
    <row r="190" spans="1:16" ht="14.5">
      <c r="A190" s="19" t="s">
        <v>188</v>
      </c>
      <c r="B190" s="291">
        <v>137</v>
      </c>
      <c r="C190" s="324" t="s">
        <v>75</v>
      </c>
      <c r="D190" s="291" t="s">
        <v>91</v>
      </c>
      <c r="E190" s="240">
        <v>45863</v>
      </c>
      <c r="F190" s="44">
        <v>146.1</v>
      </c>
      <c r="G190" s="46">
        <v>146</v>
      </c>
      <c r="H190" s="44">
        <f t="shared" si="12"/>
        <v>9.9999999999994316E-2</v>
      </c>
      <c r="I190" s="45">
        <v>45783</v>
      </c>
      <c r="J190" s="45">
        <v>45783</v>
      </c>
      <c r="K190" s="7">
        <f t="shared" ca="1" si="11"/>
        <v>0</v>
      </c>
      <c r="L190" s="9">
        <f>I190+25</f>
        <v>45808</v>
      </c>
      <c r="M190" s="45">
        <v>45793</v>
      </c>
      <c r="N190" s="7">
        <f t="shared" ca="1" si="14"/>
        <v>15</v>
      </c>
      <c r="O190" s="85"/>
      <c r="P190" s="19"/>
    </row>
    <row r="191" spans="1:16" ht="14.5">
      <c r="A191" s="19" t="s">
        <v>188</v>
      </c>
      <c r="B191" s="291">
        <v>137</v>
      </c>
      <c r="C191" s="324" t="s">
        <v>77</v>
      </c>
      <c r="D191" s="291" t="s">
        <v>91</v>
      </c>
      <c r="E191" s="240">
        <v>45863</v>
      </c>
      <c r="F191" s="44">
        <v>433.8</v>
      </c>
      <c r="G191" s="46">
        <v>434</v>
      </c>
      <c r="H191" s="44">
        <f t="shared" si="12"/>
        <v>-0.19999999999998863</v>
      </c>
      <c r="I191" s="45">
        <f>E191-75</f>
        <v>45788</v>
      </c>
      <c r="J191" s="45">
        <v>45783</v>
      </c>
      <c r="K191" s="7">
        <f t="shared" ca="1" si="11"/>
        <v>5</v>
      </c>
      <c r="L191" s="9">
        <f>I191+5</f>
        <v>45793</v>
      </c>
      <c r="M191" s="45">
        <v>45789</v>
      </c>
      <c r="N191" s="7">
        <f t="shared" ca="1" si="14"/>
        <v>4</v>
      </c>
      <c r="O191" s="85"/>
      <c r="P191" s="19"/>
    </row>
    <row r="192" spans="1:16" ht="14.5">
      <c r="A192" s="19" t="s">
        <v>188</v>
      </c>
      <c r="B192" s="291">
        <v>138</v>
      </c>
      <c r="C192" s="324" t="s">
        <v>95</v>
      </c>
      <c r="D192" s="291" t="s">
        <v>91</v>
      </c>
      <c r="E192" s="240">
        <v>45863</v>
      </c>
      <c r="F192" s="44">
        <v>38</v>
      </c>
      <c r="G192" s="46">
        <v>38</v>
      </c>
      <c r="H192" s="44">
        <f t="shared" si="12"/>
        <v>0</v>
      </c>
      <c r="I192" s="45">
        <f>E192-75</f>
        <v>45788</v>
      </c>
      <c r="J192" s="45">
        <v>45783</v>
      </c>
      <c r="K192" s="7">
        <f t="shared" ca="1" si="11"/>
        <v>5</v>
      </c>
      <c r="L192" s="9">
        <f>I192+5</f>
        <v>45793</v>
      </c>
      <c r="M192" s="45">
        <v>45789</v>
      </c>
      <c r="N192" s="7">
        <f t="shared" ca="1" si="14"/>
        <v>4</v>
      </c>
      <c r="O192" s="85"/>
      <c r="P192" s="19"/>
    </row>
    <row r="193" spans="1:16" ht="14.5">
      <c r="A193" s="19" t="s">
        <v>188</v>
      </c>
      <c r="B193" s="291">
        <v>138</v>
      </c>
      <c r="C193" s="324" t="s">
        <v>95</v>
      </c>
      <c r="D193" s="291" t="s">
        <v>842</v>
      </c>
      <c r="E193" s="240">
        <v>45863</v>
      </c>
      <c r="F193" s="44">
        <v>103</v>
      </c>
      <c r="G193" s="46">
        <v>103</v>
      </c>
      <c r="H193" s="44">
        <f t="shared" ref="H193:H256" si="15">F193-G193</f>
        <v>0</v>
      </c>
      <c r="I193" s="45">
        <f>E193-75</f>
        <v>45788</v>
      </c>
      <c r="J193" s="45">
        <v>45783</v>
      </c>
      <c r="K193" s="7">
        <f t="shared" ca="1" si="11"/>
        <v>5</v>
      </c>
      <c r="L193" s="9">
        <f>I193+5</f>
        <v>45793</v>
      </c>
      <c r="M193" s="45">
        <v>45789</v>
      </c>
      <c r="N193" s="7">
        <f t="shared" ca="1" si="14"/>
        <v>4</v>
      </c>
      <c r="O193" s="85"/>
      <c r="P193" s="19"/>
    </row>
    <row r="194" spans="1:16" ht="14.5">
      <c r="A194" s="19" t="s">
        <v>188</v>
      </c>
      <c r="B194" s="291">
        <v>138</v>
      </c>
      <c r="C194" s="324" t="s">
        <v>94</v>
      </c>
      <c r="D194" s="291" t="s">
        <v>843</v>
      </c>
      <c r="E194" s="240">
        <v>45863</v>
      </c>
      <c r="F194" s="44">
        <v>331</v>
      </c>
      <c r="G194" s="46">
        <v>331</v>
      </c>
      <c r="H194" s="44">
        <f t="shared" si="15"/>
        <v>0</v>
      </c>
      <c r="I194" s="45">
        <v>45783</v>
      </c>
      <c r="J194" s="45">
        <v>45783</v>
      </c>
      <c r="K194" s="7">
        <f t="shared" ca="1" si="11"/>
        <v>0</v>
      </c>
      <c r="L194" s="9">
        <f>I194+30</f>
        <v>45813</v>
      </c>
      <c r="M194" s="45">
        <v>45810</v>
      </c>
      <c r="N194" s="7">
        <f t="shared" ca="1" si="14"/>
        <v>3</v>
      </c>
      <c r="O194" s="85"/>
      <c r="P194" s="19"/>
    </row>
    <row r="195" spans="1:16" ht="14.5">
      <c r="A195" s="19" t="s">
        <v>188</v>
      </c>
      <c r="B195" s="291">
        <v>138</v>
      </c>
      <c r="C195" s="324" t="s">
        <v>96</v>
      </c>
      <c r="D195" s="291" t="s">
        <v>91</v>
      </c>
      <c r="E195" s="240">
        <v>45863</v>
      </c>
      <c r="F195" s="44">
        <v>172</v>
      </c>
      <c r="G195" s="46">
        <v>172</v>
      </c>
      <c r="H195" s="44">
        <f t="shared" si="15"/>
        <v>0</v>
      </c>
      <c r="I195" s="45">
        <f>E195-75</f>
        <v>45788</v>
      </c>
      <c r="J195" s="45">
        <v>45783</v>
      </c>
      <c r="K195" s="7">
        <f t="shared" ref="K195:K258" ca="1" si="16">+IF(J195="",I195-TODAY(),I195-J195)</f>
        <v>5</v>
      </c>
      <c r="L195" s="9">
        <f>I195+5</f>
        <v>45793</v>
      </c>
      <c r="M195" s="45">
        <v>45784</v>
      </c>
      <c r="N195" s="7">
        <f t="shared" ca="1" si="14"/>
        <v>9</v>
      </c>
      <c r="O195" s="85"/>
      <c r="P195" s="19"/>
    </row>
    <row r="196" spans="1:16" ht="14.5">
      <c r="A196" s="19" t="s">
        <v>188</v>
      </c>
      <c r="B196" s="291">
        <v>138</v>
      </c>
      <c r="C196" s="324" t="s">
        <v>93</v>
      </c>
      <c r="D196" s="291" t="s">
        <v>91</v>
      </c>
      <c r="E196" s="240">
        <v>45863</v>
      </c>
      <c r="F196" s="44">
        <v>718.3</v>
      </c>
      <c r="G196" s="46">
        <v>718</v>
      </c>
      <c r="H196" s="44">
        <f t="shared" si="15"/>
        <v>0.29999999999995453</v>
      </c>
      <c r="I196" s="45">
        <v>45783</v>
      </c>
      <c r="J196" s="45">
        <v>45783</v>
      </c>
      <c r="K196" s="7">
        <f t="shared" ca="1" si="16"/>
        <v>0</v>
      </c>
      <c r="L196" s="9">
        <f>I196+10</f>
        <v>45793</v>
      </c>
      <c r="M196" s="45">
        <v>45796</v>
      </c>
      <c r="N196" s="7">
        <f t="shared" ca="1" si="14"/>
        <v>-3</v>
      </c>
      <c r="O196" s="85"/>
      <c r="P196" s="19"/>
    </row>
    <row r="197" spans="1:16" ht="14.5">
      <c r="A197" s="19" t="s">
        <v>188</v>
      </c>
      <c r="B197" s="291">
        <v>138</v>
      </c>
      <c r="C197" s="324" t="s">
        <v>94</v>
      </c>
      <c r="D197" s="291" t="s">
        <v>845</v>
      </c>
      <c r="E197" s="240">
        <v>45863</v>
      </c>
      <c r="F197" s="44">
        <v>221</v>
      </c>
      <c r="G197" s="46">
        <v>221</v>
      </c>
      <c r="H197" s="44">
        <f t="shared" si="15"/>
        <v>0</v>
      </c>
      <c r="I197" s="45">
        <v>45783</v>
      </c>
      <c r="J197" s="45">
        <v>45783</v>
      </c>
      <c r="K197" s="7">
        <f t="shared" ca="1" si="16"/>
        <v>0</v>
      </c>
      <c r="L197" s="9">
        <f>I197+30</f>
        <v>45813</v>
      </c>
      <c r="M197" s="45">
        <v>45810</v>
      </c>
      <c r="N197" s="7">
        <f t="shared" ca="1" si="14"/>
        <v>3</v>
      </c>
      <c r="O197" s="85"/>
      <c r="P197" s="19"/>
    </row>
    <row r="198" spans="1:16" ht="14.5">
      <c r="A198" s="19" t="s">
        <v>188</v>
      </c>
      <c r="B198" s="291">
        <v>138</v>
      </c>
      <c r="C198" s="324" t="s">
        <v>867</v>
      </c>
      <c r="D198" s="291" t="s">
        <v>91</v>
      </c>
      <c r="E198" s="240">
        <v>45863</v>
      </c>
      <c r="F198" s="44">
        <v>24.3</v>
      </c>
      <c r="G198" s="46">
        <v>24</v>
      </c>
      <c r="H198" s="44">
        <f t="shared" si="15"/>
        <v>0.30000000000000071</v>
      </c>
      <c r="I198" s="45">
        <v>45783</v>
      </c>
      <c r="J198" s="45">
        <v>45783</v>
      </c>
      <c r="K198" s="7">
        <f t="shared" ca="1" si="16"/>
        <v>0</v>
      </c>
      <c r="L198" s="9">
        <f>I198+25</f>
        <v>45808</v>
      </c>
      <c r="M198" s="45">
        <v>45784</v>
      </c>
      <c r="N198" s="7">
        <f t="shared" ca="1" si="14"/>
        <v>24</v>
      </c>
      <c r="O198" s="85"/>
      <c r="P198" s="19"/>
    </row>
    <row r="199" spans="1:16" ht="14.5">
      <c r="A199" s="19" t="s">
        <v>188</v>
      </c>
      <c r="B199" s="291">
        <v>138</v>
      </c>
      <c r="C199" s="324" t="s">
        <v>79</v>
      </c>
      <c r="D199" s="291" t="s">
        <v>91</v>
      </c>
      <c r="E199" s="240">
        <v>45863</v>
      </c>
      <c r="F199" s="44">
        <v>91.7</v>
      </c>
      <c r="G199" s="46">
        <v>92</v>
      </c>
      <c r="H199" s="44">
        <f t="shared" si="15"/>
        <v>-0.29999999999999716</v>
      </c>
      <c r="I199" s="45">
        <f>E199-75</f>
        <v>45788</v>
      </c>
      <c r="J199" s="45">
        <v>45783</v>
      </c>
      <c r="K199" s="7">
        <f t="shared" ca="1" si="16"/>
        <v>5</v>
      </c>
      <c r="L199" s="9">
        <f>I199+5</f>
        <v>45793</v>
      </c>
      <c r="M199" s="45">
        <v>45789</v>
      </c>
      <c r="N199" s="7">
        <f t="shared" ca="1" si="14"/>
        <v>4</v>
      </c>
      <c r="O199" s="85"/>
      <c r="P199" s="19"/>
    </row>
    <row r="200" spans="1:16" ht="14.5">
      <c r="A200" s="19" t="s">
        <v>188</v>
      </c>
      <c r="B200" s="291">
        <v>138</v>
      </c>
      <c r="C200" s="324" t="s">
        <v>94</v>
      </c>
      <c r="D200" s="291" t="s">
        <v>844</v>
      </c>
      <c r="E200" s="240">
        <v>45863</v>
      </c>
      <c r="F200" s="44">
        <v>276</v>
      </c>
      <c r="G200" s="46">
        <v>276</v>
      </c>
      <c r="H200" s="44">
        <f t="shared" si="15"/>
        <v>0</v>
      </c>
      <c r="I200" s="45">
        <v>45783</v>
      </c>
      <c r="J200" s="45">
        <v>45783</v>
      </c>
      <c r="K200" s="7">
        <f t="shared" ca="1" si="16"/>
        <v>0</v>
      </c>
      <c r="L200" s="9">
        <f>I200+30</f>
        <v>45813</v>
      </c>
      <c r="M200" s="45">
        <v>45810</v>
      </c>
      <c r="N200" s="7">
        <f t="shared" ca="1" si="14"/>
        <v>3</v>
      </c>
      <c r="O200" s="85"/>
      <c r="P200" s="19"/>
    </row>
    <row r="201" spans="1:16" ht="14.5">
      <c r="A201" s="19" t="s">
        <v>188</v>
      </c>
      <c r="B201" s="291">
        <v>138</v>
      </c>
      <c r="C201" s="324" t="s">
        <v>868</v>
      </c>
      <c r="D201" s="291" t="s">
        <v>91</v>
      </c>
      <c r="E201" s="240">
        <v>45863</v>
      </c>
      <c r="F201" s="44">
        <v>71.2</v>
      </c>
      <c r="G201" s="46">
        <v>71</v>
      </c>
      <c r="H201" s="44">
        <f t="shared" si="15"/>
        <v>0.20000000000000284</v>
      </c>
      <c r="I201" s="45">
        <v>45783</v>
      </c>
      <c r="J201" s="45">
        <v>45783</v>
      </c>
      <c r="K201" s="7">
        <f t="shared" ca="1" si="16"/>
        <v>0</v>
      </c>
      <c r="L201" s="9">
        <f>I201+25</f>
        <v>45808</v>
      </c>
      <c r="M201" s="45">
        <v>45796</v>
      </c>
      <c r="N201" s="7">
        <f t="shared" ca="1" si="14"/>
        <v>12</v>
      </c>
      <c r="O201" s="85"/>
      <c r="P201" s="19"/>
    </row>
    <row r="202" spans="1:16" ht="14.5">
      <c r="A202" s="19" t="s">
        <v>188</v>
      </c>
      <c r="B202" s="291">
        <v>139</v>
      </c>
      <c r="C202" s="324" t="s">
        <v>94</v>
      </c>
      <c r="D202" s="291" t="s">
        <v>843</v>
      </c>
      <c r="E202" s="140">
        <v>45870</v>
      </c>
      <c r="F202" s="44">
        <v>246.96</v>
      </c>
      <c r="G202" s="46">
        <v>247</v>
      </c>
      <c r="H202" s="44">
        <f t="shared" si="15"/>
        <v>-3.9999999999992042E-2</v>
      </c>
      <c r="I202" s="45">
        <v>45783</v>
      </c>
      <c r="J202" s="45">
        <v>45783</v>
      </c>
      <c r="K202" s="7">
        <f t="shared" ca="1" si="16"/>
        <v>0</v>
      </c>
      <c r="L202" s="9">
        <f>I202+30</f>
        <v>45813</v>
      </c>
      <c r="M202" s="45">
        <v>45810</v>
      </c>
      <c r="N202" s="7">
        <f t="shared" ca="1" si="14"/>
        <v>3</v>
      </c>
      <c r="O202" s="85"/>
      <c r="P202" s="19"/>
    </row>
    <row r="203" spans="1:16" ht="14.5">
      <c r="A203" s="19" t="s">
        <v>188</v>
      </c>
      <c r="B203" s="291">
        <v>139</v>
      </c>
      <c r="C203" s="324" t="s">
        <v>75</v>
      </c>
      <c r="D203" s="291" t="s">
        <v>91</v>
      </c>
      <c r="E203" s="140">
        <v>45870</v>
      </c>
      <c r="F203" s="44">
        <v>52.3</v>
      </c>
      <c r="G203" s="46">
        <v>52</v>
      </c>
      <c r="H203" s="44">
        <f t="shared" si="15"/>
        <v>0.29999999999999716</v>
      </c>
      <c r="I203" s="45">
        <v>45783</v>
      </c>
      <c r="J203" s="45">
        <v>45783</v>
      </c>
      <c r="K203" s="7">
        <f t="shared" ca="1" si="16"/>
        <v>0</v>
      </c>
      <c r="L203" s="9">
        <f>I203+25</f>
        <v>45808</v>
      </c>
      <c r="M203" s="45">
        <v>45793</v>
      </c>
      <c r="N203" s="7">
        <f t="shared" ca="1" si="14"/>
        <v>15</v>
      </c>
      <c r="O203" s="85"/>
      <c r="P203" s="19"/>
    </row>
    <row r="204" spans="1:16" ht="14.5">
      <c r="A204" s="19" t="s">
        <v>188</v>
      </c>
      <c r="B204" s="291">
        <v>139</v>
      </c>
      <c r="C204" s="324" t="s">
        <v>77</v>
      </c>
      <c r="D204" s="291" t="s">
        <v>91</v>
      </c>
      <c r="E204" s="140">
        <v>45870</v>
      </c>
      <c r="F204" s="44">
        <v>2531.38</v>
      </c>
      <c r="G204" s="46">
        <v>2531</v>
      </c>
      <c r="H204" s="44">
        <f t="shared" si="15"/>
        <v>0.38000000000010914</v>
      </c>
      <c r="I204" s="45">
        <f>E204-75</f>
        <v>45795</v>
      </c>
      <c r="J204" s="45">
        <v>45783</v>
      </c>
      <c r="K204" s="7">
        <f t="shared" ca="1" si="16"/>
        <v>12</v>
      </c>
      <c r="L204" s="9">
        <f>I204+5</f>
        <v>45800</v>
      </c>
      <c r="M204" s="45">
        <v>45789</v>
      </c>
      <c r="N204" s="7">
        <f t="shared" ca="1" si="14"/>
        <v>11</v>
      </c>
      <c r="O204" s="85"/>
      <c r="P204" s="19"/>
    </row>
    <row r="205" spans="1:16" ht="14.5">
      <c r="A205" s="19" t="s">
        <v>188</v>
      </c>
      <c r="B205" s="291">
        <v>139</v>
      </c>
      <c r="C205" s="324" t="s">
        <v>93</v>
      </c>
      <c r="D205" s="291" t="s">
        <v>91</v>
      </c>
      <c r="E205" s="140">
        <v>45870</v>
      </c>
      <c r="F205" s="44">
        <v>533.80999999999995</v>
      </c>
      <c r="G205" s="46">
        <v>534</v>
      </c>
      <c r="H205" s="44">
        <f t="shared" si="15"/>
        <v>-0.19000000000005457</v>
      </c>
      <c r="I205" s="45">
        <v>45783</v>
      </c>
      <c r="J205" s="45">
        <v>45783</v>
      </c>
      <c r="K205" s="7">
        <f t="shared" ca="1" si="16"/>
        <v>0</v>
      </c>
      <c r="L205" s="9">
        <f>I205+10</f>
        <v>45793</v>
      </c>
      <c r="M205" s="45">
        <v>45796</v>
      </c>
      <c r="N205" s="7">
        <f t="shared" ca="1" si="14"/>
        <v>-3</v>
      </c>
      <c r="O205" s="85"/>
      <c r="P205" s="19"/>
    </row>
    <row r="206" spans="1:16" ht="14.5">
      <c r="A206" s="19" t="s">
        <v>188</v>
      </c>
      <c r="B206" s="291">
        <v>139</v>
      </c>
      <c r="C206" s="324" t="s">
        <v>94</v>
      </c>
      <c r="D206" s="291" t="s">
        <v>845</v>
      </c>
      <c r="E206" s="140">
        <v>45870</v>
      </c>
      <c r="F206" s="44">
        <v>163.25</v>
      </c>
      <c r="G206" s="46">
        <v>163</v>
      </c>
      <c r="H206" s="44">
        <f t="shared" si="15"/>
        <v>0.25</v>
      </c>
      <c r="I206" s="45">
        <v>45783</v>
      </c>
      <c r="J206" s="45">
        <v>45783</v>
      </c>
      <c r="K206" s="7">
        <f t="shared" ca="1" si="16"/>
        <v>0</v>
      </c>
      <c r="L206" s="9">
        <f>I206+30</f>
        <v>45813</v>
      </c>
      <c r="M206" s="45">
        <v>45810</v>
      </c>
      <c r="N206" s="7">
        <f t="shared" ca="1" si="14"/>
        <v>3</v>
      </c>
      <c r="O206" s="85"/>
      <c r="P206" s="19"/>
    </row>
    <row r="207" spans="1:16" ht="14.5">
      <c r="A207" s="19" t="s">
        <v>188</v>
      </c>
      <c r="B207" s="291">
        <v>139</v>
      </c>
      <c r="C207" s="324" t="s">
        <v>79</v>
      </c>
      <c r="D207" s="291" t="s">
        <v>91</v>
      </c>
      <c r="E207" s="140">
        <v>45870</v>
      </c>
      <c r="F207" s="44">
        <v>104.3</v>
      </c>
      <c r="G207" s="46">
        <v>104</v>
      </c>
      <c r="H207" s="44">
        <f t="shared" si="15"/>
        <v>0.29999999999999716</v>
      </c>
      <c r="I207" s="45">
        <f>E207-75</f>
        <v>45795</v>
      </c>
      <c r="J207" s="45">
        <v>45783</v>
      </c>
      <c r="K207" s="7">
        <f t="shared" ca="1" si="16"/>
        <v>12</v>
      </c>
      <c r="L207" s="9">
        <f>I207+5</f>
        <v>45800</v>
      </c>
      <c r="M207" s="45">
        <v>45789</v>
      </c>
      <c r="N207" s="7">
        <f t="shared" ca="1" si="14"/>
        <v>11</v>
      </c>
      <c r="O207" s="85"/>
      <c r="P207" s="19"/>
    </row>
    <row r="208" spans="1:16" ht="14.5">
      <c r="A208" s="19" t="s">
        <v>188</v>
      </c>
      <c r="B208" s="291">
        <v>139</v>
      </c>
      <c r="C208" s="324" t="s">
        <v>94</v>
      </c>
      <c r="D208" s="291" t="s">
        <v>844</v>
      </c>
      <c r="E208" s="140">
        <v>45870</v>
      </c>
      <c r="F208" s="44">
        <v>204.17</v>
      </c>
      <c r="G208" s="46">
        <v>204</v>
      </c>
      <c r="H208" s="44">
        <f t="shared" si="15"/>
        <v>0.16999999999998749</v>
      </c>
      <c r="I208" s="45">
        <v>45783</v>
      </c>
      <c r="J208" s="45">
        <v>45783</v>
      </c>
      <c r="K208" s="7">
        <f t="shared" ca="1" si="16"/>
        <v>0</v>
      </c>
      <c r="L208" s="9">
        <f>I208+30</f>
        <v>45813</v>
      </c>
      <c r="M208" s="45">
        <v>45810</v>
      </c>
      <c r="N208" s="7">
        <f t="shared" ca="1" si="14"/>
        <v>3</v>
      </c>
      <c r="O208" s="85"/>
      <c r="P208" s="19"/>
    </row>
    <row r="209" spans="1:16" ht="14.5">
      <c r="A209" s="19" t="s">
        <v>188</v>
      </c>
      <c r="B209" s="291">
        <v>139</v>
      </c>
      <c r="C209" s="324" t="s">
        <v>82</v>
      </c>
      <c r="D209" s="291" t="s">
        <v>91</v>
      </c>
      <c r="E209" s="140">
        <v>45870</v>
      </c>
      <c r="F209" s="44">
        <v>231.9</v>
      </c>
      <c r="G209" s="46">
        <v>232</v>
      </c>
      <c r="H209" s="44">
        <f t="shared" si="15"/>
        <v>-9.9999999999994316E-2</v>
      </c>
      <c r="I209" s="45">
        <v>45783</v>
      </c>
      <c r="J209" s="45">
        <v>45783</v>
      </c>
      <c r="K209" s="7">
        <f t="shared" ca="1" si="16"/>
        <v>0</v>
      </c>
      <c r="L209" s="9">
        <f>I209+15</f>
        <v>45798</v>
      </c>
      <c r="M209" s="45">
        <v>45798</v>
      </c>
      <c r="N209" s="7">
        <f t="shared" ca="1" si="14"/>
        <v>0</v>
      </c>
      <c r="O209" s="85"/>
      <c r="P209" s="19"/>
    </row>
    <row r="210" spans="1:16" ht="14.5">
      <c r="A210" s="19" t="s">
        <v>188</v>
      </c>
      <c r="B210" s="291">
        <v>140</v>
      </c>
      <c r="C210" s="324" t="s">
        <v>75</v>
      </c>
      <c r="D210" s="291" t="s">
        <v>91</v>
      </c>
      <c r="E210" s="145">
        <v>45870</v>
      </c>
      <c r="F210" s="44">
        <v>298.5</v>
      </c>
      <c r="G210" s="46">
        <v>299</v>
      </c>
      <c r="H210" s="44">
        <f t="shared" si="15"/>
        <v>-0.5</v>
      </c>
      <c r="I210" s="45">
        <v>45783</v>
      </c>
      <c r="J210" s="45">
        <v>45783</v>
      </c>
      <c r="K210" s="7">
        <f t="shared" ca="1" si="16"/>
        <v>0</v>
      </c>
      <c r="L210" s="9">
        <f>I210+25</f>
        <v>45808</v>
      </c>
      <c r="M210" s="45">
        <v>45793</v>
      </c>
      <c r="N210" s="7">
        <f t="shared" ca="1" si="14"/>
        <v>15</v>
      </c>
      <c r="O210" s="85"/>
      <c r="P210" s="19"/>
    </row>
    <row r="211" spans="1:16" ht="14.5">
      <c r="A211" s="19" t="s">
        <v>188</v>
      </c>
      <c r="B211" s="291">
        <v>140</v>
      </c>
      <c r="C211" s="324" t="s">
        <v>77</v>
      </c>
      <c r="D211" s="291" t="s">
        <v>91</v>
      </c>
      <c r="E211" s="145">
        <v>45870</v>
      </c>
      <c r="F211" s="44">
        <v>193.23</v>
      </c>
      <c r="G211" s="46">
        <v>193</v>
      </c>
      <c r="H211" s="44">
        <f t="shared" si="15"/>
        <v>0.22999999999998977</v>
      </c>
      <c r="I211" s="45">
        <f>E211-75</f>
        <v>45795</v>
      </c>
      <c r="J211" s="45">
        <v>45783</v>
      </c>
      <c r="K211" s="7">
        <f t="shared" ca="1" si="16"/>
        <v>12</v>
      </c>
      <c r="L211" s="9">
        <f>I211+5</f>
        <v>45800</v>
      </c>
      <c r="M211" s="45">
        <v>45792</v>
      </c>
      <c r="N211" s="7">
        <f t="shared" ca="1" si="14"/>
        <v>8</v>
      </c>
      <c r="O211" s="85"/>
      <c r="P211" s="19"/>
    </row>
    <row r="212" spans="1:16" ht="14.5">
      <c r="A212" s="19" t="s">
        <v>188</v>
      </c>
      <c r="B212" s="291">
        <v>140</v>
      </c>
      <c r="C212" s="324" t="s">
        <v>79</v>
      </c>
      <c r="D212" s="291" t="s">
        <v>91</v>
      </c>
      <c r="E212" s="145">
        <v>45870</v>
      </c>
      <c r="F212" s="44">
        <v>7</v>
      </c>
      <c r="G212" s="46">
        <v>7</v>
      </c>
      <c r="H212" s="44">
        <f t="shared" si="15"/>
        <v>0</v>
      </c>
      <c r="I212" s="45">
        <f>E212-75</f>
        <v>45795</v>
      </c>
      <c r="J212" s="45">
        <v>45783</v>
      </c>
      <c r="K212" s="7">
        <f t="shared" ca="1" si="16"/>
        <v>12</v>
      </c>
      <c r="L212" s="9">
        <f>I212+5</f>
        <v>45800</v>
      </c>
      <c r="M212" s="45">
        <v>45789</v>
      </c>
      <c r="N212" s="7">
        <f t="shared" ca="1" si="14"/>
        <v>11</v>
      </c>
      <c r="O212" s="85"/>
      <c r="P212" s="19"/>
    </row>
    <row r="213" spans="1:16" ht="14.5">
      <c r="A213" s="19" t="s">
        <v>188</v>
      </c>
      <c r="B213" s="291">
        <v>141</v>
      </c>
      <c r="C213" s="324" t="s">
        <v>94</v>
      </c>
      <c r="D213" s="291" t="s">
        <v>843</v>
      </c>
      <c r="E213" s="240">
        <v>45870</v>
      </c>
      <c r="F213" s="44">
        <v>70.98</v>
      </c>
      <c r="G213" s="46">
        <v>71</v>
      </c>
      <c r="H213" s="44">
        <f t="shared" si="15"/>
        <v>-1.9999999999996021E-2</v>
      </c>
      <c r="I213" s="45">
        <v>45783</v>
      </c>
      <c r="J213" s="45">
        <v>45783</v>
      </c>
      <c r="K213" s="7">
        <f t="shared" ca="1" si="16"/>
        <v>0</v>
      </c>
      <c r="L213" s="9">
        <f>I213+30</f>
        <v>45813</v>
      </c>
      <c r="M213" s="45">
        <v>45828</v>
      </c>
      <c r="N213" s="7">
        <f t="shared" ca="1" si="14"/>
        <v>-15</v>
      </c>
      <c r="O213" s="85">
        <v>45831</v>
      </c>
      <c r="P213" s="19"/>
    </row>
    <row r="214" spans="1:16" ht="14.5">
      <c r="A214" s="19" t="s">
        <v>188</v>
      </c>
      <c r="B214" s="291">
        <v>141</v>
      </c>
      <c r="C214" s="324" t="s">
        <v>93</v>
      </c>
      <c r="D214" s="291" t="s">
        <v>91</v>
      </c>
      <c r="E214" s="240">
        <v>45870</v>
      </c>
      <c r="F214" s="44">
        <v>153.46</v>
      </c>
      <c r="G214" s="46">
        <v>153</v>
      </c>
      <c r="H214" s="44">
        <f t="shared" si="15"/>
        <v>0.46000000000000796</v>
      </c>
      <c r="I214" s="45">
        <v>45783</v>
      </c>
      <c r="J214" s="45">
        <v>45783</v>
      </c>
      <c r="K214" s="7">
        <f t="shared" ca="1" si="16"/>
        <v>0</v>
      </c>
      <c r="L214" s="9">
        <f>I214+10</f>
        <v>45793</v>
      </c>
      <c r="M214" s="45">
        <v>45796</v>
      </c>
      <c r="N214" s="7">
        <f t="shared" ca="1" si="14"/>
        <v>-3</v>
      </c>
      <c r="O214" s="85"/>
      <c r="P214" s="19"/>
    </row>
    <row r="215" spans="1:16" ht="14.5">
      <c r="A215" s="19" t="s">
        <v>188</v>
      </c>
      <c r="B215" s="291">
        <v>141</v>
      </c>
      <c r="C215" s="324" t="s">
        <v>94</v>
      </c>
      <c r="D215" s="291" t="s">
        <v>845</v>
      </c>
      <c r="E215" s="240">
        <v>45870</v>
      </c>
      <c r="F215" s="44">
        <v>46.97</v>
      </c>
      <c r="G215" s="46">
        <v>47</v>
      </c>
      <c r="H215" s="44">
        <f t="shared" si="15"/>
        <v>-3.0000000000001137E-2</v>
      </c>
      <c r="I215" s="45">
        <v>45783</v>
      </c>
      <c r="J215" s="45">
        <v>45783</v>
      </c>
      <c r="K215" s="7">
        <f t="shared" ca="1" si="16"/>
        <v>0</v>
      </c>
      <c r="L215" s="9">
        <f>I215+30</f>
        <v>45813</v>
      </c>
      <c r="M215" s="45">
        <v>45810</v>
      </c>
      <c r="N215" s="7">
        <f t="shared" ca="1" si="14"/>
        <v>3</v>
      </c>
      <c r="O215" s="85"/>
      <c r="P215" s="19"/>
    </row>
    <row r="216" spans="1:16" ht="14.5">
      <c r="A216" s="19" t="s">
        <v>188</v>
      </c>
      <c r="B216" s="291">
        <v>141</v>
      </c>
      <c r="C216" s="324" t="s">
        <v>867</v>
      </c>
      <c r="D216" s="291" t="s">
        <v>91</v>
      </c>
      <c r="E216" s="240">
        <v>45870</v>
      </c>
      <c r="F216" s="44">
        <v>57.5</v>
      </c>
      <c r="G216" s="46">
        <v>58</v>
      </c>
      <c r="H216" s="44">
        <f t="shared" si="15"/>
        <v>-0.5</v>
      </c>
      <c r="I216" s="45">
        <v>45783</v>
      </c>
      <c r="J216" s="45">
        <v>45783</v>
      </c>
      <c r="K216" s="7">
        <f t="shared" ca="1" si="16"/>
        <v>0</v>
      </c>
      <c r="L216" s="9">
        <f>I216+25</f>
        <v>45808</v>
      </c>
      <c r="M216" s="45">
        <v>45784</v>
      </c>
      <c r="N216" s="7">
        <f t="shared" ca="1" si="14"/>
        <v>24</v>
      </c>
      <c r="O216" s="85"/>
      <c r="P216" s="19"/>
    </row>
    <row r="217" spans="1:16" ht="14.5">
      <c r="A217" s="19" t="s">
        <v>188</v>
      </c>
      <c r="B217" s="291">
        <v>141</v>
      </c>
      <c r="C217" s="324" t="s">
        <v>79</v>
      </c>
      <c r="D217" s="291" t="s">
        <v>91</v>
      </c>
      <c r="E217" s="240">
        <v>45870</v>
      </c>
      <c r="F217" s="44">
        <v>132.61000000000001</v>
      </c>
      <c r="G217" s="46">
        <v>133</v>
      </c>
      <c r="H217" s="44">
        <f t="shared" si="15"/>
        <v>-0.38999999999998636</v>
      </c>
      <c r="I217" s="45">
        <f>E217-75</f>
        <v>45795</v>
      </c>
      <c r="J217" s="45">
        <v>45783</v>
      </c>
      <c r="K217" s="7">
        <f t="shared" ca="1" si="16"/>
        <v>12</v>
      </c>
      <c r="L217" s="9">
        <f>I217+5</f>
        <v>45800</v>
      </c>
      <c r="M217" s="45">
        <v>45789</v>
      </c>
      <c r="N217" s="7">
        <f t="shared" ca="1" si="14"/>
        <v>11</v>
      </c>
      <c r="O217" s="85"/>
      <c r="P217" s="19"/>
    </row>
    <row r="218" spans="1:16" ht="14.5">
      <c r="A218" s="19" t="s">
        <v>188</v>
      </c>
      <c r="B218" s="291">
        <v>141</v>
      </c>
      <c r="C218" s="324" t="s">
        <v>94</v>
      </c>
      <c r="D218" s="291" t="s">
        <v>844</v>
      </c>
      <c r="E218" s="240">
        <v>45870</v>
      </c>
      <c r="F218" s="44">
        <v>58.66</v>
      </c>
      <c r="G218" s="46">
        <v>59</v>
      </c>
      <c r="H218" s="44">
        <f t="shared" si="15"/>
        <v>-0.34000000000000341</v>
      </c>
      <c r="I218" s="45">
        <v>45783</v>
      </c>
      <c r="J218" s="45">
        <v>45783</v>
      </c>
      <c r="K218" s="7">
        <f t="shared" ca="1" si="16"/>
        <v>0</v>
      </c>
      <c r="L218" s="9">
        <f>I218+30</f>
        <v>45813</v>
      </c>
      <c r="M218" s="45">
        <v>45810</v>
      </c>
      <c r="N218" s="7">
        <f t="shared" ca="1" si="14"/>
        <v>3</v>
      </c>
      <c r="O218" s="85"/>
      <c r="P218" s="19"/>
    </row>
    <row r="219" spans="1:16" ht="14.5">
      <c r="A219" s="19" t="s">
        <v>188</v>
      </c>
      <c r="B219" s="291">
        <v>141</v>
      </c>
      <c r="C219" s="324" t="s">
        <v>868</v>
      </c>
      <c r="D219" s="291" t="s">
        <v>91</v>
      </c>
      <c r="E219" s="240">
        <v>45870</v>
      </c>
      <c r="F219" s="44">
        <v>168.35</v>
      </c>
      <c r="G219" s="46">
        <v>168</v>
      </c>
      <c r="H219" s="44">
        <f t="shared" si="15"/>
        <v>0.34999999999999432</v>
      </c>
      <c r="I219" s="45">
        <v>45783</v>
      </c>
      <c r="J219" s="45">
        <v>45783</v>
      </c>
      <c r="K219" s="7">
        <f t="shared" ca="1" si="16"/>
        <v>0</v>
      </c>
      <c r="L219" s="9">
        <f>I219+25</f>
        <v>45808</v>
      </c>
      <c r="M219" s="45">
        <v>45796</v>
      </c>
      <c r="N219" s="7">
        <f t="shared" ca="1" si="14"/>
        <v>12</v>
      </c>
      <c r="O219" s="85"/>
      <c r="P219" s="19"/>
    </row>
    <row r="220" spans="1:16" ht="14.5">
      <c r="A220" s="19" t="s">
        <v>188</v>
      </c>
      <c r="B220" s="291">
        <v>142</v>
      </c>
      <c r="C220" s="324" t="s">
        <v>75</v>
      </c>
      <c r="D220" s="291" t="s">
        <v>91</v>
      </c>
      <c r="E220" s="240">
        <v>45877</v>
      </c>
      <c r="F220" s="44">
        <v>192.7</v>
      </c>
      <c r="G220" s="46">
        <v>193</v>
      </c>
      <c r="H220" s="44">
        <f t="shared" si="15"/>
        <v>-0.30000000000001137</v>
      </c>
      <c r="I220" s="45">
        <v>45783</v>
      </c>
      <c r="J220" s="45">
        <v>45783</v>
      </c>
      <c r="K220" s="7">
        <f t="shared" ca="1" si="16"/>
        <v>0</v>
      </c>
      <c r="L220" s="9">
        <f>I220+25</f>
        <v>45808</v>
      </c>
      <c r="M220" s="45">
        <v>45793</v>
      </c>
      <c r="N220" s="7">
        <f t="shared" ca="1" si="14"/>
        <v>15</v>
      </c>
      <c r="O220" s="85"/>
      <c r="P220" s="19"/>
    </row>
    <row r="221" spans="1:16" ht="14.5">
      <c r="A221" s="19" t="s">
        <v>188</v>
      </c>
      <c r="B221" s="291">
        <v>142</v>
      </c>
      <c r="C221" s="324" t="s">
        <v>79</v>
      </c>
      <c r="D221" s="291" t="s">
        <v>91</v>
      </c>
      <c r="E221" s="240">
        <v>45877</v>
      </c>
      <c r="F221" s="44">
        <v>111.3</v>
      </c>
      <c r="G221" s="46">
        <v>111</v>
      </c>
      <c r="H221" s="44">
        <f t="shared" si="15"/>
        <v>0.29999999999999716</v>
      </c>
      <c r="I221" s="45">
        <f>E221-75</f>
        <v>45802</v>
      </c>
      <c r="J221" s="45">
        <v>45783</v>
      </c>
      <c r="K221" s="7">
        <f t="shared" ca="1" si="16"/>
        <v>19</v>
      </c>
      <c r="L221" s="9">
        <f>I221+5</f>
        <v>45807</v>
      </c>
      <c r="M221" s="45">
        <v>45789</v>
      </c>
      <c r="N221" s="7">
        <f t="shared" ca="1" si="14"/>
        <v>18</v>
      </c>
      <c r="O221" s="85"/>
      <c r="P221" s="19"/>
    </row>
    <row r="222" spans="1:16" ht="14.5">
      <c r="A222" s="19" t="s">
        <v>188</v>
      </c>
      <c r="B222" s="291">
        <v>142</v>
      </c>
      <c r="C222" s="324" t="s">
        <v>82</v>
      </c>
      <c r="D222" s="291" t="s">
        <v>91</v>
      </c>
      <c r="E222" s="240">
        <v>45877</v>
      </c>
      <c r="F222" s="44">
        <v>206.1</v>
      </c>
      <c r="G222" s="46">
        <v>206</v>
      </c>
      <c r="H222" s="44">
        <f t="shared" si="15"/>
        <v>9.9999999999994316E-2</v>
      </c>
      <c r="I222" s="45">
        <v>45783</v>
      </c>
      <c r="J222" s="45">
        <v>45783</v>
      </c>
      <c r="K222" s="7">
        <f t="shared" ca="1" si="16"/>
        <v>0</v>
      </c>
      <c r="L222" s="9">
        <f>I222+15</f>
        <v>45798</v>
      </c>
      <c r="M222" s="45">
        <v>45798</v>
      </c>
      <c r="N222" s="7">
        <f t="shared" ca="1" si="14"/>
        <v>0</v>
      </c>
      <c r="O222" s="85"/>
      <c r="P222" s="19"/>
    </row>
    <row r="223" spans="1:16" ht="14.5">
      <c r="A223" s="19" t="s">
        <v>188</v>
      </c>
      <c r="B223" s="291">
        <v>142</v>
      </c>
      <c r="C223" s="324" t="s">
        <v>857</v>
      </c>
      <c r="D223" s="291" t="s">
        <v>91</v>
      </c>
      <c r="E223" s="240">
        <v>45877</v>
      </c>
      <c r="F223" s="44">
        <v>221</v>
      </c>
      <c r="G223" s="46">
        <v>221</v>
      </c>
      <c r="H223" s="44">
        <f t="shared" si="15"/>
        <v>0</v>
      </c>
      <c r="I223" s="45">
        <v>45783</v>
      </c>
      <c r="J223" s="45">
        <v>45783</v>
      </c>
      <c r="K223" s="7">
        <f t="shared" ca="1" si="16"/>
        <v>0</v>
      </c>
      <c r="L223" s="9">
        <f>I223+25</f>
        <v>45808</v>
      </c>
      <c r="M223" s="45">
        <v>45793</v>
      </c>
      <c r="N223" s="7">
        <f t="shared" ca="1" si="14"/>
        <v>15</v>
      </c>
      <c r="O223" s="85"/>
      <c r="P223" s="19"/>
    </row>
    <row r="224" spans="1:16" ht="14.5">
      <c r="A224" s="19" t="s">
        <v>188</v>
      </c>
      <c r="B224" s="291">
        <v>143</v>
      </c>
      <c r="C224" s="324" t="s">
        <v>75</v>
      </c>
      <c r="D224" s="291" t="s">
        <v>91</v>
      </c>
      <c r="E224" s="145">
        <v>45877</v>
      </c>
      <c r="F224" s="44">
        <v>203.9</v>
      </c>
      <c r="G224" s="46">
        <v>204</v>
      </c>
      <c r="H224" s="44">
        <f t="shared" si="15"/>
        <v>-9.9999999999994316E-2</v>
      </c>
      <c r="I224" s="45">
        <v>45783</v>
      </c>
      <c r="J224" s="45">
        <v>45783</v>
      </c>
      <c r="K224" s="7">
        <f t="shared" ca="1" si="16"/>
        <v>0</v>
      </c>
      <c r="L224" s="9">
        <f>I224+25</f>
        <v>45808</v>
      </c>
      <c r="M224" s="45">
        <v>45793</v>
      </c>
      <c r="N224" s="7">
        <f t="shared" ca="1" si="14"/>
        <v>15</v>
      </c>
      <c r="O224" s="85"/>
      <c r="P224" s="19"/>
    </row>
    <row r="225" spans="1:16" ht="14.5">
      <c r="A225" s="19" t="s">
        <v>188</v>
      </c>
      <c r="B225" s="291">
        <v>143</v>
      </c>
      <c r="C225" s="324" t="s">
        <v>79</v>
      </c>
      <c r="D225" s="291" t="s">
        <v>91</v>
      </c>
      <c r="E225" s="145">
        <v>45877</v>
      </c>
      <c r="F225" s="44">
        <v>98.7</v>
      </c>
      <c r="G225" s="46">
        <v>99</v>
      </c>
      <c r="H225" s="44">
        <f t="shared" si="15"/>
        <v>-0.29999999999999716</v>
      </c>
      <c r="I225" s="45">
        <f>E225-75</f>
        <v>45802</v>
      </c>
      <c r="J225" s="45">
        <v>45783</v>
      </c>
      <c r="K225" s="7">
        <f t="shared" ca="1" si="16"/>
        <v>19</v>
      </c>
      <c r="L225" s="9">
        <f>I225+5</f>
        <v>45807</v>
      </c>
      <c r="M225" s="45">
        <v>45789</v>
      </c>
      <c r="N225" s="7">
        <f t="shared" ca="1" si="14"/>
        <v>18</v>
      </c>
      <c r="O225" s="85"/>
      <c r="P225" s="19"/>
    </row>
    <row r="226" spans="1:16" ht="14.5">
      <c r="A226" s="19" t="s">
        <v>188</v>
      </c>
      <c r="B226" s="291">
        <v>143</v>
      </c>
      <c r="C226" s="324" t="s">
        <v>857</v>
      </c>
      <c r="D226" s="291" t="s">
        <v>91</v>
      </c>
      <c r="E226" s="145">
        <v>45877</v>
      </c>
      <c r="F226" s="44">
        <v>233.7</v>
      </c>
      <c r="G226" s="46">
        <v>234</v>
      </c>
      <c r="H226" s="44">
        <f t="shared" si="15"/>
        <v>-0.30000000000001137</v>
      </c>
      <c r="I226" s="45">
        <v>45783</v>
      </c>
      <c r="J226" s="45">
        <v>45783</v>
      </c>
      <c r="K226" s="7">
        <f t="shared" ca="1" si="16"/>
        <v>0</v>
      </c>
      <c r="L226" s="9">
        <f>I226+25</f>
        <v>45808</v>
      </c>
      <c r="M226" s="45">
        <v>45793</v>
      </c>
      <c r="N226" s="7">
        <f t="shared" ca="1" si="14"/>
        <v>15</v>
      </c>
      <c r="O226" s="85"/>
      <c r="P226" s="19"/>
    </row>
    <row r="227" spans="1:16" ht="14.5">
      <c r="A227" s="19" t="s">
        <v>188</v>
      </c>
      <c r="B227" s="291">
        <v>144</v>
      </c>
      <c r="C227" s="324" t="s">
        <v>94</v>
      </c>
      <c r="D227" s="291" t="s">
        <v>843</v>
      </c>
      <c r="E227" s="240">
        <v>45877</v>
      </c>
      <c r="F227" s="44">
        <v>214</v>
      </c>
      <c r="G227" s="46">
        <v>214</v>
      </c>
      <c r="H227" s="44">
        <f t="shared" si="15"/>
        <v>0</v>
      </c>
      <c r="I227" s="45">
        <v>45783</v>
      </c>
      <c r="J227" s="45">
        <v>45783</v>
      </c>
      <c r="K227" s="7">
        <f t="shared" ca="1" si="16"/>
        <v>0</v>
      </c>
      <c r="L227" s="9">
        <f>I227+30</f>
        <v>45813</v>
      </c>
      <c r="M227" s="45">
        <v>45828</v>
      </c>
      <c r="N227" s="7">
        <f t="shared" ca="1" si="14"/>
        <v>-15</v>
      </c>
      <c r="O227" s="85">
        <v>45831</v>
      </c>
      <c r="P227" s="19"/>
    </row>
    <row r="228" spans="1:16" ht="14.5">
      <c r="A228" s="19" t="s">
        <v>188</v>
      </c>
      <c r="B228" s="291">
        <v>144</v>
      </c>
      <c r="C228" s="324" t="s">
        <v>75</v>
      </c>
      <c r="D228" s="291" t="s">
        <v>91</v>
      </c>
      <c r="E228" s="240">
        <v>45877</v>
      </c>
      <c r="F228" s="44">
        <v>137.4</v>
      </c>
      <c r="G228" s="46">
        <v>137</v>
      </c>
      <c r="H228" s="44">
        <f t="shared" si="15"/>
        <v>0.40000000000000568</v>
      </c>
      <c r="I228" s="45">
        <v>45783</v>
      </c>
      <c r="J228" s="45">
        <v>45783</v>
      </c>
      <c r="K228" s="7">
        <f t="shared" ca="1" si="16"/>
        <v>0</v>
      </c>
      <c r="L228" s="9">
        <f>I228+25</f>
        <v>45808</v>
      </c>
      <c r="M228" s="45">
        <v>45793</v>
      </c>
      <c r="N228" s="7">
        <f t="shared" ca="1" si="14"/>
        <v>15</v>
      </c>
      <c r="O228" s="85"/>
      <c r="P228" s="19"/>
    </row>
    <row r="229" spans="1:16" ht="14.5">
      <c r="A229" s="19" t="s">
        <v>188</v>
      </c>
      <c r="B229" s="291">
        <v>144</v>
      </c>
      <c r="C229" s="324" t="s">
        <v>77</v>
      </c>
      <c r="D229" s="291" t="s">
        <v>91</v>
      </c>
      <c r="E229" s="240">
        <v>45877</v>
      </c>
      <c r="F229" s="44">
        <v>806.8</v>
      </c>
      <c r="G229" s="46">
        <v>807</v>
      </c>
      <c r="H229" s="44">
        <f t="shared" si="15"/>
        <v>-0.20000000000004547</v>
      </c>
      <c r="I229" s="45">
        <f>E229-75</f>
        <v>45802</v>
      </c>
      <c r="J229" s="45">
        <v>45783</v>
      </c>
      <c r="K229" s="7">
        <f t="shared" ca="1" si="16"/>
        <v>19</v>
      </c>
      <c r="L229" s="9">
        <f>I229+5</f>
        <v>45807</v>
      </c>
      <c r="M229" s="45">
        <v>45792</v>
      </c>
      <c r="N229" s="7">
        <f t="shared" ca="1" si="14"/>
        <v>15</v>
      </c>
      <c r="O229" s="85"/>
      <c r="P229" s="19"/>
    </row>
    <row r="230" spans="1:16" ht="14.5">
      <c r="A230" s="19" t="s">
        <v>188</v>
      </c>
      <c r="B230" s="291">
        <v>144</v>
      </c>
      <c r="C230" s="324" t="s">
        <v>93</v>
      </c>
      <c r="D230" s="291" t="s">
        <v>91</v>
      </c>
      <c r="E230" s="240">
        <v>45877</v>
      </c>
      <c r="F230" s="44">
        <v>462.8</v>
      </c>
      <c r="G230" s="46">
        <v>463</v>
      </c>
      <c r="H230" s="44">
        <f t="shared" si="15"/>
        <v>-0.19999999999998863</v>
      </c>
      <c r="I230" s="45">
        <v>45783</v>
      </c>
      <c r="J230" s="45">
        <v>45783</v>
      </c>
      <c r="K230" s="7">
        <f t="shared" ca="1" si="16"/>
        <v>0</v>
      </c>
      <c r="L230" s="9">
        <f>I230+10</f>
        <v>45793</v>
      </c>
      <c r="M230" s="45">
        <v>45796</v>
      </c>
      <c r="N230" s="7">
        <f t="shared" ref="N230:N291" ca="1" si="17">+IF(M230="",L230-TODAY(),L230-M230)</f>
        <v>-3</v>
      </c>
      <c r="O230" s="85"/>
      <c r="P230" s="19"/>
    </row>
    <row r="231" spans="1:16" ht="14.5">
      <c r="A231" s="19" t="s">
        <v>188</v>
      </c>
      <c r="B231" s="291">
        <v>144</v>
      </c>
      <c r="C231" s="324" t="s">
        <v>94</v>
      </c>
      <c r="D231" s="291" t="s">
        <v>845</v>
      </c>
      <c r="E231" s="240">
        <v>45877</v>
      </c>
      <c r="F231" s="44">
        <v>142</v>
      </c>
      <c r="G231" s="46">
        <v>142</v>
      </c>
      <c r="H231" s="44">
        <f t="shared" si="15"/>
        <v>0</v>
      </c>
      <c r="I231" s="45">
        <v>45783</v>
      </c>
      <c r="J231" s="45">
        <v>45783</v>
      </c>
      <c r="K231" s="7">
        <f t="shared" ca="1" si="16"/>
        <v>0</v>
      </c>
      <c r="L231" s="9">
        <f>I231+30</f>
        <v>45813</v>
      </c>
      <c r="M231" s="45">
        <v>45810</v>
      </c>
      <c r="N231" s="7">
        <f t="shared" ca="1" si="17"/>
        <v>3</v>
      </c>
      <c r="O231" s="85"/>
      <c r="P231" s="19"/>
    </row>
    <row r="232" spans="1:16" ht="14.5">
      <c r="A232" s="19" t="s">
        <v>188</v>
      </c>
      <c r="B232" s="291">
        <v>144</v>
      </c>
      <c r="C232" s="324" t="s">
        <v>79</v>
      </c>
      <c r="D232" s="291" t="s">
        <v>91</v>
      </c>
      <c r="E232" s="240">
        <v>45877</v>
      </c>
      <c r="F232" s="44">
        <v>73.3</v>
      </c>
      <c r="G232" s="46">
        <v>73</v>
      </c>
      <c r="H232" s="44">
        <f t="shared" si="15"/>
        <v>0.29999999999999716</v>
      </c>
      <c r="I232" s="45">
        <f>E232-75</f>
        <v>45802</v>
      </c>
      <c r="J232" s="45">
        <v>45783</v>
      </c>
      <c r="K232" s="7">
        <f t="shared" ca="1" si="16"/>
        <v>19</v>
      </c>
      <c r="L232" s="9">
        <f>I232+5</f>
        <v>45807</v>
      </c>
      <c r="M232" s="45">
        <v>45789</v>
      </c>
      <c r="N232" s="7">
        <f t="shared" ca="1" si="17"/>
        <v>18</v>
      </c>
      <c r="O232" s="85"/>
      <c r="P232" s="19"/>
    </row>
    <row r="233" spans="1:16" ht="14.5">
      <c r="A233" s="19" t="s">
        <v>188</v>
      </c>
      <c r="B233" s="291">
        <v>144</v>
      </c>
      <c r="C233" s="324" t="s">
        <v>94</v>
      </c>
      <c r="D233" s="291" t="s">
        <v>844</v>
      </c>
      <c r="E233" s="240">
        <v>45877</v>
      </c>
      <c r="F233" s="44">
        <v>178</v>
      </c>
      <c r="G233" s="46">
        <v>178</v>
      </c>
      <c r="H233" s="44">
        <f t="shared" si="15"/>
        <v>0</v>
      </c>
      <c r="I233" s="45">
        <v>45783</v>
      </c>
      <c r="J233" s="45">
        <v>45783</v>
      </c>
      <c r="K233" s="7">
        <f t="shared" ca="1" si="16"/>
        <v>0</v>
      </c>
      <c r="L233" s="9">
        <f>I233+30</f>
        <v>45813</v>
      </c>
      <c r="M233" s="45">
        <v>45810</v>
      </c>
      <c r="N233" s="7">
        <f t="shared" ca="1" si="17"/>
        <v>3</v>
      </c>
      <c r="O233" s="85"/>
      <c r="P233" s="19"/>
    </row>
    <row r="234" spans="1:16" ht="14.5">
      <c r="A234" s="19" t="s">
        <v>188</v>
      </c>
      <c r="B234" s="291">
        <v>144</v>
      </c>
      <c r="C234" s="324" t="s">
        <v>82</v>
      </c>
      <c r="D234" s="291" t="s">
        <v>91</v>
      </c>
      <c r="E234" s="240">
        <v>45877</v>
      </c>
      <c r="F234" s="44">
        <v>206.1</v>
      </c>
      <c r="G234" s="46">
        <v>206</v>
      </c>
      <c r="H234" s="44">
        <f t="shared" si="15"/>
        <v>9.9999999999994316E-2</v>
      </c>
      <c r="I234" s="45">
        <v>45783</v>
      </c>
      <c r="J234" s="45">
        <v>45783</v>
      </c>
      <c r="K234" s="7">
        <f t="shared" ca="1" si="16"/>
        <v>0</v>
      </c>
      <c r="L234" s="9">
        <f>I234+15</f>
        <v>45798</v>
      </c>
      <c r="M234" s="45">
        <v>45798</v>
      </c>
      <c r="N234" s="7">
        <f t="shared" ca="1" si="17"/>
        <v>0</v>
      </c>
      <c r="O234" s="85"/>
      <c r="P234" s="19"/>
    </row>
    <row r="235" spans="1:16" ht="14.5">
      <c r="A235" s="19" t="s">
        <v>188</v>
      </c>
      <c r="B235" s="291">
        <v>144</v>
      </c>
      <c r="C235" s="324" t="s">
        <v>857</v>
      </c>
      <c r="D235" s="291" t="s">
        <v>91</v>
      </c>
      <c r="E235" s="240">
        <v>45877</v>
      </c>
      <c r="F235" s="44">
        <v>157.69999999999999</v>
      </c>
      <c r="G235" s="46">
        <v>158</v>
      </c>
      <c r="H235" s="44">
        <f t="shared" si="15"/>
        <v>-0.30000000000001137</v>
      </c>
      <c r="I235" s="45">
        <v>45783</v>
      </c>
      <c r="J235" s="45">
        <v>45783</v>
      </c>
      <c r="K235" s="7">
        <f t="shared" ca="1" si="16"/>
        <v>0</v>
      </c>
      <c r="L235" s="9">
        <f>I235+25</f>
        <v>45808</v>
      </c>
      <c r="M235" s="45">
        <v>45793</v>
      </c>
      <c r="N235" s="7">
        <f t="shared" ca="1" si="17"/>
        <v>15</v>
      </c>
      <c r="O235" s="85"/>
      <c r="P235" s="19"/>
    </row>
    <row r="236" spans="1:16" ht="14.5">
      <c r="A236" s="19" t="s">
        <v>188</v>
      </c>
      <c r="B236" s="291">
        <v>145</v>
      </c>
      <c r="C236" s="324" t="s">
        <v>94</v>
      </c>
      <c r="D236" s="291" t="s">
        <v>843</v>
      </c>
      <c r="E236" s="240">
        <v>45877</v>
      </c>
      <c r="F236" s="44">
        <v>183</v>
      </c>
      <c r="G236" s="46">
        <v>183</v>
      </c>
      <c r="H236" s="44">
        <f t="shared" si="15"/>
        <v>0</v>
      </c>
      <c r="I236" s="45">
        <v>45783</v>
      </c>
      <c r="J236" s="45">
        <v>45783</v>
      </c>
      <c r="K236" s="7">
        <f t="shared" ca="1" si="16"/>
        <v>0</v>
      </c>
      <c r="L236" s="9">
        <f>I236+30</f>
        <v>45813</v>
      </c>
      <c r="M236" s="45">
        <v>45828</v>
      </c>
      <c r="N236" s="7">
        <f t="shared" ca="1" si="17"/>
        <v>-15</v>
      </c>
      <c r="O236" s="85">
        <v>45831</v>
      </c>
      <c r="P236" s="19"/>
    </row>
    <row r="237" spans="1:16" ht="14.5">
      <c r="A237" s="19" t="s">
        <v>188</v>
      </c>
      <c r="B237" s="291">
        <v>145</v>
      </c>
      <c r="C237" s="324" t="s">
        <v>77</v>
      </c>
      <c r="D237" s="291" t="s">
        <v>91</v>
      </c>
      <c r="E237" s="240">
        <v>45877</v>
      </c>
      <c r="F237" s="44">
        <v>1020.2</v>
      </c>
      <c r="G237" s="46">
        <v>1020</v>
      </c>
      <c r="H237" s="44">
        <f t="shared" si="15"/>
        <v>0.20000000000004547</v>
      </c>
      <c r="I237" s="45">
        <f>E237-75</f>
        <v>45802</v>
      </c>
      <c r="J237" s="45">
        <v>45783</v>
      </c>
      <c r="K237" s="7">
        <f t="shared" ca="1" si="16"/>
        <v>19</v>
      </c>
      <c r="L237" s="9">
        <f>I237+5</f>
        <v>45807</v>
      </c>
      <c r="M237" s="45">
        <v>45792</v>
      </c>
      <c r="N237" s="7">
        <f t="shared" ca="1" si="17"/>
        <v>15</v>
      </c>
      <c r="O237" s="85"/>
      <c r="P237" s="19"/>
    </row>
    <row r="238" spans="1:16" ht="14.5">
      <c r="A238" s="19" t="s">
        <v>188</v>
      </c>
      <c r="B238" s="291">
        <v>145</v>
      </c>
      <c r="C238" s="324" t="s">
        <v>93</v>
      </c>
      <c r="D238" s="291" t="s">
        <v>91</v>
      </c>
      <c r="E238" s="240">
        <v>45877</v>
      </c>
      <c r="F238" s="44">
        <v>397.4</v>
      </c>
      <c r="G238" s="46">
        <v>397</v>
      </c>
      <c r="H238" s="44">
        <f t="shared" si="15"/>
        <v>0.39999999999997726</v>
      </c>
      <c r="I238" s="45">
        <v>45783</v>
      </c>
      <c r="J238" s="45">
        <v>45783</v>
      </c>
      <c r="K238" s="7">
        <f t="shared" ca="1" si="16"/>
        <v>0</v>
      </c>
      <c r="L238" s="9">
        <f>I238+10</f>
        <v>45793</v>
      </c>
      <c r="M238" s="45">
        <v>45796</v>
      </c>
      <c r="N238" s="7">
        <f t="shared" ca="1" si="17"/>
        <v>-3</v>
      </c>
      <c r="O238" s="85"/>
      <c r="P238" s="19"/>
    </row>
    <row r="239" spans="1:16" ht="14.5">
      <c r="A239" s="19" t="s">
        <v>188</v>
      </c>
      <c r="B239" s="291">
        <v>145</v>
      </c>
      <c r="C239" s="324" t="s">
        <v>94</v>
      </c>
      <c r="D239" s="291" t="s">
        <v>845</v>
      </c>
      <c r="E239" s="240">
        <v>45877</v>
      </c>
      <c r="F239" s="44">
        <v>122</v>
      </c>
      <c r="G239" s="46">
        <v>122</v>
      </c>
      <c r="H239" s="44">
        <f t="shared" si="15"/>
        <v>0</v>
      </c>
      <c r="I239" s="45">
        <v>45783</v>
      </c>
      <c r="J239" s="45">
        <v>45783</v>
      </c>
      <c r="K239" s="7">
        <f t="shared" ca="1" si="16"/>
        <v>0</v>
      </c>
      <c r="L239" s="9">
        <f>I239+30</f>
        <v>45813</v>
      </c>
      <c r="M239" s="45">
        <v>45810</v>
      </c>
      <c r="N239" s="7">
        <f t="shared" ca="1" si="17"/>
        <v>3</v>
      </c>
      <c r="O239" s="85"/>
      <c r="P239" s="19"/>
    </row>
    <row r="240" spans="1:16" ht="14.5">
      <c r="A240" s="19" t="s">
        <v>188</v>
      </c>
      <c r="B240" s="291">
        <v>145</v>
      </c>
      <c r="C240" s="324" t="s">
        <v>867</v>
      </c>
      <c r="D240" s="291" t="s">
        <v>91</v>
      </c>
      <c r="E240" s="240">
        <v>45877</v>
      </c>
      <c r="F240" s="44">
        <v>81.7</v>
      </c>
      <c r="G240" s="46">
        <v>82</v>
      </c>
      <c r="H240" s="44">
        <f t="shared" si="15"/>
        <v>-0.29999999999999716</v>
      </c>
      <c r="I240" s="45">
        <v>45783</v>
      </c>
      <c r="J240" s="45">
        <v>45783</v>
      </c>
      <c r="K240" s="7">
        <f t="shared" ca="1" si="16"/>
        <v>0</v>
      </c>
      <c r="L240" s="9">
        <f>I240+25</f>
        <v>45808</v>
      </c>
      <c r="M240" s="45">
        <v>45784</v>
      </c>
      <c r="N240" s="7">
        <f t="shared" ca="1" si="17"/>
        <v>24</v>
      </c>
      <c r="O240" s="85"/>
      <c r="P240" s="19"/>
    </row>
    <row r="241" spans="1:16" ht="14.5">
      <c r="A241" s="19" t="s">
        <v>188</v>
      </c>
      <c r="B241" s="291">
        <v>145</v>
      </c>
      <c r="C241" s="324" t="s">
        <v>79</v>
      </c>
      <c r="D241" s="291" t="s">
        <v>91</v>
      </c>
      <c r="E241" s="240">
        <v>45877</v>
      </c>
      <c r="F241" s="44">
        <v>8.4</v>
      </c>
      <c r="G241" s="46">
        <v>8</v>
      </c>
      <c r="H241" s="44">
        <f t="shared" si="15"/>
        <v>0.40000000000000036</v>
      </c>
      <c r="I241" s="45">
        <f>E241-75</f>
        <v>45802</v>
      </c>
      <c r="J241" s="45">
        <v>45783</v>
      </c>
      <c r="K241" s="7">
        <f t="shared" ca="1" si="16"/>
        <v>19</v>
      </c>
      <c r="L241" s="9">
        <f>I241+5</f>
        <v>45807</v>
      </c>
      <c r="M241" s="45">
        <v>45789</v>
      </c>
      <c r="N241" s="7">
        <f t="shared" ca="1" si="17"/>
        <v>18</v>
      </c>
      <c r="O241" s="85"/>
      <c r="P241" s="19"/>
    </row>
    <row r="242" spans="1:16" ht="14.5">
      <c r="A242" s="19" t="s">
        <v>188</v>
      </c>
      <c r="B242" s="291">
        <v>145</v>
      </c>
      <c r="C242" s="324" t="s">
        <v>94</v>
      </c>
      <c r="D242" s="291" t="s">
        <v>844</v>
      </c>
      <c r="E242" s="240">
        <v>45877</v>
      </c>
      <c r="F242" s="44">
        <v>153</v>
      </c>
      <c r="G242" s="46">
        <v>153</v>
      </c>
      <c r="H242" s="44">
        <f t="shared" si="15"/>
        <v>0</v>
      </c>
      <c r="I242" s="45">
        <v>45783</v>
      </c>
      <c r="J242" s="45">
        <v>45783</v>
      </c>
      <c r="K242" s="7">
        <f t="shared" ca="1" si="16"/>
        <v>0</v>
      </c>
      <c r="L242" s="9">
        <f>I242+30</f>
        <v>45813</v>
      </c>
      <c r="M242" s="45">
        <v>45810</v>
      </c>
      <c r="N242" s="7">
        <f t="shared" ca="1" si="17"/>
        <v>3</v>
      </c>
      <c r="O242" s="85"/>
      <c r="P242" s="19"/>
    </row>
    <row r="243" spans="1:16" ht="14.5">
      <c r="A243" s="19" t="s">
        <v>188</v>
      </c>
      <c r="B243" s="291">
        <v>145</v>
      </c>
      <c r="C243" s="324" t="s">
        <v>868</v>
      </c>
      <c r="D243" s="291" t="s">
        <v>91</v>
      </c>
      <c r="E243" s="240">
        <v>45877</v>
      </c>
      <c r="F243" s="44">
        <v>239.3</v>
      </c>
      <c r="G243" s="46">
        <v>239</v>
      </c>
      <c r="H243" s="44">
        <f t="shared" si="15"/>
        <v>0.30000000000001137</v>
      </c>
      <c r="I243" s="45">
        <v>45783</v>
      </c>
      <c r="J243" s="45">
        <v>45783</v>
      </c>
      <c r="K243" s="7">
        <f t="shared" ca="1" si="16"/>
        <v>0</v>
      </c>
      <c r="L243" s="9">
        <f>I243+25</f>
        <v>45808</v>
      </c>
      <c r="M243" s="45">
        <v>45796</v>
      </c>
      <c r="N243" s="7">
        <f t="shared" ca="1" si="17"/>
        <v>12</v>
      </c>
      <c r="O243" s="85"/>
      <c r="P243" s="19"/>
    </row>
    <row r="244" spans="1:16" ht="14.5">
      <c r="A244" s="19" t="s">
        <v>188</v>
      </c>
      <c r="B244" s="291">
        <v>146</v>
      </c>
      <c r="C244" s="324" t="s">
        <v>94</v>
      </c>
      <c r="D244" s="291" t="s">
        <v>843</v>
      </c>
      <c r="E244" s="145">
        <v>45877</v>
      </c>
      <c r="F244" s="44">
        <v>138</v>
      </c>
      <c r="G244" s="46">
        <v>138</v>
      </c>
      <c r="H244" s="44">
        <f t="shared" si="15"/>
        <v>0</v>
      </c>
      <c r="I244" s="45">
        <v>45783</v>
      </c>
      <c r="J244" s="45">
        <v>45783</v>
      </c>
      <c r="K244" s="7">
        <f t="shared" ca="1" si="16"/>
        <v>0</v>
      </c>
      <c r="L244" s="9">
        <f>I244+30</f>
        <v>45813</v>
      </c>
      <c r="M244" s="45">
        <v>45828</v>
      </c>
      <c r="N244" s="7">
        <f t="shared" ca="1" si="17"/>
        <v>-15</v>
      </c>
      <c r="O244" s="85">
        <v>45831</v>
      </c>
      <c r="P244" s="19"/>
    </row>
    <row r="245" spans="1:16" ht="14.5">
      <c r="A245" s="19" t="s">
        <v>188</v>
      </c>
      <c r="B245" s="291">
        <v>146</v>
      </c>
      <c r="C245" s="324" t="s">
        <v>75</v>
      </c>
      <c r="D245" s="291" t="s">
        <v>91</v>
      </c>
      <c r="E245" s="145">
        <v>45877</v>
      </c>
      <c r="F245" s="44">
        <v>269.3</v>
      </c>
      <c r="G245" s="46">
        <v>269</v>
      </c>
      <c r="H245" s="44">
        <f t="shared" si="15"/>
        <v>0.30000000000001137</v>
      </c>
      <c r="I245" s="45">
        <v>45783</v>
      </c>
      <c r="J245" s="45">
        <v>45783</v>
      </c>
      <c r="K245" s="7">
        <f t="shared" ca="1" si="16"/>
        <v>0</v>
      </c>
      <c r="L245" s="9">
        <f>I245+25</f>
        <v>45808</v>
      </c>
      <c r="M245" s="45">
        <v>45793</v>
      </c>
      <c r="N245" s="7">
        <f t="shared" ca="1" si="17"/>
        <v>15</v>
      </c>
      <c r="O245" s="85"/>
      <c r="P245" s="19"/>
    </row>
    <row r="246" spans="1:16" ht="14.5">
      <c r="A246" s="19" t="s">
        <v>188</v>
      </c>
      <c r="B246" s="291">
        <v>146</v>
      </c>
      <c r="C246" s="324" t="s">
        <v>93</v>
      </c>
      <c r="D246" s="291" t="s">
        <v>91</v>
      </c>
      <c r="E246" s="145">
        <v>45877</v>
      </c>
      <c r="F246" s="44">
        <v>297.89999999999998</v>
      </c>
      <c r="G246" s="46">
        <v>298</v>
      </c>
      <c r="H246" s="44">
        <f t="shared" si="15"/>
        <v>-0.10000000000002274</v>
      </c>
      <c r="I246" s="45">
        <v>45783</v>
      </c>
      <c r="J246" s="45">
        <v>45783</v>
      </c>
      <c r="K246" s="7">
        <f t="shared" ca="1" si="16"/>
        <v>0</v>
      </c>
      <c r="L246" s="9">
        <f>I246+10</f>
        <v>45793</v>
      </c>
      <c r="M246" s="45">
        <v>45801</v>
      </c>
      <c r="N246" s="7">
        <f t="shared" ca="1" si="17"/>
        <v>-8</v>
      </c>
      <c r="O246" s="85"/>
      <c r="P246" s="19"/>
    </row>
    <row r="247" spans="1:16" ht="14.5">
      <c r="A247" s="19" t="s">
        <v>188</v>
      </c>
      <c r="B247" s="291">
        <v>146</v>
      </c>
      <c r="C247" s="324" t="s">
        <v>94</v>
      </c>
      <c r="D247" s="291" t="s">
        <v>845</v>
      </c>
      <c r="E247" s="145">
        <v>45877</v>
      </c>
      <c r="F247" s="44">
        <v>92</v>
      </c>
      <c r="G247" s="46">
        <v>92</v>
      </c>
      <c r="H247" s="44">
        <f t="shared" si="15"/>
        <v>0</v>
      </c>
      <c r="I247" s="45">
        <v>45783</v>
      </c>
      <c r="J247" s="45">
        <v>45783</v>
      </c>
      <c r="K247" s="7">
        <f t="shared" ca="1" si="16"/>
        <v>0</v>
      </c>
      <c r="L247" s="9">
        <f>I247+30</f>
        <v>45813</v>
      </c>
      <c r="M247" s="45">
        <v>45810</v>
      </c>
      <c r="N247" s="7">
        <f t="shared" ca="1" si="17"/>
        <v>3</v>
      </c>
      <c r="O247" s="85"/>
      <c r="P247" s="19"/>
    </row>
    <row r="248" spans="1:16" ht="14.5">
      <c r="A248" s="19" t="s">
        <v>188</v>
      </c>
      <c r="B248" s="291">
        <v>146</v>
      </c>
      <c r="C248" s="324" t="s">
        <v>867</v>
      </c>
      <c r="D248" s="291" t="s">
        <v>91</v>
      </c>
      <c r="E248" s="145">
        <v>45877</v>
      </c>
      <c r="F248" s="44">
        <v>13.9</v>
      </c>
      <c r="G248" s="46">
        <v>14</v>
      </c>
      <c r="H248" s="44">
        <f t="shared" si="15"/>
        <v>-9.9999999999999645E-2</v>
      </c>
      <c r="I248" s="45">
        <v>45783</v>
      </c>
      <c r="J248" s="45">
        <v>45783</v>
      </c>
      <c r="K248" s="7">
        <f t="shared" ca="1" si="16"/>
        <v>0</v>
      </c>
      <c r="L248" s="9">
        <f>I248+25</f>
        <v>45808</v>
      </c>
      <c r="M248" s="45">
        <v>45784</v>
      </c>
      <c r="N248" s="7">
        <f t="shared" ca="1" si="17"/>
        <v>24</v>
      </c>
      <c r="O248" s="85"/>
      <c r="P248" s="19"/>
    </row>
    <row r="249" spans="1:16" ht="14.5">
      <c r="A249" s="19" t="s">
        <v>188</v>
      </c>
      <c r="B249" s="291">
        <v>146</v>
      </c>
      <c r="C249" s="324" t="s">
        <v>79</v>
      </c>
      <c r="D249" s="291" t="s">
        <v>91</v>
      </c>
      <c r="E249" s="145">
        <v>45877</v>
      </c>
      <c r="F249" s="44">
        <v>35.4</v>
      </c>
      <c r="G249" s="46">
        <v>35</v>
      </c>
      <c r="H249" s="44">
        <f t="shared" si="15"/>
        <v>0.39999999999999858</v>
      </c>
      <c r="I249" s="45">
        <f>E249-75</f>
        <v>45802</v>
      </c>
      <c r="J249" s="45">
        <v>45783</v>
      </c>
      <c r="K249" s="7">
        <f t="shared" ca="1" si="16"/>
        <v>19</v>
      </c>
      <c r="L249" s="9">
        <f>I249+5</f>
        <v>45807</v>
      </c>
      <c r="M249" s="45">
        <v>45789</v>
      </c>
      <c r="N249" s="7">
        <f t="shared" ca="1" si="17"/>
        <v>18</v>
      </c>
      <c r="O249" s="85"/>
      <c r="P249" s="19"/>
    </row>
    <row r="250" spans="1:16" ht="14.5">
      <c r="A250" s="19" t="s">
        <v>188</v>
      </c>
      <c r="B250" s="291">
        <v>146</v>
      </c>
      <c r="C250" s="324" t="s">
        <v>94</v>
      </c>
      <c r="D250" s="291" t="s">
        <v>844</v>
      </c>
      <c r="E250" s="145">
        <v>45877</v>
      </c>
      <c r="F250" s="44">
        <v>115</v>
      </c>
      <c r="G250" s="46">
        <v>115</v>
      </c>
      <c r="H250" s="44">
        <f t="shared" si="15"/>
        <v>0</v>
      </c>
      <c r="I250" s="45">
        <v>45783</v>
      </c>
      <c r="J250" s="45">
        <v>45783</v>
      </c>
      <c r="K250" s="7">
        <f t="shared" ca="1" si="16"/>
        <v>0</v>
      </c>
      <c r="L250" s="9">
        <f>I250+30</f>
        <v>45813</v>
      </c>
      <c r="M250" s="45">
        <v>45810</v>
      </c>
      <c r="N250" s="7">
        <f t="shared" ca="1" si="17"/>
        <v>3</v>
      </c>
      <c r="O250" s="85"/>
      <c r="P250" s="19"/>
    </row>
    <row r="251" spans="1:16" ht="14.5">
      <c r="A251" s="19" t="s">
        <v>188</v>
      </c>
      <c r="B251" s="291">
        <v>146</v>
      </c>
      <c r="C251" s="324" t="s">
        <v>857</v>
      </c>
      <c r="D251" s="291" t="s">
        <v>91</v>
      </c>
      <c r="E251" s="145">
        <v>45877</v>
      </c>
      <c r="F251" s="44">
        <v>308.8</v>
      </c>
      <c r="G251" s="46">
        <v>309</v>
      </c>
      <c r="H251" s="44">
        <f t="shared" si="15"/>
        <v>-0.19999999999998863</v>
      </c>
      <c r="I251" s="45">
        <v>45783</v>
      </c>
      <c r="J251" s="45">
        <v>45783</v>
      </c>
      <c r="K251" s="7">
        <f t="shared" ca="1" si="16"/>
        <v>0</v>
      </c>
      <c r="L251" s="9">
        <f>I251+25</f>
        <v>45808</v>
      </c>
      <c r="M251" s="45">
        <v>45793</v>
      </c>
      <c r="N251" s="7">
        <f t="shared" ca="1" si="17"/>
        <v>15</v>
      </c>
      <c r="O251" s="85"/>
      <c r="P251" s="19"/>
    </row>
    <row r="252" spans="1:16" ht="14.5">
      <c r="A252" s="19" t="s">
        <v>188</v>
      </c>
      <c r="B252" s="291">
        <v>146</v>
      </c>
      <c r="C252" s="324" t="s">
        <v>868</v>
      </c>
      <c r="D252" s="291" t="s">
        <v>91</v>
      </c>
      <c r="E252" s="145">
        <v>45877</v>
      </c>
      <c r="F252" s="44">
        <v>40.5</v>
      </c>
      <c r="G252" s="46">
        <v>41</v>
      </c>
      <c r="H252" s="44">
        <f t="shared" si="15"/>
        <v>-0.5</v>
      </c>
      <c r="I252" s="45">
        <v>45783</v>
      </c>
      <c r="J252" s="45">
        <v>45783</v>
      </c>
      <c r="K252" s="7">
        <f t="shared" ca="1" si="16"/>
        <v>0</v>
      </c>
      <c r="L252" s="9">
        <f>I252+25</f>
        <v>45808</v>
      </c>
      <c r="M252" s="45">
        <v>45796</v>
      </c>
      <c r="N252" s="7">
        <f t="shared" ca="1" si="17"/>
        <v>12</v>
      </c>
      <c r="O252" s="85"/>
      <c r="P252" s="19"/>
    </row>
    <row r="253" spans="1:16" ht="14.5">
      <c r="A253" s="19" t="s">
        <v>188</v>
      </c>
      <c r="B253" s="291">
        <v>147</v>
      </c>
      <c r="C253" s="324" t="s">
        <v>95</v>
      </c>
      <c r="D253" s="291" t="s">
        <v>91</v>
      </c>
      <c r="E253" s="145">
        <v>45877</v>
      </c>
      <c r="F253" s="44">
        <v>37.5</v>
      </c>
      <c r="G253" s="46">
        <v>38</v>
      </c>
      <c r="H253" s="44">
        <f t="shared" si="15"/>
        <v>-0.5</v>
      </c>
      <c r="I253" s="45">
        <f>E253-75</f>
        <v>45802</v>
      </c>
      <c r="J253" s="45">
        <v>45783</v>
      </c>
      <c r="K253" s="7">
        <f t="shared" ca="1" si="16"/>
        <v>19</v>
      </c>
      <c r="L253" s="9">
        <f>I253+5</f>
        <v>45807</v>
      </c>
      <c r="M253" s="45">
        <v>45792</v>
      </c>
      <c r="N253" s="7">
        <f t="shared" ca="1" si="17"/>
        <v>15</v>
      </c>
      <c r="O253" s="85"/>
      <c r="P253" s="19"/>
    </row>
    <row r="254" spans="1:16" ht="14.5">
      <c r="A254" s="19" t="s">
        <v>188</v>
      </c>
      <c r="B254" s="291">
        <v>147</v>
      </c>
      <c r="C254" s="324" t="s">
        <v>95</v>
      </c>
      <c r="D254" s="291" t="s">
        <v>842</v>
      </c>
      <c r="E254" s="145">
        <v>45877</v>
      </c>
      <c r="F254" s="44">
        <v>103</v>
      </c>
      <c r="G254" s="46">
        <v>103</v>
      </c>
      <c r="H254" s="44">
        <f t="shared" si="15"/>
        <v>0</v>
      </c>
      <c r="I254" s="45">
        <f>E254-75</f>
        <v>45802</v>
      </c>
      <c r="J254" s="45">
        <v>45783</v>
      </c>
      <c r="K254" s="7">
        <f t="shared" ca="1" si="16"/>
        <v>19</v>
      </c>
      <c r="L254" s="9">
        <f>I254+5</f>
        <v>45807</v>
      </c>
      <c r="M254" s="45">
        <v>45792</v>
      </c>
      <c r="N254" s="7">
        <f t="shared" ca="1" si="17"/>
        <v>15</v>
      </c>
      <c r="O254" s="85"/>
      <c r="P254" s="19"/>
    </row>
    <row r="255" spans="1:16" ht="14.5">
      <c r="A255" s="19" t="s">
        <v>188</v>
      </c>
      <c r="B255" s="291">
        <v>147</v>
      </c>
      <c r="C255" s="324" t="s">
        <v>96</v>
      </c>
      <c r="D255" s="291" t="s">
        <v>91</v>
      </c>
      <c r="E255" s="145">
        <v>45877</v>
      </c>
      <c r="F255" s="44">
        <v>172</v>
      </c>
      <c r="G255" s="46">
        <v>172</v>
      </c>
      <c r="H255" s="44">
        <f t="shared" si="15"/>
        <v>0</v>
      </c>
      <c r="I255" s="45">
        <f>E255-75</f>
        <v>45802</v>
      </c>
      <c r="J255" s="45">
        <v>45783</v>
      </c>
      <c r="K255" s="7">
        <f t="shared" ca="1" si="16"/>
        <v>19</v>
      </c>
      <c r="L255" s="9">
        <f>I255+5</f>
        <v>45807</v>
      </c>
      <c r="M255" s="45">
        <v>45784</v>
      </c>
      <c r="N255" s="7">
        <f t="shared" ca="1" si="17"/>
        <v>23</v>
      </c>
      <c r="O255" s="85"/>
      <c r="P255" s="19"/>
    </row>
    <row r="256" spans="1:16" ht="14.5">
      <c r="A256" s="19" t="s">
        <v>188</v>
      </c>
      <c r="B256" s="291">
        <v>147</v>
      </c>
      <c r="C256" s="324" t="s">
        <v>75</v>
      </c>
      <c r="D256" s="291" t="s">
        <v>91</v>
      </c>
      <c r="E256" s="145">
        <v>45877</v>
      </c>
      <c r="F256" s="44">
        <v>316.7</v>
      </c>
      <c r="G256" s="46">
        <v>317</v>
      </c>
      <c r="H256" s="44">
        <f t="shared" si="15"/>
        <v>-0.30000000000001137</v>
      </c>
      <c r="I256" s="45">
        <v>45783</v>
      </c>
      <c r="J256" s="45">
        <v>45783</v>
      </c>
      <c r="K256" s="7">
        <f t="shared" ca="1" si="16"/>
        <v>0</v>
      </c>
      <c r="L256" s="9">
        <f>I256+25</f>
        <v>45808</v>
      </c>
      <c r="M256" s="45">
        <v>45793</v>
      </c>
      <c r="N256" s="7">
        <f t="shared" ca="1" si="17"/>
        <v>15</v>
      </c>
      <c r="O256" s="85"/>
      <c r="P256" s="19"/>
    </row>
    <row r="257" spans="1:16" ht="14.5">
      <c r="A257" s="19" t="s">
        <v>188</v>
      </c>
      <c r="B257" s="291">
        <v>147</v>
      </c>
      <c r="C257" s="324" t="s">
        <v>77</v>
      </c>
      <c r="D257" s="291" t="s">
        <v>91</v>
      </c>
      <c r="E257" s="145">
        <v>45877</v>
      </c>
      <c r="F257" s="44">
        <v>1901.8</v>
      </c>
      <c r="G257" s="46">
        <v>1902</v>
      </c>
      <c r="H257" s="44">
        <f t="shared" ref="H257:H291" si="18">F257-G257</f>
        <v>-0.20000000000004547</v>
      </c>
      <c r="I257" s="45">
        <f>E257-75</f>
        <v>45802</v>
      </c>
      <c r="J257" s="45">
        <v>45783</v>
      </c>
      <c r="K257" s="7">
        <f t="shared" ca="1" si="16"/>
        <v>19</v>
      </c>
      <c r="L257" s="9">
        <f>I257+5</f>
        <v>45807</v>
      </c>
      <c r="M257" s="45">
        <v>45792</v>
      </c>
      <c r="N257" s="7">
        <f t="shared" ca="1" si="17"/>
        <v>15</v>
      </c>
      <c r="O257" s="85"/>
      <c r="P257" s="19"/>
    </row>
    <row r="258" spans="1:16" ht="14.5">
      <c r="A258" s="19" t="s">
        <v>188</v>
      </c>
      <c r="B258" s="291">
        <v>147</v>
      </c>
      <c r="C258" s="324" t="s">
        <v>79</v>
      </c>
      <c r="D258" s="291" t="s">
        <v>91</v>
      </c>
      <c r="E258" s="145">
        <v>45877</v>
      </c>
      <c r="F258" s="44">
        <v>6.2</v>
      </c>
      <c r="G258" s="46">
        <v>6</v>
      </c>
      <c r="H258" s="44">
        <f t="shared" si="18"/>
        <v>0.20000000000000018</v>
      </c>
      <c r="I258" s="45">
        <f>E258-75</f>
        <v>45802</v>
      </c>
      <c r="J258" s="45">
        <v>45783</v>
      </c>
      <c r="K258" s="7">
        <f t="shared" ca="1" si="16"/>
        <v>19</v>
      </c>
      <c r="L258" s="9">
        <f>I258+5</f>
        <v>45807</v>
      </c>
      <c r="M258" s="45">
        <v>45789</v>
      </c>
      <c r="N258" s="7">
        <f t="shared" ca="1" si="17"/>
        <v>18</v>
      </c>
      <c r="O258" s="85"/>
      <c r="P258" s="19"/>
    </row>
    <row r="259" spans="1:16" ht="14.5">
      <c r="A259" s="19" t="s">
        <v>188</v>
      </c>
      <c r="B259" s="291">
        <v>147</v>
      </c>
      <c r="C259" s="324" t="s">
        <v>857</v>
      </c>
      <c r="D259" s="291" t="s">
        <v>91</v>
      </c>
      <c r="E259" s="145">
        <v>45877</v>
      </c>
      <c r="F259" s="44">
        <v>362.6</v>
      </c>
      <c r="G259" s="46">
        <v>363</v>
      </c>
      <c r="H259" s="44">
        <f t="shared" si="18"/>
        <v>-0.39999999999997726</v>
      </c>
      <c r="I259" s="45">
        <v>45783</v>
      </c>
      <c r="J259" s="45">
        <v>45783</v>
      </c>
      <c r="K259" s="7">
        <f t="shared" ref="K259:K322" ca="1" si="19">+IF(J259="",I259-TODAY(),I259-J259)</f>
        <v>0</v>
      </c>
      <c r="L259" s="9">
        <f>I259+25</f>
        <v>45808</v>
      </c>
      <c r="M259" s="45">
        <v>45793</v>
      </c>
      <c r="N259" s="7">
        <f t="shared" ca="1" si="17"/>
        <v>15</v>
      </c>
      <c r="O259" s="85"/>
      <c r="P259" s="19"/>
    </row>
    <row r="260" spans="1:16" ht="14.5">
      <c r="A260" s="19" t="s">
        <v>188</v>
      </c>
      <c r="B260" s="291">
        <v>148</v>
      </c>
      <c r="C260" s="324" t="s">
        <v>75</v>
      </c>
      <c r="D260" s="291" t="s">
        <v>91</v>
      </c>
      <c r="E260" s="240">
        <v>45877</v>
      </c>
      <c r="F260" s="44">
        <v>371.3</v>
      </c>
      <c r="G260" s="46">
        <v>371</v>
      </c>
      <c r="H260" s="44">
        <f t="shared" si="18"/>
        <v>0.30000000000001137</v>
      </c>
      <c r="I260" s="45">
        <v>45783</v>
      </c>
      <c r="J260" s="45">
        <v>45783</v>
      </c>
      <c r="K260" s="7">
        <f t="shared" ca="1" si="19"/>
        <v>0</v>
      </c>
      <c r="L260" s="9">
        <f>I260+25</f>
        <v>45808</v>
      </c>
      <c r="M260" s="45">
        <v>45797</v>
      </c>
      <c r="N260" s="7">
        <f t="shared" ca="1" si="17"/>
        <v>11</v>
      </c>
      <c r="O260" s="85"/>
      <c r="P260" s="19"/>
    </row>
    <row r="261" spans="1:16" ht="14.5">
      <c r="A261" s="19" t="s">
        <v>188</v>
      </c>
      <c r="B261" s="291">
        <v>148</v>
      </c>
      <c r="C261" s="324" t="s">
        <v>857</v>
      </c>
      <c r="D261" s="291" t="s">
        <v>91</v>
      </c>
      <c r="E261" s="240">
        <v>45877</v>
      </c>
      <c r="F261" s="44">
        <v>425</v>
      </c>
      <c r="G261" s="46">
        <v>425</v>
      </c>
      <c r="H261" s="44">
        <f t="shared" si="18"/>
        <v>0</v>
      </c>
      <c r="I261" s="45">
        <v>45783</v>
      </c>
      <c r="J261" s="45">
        <v>45783</v>
      </c>
      <c r="K261" s="7">
        <f t="shared" ca="1" si="19"/>
        <v>0</v>
      </c>
      <c r="L261" s="9">
        <f>I261+25</f>
        <v>45808</v>
      </c>
      <c r="M261" s="45">
        <v>45793</v>
      </c>
      <c r="N261" s="7">
        <f t="shared" ca="1" si="17"/>
        <v>15</v>
      </c>
      <c r="O261" s="85"/>
      <c r="P261" s="19"/>
    </row>
    <row r="262" spans="1:16" ht="14.5">
      <c r="A262" s="19" t="s">
        <v>188</v>
      </c>
      <c r="B262" s="291">
        <v>149</v>
      </c>
      <c r="C262" s="324" t="s">
        <v>95</v>
      </c>
      <c r="D262" s="291" t="s">
        <v>91</v>
      </c>
      <c r="E262" s="240">
        <v>45885</v>
      </c>
      <c r="F262" s="44">
        <v>42.7</v>
      </c>
      <c r="G262" s="46">
        <v>43</v>
      </c>
      <c r="H262" s="44">
        <f t="shared" si="18"/>
        <v>-0.29999999999999716</v>
      </c>
      <c r="I262" s="45">
        <f>E262-75</f>
        <v>45810</v>
      </c>
      <c r="J262" s="45">
        <v>45783</v>
      </c>
      <c r="K262" s="7">
        <f t="shared" ca="1" si="19"/>
        <v>27</v>
      </c>
      <c r="L262" s="9">
        <f>I262+5</f>
        <v>45815</v>
      </c>
      <c r="M262" s="45">
        <v>45792</v>
      </c>
      <c r="N262" s="7">
        <f t="shared" ca="1" si="17"/>
        <v>23</v>
      </c>
      <c r="O262" s="85"/>
      <c r="P262" s="19"/>
    </row>
    <row r="263" spans="1:16" ht="14.5">
      <c r="A263" s="19" t="s">
        <v>188</v>
      </c>
      <c r="B263" s="291">
        <v>149</v>
      </c>
      <c r="C263" s="324" t="s">
        <v>95</v>
      </c>
      <c r="D263" s="291" t="s">
        <v>842</v>
      </c>
      <c r="E263" s="240">
        <v>45885</v>
      </c>
      <c r="F263" s="44">
        <v>115.5</v>
      </c>
      <c r="G263" s="46">
        <v>116</v>
      </c>
      <c r="H263" s="44">
        <f t="shared" si="18"/>
        <v>-0.5</v>
      </c>
      <c r="I263" s="45">
        <f>E263-75</f>
        <v>45810</v>
      </c>
      <c r="J263" s="45">
        <v>45783</v>
      </c>
      <c r="K263" s="7">
        <f t="shared" ca="1" si="19"/>
        <v>27</v>
      </c>
      <c r="L263" s="9">
        <f>I263+5</f>
        <v>45815</v>
      </c>
      <c r="M263" s="45">
        <v>45792</v>
      </c>
      <c r="N263" s="7">
        <f t="shared" ca="1" si="17"/>
        <v>23</v>
      </c>
      <c r="O263" s="85"/>
      <c r="P263" s="19"/>
    </row>
    <row r="264" spans="1:16" ht="14.5">
      <c r="A264" s="19" t="s">
        <v>188</v>
      </c>
      <c r="B264" s="291">
        <v>149</v>
      </c>
      <c r="C264" s="324" t="s">
        <v>96</v>
      </c>
      <c r="D264" s="291" t="s">
        <v>91</v>
      </c>
      <c r="E264" s="240">
        <v>45885</v>
      </c>
      <c r="F264" s="44">
        <v>194.1</v>
      </c>
      <c r="G264" s="46">
        <v>194</v>
      </c>
      <c r="H264" s="44">
        <f t="shared" si="18"/>
        <v>9.9999999999994316E-2</v>
      </c>
      <c r="I264" s="45">
        <f>E264-75</f>
        <v>45810</v>
      </c>
      <c r="J264" s="45">
        <v>45783</v>
      </c>
      <c r="K264" s="7">
        <f t="shared" ca="1" si="19"/>
        <v>27</v>
      </c>
      <c r="L264" s="9">
        <f>I264+5</f>
        <v>45815</v>
      </c>
      <c r="M264" s="45">
        <v>45784</v>
      </c>
      <c r="N264" s="7">
        <f t="shared" ca="1" si="17"/>
        <v>31</v>
      </c>
      <c r="O264" s="85"/>
      <c r="P264" s="19"/>
    </row>
    <row r="265" spans="1:16" ht="14.5">
      <c r="A265" s="19" t="s">
        <v>188</v>
      </c>
      <c r="B265" s="291">
        <v>149</v>
      </c>
      <c r="C265" s="324" t="s">
        <v>75</v>
      </c>
      <c r="D265" s="291" t="s">
        <v>91</v>
      </c>
      <c r="E265" s="240">
        <v>45885</v>
      </c>
      <c r="F265" s="44">
        <v>232.7</v>
      </c>
      <c r="G265" s="46">
        <v>233</v>
      </c>
      <c r="H265" s="44">
        <f t="shared" si="18"/>
        <v>-0.30000000000001137</v>
      </c>
      <c r="I265" s="45">
        <v>45783</v>
      </c>
      <c r="J265" s="45">
        <v>45783</v>
      </c>
      <c r="K265" s="7">
        <f t="shared" ca="1" si="19"/>
        <v>0</v>
      </c>
      <c r="L265" s="9">
        <f>I265+25</f>
        <v>45808</v>
      </c>
      <c r="M265" s="45">
        <v>45797</v>
      </c>
      <c r="N265" s="7">
        <f t="shared" ca="1" si="17"/>
        <v>11</v>
      </c>
      <c r="O265" s="85"/>
      <c r="P265" s="19"/>
    </row>
    <row r="266" spans="1:16" ht="14.5">
      <c r="A266" s="19" t="s">
        <v>188</v>
      </c>
      <c r="B266" s="291">
        <v>149</v>
      </c>
      <c r="C266" s="324" t="s">
        <v>77</v>
      </c>
      <c r="D266" s="291" t="s">
        <v>91</v>
      </c>
      <c r="E266" s="240">
        <v>45885</v>
      </c>
      <c r="F266" s="44">
        <v>524.20000000000005</v>
      </c>
      <c r="G266" s="46">
        <v>524</v>
      </c>
      <c r="H266" s="44">
        <f t="shared" si="18"/>
        <v>0.20000000000004547</v>
      </c>
      <c r="I266" s="45">
        <f>E266-75</f>
        <v>45810</v>
      </c>
      <c r="J266" s="45">
        <v>45783</v>
      </c>
      <c r="K266" s="7">
        <f t="shared" ca="1" si="19"/>
        <v>27</v>
      </c>
      <c r="L266" s="9">
        <f>I266+5</f>
        <v>45815</v>
      </c>
      <c r="M266" s="45">
        <v>45792</v>
      </c>
      <c r="N266" s="7">
        <f t="shared" ca="1" si="17"/>
        <v>23</v>
      </c>
      <c r="O266" s="85"/>
      <c r="P266" s="19"/>
    </row>
    <row r="267" spans="1:16" ht="14.5">
      <c r="A267" s="19" t="s">
        <v>188</v>
      </c>
      <c r="B267" s="291">
        <v>149</v>
      </c>
      <c r="C267" s="324" t="s">
        <v>857</v>
      </c>
      <c r="D267" s="291" t="s">
        <v>91</v>
      </c>
      <c r="E267" s="240">
        <v>45885</v>
      </c>
      <c r="F267" s="44">
        <v>266.89999999999998</v>
      </c>
      <c r="G267" s="46">
        <v>267</v>
      </c>
      <c r="H267" s="44">
        <f t="shared" si="18"/>
        <v>-0.10000000000002274</v>
      </c>
      <c r="I267" s="45">
        <v>45783</v>
      </c>
      <c r="J267" s="45">
        <v>45783</v>
      </c>
      <c r="K267" s="7">
        <f t="shared" ca="1" si="19"/>
        <v>0</v>
      </c>
      <c r="L267" s="9">
        <f>I267+25</f>
        <v>45808</v>
      </c>
      <c r="M267" s="45">
        <v>45793</v>
      </c>
      <c r="N267" s="7">
        <f t="shared" ca="1" si="17"/>
        <v>15</v>
      </c>
      <c r="O267" s="85"/>
      <c r="P267" s="19"/>
    </row>
    <row r="268" spans="1:16" ht="14.5">
      <c r="A268" s="19" t="s">
        <v>188</v>
      </c>
      <c r="B268" s="291">
        <v>133</v>
      </c>
      <c r="C268" s="324" t="s">
        <v>80</v>
      </c>
      <c r="D268" s="291" t="s">
        <v>146</v>
      </c>
      <c r="E268" s="240">
        <v>45863</v>
      </c>
      <c r="F268" s="44">
        <v>113.40000152587901</v>
      </c>
      <c r="G268" s="46">
        <v>113</v>
      </c>
      <c r="H268" s="44">
        <f t="shared" si="18"/>
        <v>0.40000152587900573</v>
      </c>
      <c r="I268" s="45">
        <v>45783</v>
      </c>
      <c r="J268" s="45">
        <v>45783</v>
      </c>
      <c r="K268" s="7">
        <f t="shared" ca="1" si="19"/>
        <v>0</v>
      </c>
      <c r="L268" s="9">
        <f>I268+4</f>
        <v>45787</v>
      </c>
      <c r="M268" s="45">
        <v>45785</v>
      </c>
      <c r="N268" s="7">
        <f t="shared" ca="1" si="17"/>
        <v>2</v>
      </c>
      <c r="O268" s="85"/>
      <c r="P268" s="19"/>
    </row>
    <row r="269" spans="1:16" ht="14.5">
      <c r="A269" s="19" t="s">
        <v>188</v>
      </c>
      <c r="B269" s="291">
        <v>135</v>
      </c>
      <c r="C269" s="324" t="s">
        <v>80</v>
      </c>
      <c r="D269" s="291" t="s">
        <v>146</v>
      </c>
      <c r="E269" s="240">
        <v>45863</v>
      </c>
      <c r="F269" s="44">
        <v>1045.80004882813</v>
      </c>
      <c r="G269" s="46">
        <v>1046</v>
      </c>
      <c r="H269" s="44">
        <f t="shared" si="18"/>
        <v>-0.19995117186999778</v>
      </c>
      <c r="I269" s="45">
        <v>45783</v>
      </c>
      <c r="J269" s="45">
        <v>45783</v>
      </c>
      <c r="K269" s="7">
        <f t="shared" ca="1" si="19"/>
        <v>0</v>
      </c>
      <c r="L269" s="9">
        <f>I269+4</f>
        <v>45787</v>
      </c>
      <c r="M269" s="45">
        <v>45785</v>
      </c>
      <c r="N269" s="7">
        <f t="shared" ca="1" si="17"/>
        <v>2</v>
      </c>
      <c r="O269" s="85"/>
      <c r="P269" s="19"/>
    </row>
    <row r="270" spans="1:16" ht="14.5">
      <c r="A270" s="19" t="s">
        <v>188</v>
      </c>
      <c r="B270" s="291">
        <v>137</v>
      </c>
      <c r="C270" s="324" t="s">
        <v>80</v>
      </c>
      <c r="D270" s="291" t="s">
        <v>146</v>
      </c>
      <c r="E270" s="240">
        <v>45863</v>
      </c>
      <c r="F270" s="44">
        <v>259</v>
      </c>
      <c r="G270" s="46">
        <v>259</v>
      </c>
      <c r="H270" s="44">
        <f t="shared" si="18"/>
        <v>0</v>
      </c>
      <c r="I270" s="45">
        <v>45783</v>
      </c>
      <c r="J270" s="45">
        <v>45783</v>
      </c>
      <c r="K270" s="7">
        <f t="shared" ca="1" si="19"/>
        <v>0</v>
      </c>
      <c r="L270" s="9">
        <f>I270+4</f>
        <v>45787</v>
      </c>
      <c r="M270" s="45">
        <v>45785</v>
      </c>
      <c r="N270" s="7">
        <f t="shared" ca="1" si="17"/>
        <v>2</v>
      </c>
      <c r="O270" s="85"/>
      <c r="P270" s="19"/>
    </row>
    <row r="271" spans="1:16" ht="14.5">
      <c r="A271" s="19" t="s">
        <v>188</v>
      </c>
      <c r="B271" s="291">
        <v>139</v>
      </c>
      <c r="C271" s="324" t="s">
        <v>80</v>
      </c>
      <c r="D271" s="291" t="s">
        <v>146</v>
      </c>
      <c r="E271" s="240">
        <v>45870</v>
      </c>
      <c r="F271" s="44">
        <v>679</v>
      </c>
      <c r="G271" s="46">
        <v>679</v>
      </c>
      <c r="H271" s="44">
        <f t="shared" si="18"/>
        <v>0</v>
      </c>
      <c r="I271" s="45">
        <v>45783</v>
      </c>
      <c r="J271" s="45">
        <v>45783</v>
      </c>
      <c r="K271" s="7">
        <f t="shared" ca="1" si="19"/>
        <v>0</v>
      </c>
      <c r="L271" s="9">
        <f t="shared" ref="L271:L278" si="20">I271+10</f>
        <v>45793</v>
      </c>
      <c r="M271" s="45">
        <v>45785</v>
      </c>
      <c r="N271" s="7">
        <f t="shared" ca="1" si="17"/>
        <v>8</v>
      </c>
      <c r="O271" s="85"/>
      <c r="P271" s="19"/>
    </row>
    <row r="272" spans="1:16" ht="14.5">
      <c r="A272" s="19" t="s">
        <v>188</v>
      </c>
      <c r="B272" s="291">
        <v>140</v>
      </c>
      <c r="C272" s="324" t="s">
        <v>80</v>
      </c>
      <c r="D272" s="291" t="s">
        <v>146</v>
      </c>
      <c r="E272" s="240">
        <v>45870</v>
      </c>
      <c r="F272" s="44">
        <v>106.59999847412099</v>
      </c>
      <c r="G272" s="46">
        <v>107</v>
      </c>
      <c r="H272" s="44">
        <f t="shared" si="18"/>
        <v>-0.40000152587900573</v>
      </c>
      <c r="I272" s="45">
        <v>45783</v>
      </c>
      <c r="J272" s="45">
        <v>45783</v>
      </c>
      <c r="K272" s="7">
        <f t="shared" ca="1" si="19"/>
        <v>0</v>
      </c>
      <c r="L272" s="9">
        <f t="shared" si="20"/>
        <v>45793</v>
      </c>
      <c r="M272" s="45">
        <v>45785</v>
      </c>
      <c r="N272" s="7">
        <f t="shared" ca="1" si="17"/>
        <v>8</v>
      </c>
      <c r="O272" s="85"/>
      <c r="P272" s="19"/>
    </row>
    <row r="273" spans="1:16" ht="14.5">
      <c r="A273" s="19" t="s">
        <v>188</v>
      </c>
      <c r="B273" s="291">
        <v>142</v>
      </c>
      <c r="C273" s="324" t="s">
        <v>80</v>
      </c>
      <c r="D273" s="291" t="s">
        <v>146</v>
      </c>
      <c r="E273" s="240">
        <v>45877</v>
      </c>
      <c r="F273" s="44">
        <v>105.90000152587901</v>
      </c>
      <c r="G273" s="46">
        <v>106</v>
      </c>
      <c r="H273" s="44">
        <f t="shared" si="18"/>
        <v>-9.9998474120994274E-2</v>
      </c>
      <c r="I273" s="45">
        <v>45783</v>
      </c>
      <c r="J273" s="45">
        <v>45783</v>
      </c>
      <c r="K273" s="7">
        <f t="shared" ca="1" si="19"/>
        <v>0</v>
      </c>
      <c r="L273" s="9">
        <f t="shared" si="20"/>
        <v>45793</v>
      </c>
      <c r="M273" s="45">
        <v>45785</v>
      </c>
      <c r="N273" s="7">
        <f t="shared" ca="1" si="17"/>
        <v>8</v>
      </c>
      <c r="O273" s="85"/>
      <c r="P273" s="19"/>
    </row>
    <row r="274" spans="1:16" ht="14.5">
      <c r="A274" s="19" t="s">
        <v>188</v>
      </c>
      <c r="B274" s="291">
        <v>143</v>
      </c>
      <c r="C274" s="324" t="s">
        <v>80</v>
      </c>
      <c r="D274" s="291" t="s">
        <v>146</v>
      </c>
      <c r="E274" s="240">
        <v>45877</v>
      </c>
      <c r="F274" s="44">
        <v>105.90000152587901</v>
      </c>
      <c r="G274" s="46">
        <v>106</v>
      </c>
      <c r="H274" s="44">
        <f t="shared" si="18"/>
        <v>-9.9998474120994274E-2</v>
      </c>
      <c r="I274" s="45">
        <v>45783</v>
      </c>
      <c r="J274" s="45">
        <v>45783</v>
      </c>
      <c r="K274" s="7">
        <f t="shared" ca="1" si="19"/>
        <v>0</v>
      </c>
      <c r="L274" s="9">
        <f t="shared" si="20"/>
        <v>45793</v>
      </c>
      <c r="M274" s="45">
        <v>45785</v>
      </c>
      <c r="N274" s="7">
        <f t="shared" ca="1" si="17"/>
        <v>8</v>
      </c>
      <c r="O274" s="85"/>
      <c r="P274" s="19"/>
    </row>
    <row r="275" spans="1:16" ht="14.5">
      <c r="A275" s="19" t="s">
        <v>188</v>
      </c>
      <c r="B275" s="291">
        <v>144</v>
      </c>
      <c r="C275" s="324" t="s">
        <v>80</v>
      </c>
      <c r="D275" s="291" t="s">
        <v>146</v>
      </c>
      <c r="E275" s="240">
        <v>45877</v>
      </c>
      <c r="F275" s="44">
        <v>437</v>
      </c>
      <c r="G275" s="46">
        <v>437</v>
      </c>
      <c r="H275" s="44">
        <f t="shared" si="18"/>
        <v>0</v>
      </c>
      <c r="I275" s="45">
        <v>45783</v>
      </c>
      <c r="J275" s="45">
        <v>45783</v>
      </c>
      <c r="K275" s="7">
        <f t="shared" ca="1" si="19"/>
        <v>0</v>
      </c>
      <c r="L275" s="9">
        <f t="shared" si="20"/>
        <v>45793</v>
      </c>
      <c r="M275" s="45">
        <v>45785</v>
      </c>
      <c r="N275" s="7">
        <f t="shared" ca="1" si="17"/>
        <v>8</v>
      </c>
      <c r="O275" s="85"/>
      <c r="P275" s="19"/>
    </row>
    <row r="276" spans="1:16" ht="14.5">
      <c r="A276" s="19" t="s">
        <v>188</v>
      </c>
      <c r="B276" s="291">
        <v>145</v>
      </c>
      <c r="C276" s="324" t="s">
        <v>80</v>
      </c>
      <c r="D276" s="291" t="s">
        <v>146</v>
      </c>
      <c r="E276" s="240">
        <v>45877</v>
      </c>
      <c r="F276" s="44">
        <v>603.79998779296898</v>
      </c>
      <c r="G276" s="46">
        <v>604</v>
      </c>
      <c r="H276" s="44">
        <f t="shared" si="18"/>
        <v>-0.20001220703102263</v>
      </c>
      <c r="I276" s="45">
        <v>45783</v>
      </c>
      <c r="J276" s="45">
        <v>45783</v>
      </c>
      <c r="K276" s="7">
        <f t="shared" ca="1" si="19"/>
        <v>0</v>
      </c>
      <c r="L276" s="9">
        <f t="shared" si="20"/>
        <v>45793</v>
      </c>
      <c r="M276" s="45">
        <v>45785</v>
      </c>
      <c r="N276" s="7">
        <f t="shared" ca="1" si="17"/>
        <v>8</v>
      </c>
      <c r="O276" s="85"/>
      <c r="P276" s="19"/>
    </row>
    <row r="277" spans="1:16" ht="14.5">
      <c r="A277" s="19" t="s">
        <v>188</v>
      </c>
      <c r="B277" s="291">
        <v>146</v>
      </c>
      <c r="C277" s="324" t="s">
        <v>80</v>
      </c>
      <c r="D277" s="291" t="s">
        <v>146</v>
      </c>
      <c r="E277" s="240">
        <v>45877</v>
      </c>
      <c r="F277" s="44">
        <v>42</v>
      </c>
      <c r="G277" s="46">
        <v>42</v>
      </c>
      <c r="H277" s="44">
        <f t="shared" si="18"/>
        <v>0</v>
      </c>
      <c r="I277" s="45">
        <v>45783</v>
      </c>
      <c r="J277" s="45">
        <v>45783</v>
      </c>
      <c r="K277" s="7">
        <f t="shared" ca="1" si="19"/>
        <v>0</v>
      </c>
      <c r="L277" s="9">
        <f t="shared" si="20"/>
        <v>45793</v>
      </c>
      <c r="M277" s="45">
        <v>45785</v>
      </c>
      <c r="N277" s="7">
        <f t="shared" ca="1" si="17"/>
        <v>8</v>
      </c>
      <c r="O277" s="85"/>
      <c r="P277" s="19"/>
    </row>
    <row r="278" spans="1:16" ht="14.5">
      <c r="A278" s="19" t="s">
        <v>188</v>
      </c>
      <c r="B278" s="291">
        <v>147</v>
      </c>
      <c r="C278" s="324" t="s">
        <v>80</v>
      </c>
      <c r="D278" s="291" t="s">
        <v>146</v>
      </c>
      <c r="E278" s="240">
        <v>45877</v>
      </c>
      <c r="F278" s="44">
        <v>371</v>
      </c>
      <c r="G278" s="46">
        <v>371</v>
      </c>
      <c r="H278" s="44">
        <f t="shared" si="18"/>
        <v>0</v>
      </c>
      <c r="I278" s="45">
        <v>45783</v>
      </c>
      <c r="J278" s="45">
        <v>45783</v>
      </c>
      <c r="K278" s="7">
        <f t="shared" ca="1" si="19"/>
        <v>0</v>
      </c>
      <c r="L278" s="9">
        <f t="shared" si="20"/>
        <v>45793</v>
      </c>
      <c r="M278" s="45">
        <v>45785</v>
      </c>
      <c r="N278" s="7">
        <f t="shared" ca="1" si="17"/>
        <v>8</v>
      </c>
      <c r="O278" s="85"/>
      <c r="P278" s="19"/>
    </row>
    <row r="279" spans="1:16" ht="14.5">
      <c r="A279" s="19" t="s">
        <v>188</v>
      </c>
      <c r="B279" s="291">
        <v>150</v>
      </c>
      <c r="C279" s="324" t="s">
        <v>75</v>
      </c>
      <c r="D279" s="291" t="s">
        <v>91</v>
      </c>
      <c r="E279" s="240">
        <v>45891</v>
      </c>
      <c r="F279" s="44">
        <v>85.7</v>
      </c>
      <c r="G279" s="46">
        <v>86</v>
      </c>
      <c r="H279" s="44">
        <f t="shared" si="18"/>
        <v>-0.29999999999999716</v>
      </c>
      <c r="I279" s="45">
        <v>45783</v>
      </c>
      <c r="J279" s="45">
        <v>45783</v>
      </c>
      <c r="K279" s="7">
        <f t="shared" ca="1" si="19"/>
        <v>0</v>
      </c>
      <c r="L279" s="9">
        <f>I279+25</f>
        <v>45808</v>
      </c>
      <c r="M279" s="45">
        <v>45797</v>
      </c>
      <c r="N279" s="7">
        <f t="shared" ca="1" si="17"/>
        <v>11</v>
      </c>
      <c r="O279" s="85"/>
      <c r="P279" s="19"/>
    </row>
    <row r="280" spans="1:16" ht="14.5">
      <c r="A280" s="19" t="s">
        <v>188</v>
      </c>
      <c r="B280" s="291">
        <v>150</v>
      </c>
      <c r="C280" s="324" t="s">
        <v>79</v>
      </c>
      <c r="D280" s="291" t="s">
        <v>91</v>
      </c>
      <c r="E280" s="240">
        <v>45891</v>
      </c>
      <c r="F280" s="44">
        <v>69.5</v>
      </c>
      <c r="G280" s="46">
        <v>70</v>
      </c>
      <c r="H280" s="44">
        <f t="shared" si="18"/>
        <v>-0.5</v>
      </c>
      <c r="I280" s="45">
        <f>E280-75</f>
        <v>45816</v>
      </c>
      <c r="J280" s="45">
        <v>45783</v>
      </c>
      <c r="K280" s="7">
        <f t="shared" ca="1" si="19"/>
        <v>33</v>
      </c>
      <c r="L280" s="9">
        <f>I280+5</f>
        <v>45821</v>
      </c>
      <c r="M280" s="45">
        <v>45789</v>
      </c>
      <c r="N280" s="7">
        <f t="shared" ca="1" si="17"/>
        <v>32</v>
      </c>
      <c r="O280" s="85"/>
      <c r="P280" s="19"/>
    </row>
    <row r="281" spans="1:16" ht="14.5">
      <c r="A281" s="19" t="s">
        <v>188</v>
      </c>
      <c r="B281" s="291">
        <v>150</v>
      </c>
      <c r="C281" s="324" t="s">
        <v>857</v>
      </c>
      <c r="D281" s="291" t="s">
        <v>91</v>
      </c>
      <c r="E281" s="240">
        <v>45891</v>
      </c>
      <c r="F281" s="44">
        <v>98.3</v>
      </c>
      <c r="G281" s="46">
        <v>98</v>
      </c>
      <c r="H281" s="44">
        <f t="shared" si="18"/>
        <v>0.29999999999999716</v>
      </c>
      <c r="I281" s="45">
        <v>45783</v>
      </c>
      <c r="J281" s="45">
        <v>45783</v>
      </c>
      <c r="K281" s="7">
        <f t="shared" ca="1" si="19"/>
        <v>0</v>
      </c>
      <c r="L281" s="9">
        <f>I281+25</f>
        <v>45808</v>
      </c>
      <c r="M281" s="45">
        <v>45793</v>
      </c>
      <c r="N281" s="7">
        <f t="shared" ca="1" si="17"/>
        <v>15</v>
      </c>
      <c r="O281" s="85"/>
      <c r="P281" s="19"/>
    </row>
    <row r="282" spans="1:16" ht="14.5">
      <c r="A282" s="19" t="s">
        <v>188</v>
      </c>
      <c r="B282" s="291">
        <v>150</v>
      </c>
      <c r="C282" s="324" t="s">
        <v>82</v>
      </c>
      <c r="D282" s="291" t="s">
        <v>91</v>
      </c>
      <c r="E282" s="240">
        <v>45891</v>
      </c>
      <c r="F282" s="44">
        <v>183.3</v>
      </c>
      <c r="G282" s="46">
        <v>183</v>
      </c>
      <c r="H282" s="44">
        <f t="shared" si="18"/>
        <v>0.30000000000001137</v>
      </c>
      <c r="I282" s="45">
        <v>45783</v>
      </c>
      <c r="J282" s="45">
        <v>45783</v>
      </c>
      <c r="K282" s="7">
        <f t="shared" ca="1" si="19"/>
        <v>0</v>
      </c>
      <c r="L282" s="9">
        <f>I282+15</f>
        <v>45798</v>
      </c>
      <c r="M282" s="45">
        <v>45798</v>
      </c>
      <c r="N282" s="7">
        <f t="shared" ca="1" si="17"/>
        <v>0</v>
      </c>
      <c r="O282" s="85"/>
      <c r="P282" s="19"/>
    </row>
    <row r="283" spans="1:16" ht="14.5">
      <c r="A283" s="19" t="s">
        <v>188</v>
      </c>
      <c r="B283" s="291">
        <v>151</v>
      </c>
      <c r="C283" s="324" t="s">
        <v>75</v>
      </c>
      <c r="D283" s="291" t="s">
        <v>91</v>
      </c>
      <c r="E283" s="240">
        <v>45891</v>
      </c>
      <c r="F283" s="44">
        <v>294.39999999999998</v>
      </c>
      <c r="G283" s="46">
        <v>294</v>
      </c>
      <c r="H283" s="44">
        <f t="shared" si="18"/>
        <v>0.39999999999997726</v>
      </c>
      <c r="I283" s="45">
        <v>45783</v>
      </c>
      <c r="J283" s="45">
        <v>45783</v>
      </c>
      <c r="K283" s="7">
        <f t="shared" ca="1" si="19"/>
        <v>0</v>
      </c>
      <c r="L283" s="9">
        <f>I283+25</f>
        <v>45808</v>
      </c>
      <c r="M283" s="45">
        <v>45797</v>
      </c>
      <c r="N283" s="7">
        <f t="shared" ca="1" si="17"/>
        <v>11</v>
      </c>
      <c r="O283" s="85"/>
      <c r="P283" s="19"/>
    </row>
    <row r="284" spans="1:16" ht="14.5">
      <c r="A284" s="19" t="s">
        <v>188</v>
      </c>
      <c r="B284" s="291">
        <v>151</v>
      </c>
      <c r="C284" s="324" t="s">
        <v>79</v>
      </c>
      <c r="D284" s="291" t="s">
        <v>91</v>
      </c>
      <c r="E284" s="240">
        <v>45891</v>
      </c>
      <c r="F284" s="44">
        <v>314.58</v>
      </c>
      <c r="G284" s="46">
        <v>315</v>
      </c>
      <c r="H284" s="44">
        <f t="shared" si="18"/>
        <v>-0.42000000000001592</v>
      </c>
      <c r="I284" s="45">
        <f>E284-75</f>
        <v>45816</v>
      </c>
      <c r="J284" s="45">
        <v>45783</v>
      </c>
      <c r="K284" s="7">
        <f t="shared" ca="1" si="19"/>
        <v>33</v>
      </c>
      <c r="L284" s="9">
        <f>I284+5</f>
        <v>45821</v>
      </c>
      <c r="M284" s="45">
        <v>45789</v>
      </c>
      <c r="N284" s="7">
        <f t="shared" ca="1" si="17"/>
        <v>32</v>
      </c>
      <c r="O284" s="85"/>
      <c r="P284" s="19"/>
    </row>
    <row r="285" spans="1:16" ht="14.5">
      <c r="A285" s="19" t="s">
        <v>188</v>
      </c>
      <c r="B285" s="291">
        <v>151</v>
      </c>
      <c r="C285" s="324" t="s">
        <v>857</v>
      </c>
      <c r="D285" s="291" t="s">
        <v>91</v>
      </c>
      <c r="E285" s="240">
        <v>45891</v>
      </c>
      <c r="F285" s="44">
        <v>337.6</v>
      </c>
      <c r="G285" s="46">
        <v>339</v>
      </c>
      <c r="H285" s="44">
        <f t="shared" si="18"/>
        <v>-1.3999999999999773</v>
      </c>
      <c r="I285" s="45">
        <v>45783</v>
      </c>
      <c r="J285" s="45">
        <v>45783</v>
      </c>
      <c r="K285" s="7">
        <f t="shared" ca="1" si="19"/>
        <v>0</v>
      </c>
      <c r="L285" s="9">
        <f>I285+25</f>
        <v>45808</v>
      </c>
      <c r="M285" s="45">
        <v>45793</v>
      </c>
      <c r="N285" s="7">
        <f t="shared" ca="1" si="17"/>
        <v>15</v>
      </c>
      <c r="O285" s="85"/>
      <c r="P285" s="19"/>
    </row>
    <row r="286" spans="1:16" ht="14.5">
      <c r="A286" s="19" t="s">
        <v>188</v>
      </c>
      <c r="B286" s="291">
        <v>152</v>
      </c>
      <c r="C286" s="324" t="s">
        <v>75</v>
      </c>
      <c r="D286" s="291" t="s">
        <v>91</v>
      </c>
      <c r="E286" s="145">
        <v>45891</v>
      </c>
      <c r="F286" s="44">
        <v>173.8</v>
      </c>
      <c r="G286" s="46">
        <v>174</v>
      </c>
      <c r="H286" s="44">
        <f t="shared" si="18"/>
        <v>-0.19999999999998863</v>
      </c>
      <c r="I286" s="45">
        <v>45783</v>
      </c>
      <c r="J286" s="45">
        <v>45783</v>
      </c>
      <c r="K286" s="7">
        <f t="shared" ca="1" si="19"/>
        <v>0</v>
      </c>
      <c r="L286" s="9">
        <f>I286+25</f>
        <v>45808</v>
      </c>
      <c r="M286" s="45">
        <v>45797</v>
      </c>
      <c r="N286" s="7">
        <f t="shared" ca="1" si="17"/>
        <v>11</v>
      </c>
      <c r="O286" s="85"/>
      <c r="P286" s="19"/>
    </row>
    <row r="287" spans="1:16" ht="14.5">
      <c r="A287" s="19" t="s">
        <v>188</v>
      </c>
      <c r="B287" s="291">
        <v>152</v>
      </c>
      <c r="C287" s="324" t="s">
        <v>77</v>
      </c>
      <c r="D287" s="291" t="s">
        <v>91</v>
      </c>
      <c r="E287" s="145">
        <v>45891</v>
      </c>
      <c r="F287" s="44">
        <v>1585.48</v>
      </c>
      <c r="G287" s="46">
        <v>1585</v>
      </c>
      <c r="H287" s="44">
        <f t="shared" si="18"/>
        <v>0.48000000000001819</v>
      </c>
      <c r="I287" s="45">
        <f>E287-75</f>
        <v>45816</v>
      </c>
      <c r="J287" s="45">
        <v>45783</v>
      </c>
      <c r="K287" s="7">
        <f t="shared" ca="1" si="19"/>
        <v>33</v>
      </c>
      <c r="L287" s="9">
        <f>I287+5</f>
        <v>45821</v>
      </c>
      <c r="M287" s="45">
        <v>45792</v>
      </c>
      <c r="N287" s="7">
        <f t="shared" ca="1" si="17"/>
        <v>29</v>
      </c>
      <c r="O287" s="85"/>
      <c r="P287" s="19"/>
    </row>
    <row r="288" spans="1:16" ht="14.5">
      <c r="A288" s="19" t="s">
        <v>188</v>
      </c>
      <c r="B288" s="291">
        <v>152</v>
      </c>
      <c r="C288" s="324" t="s">
        <v>79</v>
      </c>
      <c r="D288" s="291" t="s">
        <v>91</v>
      </c>
      <c r="E288" s="145">
        <v>45891</v>
      </c>
      <c r="F288" s="44">
        <v>11.7</v>
      </c>
      <c r="G288" s="46">
        <v>12</v>
      </c>
      <c r="H288" s="44">
        <f t="shared" si="18"/>
        <v>-0.30000000000000071</v>
      </c>
      <c r="I288" s="45">
        <f>E288-75</f>
        <v>45816</v>
      </c>
      <c r="J288" s="45">
        <v>45783</v>
      </c>
      <c r="K288" s="7">
        <f t="shared" ca="1" si="19"/>
        <v>33</v>
      </c>
      <c r="L288" s="9">
        <f>I288+5</f>
        <v>45821</v>
      </c>
      <c r="M288" s="45">
        <v>45789</v>
      </c>
      <c r="N288" s="7">
        <f t="shared" ca="1" si="17"/>
        <v>32</v>
      </c>
      <c r="O288" s="85"/>
      <c r="P288" s="19"/>
    </row>
    <row r="289" spans="1:16" ht="14.5">
      <c r="A289" s="19" t="s">
        <v>188</v>
      </c>
      <c r="B289" s="291">
        <v>152</v>
      </c>
      <c r="C289" s="324" t="s">
        <v>857</v>
      </c>
      <c r="D289" s="291" t="s">
        <v>91</v>
      </c>
      <c r="E289" s="145">
        <v>45891</v>
      </c>
      <c r="F289" s="44">
        <v>199.4</v>
      </c>
      <c r="G289" s="46">
        <v>199</v>
      </c>
      <c r="H289" s="44">
        <f t="shared" si="18"/>
        <v>0.40000000000000568</v>
      </c>
      <c r="I289" s="45">
        <v>45783</v>
      </c>
      <c r="J289" s="45">
        <v>45783</v>
      </c>
      <c r="K289" s="7">
        <f t="shared" ca="1" si="19"/>
        <v>0</v>
      </c>
      <c r="L289" s="9">
        <f>I289+25</f>
        <v>45808</v>
      </c>
      <c r="M289" s="45">
        <v>45793</v>
      </c>
      <c r="N289" s="7">
        <f t="shared" ca="1" si="17"/>
        <v>15</v>
      </c>
      <c r="O289" s="85"/>
      <c r="P289" s="19"/>
    </row>
    <row r="290" spans="1:16" ht="14.5">
      <c r="A290" s="19" t="s">
        <v>188</v>
      </c>
      <c r="B290" s="291">
        <v>152</v>
      </c>
      <c r="C290" s="324" t="s">
        <v>82</v>
      </c>
      <c r="D290" s="291" t="s">
        <v>91</v>
      </c>
      <c r="E290" s="145">
        <v>45891</v>
      </c>
      <c r="F290" s="44">
        <v>206.1</v>
      </c>
      <c r="G290" s="46">
        <v>206</v>
      </c>
      <c r="H290" s="44">
        <f t="shared" si="18"/>
        <v>9.9999999999994316E-2</v>
      </c>
      <c r="I290" s="45">
        <v>45783</v>
      </c>
      <c r="J290" s="45">
        <v>45783</v>
      </c>
      <c r="K290" s="7">
        <f t="shared" ca="1" si="19"/>
        <v>0</v>
      </c>
      <c r="L290" s="9">
        <f>I290+15</f>
        <v>45798</v>
      </c>
      <c r="M290" s="45">
        <v>45798</v>
      </c>
      <c r="N290" s="7">
        <f t="shared" ca="1" si="17"/>
        <v>0</v>
      </c>
      <c r="O290" s="85"/>
      <c r="P290" s="19"/>
    </row>
    <row r="291" spans="1:16" ht="14.5">
      <c r="A291" s="19" t="s">
        <v>188</v>
      </c>
      <c r="B291" s="291">
        <v>152</v>
      </c>
      <c r="C291" s="324" t="s">
        <v>80</v>
      </c>
      <c r="D291" s="291" t="s">
        <v>91</v>
      </c>
      <c r="E291" s="145">
        <v>45891</v>
      </c>
      <c r="F291" s="44">
        <v>941.3</v>
      </c>
      <c r="G291" s="46">
        <v>941</v>
      </c>
      <c r="H291" s="44">
        <f t="shared" si="18"/>
        <v>0.29999999999995453</v>
      </c>
      <c r="I291" s="45">
        <v>45783</v>
      </c>
      <c r="J291" s="45">
        <v>45783</v>
      </c>
      <c r="K291" s="7">
        <f t="shared" ca="1" si="19"/>
        <v>0</v>
      </c>
      <c r="L291" s="9">
        <f>I291+10</f>
        <v>45793</v>
      </c>
      <c r="M291" s="45">
        <v>45785</v>
      </c>
      <c r="N291" s="7">
        <f t="shared" ca="1" si="17"/>
        <v>8</v>
      </c>
      <c r="O291" s="85"/>
      <c r="P291" s="19"/>
    </row>
    <row r="292" spans="1:16" ht="14.5">
      <c r="A292" s="19" t="s">
        <v>188</v>
      </c>
      <c r="B292" s="291">
        <v>155</v>
      </c>
      <c r="C292" s="324" t="s">
        <v>75</v>
      </c>
      <c r="D292" s="291" t="s">
        <v>91</v>
      </c>
      <c r="E292" s="145">
        <v>45874</v>
      </c>
      <c r="F292" s="44">
        <v>167.1</v>
      </c>
      <c r="G292" s="46">
        <v>167</v>
      </c>
      <c r="H292" s="44">
        <f t="shared" ref="H292" si="21">F292-G292</f>
        <v>9.9999999999994316E-2</v>
      </c>
      <c r="I292" s="45">
        <v>45789</v>
      </c>
      <c r="J292" s="45">
        <v>45789</v>
      </c>
      <c r="K292" s="7">
        <f t="shared" ca="1" si="19"/>
        <v>0</v>
      </c>
      <c r="L292" s="9">
        <v>45813</v>
      </c>
      <c r="M292" s="45">
        <v>45797</v>
      </c>
      <c r="N292" s="7">
        <f t="shared" ref="N292" ca="1" si="22">+IF(M292="",L292-TODAY(),L292-M292)</f>
        <v>16</v>
      </c>
      <c r="O292" s="85"/>
      <c r="P292" s="19"/>
    </row>
    <row r="293" spans="1:16" ht="14.5">
      <c r="A293" s="19" t="s">
        <v>188</v>
      </c>
      <c r="B293" s="291">
        <v>156</v>
      </c>
      <c r="C293" s="324" t="s">
        <v>75</v>
      </c>
      <c r="D293" s="291" t="s">
        <v>91</v>
      </c>
      <c r="E293" s="145">
        <v>45877</v>
      </c>
      <c r="F293" s="44">
        <v>151.1</v>
      </c>
      <c r="G293" s="46">
        <v>151</v>
      </c>
      <c r="H293" s="44">
        <f t="shared" ref="H293:H323" si="23">F293-G293</f>
        <v>9.9999999999994316E-2</v>
      </c>
      <c r="I293" s="45">
        <v>45789</v>
      </c>
      <c r="J293" s="45">
        <v>45789</v>
      </c>
      <c r="K293" s="7">
        <f t="shared" ca="1" si="19"/>
        <v>0</v>
      </c>
      <c r="L293" s="9">
        <v>45816</v>
      </c>
      <c r="M293" s="45">
        <v>45797</v>
      </c>
      <c r="N293" s="7">
        <f t="shared" ref="N293:N323" ca="1" si="24">+IF(M293="",L293-TODAY(),L293-M293)</f>
        <v>19</v>
      </c>
      <c r="O293" s="85"/>
      <c r="P293" s="19"/>
    </row>
    <row r="294" spans="1:16" ht="14.5">
      <c r="A294" s="19" t="s">
        <v>188</v>
      </c>
      <c r="B294" s="291">
        <v>156</v>
      </c>
      <c r="C294" s="324" t="s">
        <v>77</v>
      </c>
      <c r="D294" s="291" t="s">
        <v>91</v>
      </c>
      <c r="E294" s="145">
        <v>45877</v>
      </c>
      <c r="F294" s="44">
        <v>2750</v>
      </c>
      <c r="G294" s="46">
        <v>2750</v>
      </c>
      <c r="H294" s="44">
        <f t="shared" si="23"/>
        <v>0</v>
      </c>
      <c r="I294" s="45">
        <v>45789</v>
      </c>
      <c r="J294" s="45">
        <v>45789</v>
      </c>
      <c r="K294" s="7">
        <f t="shared" ca="1" si="19"/>
        <v>0</v>
      </c>
      <c r="L294" s="9">
        <v>45819</v>
      </c>
      <c r="M294" s="45">
        <v>45796</v>
      </c>
      <c r="N294" s="7">
        <f t="shared" ca="1" si="24"/>
        <v>23</v>
      </c>
      <c r="O294" s="85"/>
      <c r="P294" s="19"/>
    </row>
    <row r="295" spans="1:16" ht="14.5">
      <c r="A295" s="19" t="s">
        <v>188</v>
      </c>
      <c r="B295" s="291">
        <v>156</v>
      </c>
      <c r="C295" s="324" t="s">
        <v>80</v>
      </c>
      <c r="D295" s="291" t="s">
        <v>91</v>
      </c>
      <c r="E295" s="145">
        <v>45877</v>
      </c>
      <c r="F295" s="44">
        <v>945.2</v>
      </c>
      <c r="G295" s="46">
        <v>945</v>
      </c>
      <c r="H295" s="44">
        <f t="shared" si="23"/>
        <v>0.20000000000004547</v>
      </c>
      <c r="I295" s="45">
        <v>45789</v>
      </c>
      <c r="J295" s="45">
        <v>45789</v>
      </c>
      <c r="K295" s="7">
        <f t="shared" ca="1" si="19"/>
        <v>0</v>
      </c>
      <c r="L295" s="9">
        <v>45806</v>
      </c>
      <c r="M295" s="45">
        <v>45806</v>
      </c>
      <c r="N295" s="7">
        <f t="shared" ca="1" si="24"/>
        <v>0</v>
      </c>
      <c r="O295" s="85"/>
      <c r="P295" s="19"/>
    </row>
    <row r="296" spans="1:16" ht="14.5">
      <c r="A296" s="19" t="s">
        <v>188</v>
      </c>
      <c r="B296" s="291">
        <v>158</v>
      </c>
      <c r="C296" s="324" t="s">
        <v>95</v>
      </c>
      <c r="D296" s="291" t="s">
        <v>91</v>
      </c>
      <c r="E296" s="145">
        <v>45884</v>
      </c>
      <c r="F296" s="44">
        <v>39</v>
      </c>
      <c r="G296" s="46">
        <v>39</v>
      </c>
      <c r="H296" s="44">
        <f t="shared" si="23"/>
        <v>0</v>
      </c>
      <c r="I296" s="45">
        <v>45789</v>
      </c>
      <c r="J296" s="45">
        <v>45789</v>
      </c>
      <c r="K296" s="7">
        <f t="shared" ca="1" si="19"/>
        <v>0</v>
      </c>
      <c r="L296" s="9">
        <v>45813</v>
      </c>
      <c r="M296" s="45">
        <v>45796</v>
      </c>
      <c r="N296" s="7">
        <f t="shared" ca="1" si="24"/>
        <v>17</v>
      </c>
      <c r="O296" s="85"/>
      <c r="P296" s="19"/>
    </row>
    <row r="297" spans="1:16" ht="14.5">
      <c r="A297" s="19" t="s">
        <v>188</v>
      </c>
      <c r="B297" s="291">
        <v>158</v>
      </c>
      <c r="C297" s="324" t="s">
        <v>95</v>
      </c>
      <c r="D297" s="291" t="s">
        <v>842</v>
      </c>
      <c r="E297" s="145">
        <v>45884</v>
      </c>
      <c r="F297" s="44">
        <v>107</v>
      </c>
      <c r="G297" s="46">
        <v>107</v>
      </c>
      <c r="H297" s="44">
        <f t="shared" si="23"/>
        <v>0</v>
      </c>
      <c r="I297" s="45">
        <v>45789</v>
      </c>
      <c r="J297" s="45">
        <v>45789</v>
      </c>
      <c r="K297" s="7">
        <f t="shared" ca="1" si="19"/>
        <v>0</v>
      </c>
      <c r="L297" s="9">
        <v>45813</v>
      </c>
      <c r="M297" s="45">
        <v>45796</v>
      </c>
      <c r="N297" s="7">
        <f t="shared" ca="1" si="24"/>
        <v>17</v>
      </c>
      <c r="O297" s="85"/>
      <c r="P297" s="19"/>
    </row>
    <row r="298" spans="1:16" ht="14.5">
      <c r="A298" s="19" t="s">
        <v>188</v>
      </c>
      <c r="B298" s="291">
        <v>158</v>
      </c>
      <c r="C298" s="324" t="s">
        <v>96</v>
      </c>
      <c r="D298" s="291" t="s">
        <v>91</v>
      </c>
      <c r="E298" s="145">
        <v>45884</v>
      </c>
      <c r="F298" s="44">
        <v>180.2</v>
      </c>
      <c r="G298" s="46">
        <v>180</v>
      </c>
      <c r="H298" s="44">
        <f t="shared" si="23"/>
        <v>0.19999999999998863</v>
      </c>
      <c r="I298" s="45">
        <v>45789</v>
      </c>
      <c r="J298" s="45">
        <v>45789</v>
      </c>
      <c r="K298" s="7">
        <f t="shared" ca="1" si="19"/>
        <v>0</v>
      </c>
      <c r="L298" s="9">
        <v>45813</v>
      </c>
      <c r="M298" s="45">
        <v>45796</v>
      </c>
      <c r="N298" s="7">
        <f t="shared" ca="1" si="24"/>
        <v>17</v>
      </c>
      <c r="O298" s="85"/>
      <c r="P298" s="19"/>
    </row>
    <row r="299" spans="1:16" ht="14.5">
      <c r="A299" s="19" t="s">
        <v>188</v>
      </c>
      <c r="B299" s="291">
        <v>158</v>
      </c>
      <c r="C299" s="324" t="s">
        <v>77</v>
      </c>
      <c r="D299" s="291" t="s">
        <v>91</v>
      </c>
      <c r="E299" s="145">
        <v>45884</v>
      </c>
      <c r="F299" s="44">
        <v>1872.7</v>
      </c>
      <c r="G299" s="46">
        <v>1873</v>
      </c>
      <c r="H299" s="44">
        <f t="shared" si="23"/>
        <v>-0.29999999999995453</v>
      </c>
      <c r="I299" s="45">
        <v>45789</v>
      </c>
      <c r="J299" s="45">
        <v>45789</v>
      </c>
      <c r="K299" s="7">
        <f t="shared" ca="1" si="19"/>
        <v>0</v>
      </c>
      <c r="L299" s="9">
        <v>45813</v>
      </c>
      <c r="M299" s="45">
        <v>45796</v>
      </c>
      <c r="N299" s="7">
        <f t="shared" ca="1" si="24"/>
        <v>17</v>
      </c>
      <c r="O299" s="85"/>
      <c r="P299" s="19"/>
    </row>
    <row r="300" spans="1:16" ht="14.5">
      <c r="A300" s="19" t="s">
        <v>188</v>
      </c>
      <c r="B300" s="291">
        <v>158</v>
      </c>
      <c r="C300" s="324" t="s">
        <v>80</v>
      </c>
      <c r="D300" s="291" t="s">
        <v>91</v>
      </c>
      <c r="E300" s="145">
        <v>45884</v>
      </c>
      <c r="F300" s="44">
        <v>1116</v>
      </c>
      <c r="G300" s="46">
        <v>1116</v>
      </c>
      <c r="H300" s="44">
        <f t="shared" si="23"/>
        <v>0</v>
      </c>
      <c r="I300" s="45">
        <v>45789</v>
      </c>
      <c r="J300" s="45">
        <v>45789</v>
      </c>
      <c r="K300" s="7">
        <f t="shared" ca="1" si="19"/>
        <v>0</v>
      </c>
      <c r="L300" s="9">
        <v>45813</v>
      </c>
      <c r="M300" s="45">
        <v>45806</v>
      </c>
      <c r="N300" s="7">
        <f t="shared" ca="1" si="24"/>
        <v>7</v>
      </c>
      <c r="O300" s="85"/>
      <c r="P300" s="19"/>
    </row>
    <row r="301" spans="1:16" ht="14.5">
      <c r="A301" s="19" t="s">
        <v>188</v>
      </c>
      <c r="B301" s="291">
        <v>159</v>
      </c>
      <c r="C301" s="324" t="s">
        <v>75</v>
      </c>
      <c r="D301" s="291" t="s">
        <v>91</v>
      </c>
      <c r="E301" s="145">
        <v>45891</v>
      </c>
      <c r="F301" s="44">
        <v>147.80000000000001</v>
      </c>
      <c r="G301" s="46">
        <v>148</v>
      </c>
      <c r="H301" s="44">
        <f t="shared" si="23"/>
        <v>-0.19999999999998863</v>
      </c>
      <c r="I301" s="45">
        <v>45789</v>
      </c>
      <c r="J301" s="45">
        <v>45789</v>
      </c>
      <c r="K301" s="7">
        <f t="shared" ca="1" si="19"/>
        <v>0</v>
      </c>
      <c r="L301" s="9">
        <v>45830</v>
      </c>
      <c r="M301" s="45">
        <v>45797</v>
      </c>
      <c r="N301" s="7">
        <f t="shared" ca="1" si="24"/>
        <v>33</v>
      </c>
      <c r="O301" s="85"/>
      <c r="P301" s="19"/>
    </row>
    <row r="302" spans="1:16" ht="14.5">
      <c r="A302" s="19" t="s">
        <v>188</v>
      </c>
      <c r="B302" s="291">
        <v>160</v>
      </c>
      <c r="C302" s="324" t="s">
        <v>95</v>
      </c>
      <c r="D302" s="291" t="s">
        <v>91</v>
      </c>
      <c r="E302" s="145">
        <v>45891</v>
      </c>
      <c r="F302" s="44">
        <v>38</v>
      </c>
      <c r="G302" s="46">
        <v>38</v>
      </c>
      <c r="H302" s="44">
        <f t="shared" si="23"/>
        <v>0</v>
      </c>
      <c r="I302" s="45">
        <v>45789</v>
      </c>
      <c r="J302" s="45">
        <v>45789</v>
      </c>
      <c r="K302" s="7">
        <f t="shared" ca="1" si="19"/>
        <v>0</v>
      </c>
      <c r="L302" s="9">
        <v>45818</v>
      </c>
      <c r="M302" s="45">
        <v>45796</v>
      </c>
      <c r="N302" s="7">
        <f t="shared" ca="1" si="24"/>
        <v>22</v>
      </c>
      <c r="O302" s="85"/>
      <c r="P302" s="19"/>
    </row>
    <row r="303" spans="1:16" ht="14.5">
      <c r="A303" s="19" t="s">
        <v>188</v>
      </c>
      <c r="B303" s="291">
        <v>160</v>
      </c>
      <c r="C303" s="324" t="s">
        <v>95</v>
      </c>
      <c r="D303" s="291" t="s">
        <v>842</v>
      </c>
      <c r="E303" s="145">
        <v>45891</v>
      </c>
      <c r="F303" s="44">
        <v>104</v>
      </c>
      <c r="G303" s="46">
        <v>104</v>
      </c>
      <c r="H303" s="44">
        <f t="shared" si="23"/>
        <v>0</v>
      </c>
      <c r="I303" s="45">
        <v>45789</v>
      </c>
      <c r="J303" s="45">
        <v>45789</v>
      </c>
      <c r="K303" s="7">
        <f t="shared" ca="1" si="19"/>
        <v>0</v>
      </c>
      <c r="L303" s="9">
        <v>45818</v>
      </c>
      <c r="M303" s="45">
        <v>45796</v>
      </c>
      <c r="N303" s="7">
        <f t="shared" ca="1" si="24"/>
        <v>22</v>
      </c>
      <c r="O303" s="85"/>
      <c r="P303" s="19"/>
    </row>
    <row r="304" spans="1:16" ht="14.5">
      <c r="A304" s="19" t="s">
        <v>188</v>
      </c>
      <c r="B304" s="291">
        <v>160</v>
      </c>
      <c r="C304" s="291" t="s">
        <v>94</v>
      </c>
      <c r="D304" s="291" t="s">
        <v>843</v>
      </c>
      <c r="E304" s="145">
        <v>45891</v>
      </c>
      <c r="F304" s="44">
        <v>237</v>
      </c>
      <c r="G304" s="46">
        <v>237</v>
      </c>
      <c r="H304" s="44">
        <f t="shared" si="23"/>
        <v>0</v>
      </c>
      <c r="I304" s="45">
        <v>45789</v>
      </c>
      <c r="J304" s="45">
        <v>45789</v>
      </c>
      <c r="K304" s="7">
        <f t="shared" ca="1" si="19"/>
        <v>0</v>
      </c>
      <c r="L304" s="9">
        <v>45818</v>
      </c>
      <c r="M304" s="45">
        <v>45828</v>
      </c>
      <c r="N304" s="7">
        <f t="shared" ca="1" si="24"/>
        <v>-10</v>
      </c>
      <c r="O304" s="85">
        <v>45831</v>
      </c>
      <c r="P304" s="19"/>
    </row>
    <row r="305" spans="1:16" ht="14.5">
      <c r="A305" s="19" t="s">
        <v>188</v>
      </c>
      <c r="B305" s="291">
        <v>160</v>
      </c>
      <c r="C305" s="324" t="s">
        <v>96</v>
      </c>
      <c r="D305" s="291" t="s">
        <v>91</v>
      </c>
      <c r="E305" s="145">
        <v>45891</v>
      </c>
      <c r="F305" s="44">
        <v>174.6</v>
      </c>
      <c r="G305" s="46">
        <v>175</v>
      </c>
      <c r="H305" s="44">
        <f t="shared" si="23"/>
        <v>-0.40000000000000568</v>
      </c>
      <c r="I305" s="45">
        <v>45789</v>
      </c>
      <c r="J305" s="45">
        <v>45789</v>
      </c>
      <c r="K305" s="7">
        <f t="shared" ca="1" si="19"/>
        <v>0</v>
      </c>
      <c r="L305" s="9">
        <v>45818</v>
      </c>
      <c r="M305" s="45">
        <v>45796</v>
      </c>
      <c r="N305" s="7">
        <f t="shared" ca="1" si="24"/>
        <v>22</v>
      </c>
      <c r="O305" s="85"/>
      <c r="P305" s="19"/>
    </row>
    <row r="306" spans="1:16" ht="14.5">
      <c r="A306" s="19" t="s">
        <v>188</v>
      </c>
      <c r="B306" s="291">
        <v>160</v>
      </c>
      <c r="C306" s="324" t="s">
        <v>93</v>
      </c>
      <c r="D306" s="291" t="s">
        <v>91</v>
      </c>
      <c r="E306" s="145">
        <v>45891</v>
      </c>
      <c r="F306" s="44">
        <v>512.9</v>
      </c>
      <c r="G306" s="46">
        <v>513</v>
      </c>
      <c r="H306" s="44">
        <f t="shared" si="23"/>
        <v>-0.10000000000002274</v>
      </c>
      <c r="I306" s="45">
        <v>45789</v>
      </c>
      <c r="J306" s="45">
        <v>45789</v>
      </c>
      <c r="K306" s="7">
        <f t="shared" ca="1" si="19"/>
        <v>0</v>
      </c>
      <c r="L306" s="9">
        <v>45822</v>
      </c>
      <c r="M306" s="45">
        <v>45801</v>
      </c>
      <c r="N306" s="7">
        <f t="shared" ca="1" si="24"/>
        <v>21</v>
      </c>
      <c r="O306" s="85"/>
      <c r="P306" s="19"/>
    </row>
    <row r="307" spans="1:16" ht="14.5">
      <c r="A307" s="19" t="s">
        <v>188</v>
      </c>
      <c r="B307" s="291">
        <v>160</v>
      </c>
      <c r="C307" s="324" t="s">
        <v>94</v>
      </c>
      <c r="D307" s="291" t="s">
        <v>845</v>
      </c>
      <c r="E307" s="145">
        <v>45891</v>
      </c>
      <c r="F307" s="44">
        <v>158</v>
      </c>
      <c r="G307" s="46">
        <v>158</v>
      </c>
      <c r="H307" s="44">
        <f t="shared" si="23"/>
        <v>0</v>
      </c>
      <c r="I307" s="45">
        <v>45789</v>
      </c>
      <c r="J307" s="45">
        <v>45789</v>
      </c>
      <c r="K307" s="7">
        <f t="shared" ca="1" si="19"/>
        <v>0</v>
      </c>
      <c r="L307" s="9">
        <v>45818</v>
      </c>
      <c r="M307" s="45">
        <v>45810</v>
      </c>
      <c r="N307" s="7">
        <f t="shared" ca="1" si="24"/>
        <v>8</v>
      </c>
      <c r="O307" s="85"/>
      <c r="P307" s="19"/>
    </row>
    <row r="308" spans="1:16" ht="14.5">
      <c r="A308" s="19" t="s">
        <v>188</v>
      </c>
      <c r="B308" s="291">
        <v>160</v>
      </c>
      <c r="C308" s="324" t="s">
        <v>94</v>
      </c>
      <c r="D308" s="291" t="s">
        <v>844</v>
      </c>
      <c r="E308" s="145">
        <v>45891</v>
      </c>
      <c r="F308" s="44">
        <v>197</v>
      </c>
      <c r="G308" s="46">
        <v>197</v>
      </c>
      <c r="H308" s="44">
        <f t="shared" si="23"/>
        <v>0</v>
      </c>
      <c r="I308" s="45">
        <v>45789</v>
      </c>
      <c r="J308" s="45">
        <v>45789</v>
      </c>
      <c r="K308" s="7">
        <f t="shared" ca="1" si="19"/>
        <v>0</v>
      </c>
      <c r="L308" s="9">
        <v>45818</v>
      </c>
      <c r="M308" s="45">
        <v>45810</v>
      </c>
      <c r="N308" s="7">
        <f t="shared" ca="1" si="24"/>
        <v>8</v>
      </c>
      <c r="O308" s="85"/>
      <c r="P308" s="19"/>
    </row>
    <row r="309" spans="1:16" ht="14.5">
      <c r="A309" s="19" t="s">
        <v>188</v>
      </c>
      <c r="B309" s="291">
        <v>161</v>
      </c>
      <c r="C309" s="324" t="s">
        <v>75</v>
      </c>
      <c r="D309" s="291" t="s">
        <v>91</v>
      </c>
      <c r="E309" s="145">
        <v>45898</v>
      </c>
      <c r="F309" s="44">
        <v>134.6</v>
      </c>
      <c r="G309" s="46">
        <v>135</v>
      </c>
      <c r="H309" s="44">
        <f t="shared" si="23"/>
        <v>-0.40000000000000568</v>
      </c>
      <c r="I309" s="45">
        <v>45789</v>
      </c>
      <c r="J309" s="45">
        <v>45789</v>
      </c>
      <c r="K309" s="7">
        <f t="shared" ca="1" si="19"/>
        <v>0</v>
      </c>
      <c r="L309" s="9">
        <v>45837</v>
      </c>
      <c r="M309" s="45">
        <v>45797</v>
      </c>
      <c r="N309" s="7">
        <f t="shared" ca="1" si="24"/>
        <v>40</v>
      </c>
      <c r="O309" s="85"/>
      <c r="P309" s="19"/>
    </row>
    <row r="310" spans="1:16" ht="14.5">
      <c r="A310" s="19" t="s">
        <v>188</v>
      </c>
      <c r="B310" s="291">
        <v>161</v>
      </c>
      <c r="C310" s="324" t="s">
        <v>82</v>
      </c>
      <c r="D310" s="291" t="s">
        <v>91</v>
      </c>
      <c r="E310" s="145">
        <v>45898</v>
      </c>
      <c r="F310" s="44">
        <v>375</v>
      </c>
      <c r="G310" s="46">
        <v>375</v>
      </c>
      <c r="H310" s="44">
        <f t="shared" si="23"/>
        <v>0</v>
      </c>
      <c r="I310" s="45">
        <v>45789</v>
      </c>
      <c r="J310" s="45">
        <v>45789</v>
      </c>
      <c r="K310" s="7">
        <f t="shared" ca="1" si="19"/>
        <v>0</v>
      </c>
      <c r="L310" s="9">
        <v>45824</v>
      </c>
      <c r="M310" s="45">
        <v>45798</v>
      </c>
      <c r="N310" s="7">
        <f t="shared" ca="1" si="24"/>
        <v>26</v>
      </c>
      <c r="O310" s="85"/>
      <c r="P310" s="19"/>
    </row>
    <row r="311" spans="1:16" ht="14.5">
      <c r="A311" s="19" t="s">
        <v>188</v>
      </c>
      <c r="B311" s="291">
        <v>161</v>
      </c>
      <c r="C311" s="324" t="s">
        <v>80</v>
      </c>
      <c r="D311" s="291" t="s">
        <v>91</v>
      </c>
      <c r="E311" s="145">
        <v>45898</v>
      </c>
      <c r="F311" s="44">
        <v>93.6</v>
      </c>
      <c r="G311" s="46">
        <v>94</v>
      </c>
      <c r="H311" s="44">
        <f t="shared" si="23"/>
        <v>-0.40000000000000568</v>
      </c>
      <c r="I311" s="45">
        <v>45789</v>
      </c>
      <c r="J311" s="45">
        <v>45789</v>
      </c>
      <c r="K311" s="7">
        <f t="shared" ca="1" si="19"/>
        <v>0</v>
      </c>
      <c r="L311" s="9">
        <v>45822</v>
      </c>
      <c r="M311" s="45">
        <v>45806</v>
      </c>
      <c r="N311" s="7">
        <f t="shared" ca="1" si="24"/>
        <v>16</v>
      </c>
      <c r="O311" s="85"/>
      <c r="P311" s="19"/>
    </row>
    <row r="312" spans="1:16" ht="14.5">
      <c r="A312" s="19" t="s">
        <v>188</v>
      </c>
      <c r="B312" s="291">
        <v>162</v>
      </c>
      <c r="C312" s="324" t="s">
        <v>75</v>
      </c>
      <c r="D312" s="291" t="s">
        <v>91</v>
      </c>
      <c r="E312" s="145">
        <v>45898</v>
      </c>
      <c r="F312" s="44">
        <v>157</v>
      </c>
      <c r="G312" s="46">
        <v>157</v>
      </c>
      <c r="H312" s="44">
        <f t="shared" si="23"/>
        <v>0</v>
      </c>
      <c r="I312" s="45">
        <v>45789</v>
      </c>
      <c r="J312" s="45">
        <v>45789</v>
      </c>
      <c r="K312" s="7">
        <f t="shared" ca="1" si="19"/>
        <v>0</v>
      </c>
      <c r="L312" s="9">
        <v>45837</v>
      </c>
      <c r="M312" s="45">
        <v>45797</v>
      </c>
      <c r="N312" s="7">
        <f t="shared" ca="1" si="24"/>
        <v>40</v>
      </c>
      <c r="O312" s="85"/>
      <c r="P312" s="19"/>
    </row>
    <row r="313" spans="1:16" ht="14.5">
      <c r="A313" s="19" t="s">
        <v>188</v>
      </c>
      <c r="B313" s="291">
        <v>162</v>
      </c>
      <c r="C313" s="324" t="s">
        <v>80</v>
      </c>
      <c r="D313" s="291" t="s">
        <v>91</v>
      </c>
      <c r="E313" s="145">
        <v>45898</v>
      </c>
      <c r="F313" s="44">
        <v>110.5</v>
      </c>
      <c r="G313" s="46">
        <v>111</v>
      </c>
      <c r="H313" s="44">
        <f t="shared" si="23"/>
        <v>-0.5</v>
      </c>
      <c r="I313" s="45">
        <v>45789</v>
      </c>
      <c r="J313" s="45">
        <v>45789</v>
      </c>
      <c r="K313" s="7">
        <f t="shared" ca="1" si="19"/>
        <v>0</v>
      </c>
      <c r="L313" s="9">
        <v>45824</v>
      </c>
      <c r="M313" s="45">
        <v>45806</v>
      </c>
      <c r="N313" s="7">
        <f t="shared" ca="1" si="24"/>
        <v>18</v>
      </c>
      <c r="O313" s="85"/>
      <c r="P313" s="19"/>
    </row>
    <row r="314" spans="1:16" ht="14.5">
      <c r="A314" s="19" t="s">
        <v>188</v>
      </c>
      <c r="B314" s="291">
        <v>166</v>
      </c>
      <c r="C314" s="324" t="s">
        <v>79</v>
      </c>
      <c r="D314" s="291" t="s">
        <v>91</v>
      </c>
      <c r="E314" s="145">
        <v>45870</v>
      </c>
      <c r="F314" s="44">
        <v>183</v>
      </c>
      <c r="G314" s="46">
        <v>183</v>
      </c>
      <c r="H314" s="44">
        <f t="shared" si="23"/>
        <v>0</v>
      </c>
      <c r="I314" s="45">
        <v>45793</v>
      </c>
      <c r="J314" s="45">
        <v>45793</v>
      </c>
      <c r="K314" s="7">
        <f t="shared" ca="1" si="19"/>
        <v>0</v>
      </c>
      <c r="L314" s="9">
        <f>I314+10</f>
        <v>45803</v>
      </c>
      <c r="M314" s="45">
        <v>45801</v>
      </c>
      <c r="N314" s="7">
        <f t="shared" ca="1" si="24"/>
        <v>2</v>
      </c>
      <c r="O314" s="85"/>
      <c r="P314" s="19"/>
    </row>
    <row r="315" spans="1:16" ht="14.5">
      <c r="A315" s="19" t="s">
        <v>188</v>
      </c>
      <c r="B315" s="291">
        <v>167</v>
      </c>
      <c r="C315" s="324" t="s">
        <v>75</v>
      </c>
      <c r="D315" s="291" t="s">
        <v>91</v>
      </c>
      <c r="E315" s="145">
        <v>45874</v>
      </c>
      <c r="F315" s="44">
        <v>244.9</v>
      </c>
      <c r="G315" s="46">
        <v>245</v>
      </c>
      <c r="H315" s="44">
        <f t="shared" si="23"/>
        <v>-9.9999999999994316E-2</v>
      </c>
      <c r="I315" s="45">
        <v>45793</v>
      </c>
      <c r="J315" s="45">
        <v>45793</v>
      </c>
      <c r="K315" s="7">
        <f t="shared" ca="1" si="19"/>
        <v>0</v>
      </c>
      <c r="L315" s="9">
        <f>I315+10</f>
        <v>45803</v>
      </c>
      <c r="M315" s="45">
        <v>45797</v>
      </c>
      <c r="N315" s="7">
        <f t="shared" ca="1" si="24"/>
        <v>6</v>
      </c>
      <c r="O315" s="85"/>
      <c r="P315" s="19"/>
    </row>
    <row r="316" spans="1:16" ht="14.5">
      <c r="A316" s="19" t="s">
        <v>188</v>
      </c>
      <c r="B316" s="291">
        <v>167</v>
      </c>
      <c r="C316" s="324" t="s">
        <v>79</v>
      </c>
      <c r="D316" s="291" t="s">
        <v>91</v>
      </c>
      <c r="E316" s="145">
        <v>45874</v>
      </c>
      <c r="F316" s="44">
        <v>169.1</v>
      </c>
      <c r="G316" s="46">
        <v>169</v>
      </c>
      <c r="H316" s="44">
        <f t="shared" si="23"/>
        <v>9.9999999999994316E-2</v>
      </c>
      <c r="I316" s="45">
        <v>45793</v>
      </c>
      <c r="J316" s="45">
        <v>45793</v>
      </c>
      <c r="K316" s="7">
        <f t="shared" ca="1" si="19"/>
        <v>0</v>
      </c>
      <c r="L316" s="9">
        <f>I316+10</f>
        <v>45803</v>
      </c>
      <c r="M316" s="45">
        <v>45801</v>
      </c>
      <c r="N316" s="7">
        <f t="shared" ca="1" si="24"/>
        <v>2</v>
      </c>
      <c r="O316" s="85"/>
      <c r="P316" s="19"/>
    </row>
    <row r="317" spans="1:16" ht="14.5">
      <c r="A317" s="19" t="s">
        <v>188</v>
      </c>
      <c r="B317" s="291">
        <v>167</v>
      </c>
      <c r="C317" s="324" t="s">
        <v>857</v>
      </c>
      <c r="D317" s="291" t="s">
        <v>91</v>
      </c>
      <c r="E317" s="145">
        <v>45874</v>
      </c>
      <c r="F317" s="44">
        <v>280.8</v>
      </c>
      <c r="G317" s="46">
        <v>281</v>
      </c>
      <c r="H317" s="44">
        <f t="shared" si="23"/>
        <v>-0.19999999999998863</v>
      </c>
      <c r="I317" s="45">
        <v>45793</v>
      </c>
      <c r="J317" s="45">
        <v>45793</v>
      </c>
      <c r="K317" s="7">
        <f t="shared" ca="1" si="19"/>
        <v>0</v>
      </c>
      <c r="L317" s="9">
        <f>I317+10</f>
        <v>45803</v>
      </c>
      <c r="M317" s="45">
        <v>45799</v>
      </c>
      <c r="N317" s="7">
        <f t="shared" ca="1" si="24"/>
        <v>4</v>
      </c>
      <c r="O317" s="85"/>
      <c r="P317" s="19"/>
    </row>
    <row r="318" spans="1:16" ht="14.5">
      <c r="A318" s="19" t="s">
        <v>188</v>
      </c>
      <c r="B318" s="291">
        <v>168</v>
      </c>
      <c r="C318" s="324" t="s">
        <v>75</v>
      </c>
      <c r="D318" s="291" t="s">
        <v>91</v>
      </c>
      <c r="E318" s="145">
        <v>45874</v>
      </c>
      <c r="F318" s="44">
        <v>34.5</v>
      </c>
      <c r="G318" s="46">
        <v>35</v>
      </c>
      <c r="H318" s="44">
        <f t="shared" si="23"/>
        <v>-0.5</v>
      </c>
      <c r="I318" s="45">
        <v>45793</v>
      </c>
      <c r="J318" s="45">
        <v>45793</v>
      </c>
      <c r="K318" s="7">
        <f t="shared" ca="1" si="19"/>
        <v>0</v>
      </c>
      <c r="L318" s="9">
        <v>45813</v>
      </c>
      <c r="M318" s="45">
        <v>45797</v>
      </c>
      <c r="N318" s="7">
        <f t="shared" ca="1" si="24"/>
        <v>16</v>
      </c>
      <c r="O318" s="85"/>
      <c r="P318" s="19"/>
    </row>
    <row r="319" spans="1:16" ht="14.5">
      <c r="A319" s="19" t="s">
        <v>188</v>
      </c>
      <c r="B319" s="291">
        <v>168</v>
      </c>
      <c r="C319" s="324" t="s">
        <v>867</v>
      </c>
      <c r="D319" s="291" t="s">
        <v>91</v>
      </c>
      <c r="E319" s="145">
        <v>45874</v>
      </c>
      <c r="F319" s="44">
        <v>76.3</v>
      </c>
      <c r="G319" s="46">
        <v>76</v>
      </c>
      <c r="H319" s="44">
        <f t="shared" si="23"/>
        <v>0.29999999999999716</v>
      </c>
      <c r="I319" s="45">
        <v>45793</v>
      </c>
      <c r="J319" s="45">
        <v>45793</v>
      </c>
      <c r="K319" s="7">
        <f t="shared" ca="1" si="19"/>
        <v>0</v>
      </c>
      <c r="L319" s="9">
        <v>45813</v>
      </c>
      <c r="M319" s="45">
        <v>45796</v>
      </c>
      <c r="N319" s="7">
        <f t="shared" ca="1" si="24"/>
        <v>17</v>
      </c>
      <c r="O319" s="85"/>
      <c r="P319" s="19"/>
    </row>
    <row r="320" spans="1:16" ht="14.5">
      <c r="A320" s="19" t="s">
        <v>188</v>
      </c>
      <c r="B320" s="291">
        <v>168</v>
      </c>
      <c r="C320" s="324" t="s">
        <v>857</v>
      </c>
      <c r="D320" s="291" t="s">
        <v>91</v>
      </c>
      <c r="E320" s="145">
        <v>45874</v>
      </c>
      <c r="F320" s="44">
        <v>39.5</v>
      </c>
      <c r="G320" s="46">
        <v>40</v>
      </c>
      <c r="H320" s="44">
        <f t="shared" si="23"/>
        <v>-0.5</v>
      </c>
      <c r="I320" s="45">
        <v>45793</v>
      </c>
      <c r="J320" s="45">
        <v>45793</v>
      </c>
      <c r="K320" s="7">
        <f t="shared" ca="1" si="19"/>
        <v>0</v>
      </c>
      <c r="L320" s="9">
        <v>45813</v>
      </c>
      <c r="M320" s="45">
        <v>45799</v>
      </c>
      <c r="N320" s="7">
        <f t="shared" ca="1" si="24"/>
        <v>14</v>
      </c>
      <c r="O320" s="85"/>
      <c r="P320" s="19"/>
    </row>
    <row r="321" spans="1:16" ht="14.5">
      <c r="A321" s="19" t="s">
        <v>188</v>
      </c>
      <c r="B321" s="291">
        <v>168</v>
      </c>
      <c r="C321" s="324" t="s">
        <v>868</v>
      </c>
      <c r="D321" s="291" t="s">
        <v>91</v>
      </c>
      <c r="E321" s="145">
        <v>45874</v>
      </c>
      <c r="F321" s="44">
        <v>223.2</v>
      </c>
      <c r="G321" s="46">
        <v>223</v>
      </c>
      <c r="H321" s="44">
        <f t="shared" si="23"/>
        <v>0.19999999999998863</v>
      </c>
      <c r="I321" s="45">
        <v>45793</v>
      </c>
      <c r="J321" s="45">
        <v>45793</v>
      </c>
      <c r="K321" s="7">
        <f t="shared" ca="1" si="19"/>
        <v>0</v>
      </c>
      <c r="L321" s="9">
        <v>45813</v>
      </c>
      <c r="M321" s="45">
        <v>45796</v>
      </c>
      <c r="N321" s="7">
        <f t="shared" ca="1" si="24"/>
        <v>17</v>
      </c>
      <c r="O321" s="85"/>
      <c r="P321" s="19"/>
    </row>
    <row r="322" spans="1:16" ht="14.5">
      <c r="A322" s="19" t="s">
        <v>188</v>
      </c>
      <c r="B322" s="291">
        <v>169</v>
      </c>
      <c r="C322" s="324" t="s">
        <v>79</v>
      </c>
      <c r="D322" s="291" t="s">
        <v>91</v>
      </c>
      <c r="E322" s="145">
        <v>45874</v>
      </c>
      <c r="F322" s="44">
        <v>163.80000000000001</v>
      </c>
      <c r="G322" s="46">
        <v>164</v>
      </c>
      <c r="H322" s="44">
        <f t="shared" si="23"/>
        <v>-0.19999999999998863</v>
      </c>
      <c r="I322" s="45">
        <v>45793</v>
      </c>
      <c r="J322" s="45">
        <v>45793</v>
      </c>
      <c r="K322" s="7">
        <f t="shared" ca="1" si="19"/>
        <v>0</v>
      </c>
      <c r="L322" s="9">
        <v>45829</v>
      </c>
      <c r="M322" s="45">
        <v>45801</v>
      </c>
      <c r="N322" s="7">
        <f t="shared" ca="1" si="24"/>
        <v>28</v>
      </c>
      <c r="O322" s="85"/>
      <c r="P322" s="19"/>
    </row>
    <row r="323" spans="1:16" ht="14.5">
      <c r="A323" s="19" t="s">
        <v>188</v>
      </c>
      <c r="B323" s="291">
        <v>170</v>
      </c>
      <c r="C323" s="324" t="s">
        <v>75</v>
      </c>
      <c r="D323" s="291" t="s">
        <v>91</v>
      </c>
      <c r="E323" s="145">
        <v>45891</v>
      </c>
      <c r="F323" s="44">
        <v>223.3</v>
      </c>
      <c r="G323" s="46">
        <v>223</v>
      </c>
      <c r="H323" s="44">
        <f t="shared" si="23"/>
        <v>0.30000000000001137</v>
      </c>
      <c r="I323" s="45">
        <v>45793</v>
      </c>
      <c r="J323" s="45">
        <v>45793</v>
      </c>
      <c r="K323" s="7">
        <f t="shared" ref="K323:K386" ca="1" si="25">+IF(J323="",I323-TODAY(),I323-J323)</f>
        <v>0</v>
      </c>
      <c r="L323" s="9">
        <v>45829</v>
      </c>
      <c r="M323" s="45">
        <v>45797</v>
      </c>
      <c r="N323" s="7">
        <f t="shared" ca="1" si="24"/>
        <v>32</v>
      </c>
      <c r="O323" s="85"/>
      <c r="P323" s="19"/>
    </row>
    <row r="324" spans="1:16" ht="14.5">
      <c r="A324" s="19" t="s">
        <v>188</v>
      </c>
      <c r="B324" s="291">
        <v>170</v>
      </c>
      <c r="C324" s="324" t="s">
        <v>79</v>
      </c>
      <c r="D324" s="291" t="s">
        <v>91</v>
      </c>
      <c r="E324" s="145">
        <v>45891</v>
      </c>
      <c r="F324" s="44">
        <v>189.4</v>
      </c>
      <c r="G324" s="46">
        <v>189</v>
      </c>
      <c r="H324" s="44">
        <f t="shared" ref="H324:H336" si="26">F324-G324</f>
        <v>0.40000000000000568</v>
      </c>
      <c r="I324" s="45">
        <v>45793</v>
      </c>
      <c r="J324" s="45">
        <v>45793</v>
      </c>
      <c r="K324" s="7">
        <f t="shared" ca="1" si="25"/>
        <v>0</v>
      </c>
      <c r="L324" s="9">
        <v>45829</v>
      </c>
      <c r="M324" s="45">
        <v>45801</v>
      </c>
      <c r="N324" s="7">
        <f t="shared" ref="N324:N336" ca="1" si="27">+IF(M324="",L324-TODAY(),L324-M324)</f>
        <v>28</v>
      </c>
      <c r="O324" s="85"/>
      <c r="P324" s="19"/>
    </row>
    <row r="325" spans="1:16" ht="14.5">
      <c r="A325" s="19" t="s">
        <v>188</v>
      </c>
      <c r="B325" s="291">
        <v>170</v>
      </c>
      <c r="C325" s="324" t="s">
        <v>857</v>
      </c>
      <c r="D325" s="291" t="s">
        <v>91</v>
      </c>
      <c r="E325" s="145">
        <v>45891</v>
      </c>
      <c r="F325" s="44">
        <v>255.9</v>
      </c>
      <c r="G325" s="46">
        <v>256</v>
      </c>
      <c r="H325" s="44">
        <f t="shared" si="26"/>
        <v>-9.9999999999994316E-2</v>
      </c>
      <c r="I325" s="45">
        <v>45793</v>
      </c>
      <c r="J325" s="45">
        <v>45793</v>
      </c>
      <c r="K325" s="7">
        <f t="shared" ca="1" si="25"/>
        <v>0</v>
      </c>
      <c r="L325" s="9">
        <v>45829</v>
      </c>
      <c r="M325" s="45">
        <v>45799</v>
      </c>
      <c r="N325" s="7">
        <f t="shared" ca="1" si="27"/>
        <v>30</v>
      </c>
      <c r="O325" s="85"/>
      <c r="P325" s="19"/>
    </row>
    <row r="326" spans="1:16" ht="14.5">
      <c r="A326" s="19" t="s">
        <v>188</v>
      </c>
      <c r="B326" s="291">
        <v>171</v>
      </c>
      <c r="C326" s="324" t="s">
        <v>75</v>
      </c>
      <c r="D326" s="291" t="s">
        <v>91</v>
      </c>
      <c r="E326" s="145">
        <v>45891</v>
      </c>
      <c r="F326" s="44">
        <v>37.299999999999997</v>
      </c>
      <c r="G326" s="46">
        <v>37</v>
      </c>
      <c r="H326" s="44">
        <f t="shared" si="26"/>
        <v>0.29999999999999716</v>
      </c>
      <c r="I326" s="45">
        <v>45793</v>
      </c>
      <c r="J326" s="45">
        <v>45793</v>
      </c>
      <c r="K326" s="7">
        <f t="shared" ca="1" si="25"/>
        <v>0</v>
      </c>
      <c r="L326" s="9">
        <v>45830</v>
      </c>
      <c r="M326" s="45">
        <v>45797</v>
      </c>
      <c r="N326" s="7">
        <f t="shared" ca="1" si="27"/>
        <v>33</v>
      </c>
      <c r="O326" s="85"/>
      <c r="P326" s="19"/>
    </row>
    <row r="327" spans="1:16" ht="14.5">
      <c r="A327" s="19" t="s">
        <v>188</v>
      </c>
      <c r="B327" s="291">
        <v>171</v>
      </c>
      <c r="C327" s="324" t="s">
        <v>77</v>
      </c>
      <c r="D327" s="291" t="s">
        <v>91</v>
      </c>
      <c r="E327" s="145">
        <v>45891</v>
      </c>
      <c r="F327" s="44">
        <v>1536.2</v>
      </c>
      <c r="G327" s="46">
        <v>1536</v>
      </c>
      <c r="H327" s="44">
        <f t="shared" si="26"/>
        <v>0.20000000000004547</v>
      </c>
      <c r="I327" s="45">
        <v>45793</v>
      </c>
      <c r="J327" s="45">
        <v>45793</v>
      </c>
      <c r="K327" s="7">
        <f t="shared" ca="1" si="25"/>
        <v>0</v>
      </c>
      <c r="L327" s="9">
        <v>45830</v>
      </c>
      <c r="M327" s="45">
        <v>45796</v>
      </c>
      <c r="N327" s="7">
        <f t="shared" ca="1" si="27"/>
        <v>34</v>
      </c>
      <c r="O327" s="85"/>
      <c r="P327" s="19"/>
    </row>
    <row r="328" spans="1:16" ht="14.5">
      <c r="A328" s="19" t="s">
        <v>188</v>
      </c>
      <c r="B328" s="291">
        <v>171</v>
      </c>
      <c r="C328" s="324" t="s">
        <v>867</v>
      </c>
      <c r="D328" s="291" t="s">
        <v>91</v>
      </c>
      <c r="E328" s="145">
        <v>45891</v>
      </c>
      <c r="F328" s="44">
        <v>51</v>
      </c>
      <c r="G328" s="46">
        <v>51</v>
      </c>
      <c r="H328" s="44">
        <f t="shared" si="26"/>
        <v>0</v>
      </c>
      <c r="I328" s="45">
        <v>45793</v>
      </c>
      <c r="J328" s="45">
        <v>45793</v>
      </c>
      <c r="K328" s="7">
        <f t="shared" ca="1" si="25"/>
        <v>0</v>
      </c>
      <c r="L328" s="9">
        <v>45830</v>
      </c>
      <c r="M328" s="45">
        <v>45796</v>
      </c>
      <c r="N328" s="7">
        <f t="shared" ca="1" si="27"/>
        <v>34</v>
      </c>
      <c r="O328" s="85"/>
      <c r="P328" s="19"/>
    </row>
    <row r="329" spans="1:16" ht="14.5">
      <c r="A329" s="19" t="s">
        <v>188</v>
      </c>
      <c r="B329" s="291">
        <v>171</v>
      </c>
      <c r="C329" s="324" t="s">
        <v>857</v>
      </c>
      <c r="D329" s="291" t="s">
        <v>91</v>
      </c>
      <c r="E329" s="145">
        <v>45891</v>
      </c>
      <c r="F329" s="44">
        <v>43.1</v>
      </c>
      <c r="G329" s="46">
        <v>43</v>
      </c>
      <c r="H329" s="44">
        <f t="shared" si="26"/>
        <v>0.10000000000000142</v>
      </c>
      <c r="I329" s="45">
        <v>45793</v>
      </c>
      <c r="J329" s="45">
        <v>45793</v>
      </c>
      <c r="K329" s="7">
        <f t="shared" ca="1" si="25"/>
        <v>0</v>
      </c>
      <c r="L329" s="9">
        <v>45830</v>
      </c>
      <c r="M329" s="45">
        <v>45799</v>
      </c>
      <c r="N329" s="7">
        <f t="shared" ca="1" si="27"/>
        <v>31</v>
      </c>
      <c r="O329" s="85"/>
      <c r="P329" s="19"/>
    </row>
    <row r="330" spans="1:16" ht="14.5">
      <c r="A330" s="19" t="s">
        <v>188</v>
      </c>
      <c r="B330" s="291">
        <v>171</v>
      </c>
      <c r="C330" s="324" t="s">
        <v>868</v>
      </c>
      <c r="D330" s="291" t="s">
        <v>91</v>
      </c>
      <c r="E330" s="145">
        <v>45891</v>
      </c>
      <c r="F330" s="44">
        <v>149.1</v>
      </c>
      <c r="G330" s="46">
        <v>149</v>
      </c>
      <c r="H330" s="44">
        <f t="shared" si="26"/>
        <v>9.9999999999994316E-2</v>
      </c>
      <c r="I330" s="45">
        <v>45793</v>
      </c>
      <c r="J330" s="45">
        <v>45793</v>
      </c>
      <c r="K330" s="7">
        <f t="shared" ca="1" si="25"/>
        <v>0</v>
      </c>
      <c r="L330" s="9">
        <v>45830</v>
      </c>
      <c r="M330" s="45">
        <v>45796</v>
      </c>
      <c r="N330" s="7">
        <f t="shared" ca="1" si="27"/>
        <v>34</v>
      </c>
      <c r="O330" s="85"/>
      <c r="P330" s="19"/>
    </row>
    <row r="331" spans="1:16" ht="14.5">
      <c r="A331" s="19" t="s">
        <v>188</v>
      </c>
      <c r="B331" s="291">
        <v>171</v>
      </c>
      <c r="C331" s="324" t="s">
        <v>80</v>
      </c>
      <c r="D331" s="291" t="s">
        <v>91</v>
      </c>
      <c r="E331" s="145">
        <v>45891</v>
      </c>
      <c r="F331" s="44">
        <v>917.5</v>
      </c>
      <c r="G331" s="46">
        <v>918</v>
      </c>
      <c r="H331" s="44">
        <f t="shared" si="26"/>
        <v>-0.5</v>
      </c>
      <c r="I331" s="45">
        <v>45793</v>
      </c>
      <c r="J331" s="45">
        <v>45793</v>
      </c>
      <c r="K331" s="7">
        <f t="shared" ca="1" si="25"/>
        <v>0</v>
      </c>
      <c r="L331" s="9">
        <v>45817</v>
      </c>
      <c r="M331" s="45">
        <v>45806</v>
      </c>
      <c r="N331" s="7">
        <f t="shared" ca="1" si="27"/>
        <v>11</v>
      </c>
      <c r="O331" s="85"/>
      <c r="P331" s="19"/>
    </row>
    <row r="332" spans="1:16" ht="14.5">
      <c r="A332" s="19" t="s">
        <v>188</v>
      </c>
      <c r="B332" s="291">
        <v>172</v>
      </c>
      <c r="C332" s="324" t="s">
        <v>75</v>
      </c>
      <c r="D332" s="291" t="s">
        <v>91</v>
      </c>
      <c r="E332" s="145">
        <v>45891</v>
      </c>
      <c r="F332" s="44">
        <v>391.5</v>
      </c>
      <c r="G332" s="46">
        <v>392</v>
      </c>
      <c r="H332" s="44">
        <f t="shared" si="26"/>
        <v>-0.5</v>
      </c>
      <c r="I332" s="45">
        <v>45793</v>
      </c>
      <c r="J332" s="45">
        <v>45793</v>
      </c>
      <c r="K332" s="7">
        <f t="shared" ca="1" si="25"/>
        <v>0</v>
      </c>
      <c r="L332" s="9">
        <v>45830</v>
      </c>
      <c r="M332" s="45">
        <v>45801</v>
      </c>
      <c r="N332" s="7">
        <f t="shared" ca="1" si="27"/>
        <v>29</v>
      </c>
      <c r="O332" s="85"/>
      <c r="P332" s="19"/>
    </row>
    <row r="333" spans="1:16" ht="14.5">
      <c r="A333" s="19" t="s">
        <v>188</v>
      </c>
      <c r="B333" s="291">
        <v>172</v>
      </c>
      <c r="C333" s="324" t="s">
        <v>857</v>
      </c>
      <c r="D333" s="291" t="s">
        <v>91</v>
      </c>
      <c r="E333" s="145">
        <v>45891</v>
      </c>
      <c r="F333" s="44">
        <v>448.9</v>
      </c>
      <c r="G333" s="46">
        <v>449</v>
      </c>
      <c r="H333" s="44">
        <f t="shared" si="26"/>
        <v>-0.10000000000002274</v>
      </c>
      <c r="I333" s="45">
        <v>45793</v>
      </c>
      <c r="J333" s="45">
        <v>45793</v>
      </c>
      <c r="K333" s="7">
        <f t="shared" ca="1" si="25"/>
        <v>0</v>
      </c>
      <c r="L333" s="9">
        <v>45830</v>
      </c>
      <c r="M333" s="45">
        <v>45799</v>
      </c>
      <c r="N333" s="7">
        <f t="shared" ca="1" si="27"/>
        <v>31</v>
      </c>
      <c r="O333" s="85"/>
      <c r="P333" s="19"/>
    </row>
    <row r="334" spans="1:16" ht="14.5">
      <c r="A334" s="19" t="s">
        <v>188</v>
      </c>
      <c r="B334" s="291">
        <v>173</v>
      </c>
      <c r="C334" s="324" t="s">
        <v>75</v>
      </c>
      <c r="D334" s="291" t="s">
        <v>91</v>
      </c>
      <c r="E334" s="145">
        <v>45891</v>
      </c>
      <c r="F334" s="44">
        <v>152.80000000000001</v>
      </c>
      <c r="G334" s="46">
        <v>153</v>
      </c>
      <c r="H334" s="44">
        <f t="shared" si="26"/>
        <v>-0.19999999999998863</v>
      </c>
      <c r="I334" s="45">
        <v>45793</v>
      </c>
      <c r="J334" s="45">
        <v>45793</v>
      </c>
      <c r="K334" s="7">
        <f t="shared" ca="1" si="25"/>
        <v>0</v>
      </c>
      <c r="L334" s="9">
        <v>45830</v>
      </c>
      <c r="M334" s="45">
        <v>45801</v>
      </c>
      <c r="N334" s="7">
        <f t="shared" ca="1" si="27"/>
        <v>29</v>
      </c>
      <c r="O334" s="85"/>
      <c r="P334" s="19"/>
    </row>
    <row r="335" spans="1:16" ht="14.5">
      <c r="A335" s="19" t="s">
        <v>188</v>
      </c>
      <c r="B335" s="291">
        <v>173</v>
      </c>
      <c r="C335" s="324" t="s">
        <v>79</v>
      </c>
      <c r="D335" s="291" t="s">
        <v>91</v>
      </c>
      <c r="E335" s="145">
        <v>45891</v>
      </c>
      <c r="F335" s="44">
        <v>154.1</v>
      </c>
      <c r="G335" s="46">
        <v>154</v>
      </c>
      <c r="H335" s="44">
        <f t="shared" si="26"/>
        <v>9.9999999999994316E-2</v>
      </c>
      <c r="I335" s="45">
        <v>45793</v>
      </c>
      <c r="J335" s="45">
        <v>45793</v>
      </c>
      <c r="K335" s="7">
        <f t="shared" ca="1" si="25"/>
        <v>0</v>
      </c>
      <c r="L335" s="9">
        <v>45830</v>
      </c>
      <c r="M335" s="45">
        <v>45801</v>
      </c>
      <c r="N335" s="7">
        <f t="shared" ca="1" si="27"/>
        <v>29</v>
      </c>
      <c r="O335" s="85"/>
      <c r="P335" s="19"/>
    </row>
    <row r="336" spans="1:16" ht="14.5">
      <c r="A336" s="19" t="s">
        <v>188</v>
      </c>
      <c r="B336" s="291">
        <v>173</v>
      </c>
      <c r="C336" s="324" t="s">
        <v>857</v>
      </c>
      <c r="D336" s="291" t="s">
        <v>91</v>
      </c>
      <c r="E336" s="145">
        <v>45891</v>
      </c>
      <c r="F336" s="44">
        <v>175.2</v>
      </c>
      <c r="G336" s="46">
        <v>175</v>
      </c>
      <c r="H336" s="44">
        <f t="shared" si="26"/>
        <v>0.19999999999998863</v>
      </c>
      <c r="I336" s="45">
        <v>45793</v>
      </c>
      <c r="J336" s="45">
        <v>45793</v>
      </c>
      <c r="K336" s="7">
        <f t="shared" ca="1" si="25"/>
        <v>0</v>
      </c>
      <c r="L336" s="9">
        <v>45830</v>
      </c>
      <c r="M336" s="45">
        <v>45799</v>
      </c>
      <c r="N336" s="7">
        <f t="shared" ca="1" si="27"/>
        <v>31</v>
      </c>
      <c r="O336" s="85"/>
      <c r="P336" s="19"/>
    </row>
    <row r="337" spans="1:16" ht="14.5">
      <c r="A337" s="19" t="s">
        <v>188</v>
      </c>
      <c r="B337" s="291">
        <v>179</v>
      </c>
      <c r="C337" s="324" t="s">
        <v>75</v>
      </c>
      <c r="D337" s="291" t="s">
        <v>91</v>
      </c>
      <c r="E337" s="145">
        <v>45885</v>
      </c>
      <c r="F337" s="44">
        <v>62.9</v>
      </c>
      <c r="G337" s="46">
        <v>63</v>
      </c>
      <c r="H337" s="44">
        <f t="shared" ref="H337" si="28">F337-G337</f>
        <v>-0.10000000000000142</v>
      </c>
      <c r="I337" s="45">
        <f>L337-18</f>
        <v>45806</v>
      </c>
      <c r="J337" s="45">
        <v>45806</v>
      </c>
      <c r="K337" s="7">
        <f t="shared" ca="1" si="25"/>
        <v>0</v>
      </c>
      <c r="L337" s="9">
        <v>45824</v>
      </c>
      <c r="M337" s="45">
        <v>45806</v>
      </c>
      <c r="N337" s="7">
        <f t="shared" ref="N337" ca="1" si="29">+IF(M337="",L337-TODAY(),L337-M337)</f>
        <v>18</v>
      </c>
      <c r="O337" s="85"/>
      <c r="P337" s="19"/>
    </row>
    <row r="338" spans="1:16" ht="14.5">
      <c r="A338" s="19" t="s">
        <v>188</v>
      </c>
      <c r="B338" s="291">
        <v>179</v>
      </c>
      <c r="C338" s="324" t="s">
        <v>77</v>
      </c>
      <c r="D338" s="291" t="s">
        <v>91</v>
      </c>
      <c r="E338" s="145">
        <v>45885</v>
      </c>
      <c r="F338" s="44">
        <v>139</v>
      </c>
      <c r="G338" s="46">
        <v>139</v>
      </c>
      <c r="H338" s="44">
        <f t="shared" ref="H338:H396" si="30">F338-G338</f>
        <v>0</v>
      </c>
      <c r="I338" s="45">
        <v>45806</v>
      </c>
      <c r="J338" s="45">
        <v>45806</v>
      </c>
      <c r="K338" s="7">
        <f t="shared" ca="1" si="25"/>
        <v>0</v>
      </c>
      <c r="L338" s="9">
        <v>45825</v>
      </c>
      <c r="M338" s="45">
        <v>45807</v>
      </c>
      <c r="N338" s="7">
        <f t="shared" ref="N338:N396" ca="1" si="31">+IF(M338="",L338-TODAY(),L338-M338)</f>
        <v>18</v>
      </c>
      <c r="O338" s="85"/>
      <c r="P338" s="19"/>
    </row>
    <row r="339" spans="1:16" ht="14.5">
      <c r="A339" s="19" t="s">
        <v>188</v>
      </c>
      <c r="B339" s="291">
        <v>179</v>
      </c>
      <c r="C339" s="324" t="s">
        <v>79</v>
      </c>
      <c r="D339" s="291" t="s">
        <v>91</v>
      </c>
      <c r="E339" s="145">
        <v>45885</v>
      </c>
      <c r="F339" s="44">
        <v>126</v>
      </c>
      <c r="G339" s="46">
        <v>126</v>
      </c>
      <c r="H339" s="44">
        <f t="shared" si="30"/>
        <v>0</v>
      </c>
      <c r="I339" s="45">
        <v>45806</v>
      </c>
      <c r="J339" s="45">
        <v>45806</v>
      </c>
      <c r="K339" s="7">
        <f t="shared" ca="1" si="25"/>
        <v>0</v>
      </c>
      <c r="L339" s="9">
        <v>45825</v>
      </c>
      <c r="M339" s="45">
        <v>45806</v>
      </c>
      <c r="N339" s="7">
        <f t="shared" ca="1" si="31"/>
        <v>19</v>
      </c>
      <c r="O339" s="85"/>
      <c r="P339" s="19"/>
    </row>
    <row r="340" spans="1:16" ht="14.5">
      <c r="A340" s="19" t="s">
        <v>188</v>
      </c>
      <c r="B340" s="291">
        <v>179</v>
      </c>
      <c r="C340" s="324" t="s">
        <v>857</v>
      </c>
      <c r="D340" s="291" t="s">
        <v>91</v>
      </c>
      <c r="E340" s="145">
        <v>45885</v>
      </c>
      <c r="F340" s="44">
        <v>72.2</v>
      </c>
      <c r="G340" s="46">
        <v>72</v>
      </c>
      <c r="H340" s="44">
        <f t="shared" si="30"/>
        <v>0.20000000000000284</v>
      </c>
      <c r="I340" s="45">
        <f>L340-18</f>
        <v>45806</v>
      </c>
      <c r="J340" s="45">
        <v>45806</v>
      </c>
      <c r="K340" s="7">
        <f t="shared" ca="1" si="25"/>
        <v>0</v>
      </c>
      <c r="L340" s="9">
        <v>45824</v>
      </c>
      <c r="M340" s="45">
        <v>45806</v>
      </c>
      <c r="N340" s="7">
        <f t="shared" ca="1" si="31"/>
        <v>18</v>
      </c>
      <c r="O340" s="85"/>
      <c r="P340" s="19"/>
    </row>
    <row r="341" spans="1:16" ht="14.5">
      <c r="A341" s="19" t="s">
        <v>188</v>
      </c>
      <c r="B341" s="291">
        <v>180</v>
      </c>
      <c r="C341" s="324" t="s">
        <v>75</v>
      </c>
      <c r="D341" s="291" t="s">
        <v>91</v>
      </c>
      <c r="E341" s="145">
        <v>45885</v>
      </c>
      <c r="F341" s="44">
        <v>187.4</v>
      </c>
      <c r="G341" s="46">
        <v>187</v>
      </c>
      <c r="H341" s="44">
        <f t="shared" si="30"/>
        <v>0.40000000000000568</v>
      </c>
      <c r="I341" s="45">
        <v>45806</v>
      </c>
      <c r="J341" s="45">
        <v>45806</v>
      </c>
      <c r="K341" s="7">
        <f t="shared" ca="1" si="25"/>
        <v>0</v>
      </c>
      <c r="L341" s="9">
        <v>45824</v>
      </c>
      <c r="M341" s="45">
        <v>45806</v>
      </c>
      <c r="N341" s="7">
        <f t="shared" ca="1" si="31"/>
        <v>18</v>
      </c>
      <c r="O341" s="85"/>
      <c r="P341" s="19"/>
    </row>
    <row r="342" spans="1:16" ht="14.5">
      <c r="A342" s="19" t="s">
        <v>188</v>
      </c>
      <c r="B342" s="291">
        <v>180</v>
      </c>
      <c r="C342" s="324" t="s">
        <v>857</v>
      </c>
      <c r="D342" s="291" t="s">
        <v>91</v>
      </c>
      <c r="E342" s="145">
        <v>45885</v>
      </c>
      <c r="F342" s="44">
        <v>214.8</v>
      </c>
      <c r="G342" s="46">
        <v>215</v>
      </c>
      <c r="H342" s="44">
        <f t="shared" si="30"/>
        <v>-0.19999999999998863</v>
      </c>
      <c r="I342" s="45">
        <v>45806</v>
      </c>
      <c r="J342" s="45">
        <v>45806</v>
      </c>
      <c r="K342" s="7">
        <f t="shared" ca="1" si="25"/>
        <v>0</v>
      </c>
      <c r="L342" s="9">
        <v>45824</v>
      </c>
      <c r="M342" s="45">
        <v>45806</v>
      </c>
      <c r="N342" s="7">
        <f t="shared" ca="1" si="31"/>
        <v>18</v>
      </c>
      <c r="O342" s="85"/>
      <c r="P342" s="19"/>
    </row>
    <row r="343" spans="1:16" ht="14.5">
      <c r="A343" s="19" t="s">
        <v>188</v>
      </c>
      <c r="B343" s="291">
        <v>181</v>
      </c>
      <c r="C343" s="324" t="s">
        <v>75</v>
      </c>
      <c r="D343" s="291" t="s">
        <v>91</v>
      </c>
      <c r="E343" s="145">
        <v>45885</v>
      </c>
      <c r="F343" s="44">
        <v>134.69999999999999</v>
      </c>
      <c r="G343" s="46">
        <v>135</v>
      </c>
      <c r="H343" s="44">
        <f t="shared" si="30"/>
        <v>-0.30000000000001137</v>
      </c>
      <c r="I343" s="45">
        <v>45806</v>
      </c>
      <c r="J343" s="45">
        <v>45806</v>
      </c>
      <c r="K343" s="7">
        <f t="shared" ca="1" si="25"/>
        <v>0</v>
      </c>
      <c r="L343" s="9">
        <v>45824</v>
      </c>
      <c r="M343" s="45">
        <v>45806</v>
      </c>
      <c r="N343" s="7">
        <f t="shared" ca="1" si="31"/>
        <v>18</v>
      </c>
      <c r="O343" s="85"/>
      <c r="P343" s="19"/>
    </row>
    <row r="344" spans="1:16" ht="14.5">
      <c r="A344" s="19" t="s">
        <v>188</v>
      </c>
      <c r="B344" s="291">
        <v>181</v>
      </c>
      <c r="C344" s="324" t="s">
        <v>77</v>
      </c>
      <c r="D344" s="291" t="s">
        <v>91</v>
      </c>
      <c r="E344" s="145">
        <v>45885</v>
      </c>
      <c r="F344" s="44">
        <v>144.1</v>
      </c>
      <c r="G344" s="46">
        <v>144</v>
      </c>
      <c r="H344" s="44">
        <f t="shared" si="30"/>
        <v>9.9999999999994316E-2</v>
      </c>
      <c r="I344" s="45">
        <v>45806</v>
      </c>
      <c r="J344" s="45">
        <v>45806</v>
      </c>
      <c r="K344" s="7">
        <f t="shared" ca="1" si="25"/>
        <v>0</v>
      </c>
      <c r="L344" s="9">
        <v>45825</v>
      </c>
      <c r="M344" s="45">
        <v>45807</v>
      </c>
      <c r="N344" s="7">
        <f t="shared" ca="1" si="31"/>
        <v>18</v>
      </c>
      <c r="O344" s="85"/>
      <c r="P344" s="19"/>
    </row>
    <row r="345" spans="1:16" ht="14.5">
      <c r="A345" s="19" t="s">
        <v>188</v>
      </c>
      <c r="B345" s="291">
        <v>181</v>
      </c>
      <c r="C345" s="324" t="s">
        <v>867</v>
      </c>
      <c r="D345" s="291" t="s">
        <v>91</v>
      </c>
      <c r="E345" s="145">
        <v>45885</v>
      </c>
      <c r="F345" s="44">
        <v>30.5</v>
      </c>
      <c r="G345" s="46">
        <v>31</v>
      </c>
      <c r="H345" s="44">
        <f t="shared" si="30"/>
        <v>-0.5</v>
      </c>
      <c r="I345" s="45">
        <v>45806</v>
      </c>
      <c r="J345" s="45">
        <v>45806</v>
      </c>
      <c r="K345" s="7">
        <f t="shared" ca="1" si="25"/>
        <v>0</v>
      </c>
      <c r="L345" s="9">
        <v>45825</v>
      </c>
      <c r="M345" s="45">
        <v>45806</v>
      </c>
      <c r="N345" s="7">
        <f t="shared" ca="1" si="31"/>
        <v>19</v>
      </c>
      <c r="O345" s="85"/>
      <c r="P345" s="19"/>
    </row>
    <row r="346" spans="1:16" ht="14.5">
      <c r="A346" s="19" t="s">
        <v>188</v>
      </c>
      <c r="B346" s="291">
        <v>181</v>
      </c>
      <c r="C346" s="324" t="s">
        <v>79</v>
      </c>
      <c r="D346" s="291" t="s">
        <v>91</v>
      </c>
      <c r="E346" s="145">
        <v>45885</v>
      </c>
      <c r="F346" s="44">
        <v>130.1</v>
      </c>
      <c r="G346" s="46">
        <v>130</v>
      </c>
      <c r="H346" s="44">
        <f t="shared" si="30"/>
        <v>9.9999999999994316E-2</v>
      </c>
      <c r="I346" s="45">
        <v>45806</v>
      </c>
      <c r="J346" s="45">
        <v>45806</v>
      </c>
      <c r="K346" s="7">
        <f t="shared" ca="1" si="25"/>
        <v>0</v>
      </c>
      <c r="L346" s="9">
        <v>45825</v>
      </c>
      <c r="M346" s="45">
        <v>45806</v>
      </c>
      <c r="N346" s="7">
        <f t="shared" ca="1" si="31"/>
        <v>19</v>
      </c>
      <c r="O346" s="85"/>
      <c r="P346" s="19"/>
    </row>
    <row r="347" spans="1:16" ht="14.5">
      <c r="A347" s="19" t="s">
        <v>188</v>
      </c>
      <c r="B347" s="291">
        <v>181</v>
      </c>
      <c r="C347" s="324" t="s">
        <v>868</v>
      </c>
      <c r="D347" s="291" t="s">
        <v>91</v>
      </c>
      <c r="E347" s="145">
        <v>45885</v>
      </c>
      <c r="F347" s="44">
        <v>89.2</v>
      </c>
      <c r="G347" s="46">
        <v>89</v>
      </c>
      <c r="H347" s="44">
        <f t="shared" si="30"/>
        <v>0.20000000000000284</v>
      </c>
      <c r="I347" s="45">
        <v>45806</v>
      </c>
      <c r="J347" s="45">
        <v>45806</v>
      </c>
      <c r="K347" s="7">
        <f t="shared" ca="1" si="25"/>
        <v>0</v>
      </c>
      <c r="L347" s="9">
        <v>45825</v>
      </c>
      <c r="M347" s="45">
        <v>45807</v>
      </c>
      <c r="N347" s="7">
        <f t="shared" ca="1" si="31"/>
        <v>18</v>
      </c>
      <c r="O347" s="85"/>
      <c r="P347" s="19"/>
    </row>
    <row r="348" spans="1:16" ht="14.5">
      <c r="A348" s="19" t="s">
        <v>188</v>
      </c>
      <c r="B348" s="291">
        <v>181</v>
      </c>
      <c r="C348" s="324" t="s">
        <v>857</v>
      </c>
      <c r="D348" s="291" t="s">
        <v>91</v>
      </c>
      <c r="E348" s="145">
        <v>45885</v>
      </c>
      <c r="F348" s="44">
        <v>154.4</v>
      </c>
      <c r="G348" s="46">
        <v>154</v>
      </c>
      <c r="H348" s="44">
        <f t="shared" si="30"/>
        <v>0.40000000000000568</v>
      </c>
      <c r="I348" s="45">
        <v>45806</v>
      </c>
      <c r="J348" s="45">
        <v>45806</v>
      </c>
      <c r="K348" s="7">
        <f t="shared" ca="1" si="25"/>
        <v>0</v>
      </c>
      <c r="L348" s="9">
        <v>45824</v>
      </c>
      <c r="M348" s="45">
        <v>45806</v>
      </c>
      <c r="N348" s="7">
        <f t="shared" ca="1" si="31"/>
        <v>18</v>
      </c>
      <c r="O348" s="85"/>
      <c r="P348" s="19"/>
    </row>
    <row r="349" spans="1:16" ht="14.5">
      <c r="A349" s="19" t="s">
        <v>188</v>
      </c>
      <c r="B349" s="291">
        <v>182</v>
      </c>
      <c r="C349" s="324" t="s">
        <v>75</v>
      </c>
      <c r="D349" s="291" t="s">
        <v>91</v>
      </c>
      <c r="E349" s="145">
        <v>45885</v>
      </c>
      <c r="F349" s="44">
        <v>350.8</v>
      </c>
      <c r="G349" s="46">
        <v>351</v>
      </c>
      <c r="H349" s="44">
        <f t="shared" si="30"/>
        <v>-0.19999999999998863</v>
      </c>
      <c r="I349" s="45">
        <v>45806</v>
      </c>
      <c r="J349" s="45">
        <v>45806</v>
      </c>
      <c r="K349" s="7">
        <f t="shared" ca="1" si="25"/>
        <v>0</v>
      </c>
      <c r="L349" s="9">
        <v>45824</v>
      </c>
      <c r="M349" s="45">
        <v>45806</v>
      </c>
      <c r="N349" s="7">
        <f t="shared" ca="1" si="31"/>
        <v>18</v>
      </c>
      <c r="O349" s="85"/>
      <c r="P349" s="19"/>
    </row>
    <row r="350" spans="1:16" ht="14.5">
      <c r="A350" s="19" t="s">
        <v>188</v>
      </c>
      <c r="B350" s="291">
        <v>182</v>
      </c>
      <c r="C350" s="324" t="s">
        <v>867</v>
      </c>
      <c r="D350" s="291" t="s">
        <v>91</v>
      </c>
      <c r="E350" s="145">
        <v>45885</v>
      </c>
      <c r="F350" s="44">
        <v>20</v>
      </c>
      <c r="G350" s="46">
        <v>20</v>
      </c>
      <c r="H350" s="44">
        <f t="shared" si="30"/>
        <v>0</v>
      </c>
      <c r="I350" s="45">
        <v>45806</v>
      </c>
      <c r="J350" s="45">
        <v>45806</v>
      </c>
      <c r="K350" s="7">
        <f t="shared" ca="1" si="25"/>
        <v>0</v>
      </c>
      <c r="L350" s="9">
        <v>45824</v>
      </c>
      <c r="M350" s="45">
        <v>45806</v>
      </c>
      <c r="N350" s="7">
        <f t="shared" ca="1" si="31"/>
        <v>18</v>
      </c>
      <c r="O350" s="85"/>
      <c r="P350" s="19"/>
    </row>
    <row r="351" spans="1:16" ht="14.5">
      <c r="A351" s="19" t="s">
        <v>188</v>
      </c>
      <c r="B351" s="291">
        <v>182</v>
      </c>
      <c r="C351" s="324" t="s">
        <v>868</v>
      </c>
      <c r="D351" s="291" t="s">
        <v>91</v>
      </c>
      <c r="E351" s="145">
        <v>45885</v>
      </c>
      <c r="F351" s="44">
        <v>58.5</v>
      </c>
      <c r="G351" s="46">
        <v>59</v>
      </c>
      <c r="H351" s="44">
        <f t="shared" si="30"/>
        <v>-0.5</v>
      </c>
      <c r="I351" s="45">
        <v>45806</v>
      </c>
      <c r="J351" s="45">
        <v>45806</v>
      </c>
      <c r="K351" s="7">
        <f t="shared" ca="1" si="25"/>
        <v>0</v>
      </c>
      <c r="L351" s="9">
        <v>45824</v>
      </c>
      <c r="M351" s="45">
        <v>45807</v>
      </c>
      <c r="N351" s="7">
        <f t="shared" ca="1" si="31"/>
        <v>17</v>
      </c>
      <c r="O351" s="85"/>
      <c r="P351" s="19"/>
    </row>
    <row r="352" spans="1:16" ht="14.5">
      <c r="A352" s="19" t="s">
        <v>188</v>
      </c>
      <c r="B352" s="291">
        <v>182</v>
      </c>
      <c r="C352" s="324" t="s">
        <v>857</v>
      </c>
      <c r="D352" s="291" t="s">
        <v>91</v>
      </c>
      <c r="E352" s="145">
        <v>45885</v>
      </c>
      <c r="F352" s="44">
        <v>402.2</v>
      </c>
      <c r="G352" s="46">
        <v>402</v>
      </c>
      <c r="H352" s="44">
        <f t="shared" si="30"/>
        <v>0.19999999999998863</v>
      </c>
      <c r="I352" s="45">
        <v>45806</v>
      </c>
      <c r="J352" s="45">
        <v>45806</v>
      </c>
      <c r="K352" s="7">
        <f t="shared" ca="1" si="25"/>
        <v>0</v>
      </c>
      <c r="L352" s="9">
        <v>45824</v>
      </c>
      <c r="M352" s="45">
        <v>45806</v>
      </c>
      <c r="N352" s="7">
        <f t="shared" ca="1" si="31"/>
        <v>18</v>
      </c>
      <c r="O352" s="85"/>
      <c r="P352" s="19"/>
    </row>
    <row r="353" spans="1:16" ht="14.5">
      <c r="A353" s="19" t="s">
        <v>188</v>
      </c>
      <c r="B353" s="291">
        <v>183</v>
      </c>
      <c r="C353" s="324" t="s">
        <v>75</v>
      </c>
      <c r="D353" s="291" t="s">
        <v>91</v>
      </c>
      <c r="E353" s="145">
        <v>45885</v>
      </c>
      <c r="F353" s="44">
        <v>106.4</v>
      </c>
      <c r="G353" s="46">
        <v>106</v>
      </c>
      <c r="H353" s="44">
        <f t="shared" si="30"/>
        <v>0.40000000000000568</v>
      </c>
      <c r="I353" s="45">
        <v>45806</v>
      </c>
      <c r="J353" s="45">
        <v>45806</v>
      </c>
      <c r="K353" s="7">
        <f t="shared" ca="1" si="25"/>
        <v>0</v>
      </c>
      <c r="L353" s="9">
        <v>45824</v>
      </c>
      <c r="M353" s="45">
        <v>45806</v>
      </c>
      <c r="N353" s="7">
        <f t="shared" ca="1" si="31"/>
        <v>18</v>
      </c>
      <c r="O353" s="85"/>
      <c r="P353" s="19"/>
    </row>
    <row r="354" spans="1:16" ht="14.5">
      <c r="A354" s="19" t="s">
        <v>188</v>
      </c>
      <c r="B354" s="291">
        <v>183</v>
      </c>
      <c r="C354" s="324" t="s">
        <v>77</v>
      </c>
      <c r="D354" s="291" t="s">
        <v>91</v>
      </c>
      <c r="E354" s="145">
        <v>45885</v>
      </c>
      <c r="F354" s="44">
        <v>192</v>
      </c>
      <c r="G354" s="46">
        <v>192</v>
      </c>
      <c r="H354" s="44">
        <f t="shared" si="30"/>
        <v>0</v>
      </c>
      <c r="I354" s="45">
        <v>45806</v>
      </c>
      <c r="J354" s="45">
        <v>45806</v>
      </c>
      <c r="K354" s="7">
        <f t="shared" ca="1" si="25"/>
        <v>0</v>
      </c>
      <c r="L354" s="9">
        <v>45825</v>
      </c>
      <c r="M354" s="45">
        <v>45807</v>
      </c>
      <c r="N354" s="7">
        <f t="shared" ca="1" si="31"/>
        <v>18</v>
      </c>
      <c r="O354" s="85"/>
      <c r="P354" s="19"/>
    </row>
    <row r="355" spans="1:16" ht="14.5">
      <c r="A355" s="19" t="s">
        <v>188</v>
      </c>
      <c r="B355" s="291">
        <v>183</v>
      </c>
      <c r="C355" s="324" t="s">
        <v>79</v>
      </c>
      <c r="D355" s="291" t="s">
        <v>91</v>
      </c>
      <c r="E355" s="145">
        <v>45885</v>
      </c>
      <c r="F355" s="44">
        <v>7</v>
      </c>
      <c r="G355" s="46">
        <v>7</v>
      </c>
      <c r="H355" s="44">
        <f t="shared" si="30"/>
        <v>0</v>
      </c>
      <c r="I355" s="45">
        <v>45806</v>
      </c>
      <c r="J355" s="45">
        <v>45806</v>
      </c>
      <c r="K355" s="7">
        <f t="shared" ca="1" si="25"/>
        <v>0</v>
      </c>
      <c r="L355" s="9">
        <v>45811</v>
      </c>
      <c r="M355" s="45">
        <v>45806</v>
      </c>
      <c r="N355" s="7">
        <f t="shared" ca="1" si="31"/>
        <v>5</v>
      </c>
      <c r="O355" s="85"/>
      <c r="P355" s="19"/>
    </row>
    <row r="356" spans="1:16" ht="14.5">
      <c r="A356" s="19" t="s">
        <v>188</v>
      </c>
      <c r="B356" s="291">
        <v>183</v>
      </c>
      <c r="C356" s="324" t="s">
        <v>857</v>
      </c>
      <c r="D356" s="291" t="s">
        <v>91</v>
      </c>
      <c r="E356" s="145">
        <v>45885</v>
      </c>
      <c r="F356" s="44">
        <v>122</v>
      </c>
      <c r="G356" s="46">
        <v>122</v>
      </c>
      <c r="H356" s="44">
        <f t="shared" si="30"/>
        <v>0</v>
      </c>
      <c r="I356" s="45">
        <v>45806</v>
      </c>
      <c r="J356" s="45">
        <v>45806</v>
      </c>
      <c r="K356" s="7">
        <f t="shared" ca="1" si="25"/>
        <v>0</v>
      </c>
      <c r="L356" s="9">
        <v>45824</v>
      </c>
      <c r="M356" s="45">
        <v>45806</v>
      </c>
      <c r="N356" s="7">
        <f t="shared" ca="1" si="31"/>
        <v>18</v>
      </c>
      <c r="O356" s="85"/>
      <c r="P356" s="19"/>
    </row>
    <row r="357" spans="1:16" ht="14.5">
      <c r="A357" s="19" t="s">
        <v>188</v>
      </c>
      <c r="B357" s="291">
        <v>183</v>
      </c>
      <c r="C357" s="324" t="s">
        <v>80</v>
      </c>
      <c r="D357" s="291" t="s">
        <v>91</v>
      </c>
      <c r="E357" s="145">
        <v>45885</v>
      </c>
      <c r="F357" s="44">
        <v>105.9</v>
      </c>
      <c r="G357" s="46">
        <v>106</v>
      </c>
      <c r="H357" s="44">
        <f t="shared" si="30"/>
        <v>-9.9999999999994316E-2</v>
      </c>
      <c r="I357" s="45">
        <v>45806</v>
      </c>
      <c r="J357" s="45">
        <v>45806</v>
      </c>
      <c r="K357" s="7">
        <f t="shared" ca="1" si="25"/>
        <v>0</v>
      </c>
      <c r="L357" s="9">
        <v>45811</v>
      </c>
      <c r="M357" s="45">
        <v>45806</v>
      </c>
      <c r="N357" s="7">
        <f t="shared" ca="1" si="31"/>
        <v>5</v>
      </c>
      <c r="O357" s="85"/>
      <c r="P357" s="19"/>
    </row>
    <row r="358" spans="1:16" ht="14.5">
      <c r="A358" s="19" t="s">
        <v>188</v>
      </c>
      <c r="B358" s="291">
        <v>184</v>
      </c>
      <c r="C358" s="324" t="s">
        <v>75</v>
      </c>
      <c r="D358" s="291" t="s">
        <v>91</v>
      </c>
      <c r="E358" s="145">
        <v>45885</v>
      </c>
      <c r="F358" s="44">
        <v>139.30000000000001</v>
      </c>
      <c r="G358" s="46">
        <v>139</v>
      </c>
      <c r="H358" s="44">
        <f t="shared" si="30"/>
        <v>0.30000000000001137</v>
      </c>
      <c r="I358" s="45">
        <v>45806</v>
      </c>
      <c r="J358" s="45">
        <v>45806</v>
      </c>
      <c r="K358" s="7">
        <f t="shared" ca="1" si="25"/>
        <v>0</v>
      </c>
      <c r="L358" s="9">
        <v>45824</v>
      </c>
      <c r="M358" s="45">
        <v>45806</v>
      </c>
      <c r="N358" s="7">
        <f t="shared" ca="1" si="31"/>
        <v>18</v>
      </c>
      <c r="O358" s="85"/>
      <c r="P358" s="19"/>
    </row>
    <row r="359" spans="1:16" ht="14.5">
      <c r="A359" s="19" t="s">
        <v>188</v>
      </c>
      <c r="B359" s="291">
        <v>184</v>
      </c>
      <c r="C359" s="324" t="s">
        <v>77</v>
      </c>
      <c r="D359" s="291" t="s">
        <v>91</v>
      </c>
      <c r="E359" s="145">
        <v>45885</v>
      </c>
      <c r="F359" s="44">
        <v>80.3</v>
      </c>
      <c r="G359" s="46">
        <v>80</v>
      </c>
      <c r="H359" s="44">
        <f t="shared" si="30"/>
        <v>0.29999999999999716</v>
      </c>
      <c r="I359" s="45">
        <v>45806</v>
      </c>
      <c r="J359" s="45">
        <v>45806</v>
      </c>
      <c r="K359" s="7">
        <f t="shared" ca="1" si="25"/>
        <v>0</v>
      </c>
      <c r="L359" s="9">
        <v>45824</v>
      </c>
      <c r="M359" s="45">
        <v>45807</v>
      </c>
      <c r="N359" s="7">
        <f t="shared" ca="1" si="31"/>
        <v>17</v>
      </c>
      <c r="O359" s="85"/>
      <c r="P359" s="19"/>
    </row>
    <row r="360" spans="1:16" ht="14.5">
      <c r="A360" s="19" t="s">
        <v>188</v>
      </c>
      <c r="B360" s="291">
        <v>184</v>
      </c>
      <c r="C360" s="324" t="s">
        <v>79</v>
      </c>
      <c r="D360" s="291" t="s">
        <v>91</v>
      </c>
      <c r="E360" s="145">
        <v>45885</v>
      </c>
      <c r="F360" s="44">
        <v>72.5</v>
      </c>
      <c r="G360" s="46">
        <v>73</v>
      </c>
      <c r="H360" s="44">
        <f t="shared" si="30"/>
        <v>-0.5</v>
      </c>
      <c r="I360" s="45">
        <v>45806</v>
      </c>
      <c r="J360" s="45">
        <v>45806</v>
      </c>
      <c r="K360" s="7">
        <f t="shared" ca="1" si="25"/>
        <v>0</v>
      </c>
      <c r="L360" s="9">
        <v>45824</v>
      </c>
      <c r="M360" s="45">
        <v>45806</v>
      </c>
      <c r="N360" s="7">
        <f t="shared" ca="1" si="31"/>
        <v>18</v>
      </c>
      <c r="O360" s="85"/>
      <c r="P360" s="19"/>
    </row>
    <row r="361" spans="1:16" ht="14.5">
      <c r="A361" s="19" t="s">
        <v>188</v>
      </c>
      <c r="B361" s="291">
        <v>184</v>
      </c>
      <c r="C361" s="324" t="s">
        <v>857</v>
      </c>
      <c r="D361" s="291" t="s">
        <v>91</v>
      </c>
      <c r="E361" s="145">
        <v>45885</v>
      </c>
      <c r="F361" s="44">
        <v>159.69999999999999</v>
      </c>
      <c r="G361" s="46">
        <v>160</v>
      </c>
      <c r="H361" s="44">
        <f t="shared" si="30"/>
        <v>-0.30000000000001137</v>
      </c>
      <c r="I361" s="45">
        <v>45806</v>
      </c>
      <c r="J361" s="45">
        <v>45806</v>
      </c>
      <c r="K361" s="7">
        <f t="shared" ca="1" si="25"/>
        <v>0</v>
      </c>
      <c r="L361" s="9">
        <v>45824</v>
      </c>
      <c r="M361" s="45">
        <v>45806</v>
      </c>
      <c r="N361" s="7">
        <f t="shared" ca="1" si="31"/>
        <v>18</v>
      </c>
      <c r="O361" s="85"/>
      <c r="P361" s="19"/>
    </row>
    <row r="362" spans="1:16" ht="14.5">
      <c r="A362" s="19" t="s">
        <v>188</v>
      </c>
      <c r="B362" s="291">
        <v>185</v>
      </c>
      <c r="C362" s="324" t="s">
        <v>75</v>
      </c>
      <c r="D362" s="291" t="s">
        <v>91</v>
      </c>
      <c r="E362" s="145">
        <v>45889</v>
      </c>
      <c r="F362" s="44">
        <v>149</v>
      </c>
      <c r="G362" s="46">
        <v>149</v>
      </c>
      <c r="H362" s="44">
        <f t="shared" si="30"/>
        <v>0</v>
      </c>
      <c r="I362" s="45">
        <v>45806</v>
      </c>
      <c r="J362" s="45">
        <v>45806</v>
      </c>
      <c r="K362" s="7">
        <f t="shared" ca="1" si="25"/>
        <v>0</v>
      </c>
      <c r="L362" s="9">
        <v>45828</v>
      </c>
      <c r="M362" s="45">
        <v>45806</v>
      </c>
      <c r="N362" s="7">
        <f t="shared" ca="1" si="31"/>
        <v>22</v>
      </c>
      <c r="O362" s="85"/>
      <c r="P362" s="19"/>
    </row>
    <row r="363" spans="1:16" ht="14.5">
      <c r="A363" s="19" t="s">
        <v>188</v>
      </c>
      <c r="B363" s="291">
        <v>185</v>
      </c>
      <c r="C363" s="324" t="s">
        <v>77</v>
      </c>
      <c r="D363" s="291" t="s">
        <v>91</v>
      </c>
      <c r="E363" s="145">
        <v>45889</v>
      </c>
      <c r="F363" s="44">
        <v>215.1</v>
      </c>
      <c r="G363" s="46">
        <v>215</v>
      </c>
      <c r="H363" s="44">
        <f t="shared" si="30"/>
        <v>9.9999999999994316E-2</v>
      </c>
      <c r="I363" s="45">
        <v>45806</v>
      </c>
      <c r="J363" s="45">
        <v>45806</v>
      </c>
      <c r="K363" s="7">
        <f t="shared" ca="1" si="25"/>
        <v>0</v>
      </c>
      <c r="L363" s="9">
        <v>45813</v>
      </c>
      <c r="M363" s="45">
        <v>45807</v>
      </c>
      <c r="N363" s="7">
        <f t="shared" ca="1" si="31"/>
        <v>6</v>
      </c>
      <c r="O363" s="85"/>
      <c r="P363" s="19"/>
    </row>
    <row r="364" spans="1:16" ht="14.5">
      <c r="A364" s="19" t="s">
        <v>188</v>
      </c>
      <c r="B364" s="291">
        <v>185</v>
      </c>
      <c r="C364" s="324" t="s">
        <v>79</v>
      </c>
      <c r="D364" s="291" t="s">
        <v>91</v>
      </c>
      <c r="E364" s="145">
        <v>45889</v>
      </c>
      <c r="F364" s="44">
        <v>227.3</v>
      </c>
      <c r="G364" s="46">
        <v>227</v>
      </c>
      <c r="H364" s="44">
        <f t="shared" si="30"/>
        <v>0.30000000000001137</v>
      </c>
      <c r="I364" s="45">
        <v>45806</v>
      </c>
      <c r="J364" s="45">
        <v>45806</v>
      </c>
      <c r="K364" s="7">
        <f t="shared" ca="1" si="25"/>
        <v>0</v>
      </c>
      <c r="L364" s="9">
        <v>45828</v>
      </c>
      <c r="M364" s="45">
        <v>45806</v>
      </c>
      <c r="N364" s="7">
        <f t="shared" ca="1" si="31"/>
        <v>22</v>
      </c>
      <c r="O364" s="85"/>
      <c r="P364" s="19"/>
    </row>
    <row r="365" spans="1:16" ht="14.5">
      <c r="A365" s="19" t="s">
        <v>188</v>
      </c>
      <c r="B365" s="291">
        <v>185</v>
      </c>
      <c r="C365" s="324" t="s">
        <v>857</v>
      </c>
      <c r="D365" s="291" t="s">
        <v>91</v>
      </c>
      <c r="E365" s="145">
        <v>45889</v>
      </c>
      <c r="F365" s="44">
        <v>170.8</v>
      </c>
      <c r="G365" s="46">
        <v>171</v>
      </c>
      <c r="H365" s="44">
        <f t="shared" si="30"/>
        <v>-0.19999999999998863</v>
      </c>
      <c r="I365" s="45">
        <v>45806</v>
      </c>
      <c r="J365" s="45">
        <v>45806</v>
      </c>
      <c r="K365" s="7">
        <f t="shared" ca="1" si="25"/>
        <v>0</v>
      </c>
      <c r="L365" s="9">
        <v>45828</v>
      </c>
      <c r="M365" s="45">
        <v>45806</v>
      </c>
      <c r="N365" s="7">
        <f t="shared" ca="1" si="31"/>
        <v>22</v>
      </c>
      <c r="O365" s="85"/>
      <c r="P365" s="19"/>
    </row>
    <row r="366" spans="1:16" ht="14.5">
      <c r="A366" s="19" t="s">
        <v>188</v>
      </c>
      <c r="B366" s="291">
        <v>186</v>
      </c>
      <c r="C366" s="291" t="s">
        <v>75</v>
      </c>
      <c r="D366" s="291" t="s">
        <v>91</v>
      </c>
      <c r="E366" s="145">
        <v>45892</v>
      </c>
      <c r="F366" s="44">
        <v>306.89999999999998</v>
      </c>
      <c r="G366" s="46">
        <v>307</v>
      </c>
      <c r="H366" s="44">
        <f t="shared" si="30"/>
        <v>-0.10000000000002274</v>
      </c>
      <c r="I366" s="45">
        <v>45806</v>
      </c>
      <c r="J366" s="45">
        <v>45806</v>
      </c>
      <c r="K366" s="7">
        <f t="shared" ca="1" si="25"/>
        <v>0</v>
      </c>
      <c r="L366" s="9">
        <v>45831</v>
      </c>
      <c r="M366" s="45">
        <v>45818</v>
      </c>
      <c r="N366" s="7">
        <f t="shared" ca="1" si="31"/>
        <v>13</v>
      </c>
      <c r="O366" s="85"/>
      <c r="P366" s="19"/>
    </row>
    <row r="367" spans="1:16" ht="14.5">
      <c r="A367" s="19" t="s">
        <v>188</v>
      </c>
      <c r="B367" s="291">
        <v>186</v>
      </c>
      <c r="C367" s="324" t="s">
        <v>857</v>
      </c>
      <c r="D367" s="291" t="s">
        <v>91</v>
      </c>
      <c r="E367" s="145">
        <v>45892</v>
      </c>
      <c r="F367" s="44">
        <v>351.9</v>
      </c>
      <c r="G367" s="46">
        <v>352</v>
      </c>
      <c r="H367" s="44">
        <f t="shared" si="30"/>
        <v>-0.10000000000002274</v>
      </c>
      <c r="I367" s="45">
        <v>45806</v>
      </c>
      <c r="J367" s="45">
        <v>45806</v>
      </c>
      <c r="K367" s="7">
        <f t="shared" ca="1" si="25"/>
        <v>0</v>
      </c>
      <c r="L367" s="9">
        <v>45831</v>
      </c>
      <c r="M367" s="45">
        <v>45806</v>
      </c>
      <c r="N367" s="7">
        <f t="shared" ca="1" si="31"/>
        <v>25</v>
      </c>
      <c r="O367" s="85"/>
      <c r="P367" s="19"/>
    </row>
    <row r="368" spans="1:16" ht="14.5">
      <c r="A368" s="19" t="s">
        <v>188</v>
      </c>
      <c r="B368" s="291">
        <v>187</v>
      </c>
      <c r="C368" s="291" t="s">
        <v>75</v>
      </c>
      <c r="D368" s="291" t="s">
        <v>91</v>
      </c>
      <c r="E368" s="145">
        <v>45892</v>
      </c>
      <c r="F368" s="44">
        <v>185.7</v>
      </c>
      <c r="G368" s="46">
        <v>186</v>
      </c>
      <c r="H368" s="44">
        <f t="shared" si="30"/>
        <v>-0.30000000000001137</v>
      </c>
      <c r="I368" s="45">
        <v>45806</v>
      </c>
      <c r="J368" s="45">
        <v>45806</v>
      </c>
      <c r="K368" s="7">
        <f t="shared" ca="1" si="25"/>
        <v>0</v>
      </c>
      <c r="L368" s="9">
        <v>45831</v>
      </c>
      <c r="M368" s="45">
        <v>45818</v>
      </c>
      <c r="N368" s="7">
        <f t="shared" ca="1" si="31"/>
        <v>13</v>
      </c>
      <c r="O368" s="85"/>
      <c r="P368" s="19"/>
    </row>
    <row r="369" spans="1:16" ht="14.5">
      <c r="A369" s="19" t="s">
        <v>188</v>
      </c>
      <c r="B369" s="291">
        <v>187</v>
      </c>
      <c r="C369" s="324" t="s">
        <v>77</v>
      </c>
      <c r="D369" s="291" t="s">
        <v>91</v>
      </c>
      <c r="E369" s="145">
        <v>45892</v>
      </c>
      <c r="F369" s="44">
        <v>890.8</v>
      </c>
      <c r="G369" s="46">
        <v>891</v>
      </c>
      <c r="H369" s="44">
        <f t="shared" si="30"/>
        <v>-0.20000000000004547</v>
      </c>
      <c r="I369" s="45">
        <v>45806</v>
      </c>
      <c r="J369" s="45">
        <v>45806</v>
      </c>
      <c r="K369" s="7">
        <f t="shared" ca="1" si="25"/>
        <v>0</v>
      </c>
      <c r="L369" s="9">
        <v>45816</v>
      </c>
      <c r="M369" s="45">
        <v>45807</v>
      </c>
      <c r="N369" s="7">
        <f t="shared" ca="1" si="31"/>
        <v>9</v>
      </c>
      <c r="O369" s="85"/>
      <c r="P369" s="19"/>
    </row>
    <row r="370" spans="1:16" ht="14.5">
      <c r="A370" s="19" t="s">
        <v>188</v>
      </c>
      <c r="B370" s="291">
        <v>187</v>
      </c>
      <c r="C370" s="324" t="s">
        <v>79</v>
      </c>
      <c r="D370" s="291" t="s">
        <v>91</v>
      </c>
      <c r="E370" s="145">
        <v>45892</v>
      </c>
      <c r="F370" s="44">
        <v>182.8</v>
      </c>
      <c r="G370" s="46">
        <v>183</v>
      </c>
      <c r="H370" s="44">
        <f t="shared" si="30"/>
        <v>-0.19999999999998863</v>
      </c>
      <c r="I370" s="45">
        <v>45806</v>
      </c>
      <c r="J370" s="45">
        <v>45806</v>
      </c>
      <c r="K370" s="7">
        <f t="shared" ca="1" si="25"/>
        <v>0</v>
      </c>
      <c r="L370" s="9">
        <v>45819</v>
      </c>
      <c r="M370" s="45">
        <v>45806</v>
      </c>
      <c r="N370" s="7">
        <f t="shared" ca="1" si="31"/>
        <v>13</v>
      </c>
      <c r="O370" s="85"/>
      <c r="P370" s="19"/>
    </row>
    <row r="371" spans="1:16" ht="14.5">
      <c r="A371" s="19" t="s">
        <v>188</v>
      </c>
      <c r="B371" s="291">
        <v>187</v>
      </c>
      <c r="C371" s="324" t="s">
        <v>82</v>
      </c>
      <c r="D371" s="291" t="s">
        <v>91</v>
      </c>
      <c r="E371" s="145">
        <v>45892</v>
      </c>
      <c r="F371" s="44">
        <v>209.1</v>
      </c>
      <c r="G371" s="46">
        <v>209</v>
      </c>
      <c r="H371" s="44">
        <f t="shared" si="30"/>
        <v>9.9999999999994316E-2</v>
      </c>
      <c r="I371" s="45">
        <v>45806</v>
      </c>
      <c r="J371" s="45">
        <v>45806</v>
      </c>
      <c r="K371" s="7">
        <f t="shared" ca="1" si="25"/>
        <v>0</v>
      </c>
      <c r="L371" s="9">
        <v>45820</v>
      </c>
      <c r="M371" s="45">
        <v>45806</v>
      </c>
      <c r="N371" s="7">
        <f t="shared" ca="1" si="31"/>
        <v>14</v>
      </c>
      <c r="O371" s="85"/>
      <c r="P371" s="19"/>
    </row>
    <row r="372" spans="1:16" ht="14.5">
      <c r="A372" s="19" t="s">
        <v>188</v>
      </c>
      <c r="B372" s="291">
        <v>187</v>
      </c>
      <c r="C372" s="324" t="s">
        <v>857</v>
      </c>
      <c r="D372" s="291" t="s">
        <v>91</v>
      </c>
      <c r="E372" s="145">
        <v>45892</v>
      </c>
      <c r="F372" s="44">
        <v>213</v>
      </c>
      <c r="G372" s="46">
        <v>213</v>
      </c>
      <c r="H372" s="44">
        <f t="shared" si="30"/>
        <v>0</v>
      </c>
      <c r="I372" s="45">
        <v>45806</v>
      </c>
      <c r="J372" s="45">
        <v>45806</v>
      </c>
      <c r="K372" s="7">
        <f t="shared" ca="1" si="25"/>
        <v>0</v>
      </c>
      <c r="L372" s="9">
        <v>45831</v>
      </c>
      <c r="M372" s="45">
        <v>45806</v>
      </c>
      <c r="N372" s="7">
        <f t="shared" ca="1" si="31"/>
        <v>25</v>
      </c>
      <c r="O372" s="85"/>
      <c r="P372" s="19"/>
    </row>
    <row r="373" spans="1:16" ht="14.5">
      <c r="A373" s="19" t="s">
        <v>188</v>
      </c>
      <c r="B373" s="291">
        <v>187</v>
      </c>
      <c r="C373" s="291" t="s">
        <v>80</v>
      </c>
      <c r="D373" s="291" t="s">
        <v>91</v>
      </c>
      <c r="E373" s="145">
        <v>45892</v>
      </c>
      <c r="F373" s="44">
        <v>439</v>
      </c>
      <c r="G373" s="46">
        <v>439</v>
      </c>
      <c r="H373" s="44">
        <f t="shared" si="30"/>
        <v>0</v>
      </c>
      <c r="I373" s="45">
        <v>45806</v>
      </c>
      <c r="J373" s="45">
        <v>45806</v>
      </c>
      <c r="K373" s="7">
        <f t="shared" ca="1" si="25"/>
        <v>0</v>
      </c>
      <c r="L373" s="9">
        <v>45816</v>
      </c>
      <c r="M373" s="45">
        <v>45818</v>
      </c>
      <c r="N373" s="7">
        <f t="shared" ca="1" si="31"/>
        <v>-2</v>
      </c>
      <c r="O373" s="85">
        <v>45818</v>
      </c>
      <c r="P373" s="19"/>
    </row>
    <row r="374" spans="1:16" ht="14.5">
      <c r="A374" s="19" t="s">
        <v>188</v>
      </c>
      <c r="B374" s="291">
        <v>188</v>
      </c>
      <c r="C374" s="324" t="s">
        <v>77</v>
      </c>
      <c r="D374" s="291" t="s">
        <v>91</v>
      </c>
      <c r="E374" s="145">
        <v>45892</v>
      </c>
      <c r="F374" s="44">
        <v>341.3</v>
      </c>
      <c r="G374" s="46">
        <v>341</v>
      </c>
      <c r="H374" s="44">
        <f t="shared" si="30"/>
        <v>0.30000000000001137</v>
      </c>
      <c r="I374" s="45">
        <v>45806</v>
      </c>
      <c r="J374" s="45">
        <v>45806</v>
      </c>
      <c r="K374" s="7">
        <f t="shared" ca="1" si="25"/>
        <v>0</v>
      </c>
      <c r="L374" s="9">
        <v>45823</v>
      </c>
      <c r="M374" s="45">
        <v>45807</v>
      </c>
      <c r="N374" s="7">
        <f t="shared" ca="1" si="31"/>
        <v>16</v>
      </c>
      <c r="O374" s="85"/>
      <c r="P374" s="19"/>
    </row>
    <row r="375" spans="1:16" ht="14.5">
      <c r="A375" s="19" t="s">
        <v>188</v>
      </c>
      <c r="B375" s="291">
        <v>188</v>
      </c>
      <c r="C375" s="324" t="s">
        <v>79</v>
      </c>
      <c r="D375" s="291" t="s">
        <v>91</v>
      </c>
      <c r="E375" s="145">
        <v>45892</v>
      </c>
      <c r="F375" s="44">
        <v>141.9</v>
      </c>
      <c r="G375" s="46">
        <v>142</v>
      </c>
      <c r="H375" s="44">
        <f t="shared" si="30"/>
        <v>-9.9999999999994316E-2</v>
      </c>
      <c r="I375" s="45">
        <v>45806</v>
      </c>
      <c r="J375" s="45">
        <v>45806</v>
      </c>
      <c r="K375" s="7">
        <f t="shared" ca="1" si="25"/>
        <v>0</v>
      </c>
      <c r="L375" s="9">
        <v>45839</v>
      </c>
      <c r="M375" s="45">
        <v>45806</v>
      </c>
      <c r="N375" s="7">
        <f t="shared" ca="1" si="31"/>
        <v>33</v>
      </c>
      <c r="O375" s="85"/>
      <c r="P375" s="19"/>
    </row>
    <row r="376" spans="1:16" ht="14.5">
      <c r="A376" s="19" t="s">
        <v>188</v>
      </c>
      <c r="B376" s="291">
        <v>188</v>
      </c>
      <c r="C376" s="291" t="s">
        <v>80</v>
      </c>
      <c r="D376" s="291" t="s">
        <v>91</v>
      </c>
      <c r="E376" s="145">
        <v>45892</v>
      </c>
      <c r="F376" s="44">
        <v>105.9</v>
      </c>
      <c r="G376" s="46">
        <v>106</v>
      </c>
      <c r="H376" s="44">
        <f t="shared" si="30"/>
        <v>-9.9999999999994316E-2</v>
      </c>
      <c r="I376" s="45">
        <v>45806</v>
      </c>
      <c r="J376" s="45">
        <v>45806</v>
      </c>
      <c r="K376" s="7">
        <f t="shared" ca="1" si="25"/>
        <v>0</v>
      </c>
      <c r="L376" s="9">
        <v>45823</v>
      </c>
      <c r="M376" s="45">
        <v>45818</v>
      </c>
      <c r="N376" s="7">
        <f t="shared" ca="1" si="31"/>
        <v>5</v>
      </c>
      <c r="O376" s="85">
        <v>45818</v>
      </c>
      <c r="P376" s="19"/>
    </row>
    <row r="377" spans="1:16" ht="14.5">
      <c r="A377" s="19" t="s">
        <v>188</v>
      </c>
      <c r="B377" s="291">
        <v>189</v>
      </c>
      <c r="C377" s="324" t="s">
        <v>77</v>
      </c>
      <c r="D377" s="291" t="s">
        <v>91</v>
      </c>
      <c r="E377" s="145">
        <v>45899</v>
      </c>
      <c r="F377" s="44">
        <v>299.2</v>
      </c>
      <c r="G377" s="46">
        <v>299</v>
      </c>
      <c r="H377" s="44">
        <f t="shared" si="30"/>
        <v>0.19999999999998863</v>
      </c>
      <c r="I377" s="45">
        <v>45806</v>
      </c>
      <c r="J377" s="45">
        <v>45806</v>
      </c>
      <c r="K377" s="7">
        <f t="shared" ca="1" si="25"/>
        <v>0</v>
      </c>
      <c r="L377" s="9">
        <v>45823</v>
      </c>
      <c r="M377" s="45">
        <v>45807</v>
      </c>
      <c r="N377" s="7">
        <f t="shared" ca="1" si="31"/>
        <v>16</v>
      </c>
      <c r="O377" s="85"/>
      <c r="P377" s="19"/>
    </row>
    <row r="378" spans="1:16" ht="14.5">
      <c r="A378" s="19" t="s">
        <v>188</v>
      </c>
      <c r="B378" s="291">
        <v>189</v>
      </c>
      <c r="C378" s="324" t="s">
        <v>79</v>
      </c>
      <c r="D378" s="291" t="s">
        <v>91</v>
      </c>
      <c r="E378" s="145">
        <v>45899</v>
      </c>
      <c r="F378" s="44">
        <v>297.10000000000002</v>
      </c>
      <c r="G378" s="46">
        <v>297</v>
      </c>
      <c r="H378" s="44">
        <f t="shared" si="30"/>
        <v>0.10000000000002274</v>
      </c>
      <c r="I378" s="45">
        <v>45806</v>
      </c>
      <c r="J378" s="45">
        <v>45806</v>
      </c>
      <c r="K378" s="7">
        <f t="shared" ca="1" si="25"/>
        <v>0</v>
      </c>
      <c r="L378" s="9">
        <v>45823</v>
      </c>
      <c r="M378" s="45">
        <v>45806</v>
      </c>
      <c r="N378" s="7">
        <f t="shared" ca="1" si="31"/>
        <v>17</v>
      </c>
      <c r="O378" s="85"/>
      <c r="P378" s="19"/>
    </row>
    <row r="379" spans="1:16" ht="14.5">
      <c r="A379" s="19" t="s">
        <v>188</v>
      </c>
      <c r="B379" s="291">
        <v>190</v>
      </c>
      <c r="C379" s="291" t="s">
        <v>75</v>
      </c>
      <c r="D379" s="291" t="s">
        <v>91</v>
      </c>
      <c r="E379" s="145">
        <v>45899</v>
      </c>
      <c r="F379" s="44">
        <v>134.69999999999999</v>
      </c>
      <c r="G379" s="46">
        <v>135</v>
      </c>
      <c r="H379" s="44">
        <f t="shared" si="30"/>
        <v>-0.30000000000001137</v>
      </c>
      <c r="I379" s="45">
        <v>45806</v>
      </c>
      <c r="J379" s="45">
        <v>45806</v>
      </c>
      <c r="K379" s="7">
        <f t="shared" ca="1" si="25"/>
        <v>0</v>
      </c>
      <c r="L379" s="9">
        <v>45841</v>
      </c>
      <c r="M379" s="45">
        <v>45818</v>
      </c>
      <c r="N379" s="7">
        <f t="shared" ca="1" si="31"/>
        <v>23</v>
      </c>
      <c r="O379" s="85"/>
      <c r="P379" s="19"/>
    </row>
    <row r="380" spans="1:16" ht="14.5">
      <c r="A380" s="19" t="s">
        <v>188</v>
      </c>
      <c r="B380" s="291">
        <v>190</v>
      </c>
      <c r="C380" s="324" t="s">
        <v>867</v>
      </c>
      <c r="D380" s="291" t="s">
        <v>91</v>
      </c>
      <c r="E380" s="145">
        <v>45899</v>
      </c>
      <c r="F380" s="44">
        <v>77.400000000000006</v>
      </c>
      <c r="G380" s="46">
        <v>77</v>
      </c>
      <c r="H380" s="44">
        <f t="shared" si="30"/>
        <v>0.40000000000000568</v>
      </c>
      <c r="I380" s="45">
        <v>45806</v>
      </c>
      <c r="J380" s="45">
        <v>45806</v>
      </c>
      <c r="K380" s="7">
        <f t="shared" ca="1" si="25"/>
        <v>0</v>
      </c>
      <c r="L380" s="9">
        <v>45840</v>
      </c>
      <c r="M380" s="45">
        <v>45806</v>
      </c>
      <c r="N380" s="7">
        <f t="shared" ca="1" si="31"/>
        <v>34</v>
      </c>
      <c r="O380" s="85"/>
      <c r="P380" s="19"/>
    </row>
    <row r="381" spans="1:16" ht="14.5">
      <c r="A381" s="19" t="s">
        <v>188</v>
      </c>
      <c r="B381" s="291">
        <v>190</v>
      </c>
      <c r="C381" s="324" t="s">
        <v>857</v>
      </c>
      <c r="D381" s="291" t="s">
        <v>91</v>
      </c>
      <c r="E381" s="145">
        <v>45899</v>
      </c>
      <c r="F381" s="44">
        <v>154.4</v>
      </c>
      <c r="G381" s="46">
        <v>154</v>
      </c>
      <c r="H381" s="44">
        <f t="shared" si="30"/>
        <v>0.40000000000000568</v>
      </c>
      <c r="I381" s="45">
        <v>45806</v>
      </c>
      <c r="J381" s="45">
        <v>45806</v>
      </c>
      <c r="K381" s="7">
        <f t="shared" ca="1" si="25"/>
        <v>0</v>
      </c>
      <c r="L381" s="9">
        <v>45841</v>
      </c>
      <c r="M381" s="45">
        <v>45806</v>
      </c>
      <c r="N381" s="7">
        <f t="shared" ca="1" si="31"/>
        <v>35</v>
      </c>
      <c r="O381" s="85"/>
      <c r="P381" s="19"/>
    </row>
    <row r="382" spans="1:16" ht="14.5">
      <c r="A382" s="19" t="s">
        <v>188</v>
      </c>
      <c r="B382" s="291">
        <v>190</v>
      </c>
      <c r="C382" s="324" t="s">
        <v>868</v>
      </c>
      <c r="D382" s="291" t="s">
        <v>91</v>
      </c>
      <c r="E382" s="145">
        <v>45899</v>
      </c>
      <c r="F382" s="44">
        <v>226.6</v>
      </c>
      <c r="G382" s="46">
        <v>227</v>
      </c>
      <c r="H382" s="44">
        <f t="shared" si="30"/>
        <v>-0.40000000000000568</v>
      </c>
      <c r="I382" s="45">
        <v>45806</v>
      </c>
      <c r="J382" s="45">
        <v>45806</v>
      </c>
      <c r="K382" s="7">
        <f t="shared" ca="1" si="25"/>
        <v>0</v>
      </c>
      <c r="L382" s="9">
        <v>45840</v>
      </c>
      <c r="M382" s="45">
        <v>45807</v>
      </c>
      <c r="N382" s="7">
        <f t="shared" ca="1" si="31"/>
        <v>33</v>
      </c>
      <c r="O382" s="85"/>
      <c r="P382" s="19"/>
    </row>
    <row r="383" spans="1:16" ht="14.5">
      <c r="A383" s="19" t="s">
        <v>188</v>
      </c>
      <c r="B383" s="291">
        <v>191</v>
      </c>
      <c r="C383" s="324" t="s">
        <v>75</v>
      </c>
      <c r="D383" s="291" t="s">
        <v>91</v>
      </c>
      <c r="E383" s="145">
        <v>45913</v>
      </c>
      <c r="F383" s="44">
        <v>262.10000000000002</v>
      </c>
      <c r="G383" s="46">
        <v>262</v>
      </c>
      <c r="H383" s="44">
        <f t="shared" si="30"/>
        <v>0.10000000000002274</v>
      </c>
      <c r="I383" s="45">
        <v>45806</v>
      </c>
      <c r="J383" s="45">
        <v>45806</v>
      </c>
      <c r="K383" s="7">
        <f t="shared" ca="1" si="25"/>
        <v>0</v>
      </c>
      <c r="L383" s="9">
        <v>45852</v>
      </c>
      <c r="M383" s="45">
        <v>45829</v>
      </c>
      <c r="N383" s="7">
        <f t="shared" ca="1" si="31"/>
        <v>23</v>
      </c>
      <c r="O383" s="85"/>
      <c r="P383" s="19"/>
    </row>
    <row r="384" spans="1:16" ht="14.5">
      <c r="A384" s="19" t="s">
        <v>188</v>
      </c>
      <c r="B384" s="291">
        <v>191</v>
      </c>
      <c r="C384" s="324" t="s">
        <v>77</v>
      </c>
      <c r="D384" s="291" t="s">
        <v>91</v>
      </c>
      <c r="E384" s="145">
        <v>45913</v>
      </c>
      <c r="F384" s="44">
        <v>2740</v>
      </c>
      <c r="G384" s="46">
        <v>2740</v>
      </c>
      <c r="H384" s="44">
        <f t="shared" si="30"/>
        <v>0</v>
      </c>
      <c r="I384" s="45">
        <v>45806</v>
      </c>
      <c r="J384" s="45">
        <v>45806</v>
      </c>
      <c r="K384" s="7">
        <f t="shared" ca="1" si="25"/>
        <v>0</v>
      </c>
      <c r="L384" s="9">
        <v>45865</v>
      </c>
      <c r="M384" s="45">
        <v>45807</v>
      </c>
      <c r="N384" s="7">
        <f t="shared" ca="1" si="31"/>
        <v>58</v>
      </c>
      <c r="O384" s="85"/>
      <c r="P384" s="19"/>
    </row>
    <row r="385" spans="1:16" ht="14.5">
      <c r="A385" s="19" t="s">
        <v>188</v>
      </c>
      <c r="B385" s="291">
        <v>191</v>
      </c>
      <c r="C385" s="324" t="s">
        <v>857</v>
      </c>
      <c r="D385" s="291" t="s">
        <v>91</v>
      </c>
      <c r="E385" s="145">
        <v>45913</v>
      </c>
      <c r="F385" s="44">
        <v>300.39999999999998</v>
      </c>
      <c r="G385" s="46">
        <v>300</v>
      </c>
      <c r="H385" s="44">
        <f t="shared" si="30"/>
        <v>0.39999999999997726</v>
      </c>
      <c r="I385" s="45">
        <v>45806</v>
      </c>
      <c r="J385" s="45">
        <v>45806</v>
      </c>
      <c r="K385" s="7">
        <f t="shared" ca="1" si="25"/>
        <v>0</v>
      </c>
      <c r="L385" s="9">
        <v>45852</v>
      </c>
      <c r="M385" s="45">
        <v>45829</v>
      </c>
      <c r="N385" s="7">
        <f t="shared" ca="1" si="31"/>
        <v>23</v>
      </c>
      <c r="O385" s="85"/>
      <c r="P385" s="19"/>
    </row>
    <row r="386" spans="1:16" ht="14.5">
      <c r="A386" s="19" t="s">
        <v>188</v>
      </c>
      <c r="B386" s="291">
        <v>191</v>
      </c>
      <c r="C386" s="324" t="s">
        <v>80</v>
      </c>
      <c r="D386" s="291" t="s">
        <v>91</v>
      </c>
      <c r="E386" s="145">
        <v>45913</v>
      </c>
      <c r="F386" s="44">
        <v>1639</v>
      </c>
      <c r="G386" s="46">
        <v>1639</v>
      </c>
      <c r="H386" s="44">
        <f t="shared" si="30"/>
        <v>0</v>
      </c>
      <c r="I386" s="45">
        <v>45806</v>
      </c>
      <c r="J386" s="45">
        <v>45806</v>
      </c>
      <c r="K386" s="7">
        <f t="shared" ca="1" si="25"/>
        <v>0</v>
      </c>
      <c r="L386" s="9">
        <v>45838</v>
      </c>
      <c r="M386" s="45">
        <v>45822</v>
      </c>
      <c r="N386" s="7">
        <f t="shared" ca="1" si="31"/>
        <v>16</v>
      </c>
      <c r="O386" s="85"/>
      <c r="P386" s="19"/>
    </row>
    <row r="387" spans="1:16" ht="14.5">
      <c r="A387" s="19" t="s">
        <v>188</v>
      </c>
      <c r="B387" s="291">
        <v>192</v>
      </c>
      <c r="C387" s="324" t="s">
        <v>75</v>
      </c>
      <c r="D387" s="291" t="s">
        <v>91</v>
      </c>
      <c r="E387" s="145">
        <v>45913</v>
      </c>
      <c r="F387" s="44">
        <v>134.6</v>
      </c>
      <c r="G387" s="46">
        <v>135</v>
      </c>
      <c r="H387" s="44">
        <f t="shared" si="30"/>
        <v>-0.40000000000000568</v>
      </c>
      <c r="I387" s="45">
        <v>45806</v>
      </c>
      <c r="J387" s="45">
        <v>45806</v>
      </c>
      <c r="K387" s="7">
        <f t="shared" ref="K387:K450" ca="1" si="32">+IF(J387="",I387-TODAY(),I387-J387)</f>
        <v>0</v>
      </c>
      <c r="L387" s="9">
        <v>45852</v>
      </c>
      <c r="M387" s="45">
        <v>45829</v>
      </c>
      <c r="N387" s="7">
        <f t="shared" ca="1" si="31"/>
        <v>23</v>
      </c>
      <c r="O387" s="85"/>
      <c r="P387" s="19"/>
    </row>
    <row r="388" spans="1:16" ht="14.5">
      <c r="A388" s="19" t="s">
        <v>188</v>
      </c>
      <c r="B388" s="291">
        <v>192</v>
      </c>
      <c r="C388" s="324" t="s">
        <v>77</v>
      </c>
      <c r="D388" s="291" t="s">
        <v>91</v>
      </c>
      <c r="E388" s="145">
        <v>45913</v>
      </c>
      <c r="F388" s="44">
        <v>133.4</v>
      </c>
      <c r="G388" s="46">
        <v>133</v>
      </c>
      <c r="H388" s="44">
        <f t="shared" si="30"/>
        <v>0.40000000000000568</v>
      </c>
      <c r="I388" s="45">
        <v>45806</v>
      </c>
      <c r="J388" s="45">
        <v>45806</v>
      </c>
      <c r="K388" s="7">
        <f t="shared" ca="1" si="32"/>
        <v>0</v>
      </c>
      <c r="L388" s="9">
        <v>45853</v>
      </c>
      <c r="M388" s="45">
        <v>45807</v>
      </c>
      <c r="N388" s="7">
        <f t="shared" ca="1" si="31"/>
        <v>46</v>
      </c>
      <c r="O388" s="85"/>
      <c r="P388" s="19"/>
    </row>
    <row r="389" spans="1:16" ht="14.5">
      <c r="A389" s="19" t="s">
        <v>188</v>
      </c>
      <c r="B389" s="291">
        <v>192</v>
      </c>
      <c r="C389" s="324" t="s">
        <v>79</v>
      </c>
      <c r="D389" s="291" t="s">
        <v>91</v>
      </c>
      <c r="E389" s="145">
        <v>45913</v>
      </c>
      <c r="F389" s="44">
        <v>120.4</v>
      </c>
      <c r="G389" s="46">
        <v>120</v>
      </c>
      <c r="H389" s="44">
        <f t="shared" si="30"/>
        <v>0.40000000000000568</v>
      </c>
      <c r="I389" s="45">
        <v>45806</v>
      </c>
      <c r="J389" s="45">
        <v>45806</v>
      </c>
      <c r="K389" s="7">
        <f t="shared" ca="1" si="32"/>
        <v>0</v>
      </c>
      <c r="L389" s="9">
        <v>45853</v>
      </c>
      <c r="M389" s="45">
        <v>45806</v>
      </c>
      <c r="N389" s="7">
        <f t="shared" ca="1" si="31"/>
        <v>47</v>
      </c>
      <c r="O389" s="85"/>
      <c r="P389" s="19"/>
    </row>
    <row r="390" spans="1:16" ht="14.5">
      <c r="A390" s="19" t="s">
        <v>188</v>
      </c>
      <c r="B390" s="291">
        <v>192</v>
      </c>
      <c r="C390" s="324" t="s">
        <v>857</v>
      </c>
      <c r="D390" s="291" t="s">
        <v>91</v>
      </c>
      <c r="E390" s="145">
        <v>45913</v>
      </c>
      <c r="F390" s="44">
        <v>154.4</v>
      </c>
      <c r="G390" s="46">
        <v>154</v>
      </c>
      <c r="H390" s="44">
        <f t="shared" si="30"/>
        <v>0.40000000000000568</v>
      </c>
      <c r="I390" s="45">
        <v>45806</v>
      </c>
      <c r="J390" s="45">
        <v>45806</v>
      </c>
      <c r="K390" s="7">
        <f t="shared" ca="1" si="32"/>
        <v>0</v>
      </c>
      <c r="L390" s="9">
        <v>45852</v>
      </c>
      <c r="M390" s="45">
        <v>45829</v>
      </c>
      <c r="N390" s="7">
        <f t="shared" ca="1" si="31"/>
        <v>23</v>
      </c>
      <c r="O390" s="85"/>
      <c r="P390" s="19"/>
    </row>
    <row r="391" spans="1:16" ht="14.5">
      <c r="A391" s="19" t="s">
        <v>188</v>
      </c>
      <c r="B391" s="291">
        <v>193</v>
      </c>
      <c r="C391" s="324" t="s">
        <v>75</v>
      </c>
      <c r="D391" s="291" t="s">
        <v>91</v>
      </c>
      <c r="E391" s="145">
        <v>45913</v>
      </c>
      <c r="F391" s="44">
        <v>165.8</v>
      </c>
      <c r="G391" s="46">
        <v>166</v>
      </c>
      <c r="H391" s="44">
        <f t="shared" si="30"/>
        <v>-0.19999999999998863</v>
      </c>
      <c r="I391" s="45">
        <v>45806</v>
      </c>
      <c r="J391" s="45">
        <v>45806</v>
      </c>
      <c r="K391" s="7">
        <f t="shared" ca="1" si="32"/>
        <v>0</v>
      </c>
      <c r="L391" s="9">
        <v>45853</v>
      </c>
      <c r="M391" s="45">
        <v>45829</v>
      </c>
      <c r="N391" s="7">
        <f t="shared" ca="1" si="31"/>
        <v>24</v>
      </c>
      <c r="O391" s="85"/>
      <c r="P391" s="19"/>
    </row>
    <row r="392" spans="1:16" ht="14.5">
      <c r="A392" s="19" t="s">
        <v>188</v>
      </c>
      <c r="B392" s="291">
        <v>193</v>
      </c>
      <c r="C392" s="324" t="s">
        <v>77</v>
      </c>
      <c r="D392" s="291" t="s">
        <v>91</v>
      </c>
      <c r="E392" s="145">
        <v>45913</v>
      </c>
      <c r="F392" s="44">
        <v>1388.4</v>
      </c>
      <c r="G392" s="46">
        <v>1388</v>
      </c>
      <c r="H392" s="44">
        <f t="shared" si="30"/>
        <v>0.40000000000009095</v>
      </c>
      <c r="I392" s="45">
        <v>45806</v>
      </c>
      <c r="J392" s="45">
        <v>45806</v>
      </c>
      <c r="K392" s="7">
        <f t="shared" ca="1" si="32"/>
        <v>0</v>
      </c>
      <c r="L392" s="9">
        <v>45840</v>
      </c>
      <c r="M392" s="45">
        <v>45807</v>
      </c>
      <c r="N392" s="7">
        <f t="shared" ca="1" si="31"/>
        <v>33</v>
      </c>
      <c r="O392" s="85"/>
      <c r="P392" s="19"/>
    </row>
    <row r="393" spans="1:16" ht="14.5">
      <c r="A393" s="19" t="s">
        <v>188</v>
      </c>
      <c r="B393" s="291">
        <v>193</v>
      </c>
      <c r="C393" s="324" t="s">
        <v>867</v>
      </c>
      <c r="D393" s="291" t="s">
        <v>91</v>
      </c>
      <c r="E393" s="145">
        <v>45913</v>
      </c>
      <c r="F393" s="44">
        <v>76.3</v>
      </c>
      <c r="G393" s="46">
        <v>76</v>
      </c>
      <c r="H393" s="44">
        <f t="shared" si="30"/>
        <v>0.29999999999999716</v>
      </c>
      <c r="I393" s="45">
        <v>45806</v>
      </c>
      <c r="J393" s="45">
        <v>45806</v>
      </c>
      <c r="K393" s="7">
        <f t="shared" ca="1" si="32"/>
        <v>0</v>
      </c>
      <c r="L393" s="9">
        <v>45852</v>
      </c>
      <c r="M393" s="45">
        <v>45806</v>
      </c>
      <c r="N393" s="7">
        <f t="shared" ca="1" si="31"/>
        <v>46</v>
      </c>
      <c r="O393" s="85"/>
      <c r="P393" s="19"/>
    </row>
    <row r="394" spans="1:16" ht="14.5">
      <c r="A394" s="19" t="s">
        <v>188</v>
      </c>
      <c r="B394" s="291">
        <v>193</v>
      </c>
      <c r="C394" s="324" t="s">
        <v>79</v>
      </c>
      <c r="D394" s="291" t="s">
        <v>91</v>
      </c>
      <c r="E394" s="145">
        <v>45913</v>
      </c>
      <c r="F394" s="44">
        <v>6.7</v>
      </c>
      <c r="G394" s="46">
        <v>7</v>
      </c>
      <c r="H394" s="44">
        <f t="shared" si="30"/>
        <v>-0.29999999999999982</v>
      </c>
      <c r="I394" s="45">
        <v>45806</v>
      </c>
      <c r="J394" s="45">
        <v>45806</v>
      </c>
      <c r="K394" s="7">
        <f t="shared" ca="1" si="32"/>
        <v>0</v>
      </c>
      <c r="L394" s="9">
        <v>45841</v>
      </c>
      <c r="M394" s="45">
        <v>45806</v>
      </c>
      <c r="N394" s="7">
        <f t="shared" ca="1" si="31"/>
        <v>35</v>
      </c>
      <c r="O394" s="85"/>
      <c r="P394" s="19"/>
    </row>
    <row r="395" spans="1:16" ht="14.5">
      <c r="A395" s="19" t="s">
        <v>188</v>
      </c>
      <c r="B395" s="291">
        <v>193</v>
      </c>
      <c r="C395" s="324" t="s">
        <v>857</v>
      </c>
      <c r="D395" s="291" t="s">
        <v>91</v>
      </c>
      <c r="E395" s="145">
        <v>45913</v>
      </c>
      <c r="F395" s="44">
        <v>190</v>
      </c>
      <c r="G395" s="46">
        <v>190</v>
      </c>
      <c r="H395" s="44">
        <f t="shared" si="30"/>
        <v>0</v>
      </c>
      <c r="I395" s="45">
        <v>45806</v>
      </c>
      <c r="J395" s="45">
        <v>45806</v>
      </c>
      <c r="K395" s="7">
        <f t="shared" ca="1" si="32"/>
        <v>0</v>
      </c>
      <c r="L395" s="9">
        <v>45853</v>
      </c>
      <c r="M395" s="45">
        <v>45829</v>
      </c>
      <c r="N395" s="7">
        <f t="shared" ca="1" si="31"/>
        <v>24</v>
      </c>
      <c r="O395" s="85"/>
      <c r="P395" s="19"/>
    </row>
    <row r="396" spans="1:16" ht="14.5">
      <c r="A396" s="19" t="s">
        <v>188</v>
      </c>
      <c r="B396" s="291">
        <v>193</v>
      </c>
      <c r="C396" s="324" t="s">
        <v>868</v>
      </c>
      <c r="D396" s="291" t="s">
        <v>91</v>
      </c>
      <c r="E396" s="145">
        <v>45913</v>
      </c>
      <c r="F396" s="44">
        <v>223.2</v>
      </c>
      <c r="G396" s="46">
        <v>223</v>
      </c>
      <c r="H396" s="44">
        <f t="shared" si="30"/>
        <v>0.19999999999998863</v>
      </c>
      <c r="I396" s="45">
        <v>45806</v>
      </c>
      <c r="J396" s="45">
        <v>45806</v>
      </c>
      <c r="K396" s="7">
        <f t="shared" ca="1" si="32"/>
        <v>0</v>
      </c>
      <c r="L396" s="9">
        <v>45852</v>
      </c>
      <c r="M396" s="45">
        <v>45807</v>
      </c>
      <c r="N396" s="7">
        <f t="shared" ca="1" si="31"/>
        <v>45</v>
      </c>
      <c r="O396" s="85"/>
      <c r="P396" s="19"/>
    </row>
    <row r="397" spans="1:16" ht="14.5">
      <c r="A397" s="19" t="s">
        <v>74</v>
      </c>
      <c r="B397" s="291">
        <v>176</v>
      </c>
      <c r="C397" s="324" t="s">
        <v>860</v>
      </c>
      <c r="D397" s="291" t="s">
        <v>91</v>
      </c>
      <c r="E397" s="145">
        <v>45868</v>
      </c>
      <c r="F397" s="44">
        <v>229</v>
      </c>
      <c r="G397" s="46">
        <v>229</v>
      </c>
      <c r="H397" s="44">
        <f t="shared" ref="H397" si="33">F397-G397</f>
        <v>0</v>
      </c>
      <c r="I397" s="45">
        <v>45810</v>
      </c>
      <c r="J397" s="45">
        <v>45810</v>
      </c>
      <c r="K397" s="7">
        <f t="shared" ca="1" si="32"/>
        <v>0</v>
      </c>
      <c r="L397" s="9">
        <f>I397+5</f>
        <v>45815</v>
      </c>
      <c r="M397" s="45">
        <v>45815</v>
      </c>
      <c r="N397" s="7">
        <f t="shared" ref="N397" ca="1" si="34">+IF(M397="",L397-TODAY(),L397-M397)</f>
        <v>0</v>
      </c>
      <c r="O397" s="85"/>
      <c r="P397" s="19"/>
    </row>
    <row r="398" spans="1:16" ht="14.5">
      <c r="A398" s="19" t="s">
        <v>74</v>
      </c>
      <c r="B398" s="291">
        <v>176</v>
      </c>
      <c r="C398" s="324" t="s">
        <v>866</v>
      </c>
      <c r="D398" s="291" t="s">
        <v>907</v>
      </c>
      <c r="E398" s="145">
        <v>45868</v>
      </c>
      <c r="F398" s="44">
        <v>23.37</v>
      </c>
      <c r="G398" s="46">
        <v>23</v>
      </c>
      <c r="H398" s="44">
        <f t="shared" ref="H398:H447" si="35">F398-G398</f>
        <v>0.37000000000000099</v>
      </c>
      <c r="I398" s="45">
        <v>45810</v>
      </c>
      <c r="J398" s="45">
        <v>45810</v>
      </c>
      <c r="K398" s="7">
        <f t="shared" ca="1" si="32"/>
        <v>0</v>
      </c>
      <c r="L398" s="9">
        <f>I398+5</f>
        <v>45815</v>
      </c>
      <c r="M398" s="45">
        <v>45827</v>
      </c>
      <c r="N398" s="7">
        <f t="shared" ref="N398:N440" ca="1" si="36">+IF(M398="",L398-TODAY(),L398-M398)</f>
        <v>-12</v>
      </c>
      <c r="O398" s="85"/>
      <c r="P398" s="19" t="s">
        <v>953</v>
      </c>
    </row>
    <row r="399" spans="1:16" ht="14.5">
      <c r="A399" s="19" t="s">
        <v>74</v>
      </c>
      <c r="B399" s="291">
        <v>176</v>
      </c>
      <c r="C399" s="324" t="s">
        <v>908</v>
      </c>
      <c r="D399" s="291" t="s">
        <v>91</v>
      </c>
      <c r="E399" s="145">
        <v>45868</v>
      </c>
      <c r="F399" s="44">
        <v>198.1</v>
      </c>
      <c r="G399" s="46">
        <v>198</v>
      </c>
      <c r="H399" s="44">
        <f t="shared" si="35"/>
        <v>9.9999999999994316E-2</v>
      </c>
      <c r="I399" s="45">
        <v>45810</v>
      </c>
      <c r="J399" s="45">
        <v>45810</v>
      </c>
      <c r="K399" s="7">
        <f t="shared" ca="1" si="32"/>
        <v>0</v>
      </c>
      <c r="L399" s="9">
        <f>I399+5</f>
        <v>45815</v>
      </c>
      <c r="M399" s="45">
        <v>45813</v>
      </c>
      <c r="N399" s="7">
        <f t="shared" ca="1" si="36"/>
        <v>2</v>
      </c>
      <c r="O399" s="85"/>
      <c r="P399" s="19"/>
    </row>
    <row r="400" spans="1:16" ht="14.5">
      <c r="A400" s="19" t="s">
        <v>74</v>
      </c>
      <c r="B400" s="291">
        <v>176</v>
      </c>
      <c r="C400" s="324" t="s">
        <v>78</v>
      </c>
      <c r="D400" s="291" t="s">
        <v>91</v>
      </c>
      <c r="E400" s="145">
        <v>45868</v>
      </c>
      <c r="F400" s="44">
        <v>39.5</v>
      </c>
      <c r="G400" s="46">
        <v>40</v>
      </c>
      <c r="H400" s="44">
        <f t="shared" si="35"/>
        <v>-0.5</v>
      </c>
      <c r="I400" s="45">
        <v>45810</v>
      </c>
      <c r="J400" s="45">
        <v>45810</v>
      </c>
      <c r="K400" s="7">
        <f t="shared" ca="1" si="32"/>
        <v>0</v>
      </c>
      <c r="L400" s="9">
        <f>I400+5</f>
        <v>45815</v>
      </c>
      <c r="M400" s="45">
        <v>45815</v>
      </c>
      <c r="N400" s="7">
        <f t="shared" ca="1" si="36"/>
        <v>0</v>
      </c>
      <c r="O400" s="85"/>
      <c r="P400" s="19"/>
    </row>
    <row r="401" spans="1:16" ht="14.5">
      <c r="A401" s="19" t="s">
        <v>74</v>
      </c>
      <c r="B401" s="291">
        <v>176</v>
      </c>
      <c r="C401" s="324" t="s">
        <v>80</v>
      </c>
      <c r="D401" s="291" t="s">
        <v>91</v>
      </c>
      <c r="E401" s="145">
        <v>45868</v>
      </c>
      <c r="F401" s="44">
        <v>78.08</v>
      </c>
      <c r="G401" s="46">
        <v>78</v>
      </c>
      <c r="H401" s="44">
        <f t="shared" si="35"/>
        <v>7.9999999999998295E-2</v>
      </c>
      <c r="I401" s="45">
        <v>45810</v>
      </c>
      <c r="J401" s="45">
        <v>45810</v>
      </c>
      <c r="K401" s="7">
        <f t="shared" ca="1" si="32"/>
        <v>0</v>
      </c>
      <c r="L401" s="9">
        <f>I401+5</f>
        <v>45815</v>
      </c>
      <c r="M401" s="45">
        <v>45813</v>
      </c>
      <c r="N401" s="7">
        <f t="shared" ca="1" si="36"/>
        <v>2</v>
      </c>
      <c r="O401" s="85"/>
      <c r="P401" s="19"/>
    </row>
    <row r="402" spans="1:16" ht="14.5">
      <c r="A402" s="19" t="s">
        <v>74</v>
      </c>
      <c r="B402" s="291">
        <v>176</v>
      </c>
      <c r="C402" s="324" t="s">
        <v>909</v>
      </c>
      <c r="D402" s="291" t="s">
        <v>910</v>
      </c>
      <c r="E402" s="145">
        <v>45868</v>
      </c>
      <c r="F402" s="44">
        <v>22.45</v>
      </c>
      <c r="G402" s="46">
        <v>22</v>
      </c>
      <c r="H402" s="44">
        <f t="shared" si="35"/>
        <v>0.44999999999999929</v>
      </c>
      <c r="I402" s="45">
        <v>45810</v>
      </c>
      <c r="J402" s="45">
        <v>45810</v>
      </c>
      <c r="K402" s="7">
        <f t="shared" ca="1" si="32"/>
        <v>0</v>
      </c>
      <c r="L402" s="9">
        <f>I402+10</f>
        <v>45820</v>
      </c>
      <c r="M402" s="45">
        <v>45813</v>
      </c>
      <c r="N402" s="7">
        <f t="shared" ca="1" si="36"/>
        <v>7</v>
      </c>
      <c r="O402" s="85"/>
      <c r="P402" s="19"/>
    </row>
    <row r="403" spans="1:16" ht="14.5">
      <c r="A403" s="19" t="s">
        <v>74</v>
      </c>
      <c r="B403" s="291">
        <v>176</v>
      </c>
      <c r="C403" s="324" t="s">
        <v>911</v>
      </c>
      <c r="D403" s="291" t="s">
        <v>910</v>
      </c>
      <c r="E403" s="145">
        <v>45868</v>
      </c>
      <c r="F403" s="44">
        <v>70.569999999999993</v>
      </c>
      <c r="G403" s="46">
        <v>71</v>
      </c>
      <c r="H403" s="44">
        <f t="shared" si="35"/>
        <v>-0.43000000000000682</v>
      </c>
      <c r="I403" s="45">
        <v>45810</v>
      </c>
      <c r="J403" s="45">
        <v>45810</v>
      </c>
      <c r="K403" s="7">
        <f t="shared" ca="1" si="32"/>
        <v>0</v>
      </c>
      <c r="L403" s="9">
        <f>I403+10</f>
        <v>45820</v>
      </c>
      <c r="M403" s="45">
        <v>45813</v>
      </c>
      <c r="N403" s="7">
        <f t="shared" ca="1" si="36"/>
        <v>7</v>
      </c>
      <c r="O403" s="85"/>
      <c r="P403" s="19"/>
    </row>
    <row r="404" spans="1:16" ht="14.5">
      <c r="A404" s="19" t="s">
        <v>74</v>
      </c>
      <c r="B404" s="291">
        <v>177</v>
      </c>
      <c r="C404" s="291" t="s">
        <v>860</v>
      </c>
      <c r="D404" s="291" t="s">
        <v>91</v>
      </c>
      <c r="E404" s="145">
        <v>45950</v>
      </c>
      <c r="F404" s="44">
        <v>227.3</v>
      </c>
      <c r="G404" s="46">
        <v>227</v>
      </c>
      <c r="H404" s="44">
        <f t="shared" si="35"/>
        <v>0.30000000000001137</v>
      </c>
      <c r="I404" s="45">
        <v>45810</v>
      </c>
      <c r="J404" s="45">
        <v>45810</v>
      </c>
      <c r="K404" s="7">
        <f t="shared" ca="1" si="32"/>
        <v>0</v>
      </c>
      <c r="L404" s="9">
        <f>I404+5</f>
        <v>45815</v>
      </c>
      <c r="M404" s="45">
        <v>45815</v>
      </c>
      <c r="N404" s="7">
        <f t="shared" ca="1" si="36"/>
        <v>0</v>
      </c>
      <c r="O404" s="85"/>
      <c r="P404" s="19"/>
    </row>
    <row r="405" spans="1:16" ht="14.5">
      <c r="A405" s="19" t="s">
        <v>74</v>
      </c>
      <c r="B405" s="291">
        <v>177</v>
      </c>
      <c r="C405" s="291" t="s">
        <v>908</v>
      </c>
      <c r="D405" s="291" t="s">
        <v>91</v>
      </c>
      <c r="E405" s="145">
        <v>45950</v>
      </c>
      <c r="F405" s="44">
        <v>185.4</v>
      </c>
      <c r="G405" s="46">
        <v>185</v>
      </c>
      <c r="H405" s="44">
        <f t="shared" si="35"/>
        <v>0.40000000000000568</v>
      </c>
      <c r="I405" s="45">
        <v>45810</v>
      </c>
      <c r="J405" s="45">
        <v>45810</v>
      </c>
      <c r="K405" s="7">
        <f t="shared" ca="1" si="32"/>
        <v>0</v>
      </c>
      <c r="L405" s="9">
        <f>I405+5</f>
        <v>45815</v>
      </c>
      <c r="M405" s="45">
        <v>45813</v>
      </c>
      <c r="N405" s="7">
        <f t="shared" ca="1" si="36"/>
        <v>2</v>
      </c>
      <c r="O405" s="85"/>
      <c r="P405" s="19"/>
    </row>
    <row r="406" spans="1:16" ht="14.5">
      <c r="A406" s="19" t="s">
        <v>74</v>
      </c>
      <c r="B406" s="291">
        <v>177</v>
      </c>
      <c r="C406" s="291" t="s">
        <v>866</v>
      </c>
      <c r="D406" s="291" t="s">
        <v>907</v>
      </c>
      <c r="E406" s="145">
        <v>45950</v>
      </c>
      <c r="F406" s="44">
        <v>25.26</v>
      </c>
      <c r="G406" s="46">
        <v>25</v>
      </c>
      <c r="H406" s="44">
        <f t="shared" si="35"/>
        <v>0.26000000000000156</v>
      </c>
      <c r="I406" s="45">
        <v>45810</v>
      </c>
      <c r="J406" s="45">
        <v>45810</v>
      </c>
      <c r="K406" s="7">
        <f t="shared" ca="1" si="32"/>
        <v>0</v>
      </c>
      <c r="L406" s="9">
        <f>I406+5</f>
        <v>45815</v>
      </c>
      <c r="M406" s="45">
        <v>45827</v>
      </c>
      <c r="N406" s="7">
        <f t="shared" ca="1" si="36"/>
        <v>-12</v>
      </c>
      <c r="O406" s="85"/>
      <c r="P406" s="19" t="s">
        <v>953</v>
      </c>
    </row>
    <row r="407" spans="1:16" ht="14.5">
      <c r="A407" s="19" t="s">
        <v>74</v>
      </c>
      <c r="B407" s="291">
        <v>177</v>
      </c>
      <c r="C407" s="291" t="s">
        <v>78</v>
      </c>
      <c r="D407" s="291" t="s">
        <v>91</v>
      </c>
      <c r="E407" s="145">
        <v>45950</v>
      </c>
      <c r="F407" s="44">
        <v>43</v>
      </c>
      <c r="G407" s="46">
        <v>43</v>
      </c>
      <c r="H407" s="44">
        <f t="shared" si="35"/>
        <v>0</v>
      </c>
      <c r="I407" s="45">
        <v>45810</v>
      </c>
      <c r="J407" s="45">
        <v>45810</v>
      </c>
      <c r="K407" s="7">
        <f t="shared" ca="1" si="32"/>
        <v>0</v>
      </c>
      <c r="L407" s="9">
        <f>I407+5</f>
        <v>45815</v>
      </c>
      <c r="M407" s="45">
        <v>45815</v>
      </c>
      <c r="N407" s="7">
        <f t="shared" ca="1" si="36"/>
        <v>0</v>
      </c>
      <c r="O407" s="85"/>
      <c r="P407" s="19"/>
    </row>
    <row r="408" spans="1:16" ht="14.5">
      <c r="A408" s="19" t="s">
        <v>74</v>
      </c>
      <c r="B408" s="291">
        <v>177</v>
      </c>
      <c r="C408" s="291" t="s">
        <v>80</v>
      </c>
      <c r="D408" s="291" t="s">
        <v>91</v>
      </c>
      <c r="E408" s="145">
        <v>45950</v>
      </c>
      <c r="F408" s="44">
        <v>59.24</v>
      </c>
      <c r="G408" s="46">
        <v>59</v>
      </c>
      <c r="H408" s="44">
        <f t="shared" si="35"/>
        <v>0.24000000000000199</v>
      </c>
      <c r="I408" s="45">
        <v>45810</v>
      </c>
      <c r="J408" s="45">
        <v>45810</v>
      </c>
      <c r="K408" s="7">
        <f t="shared" ca="1" si="32"/>
        <v>0</v>
      </c>
      <c r="L408" s="9">
        <f>I408+5</f>
        <v>45815</v>
      </c>
      <c r="M408" s="45">
        <v>45813</v>
      </c>
      <c r="N408" s="7">
        <f t="shared" ca="1" si="36"/>
        <v>2</v>
      </c>
      <c r="O408" s="85"/>
      <c r="P408" s="19"/>
    </row>
    <row r="409" spans="1:16" ht="14.5">
      <c r="A409" s="19" t="s">
        <v>74</v>
      </c>
      <c r="B409" s="291">
        <v>177</v>
      </c>
      <c r="C409" s="291" t="s">
        <v>909</v>
      </c>
      <c r="D409" s="291" t="s">
        <v>910</v>
      </c>
      <c r="E409" s="145">
        <v>45950</v>
      </c>
      <c r="F409" s="44">
        <v>24.27</v>
      </c>
      <c r="G409" s="46">
        <v>24</v>
      </c>
      <c r="H409" s="44">
        <f t="shared" si="35"/>
        <v>0.26999999999999957</v>
      </c>
      <c r="I409" s="45">
        <v>45810</v>
      </c>
      <c r="J409" s="45">
        <v>45810</v>
      </c>
      <c r="K409" s="7">
        <f t="shared" ca="1" si="32"/>
        <v>0</v>
      </c>
      <c r="L409" s="9">
        <f>I409+10</f>
        <v>45820</v>
      </c>
      <c r="M409" s="45">
        <v>45813</v>
      </c>
      <c r="N409" s="7">
        <f t="shared" ca="1" si="36"/>
        <v>7</v>
      </c>
      <c r="O409" s="85"/>
      <c r="P409" s="19"/>
    </row>
    <row r="410" spans="1:16" ht="14.5">
      <c r="A410" s="19" t="s">
        <v>74</v>
      </c>
      <c r="B410" s="291">
        <v>177</v>
      </c>
      <c r="C410" s="291" t="s">
        <v>911</v>
      </c>
      <c r="D410" s="291" t="s">
        <v>910</v>
      </c>
      <c r="E410" s="145">
        <v>45950</v>
      </c>
      <c r="F410" s="44">
        <v>53.56</v>
      </c>
      <c r="G410" s="46">
        <v>54</v>
      </c>
      <c r="H410" s="44">
        <f t="shared" si="35"/>
        <v>-0.43999999999999773</v>
      </c>
      <c r="I410" s="45">
        <v>45810</v>
      </c>
      <c r="J410" s="45">
        <v>45810</v>
      </c>
      <c r="K410" s="7">
        <f t="shared" ca="1" si="32"/>
        <v>0</v>
      </c>
      <c r="L410" s="9">
        <f>I410+10</f>
        <v>45820</v>
      </c>
      <c r="M410" s="45">
        <v>45813</v>
      </c>
      <c r="N410" s="7">
        <f t="shared" ca="1" si="36"/>
        <v>7</v>
      </c>
      <c r="O410" s="85"/>
      <c r="P410" s="19"/>
    </row>
    <row r="411" spans="1:16" ht="14.5">
      <c r="A411" s="19" t="s">
        <v>188</v>
      </c>
      <c r="B411" s="291">
        <v>194</v>
      </c>
      <c r="C411" s="291" t="s">
        <v>77</v>
      </c>
      <c r="D411" s="291" t="s">
        <v>91</v>
      </c>
      <c r="E411" s="145">
        <v>45885</v>
      </c>
      <c r="F411" s="44">
        <v>280</v>
      </c>
      <c r="G411" s="46">
        <v>280</v>
      </c>
      <c r="H411" s="44">
        <f t="shared" si="35"/>
        <v>0</v>
      </c>
      <c r="I411" s="45">
        <v>45811</v>
      </c>
      <c r="J411" s="45">
        <v>45811</v>
      </c>
      <c r="K411" s="7">
        <f t="shared" ca="1" si="32"/>
        <v>0</v>
      </c>
      <c r="L411" s="9">
        <v>45824</v>
      </c>
      <c r="M411" s="45">
        <v>45824</v>
      </c>
      <c r="N411" s="7">
        <f t="shared" ca="1" si="36"/>
        <v>0</v>
      </c>
      <c r="O411" s="85"/>
      <c r="P411" s="19"/>
    </row>
    <row r="412" spans="1:16" ht="14.5">
      <c r="A412" s="19" t="s">
        <v>188</v>
      </c>
      <c r="B412" s="291">
        <v>194</v>
      </c>
      <c r="C412" s="291" t="s">
        <v>79</v>
      </c>
      <c r="D412" s="291" t="s">
        <v>91</v>
      </c>
      <c r="E412" s="145">
        <v>45885</v>
      </c>
      <c r="F412" s="44">
        <v>253</v>
      </c>
      <c r="G412" s="46">
        <v>253</v>
      </c>
      <c r="H412" s="44">
        <f t="shared" si="35"/>
        <v>0</v>
      </c>
      <c r="I412" s="45">
        <v>45811</v>
      </c>
      <c r="J412" s="45">
        <v>45811</v>
      </c>
      <c r="K412" s="7">
        <f t="shared" ca="1" si="32"/>
        <v>0</v>
      </c>
      <c r="L412" s="9">
        <v>45824</v>
      </c>
      <c r="M412" s="45">
        <v>45824</v>
      </c>
      <c r="N412" s="7">
        <f t="shared" ca="1" si="36"/>
        <v>0</v>
      </c>
      <c r="O412" s="85"/>
      <c r="P412" s="19"/>
    </row>
    <row r="413" spans="1:16" ht="14.5">
      <c r="A413" s="19" t="s">
        <v>188</v>
      </c>
      <c r="B413" s="291">
        <v>195</v>
      </c>
      <c r="C413" s="291" t="s">
        <v>867</v>
      </c>
      <c r="D413" s="291" t="s">
        <v>91</v>
      </c>
      <c r="E413" s="145">
        <v>45889</v>
      </c>
      <c r="F413" s="44">
        <v>102</v>
      </c>
      <c r="G413" s="46">
        <v>102</v>
      </c>
      <c r="H413" s="44">
        <f t="shared" si="35"/>
        <v>0</v>
      </c>
      <c r="I413" s="45">
        <v>45811</v>
      </c>
      <c r="J413" s="45">
        <v>45811</v>
      </c>
      <c r="K413" s="7">
        <f t="shared" ca="1" si="32"/>
        <v>0</v>
      </c>
      <c r="L413" s="9">
        <v>45828</v>
      </c>
      <c r="M413" s="45">
        <v>45828</v>
      </c>
      <c r="N413" s="7">
        <f t="shared" ca="1" si="36"/>
        <v>0</v>
      </c>
      <c r="O413" s="85"/>
      <c r="P413" s="19"/>
    </row>
    <row r="414" spans="1:16" ht="14.5">
      <c r="A414" s="19" t="s">
        <v>188</v>
      </c>
      <c r="B414" s="291">
        <v>195</v>
      </c>
      <c r="C414" s="291" t="s">
        <v>868</v>
      </c>
      <c r="D414" s="291" t="s">
        <v>91</v>
      </c>
      <c r="E414" s="145">
        <v>45889</v>
      </c>
      <c r="F414" s="44">
        <v>297</v>
      </c>
      <c r="G414" s="46">
        <v>297</v>
      </c>
      <c r="H414" s="44">
        <f t="shared" si="35"/>
        <v>0</v>
      </c>
      <c r="I414" s="45">
        <v>45811</v>
      </c>
      <c r="J414" s="45">
        <v>45811</v>
      </c>
      <c r="K414" s="7">
        <f t="shared" ca="1" si="32"/>
        <v>0</v>
      </c>
      <c r="L414" s="9">
        <v>45828</v>
      </c>
      <c r="M414" s="45">
        <v>45828</v>
      </c>
      <c r="N414" s="7">
        <f t="shared" ca="1" si="36"/>
        <v>0</v>
      </c>
      <c r="O414" s="85"/>
      <c r="P414" s="19"/>
    </row>
    <row r="415" spans="1:16" ht="14.5">
      <c r="A415" s="19" t="s">
        <v>188</v>
      </c>
      <c r="B415" s="291">
        <v>196</v>
      </c>
      <c r="C415" s="291" t="s">
        <v>95</v>
      </c>
      <c r="D415" s="291" t="s">
        <v>91</v>
      </c>
      <c r="E415" s="145">
        <v>45892</v>
      </c>
      <c r="F415" s="44">
        <v>42</v>
      </c>
      <c r="G415" s="46">
        <v>42</v>
      </c>
      <c r="H415" s="44">
        <f t="shared" si="35"/>
        <v>0</v>
      </c>
      <c r="I415" s="45">
        <v>45811</v>
      </c>
      <c r="J415" s="45">
        <v>45811</v>
      </c>
      <c r="K415" s="7">
        <f t="shared" ca="1" si="32"/>
        <v>0</v>
      </c>
      <c r="L415" s="9">
        <v>45842</v>
      </c>
      <c r="M415" s="45">
        <v>45818</v>
      </c>
      <c r="N415" s="7">
        <f t="shared" ca="1" si="36"/>
        <v>24</v>
      </c>
      <c r="O415" s="85"/>
      <c r="P415" s="19"/>
    </row>
    <row r="416" spans="1:16" ht="14.5">
      <c r="A416" s="19" t="s">
        <v>188</v>
      </c>
      <c r="B416" s="291">
        <v>196</v>
      </c>
      <c r="C416" s="291" t="s">
        <v>95</v>
      </c>
      <c r="D416" s="291" t="s">
        <v>842</v>
      </c>
      <c r="E416" s="145">
        <v>45892</v>
      </c>
      <c r="F416" s="44">
        <v>116</v>
      </c>
      <c r="G416" s="46">
        <v>116</v>
      </c>
      <c r="H416" s="44">
        <f t="shared" si="35"/>
        <v>0</v>
      </c>
      <c r="I416" s="45">
        <v>45811</v>
      </c>
      <c r="J416" s="45">
        <v>45811</v>
      </c>
      <c r="K416" s="7">
        <f t="shared" ca="1" si="32"/>
        <v>0</v>
      </c>
      <c r="L416" s="9">
        <v>45842</v>
      </c>
      <c r="M416" s="45">
        <v>45818</v>
      </c>
      <c r="N416" s="7">
        <f t="shared" ca="1" si="36"/>
        <v>24</v>
      </c>
      <c r="O416" s="85"/>
      <c r="P416" s="19"/>
    </row>
    <row r="417" spans="1:16" ht="14.5">
      <c r="A417" s="19" t="s">
        <v>188</v>
      </c>
      <c r="B417" s="291">
        <v>196</v>
      </c>
      <c r="C417" s="291" t="s">
        <v>96</v>
      </c>
      <c r="D417" s="291" t="s">
        <v>91</v>
      </c>
      <c r="E417" s="145">
        <v>45892</v>
      </c>
      <c r="F417" s="44">
        <v>194.1</v>
      </c>
      <c r="G417" s="46">
        <v>194</v>
      </c>
      <c r="H417" s="44">
        <f t="shared" si="35"/>
        <v>9.9999999999994316E-2</v>
      </c>
      <c r="I417" s="45">
        <v>45811</v>
      </c>
      <c r="J417" s="45">
        <v>45811</v>
      </c>
      <c r="K417" s="7">
        <f t="shared" ca="1" si="32"/>
        <v>0</v>
      </c>
      <c r="L417" s="9">
        <v>45842</v>
      </c>
      <c r="M417" s="45">
        <v>45818</v>
      </c>
      <c r="N417" s="7">
        <f t="shared" ca="1" si="36"/>
        <v>24</v>
      </c>
      <c r="O417" s="85"/>
      <c r="P417" s="19"/>
    </row>
    <row r="418" spans="1:16" ht="14.5">
      <c r="A418" s="19" t="s">
        <v>188</v>
      </c>
      <c r="B418" s="291">
        <v>196</v>
      </c>
      <c r="C418" s="291" t="s">
        <v>75</v>
      </c>
      <c r="D418" s="291" t="s">
        <v>91</v>
      </c>
      <c r="E418" s="145">
        <v>45892</v>
      </c>
      <c r="F418" s="44">
        <v>143.80000000000001</v>
      </c>
      <c r="G418" s="46">
        <v>144</v>
      </c>
      <c r="H418" s="44">
        <f t="shared" si="35"/>
        <v>-0.19999999999998863</v>
      </c>
      <c r="I418" s="45">
        <v>45811</v>
      </c>
      <c r="J418" s="45">
        <v>45811</v>
      </c>
      <c r="K418" s="7">
        <f t="shared" ca="1" si="32"/>
        <v>0</v>
      </c>
      <c r="L418" s="9">
        <f>E418-34-16-13</f>
        <v>45829</v>
      </c>
      <c r="M418" s="45">
        <v>45818</v>
      </c>
      <c r="N418" s="7">
        <f t="shared" ca="1" si="36"/>
        <v>11</v>
      </c>
      <c r="O418" s="85"/>
      <c r="P418" s="19"/>
    </row>
    <row r="419" spans="1:16" ht="14.5">
      <c r="A419" s="19" t="s">
        <v>188</v>
      </c>
      <c r="B419" s="291">
        <v>196</v>
      </c>
      <c r="C419" s="291" t="s">
        <v>77</v>
      </c>
      <c r="D419" s="291" t="s">
        <v>91</v>
      </c>
      <c r="E419" s="145">
        <v>45899</v>
      </c>
      <c r="F419" s="44">
        <v>74.8</v>
      </c>
      <c r="G419" s="46">
        <v>75</v>
      </c>
      <c r="H419" s="44">
        <f t="shared" si="35"/>
        <v>-0.20000000000000284</v>
      </c>
      <c r="I419" s="45">
        <v>45811</v>
      </c>
      <c r="J419" s="45">
        <v>45811</v>
      </c>
      <c r="K419" s="7">
        <f t="shared" ca="1" si="32"/>
        <v>0</v>
      </c>
      <c r="L419" s="9">
        <v>45831</v>
      </c>
      <c r="M419" s="45">
        <v>45828</v>
      </c>
      <c r="N419" s="7">
        <f t="shared" ca="1" si="36"/>
        <v>3</v>
      </c>
      <c r="O419" s="85"/>
      <c r="P419" s="19"/>
    </row>
    <row r="420" spans="1:16" ht="14.5">
      <c r="A420" s="19" t="s">
        <v>188</v>
      </c>
      <c r="B420" s="291">
        <v>196</v>
      </c>
      <c r="C420" s="291" t="s">
        <v>79</v>
      </c>
      <c r="D420" s="291" t="s">
        <v>91</v>
      </c>
      <c r="E420" s="145">
        <v>45899</v>
      </c>
      <c r="F420" s="44">
        <v>67.599999999999994</v>
      </c>
      <c r="G420" s="46">
        <v>68</v>
      </c>
      <c r="H420" s="44">
        <f t="shared" si="35"/>
        <v>-0.40000000000000568</v>
      </c>
      <c r="I420" s="45">
        <v>45811</v>
      </c>
      <c r="J420" s="45">
        <v>45811</v>
      </c>
      <c r="K420" s="7">
        <f t="shared" ca="1" si="32"/>
        <v>0</v>
      </c>
      <c r="L420" s="9">
        <v>45831</v>
      </c>
      <c r="M420" s="45">
        <v>45828</v>
      </c>
      <c r="N420" s="7">
        <f t="shared" ca="1" si="36"/>
        <v>3</v>
      </c>
      <c r="O420" s="85"/>
      <c r="P420" s="19"/>
    </row>
    <row r="421" spans="1:16" ht="14.5">
      <c r="A421" s="19" t="s">
        <v>188</v>
      </c>
      <c r="B421" s="291">
        <v>196</v>
      </c>
      <c r="C421" s="291" t="s">
        <v>857</v>
      </c>
      <c r="D421" s="291" t="s">
        <v>91</v>
      </c>
      <c r="E421" s="145">
        <v>45899</v>
      </c>
      <c r="F421" s="44">
        <v>164.9</v>
      </c>
      <c r="G421" s="46">
        <v>165</v>
      </c>
      <c r="H421" s="44">
        <f t="shared" si="35"/>
        <v>-9.9999999999994316E-2</v>
      </c>
      <c r="I421" s="45">
        <v>45811</v>
      </c>
      <c r="J421" s="45">
        <v>45811</v>
      </c>
      <c r="K421" s="7">
        <f t="shared" ca="1" si="32"/>
        <v>0</v>
      </c>
      <c r="L421" s="9">
        <f>E421-34-16-13</f>
        <v>45836</v>
      </c>
      <c r="M421" s="45">
        <v>45818</v>
      </c>
      <c r="N421" s="7">
        <f t="shared" ca="1" si="36"/>
        <v>18</v>
      </c>
      <c r="O421" s="85"/>
      <c r="P421" s="19"/>
    </row>
    <row r="422" spans="1:16" ht="14.5">
      <c r="A422" s="19" t="s">
        <v>188</v>
      </c>
      <c r="B422" s="291">
        <v>197</v>
      </c>
      <c r="C422" s="291" t="s">
        <v>95</v>
      </c>
      <c r="D422" s="291" t="s">
        <v>91</v>
      </c>
      <c r="E422" s="145">
        <v>45899</v>
      </c>
      <c r="F422" s="44">
        <v>38</v>
      </c>
      <c r="G422" s="46">
        <v>38</v>
      </c>
      <c r="H422" s="44">
        <f t="shared" si="35"/>
        <v>0</v>
      </c>
      <c r="I422" s="45">
        <v>45811</v>
      </c>
      <c r="J422" s="45">
        <v>45811</v>
      </c>
      <c r="K422" s="7">
        <f t="shared" ca="1" si="32"/>
        <v>0</v>
      </c>
      <c r="L422" s="9">
        <v>45849</v>
      </c>
      <c r="M422" s="45">
        <v>45818</v>
      </c>
      <c r="N422" s="7">
        <f t="shared" ca="1" si="36"/>
        <v>31</v>
      </c>
      <c r="O422" s="85"/>
      <c r="P422" s="19"/>
    </row>
    <row r="423" spans="1:16" ht="14.5">
      <c r="A423" s="19" t="s">
        <v>188</v>
      </c>
      <c r="B423" s="291">
        <v>197</v>
      </c>
      <c r="C423" s="291" t="s">
        <v>95</v>
      </c>
      <c r="D423" s="291" t="s">
        <v>842</v>
      </c>
      <c r="E423" s="145">
        <v>45899</v>
      </c>
      <c r="F423" s="44">
        <v>103</v>
      </c>
      <c r="G423" s="46">
        <v>103</v>
      </c>
      <c r="H423" s="44">
        <f t="shared" si="35"/>
        <v>0</v>
      </c>
      <c r="I423" s="45">
        <v>45811</v>
      </c>
      <c r="J423" s="45">
        <v>45811</v>
      </c>
      <c r="K423" s="7">
        <f t="shared" ca="1" si="32"/>
        <v>0</v>
      </c>
      <c r="L423" s="9">
        <v>45849</v>
      </c>
      <c r="M423" s="45">
        <v>45818</v>
      </c>
      <c r="N423" s="7">
        <f t="shared" ca="1" si="36"/>
        <v>31</v>
      </c>
      <c r="O423" s="85"/>
      <c r="P423" s="19"/>
    </row>
    <row r="424" spans="1:16" ht="14.5">
      <c r="A424" s="19" t="s">
        <v>188</v>
      </c>
      <c r="B424" s="291">
        <v>197</v>
      </c>
      <c r="C424" s="291" t="s">
        <v>96</v>
      </c>
      <c r="D424" s="291" t="s">
        <v>91</v>
      </c>
      <c r="E424" s="145">
        <v>45899</v>
      </c>
      <c r="F424" s="44">
        <v>172</v>
      </c>
      <c r="G424" s="46">
        <v>172</v>
      </c>
      <c r="H424" s="44">
        <f t="shared" si="35"/>
        <v>0</v>
      </c>
      <c r="I424" s="45">
        <v>45811</v>
      </c>
      <c r="J424" s="45">
        <v>45811</v>
      </c>
      <c r="K424" s="7">
        <f t="shared" ca="1" si="32"/>
        <v>0</v>
      </c>
      <c r="L424" s="9">
        <v>45849</v>
      </c>
      <c r="M424" s="45">
        <v>45818</v>
      </c>
      <c r="N424" s="7">
        <f t="shared" ca="1" si="36"/>
        <v>31</v>
      </c>
      <c r="O424" s="85"/>
      <c r="P424" s="19"/>
    </row>
    <row r="425" spans="1:16" ht="14.5">
      <c r="A425" s="19" t="s">
        <v>188</v>
      </c>
      <c r="B425" s="291">
        <v>197</v>
      </c>
      <c r="C425" s="291" t="s">
        <v>75</v>
      </c>
      <c r="D425" s="291" t="s">
        <v>91</v>
      </c>
      <c r="E425" s="145">
        <v>45899</v>
      </c>
      <c r="F425" s="44">
        <v>197.4</v>
      </c>
      <c r="G425" s="46">
        <v>197</v>
      </c>
      <c r="H425" s="44">
        <f t="shared" si="35"/>
        <v>0.40000000000000568</v>
      </c>
      <c r="I425" s="45">
        <v>45811</v>
      </c>
      <c r="J425" s="45">
        <v>45811</v>
      </c>
      <c r="K425" s="7">
        <f t="shared" ca="1" si="32"/>
        <v>0</v>
      </c>
      <c r="L425" s="9">
        <f>E425-34-16-13</f>
        <v>45836</v>
      </c>
      <c r="M425" s="45">
        <v>45818</v>
      </c>
      <c r="N425" s="7">
        <f t="shared" ca="1" si="36"/>
        <v>18</v>
      </c>
      <c r="O425" s="85"/>
      <c r="P425" s="19"/>
    </row>
    <row r="426" spans="1:16" ht="14.5">
      <c r="A426" s="19" t="s">
        <v>188</v>
      </c>
      <c r="B426" s="291">
        <v>197</v>
      </c>
      <c r="C426" s="291" t="s">
        <v>77</v>
      </c>
      <c r="D426" s="291" t="s">
        <v>91</v>
      </c>
      <c r="E426" s="145">
        <v>45899</v>
      </c>
      <c r="F426" s="44">
        <v>1429</v>
      </c>
      <c r="G426" s="46">
        <v>1429</v>
      </c>
      <c r="H426" s="44">
        <f t="shared" si="35"/>
        <v>0</v>
      </c>
      <c r="I426" s="45">
        <v>45811</v>
      </c>
      <c r="J426" s="45">
        <v>45811</v>
      </c>
      <c r="K426" s="7">
        <f t="shared" ca="1" si="32"/>
        <v>0</v>
      </c>
      <c r="L426" s="9">
        <v>45823</v>
      </c>
      <c r="M426" s="45">
        <v>45818</v>
      </c>
      <c r="N426" s="7">
        <f t="shared" ca="1" si="36"/>
        <v>5</v>
      </c>
      <c r="O426" s="85"/>
      <c r="P426" s="19"/>
    </row>
    <row r="427" spans="1:16" ht="14.5">
      <c r="A427" s="19" t="s">
        <v>188</v>
      </c>
      <c r="B427" s="291">
        <v>197</v>
      </c>
      <c r="C427" s="291" t="s">
        <v>79</v>
      </c>
      <c r="D427" s="291" t="s">
        <v>91</v>
      </c>
      <c r="E427" s="145">
        <v>45899</v>
      </c>
      <c r="F427" s="44">
        <v>164.5</v>
      </c>
      <c r="G427" s="46">
        <v>165</v>
      </c>
      <c r="H427" s="44">
        <f t="shared" si="35"/>
        <v>-0.5</v>
      </c>
      <c r="I427" s="45">
        <v>45811</v>
      </c>
      <c r="J427" s="45">
        <v>45811</v>
      </c>
      <c r="K427" s="7">
        <f t="shared" ca="1" si="32"/>
        <v>0</v>
      </c>
      <c r="L427" s="9">
        <v>45849</v>
      </c>
      <c r="M427" s="45">
        <v>45832</v>
      </c>
      <c r="N427" s="7">
        <f t="shared" ca="1" si="36"/>
        <v>17</v>
      </c>
      <c r="O427" s="85"/>
      <c r="P427" s="19"/>
    </row>
    <row r="428" spans="1:16" ht="14.5">
      <c r="A428" s="19" t="s">
        <v>188</v>
      </c>
      <c r="B428" s="291">
        <v>197</v>
      </c>
      <c r="C428" s="291" t="s">
        <v>857</v>
      </c>
      <c r="D428" s="291" t="s">
        <v>91</v>
      </c>
      <c r="E428" s="145">
        <v>45899</v>
      </c>
      <c r="F428" s="44">
        <v>226.2</v>
      </c>
      <c r="G428" s="46">
        <v>226</v>
      </c>
      <c r="H428" s="44">
        <f t="shared" si="35"/>
        <v>0.19999999999998863</v>
      </c>
      <c r="I428" s="45">
        <v>45811</v>
      </c>
      <c r="J428" s="45">
        <v>45811</v>
      </c>
      <c r="K428" s="7">
        <f t="shared" ca="1" si="32"/>
        <v>0</v>
      </c>
      <c r="L428" s="9">
        <f>E428-34-16-13</f>
        <v>45836</v>
      </c>
      <c r="M428" s="45">
        <v>45818</v>
      </c>
      <c r="N428" s="7">
        <f t="shared" ca="1" si="36"/>
        <v>18</v>
      </c>
      <c r="O428" s="85"/>
      <c r="P428" s="19"/>
    </row>
    <row r="429" spans="1:16" ht="14.5">
      <c r="A429" s="19" t="s">
        <v>188</v>
      </c>
      <c r="B429" s="291">
        <v>198</v>
      </c>
      <c r="C429" s="291" t="s">
        <v>75</v>
      </c>
      <c r="D429" s="291" t="s">
        <v>91</v>
      </c>
      <c r="E429" s="145">
        <v>45899</v>
      </c>
      <c r="F429" s="44">
        <v>269.39999999999998</v>
      </c>
      <c r="G429" s="46">
        <v>269</v>
      </c>
      <c r="H429" s="44">
        <f t="shared" si="35"/>
        <v>0.39999999999997726</v>
      </c>
      <c r="I429" s="45">
        <v>45811</v>
      </c>
      <c r="J429" s="45">
        <v>45811</v>
      </c>
      <c r="K429" s="7">
        <f t="shared" ca="1" si="32"/>
        <v>0</v>
      </c>
      <c r="L429" s="9">
        <f>E429-34-16-13</f>
        <v>45836</v>
      </c>
      <c r="M429" s="45">
        <v>45818</v>
      </c>
      <c r="N429" s="7">
        <f t="shared" ca="1" si="36"/>
        <v>18</v>
      </c>
      <c r="O429" s="85"/>
      <c r="P429" s="19"/>
    </row>
    <row r="430" spans="1:16" ht="14.5">
      <c r="A430" s="19" t="s">
        <v>188</v>
      </c>
      <c r="B430" s="291">
        <v>198</v>
      </c>
      <c r="C430" s="291" t="s">
        <v>77</v>
      </c>
      <c r="D430" s="291" t="s">
        <v>91</v>
      </c>
      <c r="E430" s="145">
        <v>45899</v>
      </c>
      <c r="F430" s="44">
        <v>724</v>
      </c>
      <c r="G430" s="46">
        <v>724</v>
      </c>
      <c r="H430" s="44">
        <f t="shared" si="35"/>
        <v>0</v>
      </c>
      <c r="I430" s="45">
        <v>45811</v>
      </c>
      <c r="J430" s="45">
        <v>45811</v>
      </c>
      <c r="K430" s="7">
        <f t="shared" ca="1" si="32"/>
        <v>0</v>
      </c>
      <c r="L430" s="9">
        <v>45837</v>
      </c>
      <c r="M430" s="45">
        <v>45828</v>
      </c>
      <c r="N430" s="7">
        <f t="shared" ca="1" si="36"/>
        <v>9</v>
      </c>
      <c r="O430" s="85"/>
      <c r="P430" s="19"/>
    </row>
    <row r="431" spans="1:16" ht="14.5">
      <c r="A431" s="19" t="s">
        <v>188</v>
      </c>
      <c r="B431" s="291">
        <v>198</v>
      </c>
      <c r="C431" s="291" t="s">
        <v>79</v>
      </c>
      <c r="D431" s="291" t="s">
        <v>91</v>
      </c>
      <c r="E431" s="145">
        <v>45899</v>
      </c>
      <c r="F431" s="44">
        <v>48.4</v>
      </c>
      <c r="G431" s="46">
        <v>48</v>
      </c>
      <c r="H431" s="44">
        <f t="shared" si="35"/>
        <v>0.39999999999999858</v>
      </c>
      <c r="I431" s="45">
        <v>45811</v>
      </c>
      <c r="J431" s="45">
        <v>45811</v>
      </c>
      <c r="K431" s="7">
        <f t="shared" ca="1" si="32"/>
        <v>0</v>
      </c>
      <c r="L431" s="9">
        <v>45837</v>
      </c>
      <c r="M431" s="45">
        <v>45828</v>
      </c>
      <c r="N431" s="7">
        <f t="shared" ca="1" si="36"/>
        <v>9</v>
      </c>
      <c r="O431" s="85"/>
      <c r="P431" s="19"/>
    </row>
    <row r="432" spans="1:16" ht="14.5">
      <c r="A432" s="19" t="s">
        <v>188</v>
      </c>
      <c r="B432" s="291">
        <v>198</v>
      </c>
      <c r="C432" s="291" t="s">
        <v>80</v>
      </c>
      <c r="D432" s="291" t="s">
        <v>91</v>
      </c>
      <c r="E432" s="145">
        <v>45899</v>
      </c>
      <c r="F432" s="44">
        <v>402.5</v>
      </c>
      <c r="G432" s="46">
        <v>403</v>
      </c>
      <c r="H432" s="44">
        <f t="shared" si="35"/>
        <v>-0.5</v>
      </c>
      <c r="I432" s="45">
        <v>45811</v>
      </c>
      <c r="J432" s="45">
        <v>45811</v>
      </c>
      <c r="K432" s="7">
        <f t="shared" ca="1" si="32"/>
        <v>0</v>
      </c>
      <c r="L432" s="9">
        <v>45823</v>
      </c>
      <c r="M432" s="45">
        <v>45818</v>
      </c>
      <c r="N432" s="7">
        <f t="shared" ca="1" si="36"/>
        <v>5</v>
      </c>
      <c r="O432" s="85">
        <v>45818</v>
      </c>
      <c r="P432" s="19"/>
    </row>
    <row r="433" spans="1:16" ht="14.5">
      <c r="A433" s="19" t="s">
        <v>188</v>
      </c>
      <c r="B433" s="291">
        <v>198</v>
      </c>
      <c r="C433" s="291" t="s">
        <v>857</v>
      </c>
      <c r="D433" s="291" t="s">
        <v>91</v>
      </c>
      <c r="E433" s="145">
        <v>45899</v>
      </c>
      <c r="F433" s="44">
        <v>308.8</v>
      </c>
      <c r="G433" s="46">
        <v>309</v>
      </c>
      <c r="H433" s="44">
        <f t="shared" si="35"/>
        <v>-0.19999999999998863</v>
      </c>
      <c r="I433" s="45">
        <v>45811</v>
      </c>
      <c r="J433" s="45">
        <v>45811</v>
      </c>
      <c r="K433" s="7">
        <f t="shared" ca="1" si="32"/>
        <v>0</v>
      </c>
      <c r="L433" s="9">
        <f>E433-34-16-13</f>
        <v>45836</v>
      </c>
      <c r="M433" s="45">
        <v>45818</v>
      </c>
      <c r="N433" s="7">
        <f t="shared" ca="1" si="36"/>
        <v>18</v>
      </c>
      <c r="O433" s="85"/>
      <c r="P433" s="19"/>
    </row>
    <row r="434" spans="1:16" ht="14.5">
      <c r="A434" s="19" t="s">
        <v>188</v>
      </c>
      <c r="B434" s="291">
        <v>199</v>
      </c>
      <c r="C434" s="291" t="s">
        <v>95</v>
      </c>
      <c r="D434" s="291" t="s">
        <v>91</v>
      </c>
      <c r="E434" s="145">
        <v>45899</v>
      </c>
      <c r="F434" s="44">
        <v>16.2</v>
      </c>
      <c r="G434" s="46">
        <v>16</v>
      </c>
      <c r="H434" s="44">
        <f t="shared" si="35"/>
        <v>0.19999999999999929</v>
      </c>
      <c r="I434" s="45">
        <v>45811</v>
      </c>
      <c r="J434" s="45">
        <v>45811</v>
      </c>
      <c r="K434" s="7">
        <f t="shared" ca="1" si="32"/>
        <v>0</v>
      </c>
      <c r="L434" s="9">
        <v>45856</v>
      </c>
      <c r="M434" s="45">
        <v>45818</v>
      </c>
      <c r="N434" s="7">
        <f t="shared" ca="1" si="36"/>
        <v>38</v>
      </c>
      <c r="O434" s="85"/>
      <c r="P434" s="19"/>
    </row>
    <row r="435" spans="1:16" ht="14.5">
      <c r="A435" s="19" t="s">
        <v>188</v>
      </c>
      <c r="B435" s="291">
        <v>199</v>
      </c>
      <c r="C435" s="291" t="s">
        <v>95</v>
      </c>
      <c r="D435" s="291" t="s">
        <v>842</v>
      </c>
      <c r="E435" s="145">
        <v>45899</v>
      </c>
      <c r="F435" s="44">
        <v>44</v>
      </c>
      <c r="G435" s="46">
        <v>44</v>
      </c>
      <c r="H435" s="44">
        <f t="shared" si="35"/>
        <v>0</v>
      </c>
      <c r="I435" s="45">
        <v>45811</v>
      </c>
      <c r="J435" s="45">
        <v>45811</v>
      </c>
      <c r="K435" s="7">
        <f t="shared" ca="1" si="32"/>
        <v>0</v>
      </c>
      <c r="L435" s="9">
        <v>45856</v>
      </c>
      <c r="M435" s="45">
        <v>45818</v>
      </c>
      <c r="N435" s="7">
        <f t="shared" ca="1" si="36"/>
        <v>38</v>
      </c>
      <c r="O435" s="85"/>
      <c r="P435" s="19"/>
    </row>
    <row r="436" spans="1:16" ht="14.5">
      <c r="A436" s="19" t="s">
        <v>188</v>
      </c>
      <c r="B436" s="291">
        <v>199</v>
      </c>
      <c r="C436" s="291" t="s">
        <v>96</v>
      </c>
      <c r="D436" s="291" t="s">
        <v>91</v>
      </c>
      <c r="E436" s="145">
        <v>45899</v>
      </c>
      <c r="F436" s="44">
        <v>73.5</v>
      </c>
      <c r="G436" s="46">
        <v>74</v>
      </c>
      <c r="H436" s="44">
        <f t="shared" si="35"/>
        <v>-0.5</v>
      </c>
      <c r="I436" s="45">
        <v>45811</v>
      </c>
      <c r="J436" s="45">
        <v>45811</v>
      </c>
      <c r="K436" s="7">
        <f t="shared" ca="1" si="32"/>
        <v>0</v>
      </c>
      <c r="L436" s="9">
        <v>45856</v>
      </c>
      <c r="M436" s="45">
        <v>45818</v>
      </c>
      <c r="N436" s="7">
        <f t="shared" ca="1" si="36"/>
        <v>38</v>
      </c>
      <c r="O436" s="85"/>
      <c r="P436" s="19"/>
    </row>
    <row r="437" spans="1:16" ht="14.5">
      <c r="A437" s="19" t="s">
        <v>188</v>
      </c>
      <c r="B437" s="291">
        <v>199</v>
      </c>
      <c r="C437" s="291" t="s">
        <v>75</v>
      </c>
      <c r="D437" s="291" t="s">
        <v>91</v>
      </c>
      <c r="E437" s="145">
        <v>45899</v>
      </c>
      <c r="F437" s="44">
        <v>85</v>
      </c>
      <c r="G437" s="46">
        <v>85</v>
      </c>
      <c r="H437" s="44">
        <f t="shared" si="35"/>
        <v>0</v>
      </c>
      <c r="I437" s="45">
        <v>45811</v>
      </c>
      <c r="J437" s="45">
        <v>45811</v>
      </c>
      <c r="K437" s="7">
        <f t="shared" ca="1" si="32"/>
        <v>0</v>
      </c>
      <c r="L437" s="9">
        <f>E437-34-16-13</f>
        <v>45836</v>
      </c>
      <c r="M437" s="45">
        <v>45818</v>
      </c>
      <c r="N437" s="7">
        <f t="shared" ca="1" si="36"/>
        <v>18</v>
      </c>
      <c r="O437" s="85"/>
      <c r="P437" s="19"/>
    </row>
    <row r="438" spans="1:16" ht="14.5">
      <c r="A438" s="19" t="s">
        <v>188</v>
      </c>
      <c r="B438" s="291">
        <v>199</v>
      </c>
      <c r="C438" s="291" t="s">
        <v>77</v>
      </c>
      <c r="D438" s="291" t="s">
        <v>91</v>
      </c>
      <c r="E438" s="145">
        <v>45899</v>
      </c>
      <c r="F438" s="44">
        <v>680</v>
      </c>
      <c r="G438" s="46">
        <v>680</v>
      </c>
      <c r="H438" s="44">
        <f t="shared" si="35"/>
        <v>0</v>
      </c>
      <c r="I438" s="45">
        <v>45811</v>
      </c>
      <c r="J438" s="45">
        <v>45811</v>
      </c>
      <c r="K438" s="7">
        <f t="shared" ca="1" si="32"/>
        <v>0</v>
      </c>
      <c r="L438" s="9">
        <v>45845</v>
      </c>
      <c r="M438" s="45">
        <v>45829</v>
      </c>
      <c r="N438" s="7">
        <f t="shared" ca="1" si="36"/>
        <v>16</v>
      </c>
      <c r="O438" s="85"/>
      <c r="P438" s="19"/>
    </row>
    <row r="439" spans="1:16" ht="14.5">
      <c r="A439" s="19" t="s">
        <v>188</v>
      </c>
      <c r="B439" s="291">
        <v>199</v>
      </c>
      <c r="C439" s="291" t="s">
        <v>79</v>
      </c>
      <c r="D439" s="291" t="s">
        <v>91</v>
      </c>
      <c r="E439" s="145">
        <v>45899</v>
      </c>
      <c r="F439" s="44">
        <v>91.7</v>
      </c>
      <c r="G439" s="46">
        <v>92</v>
      </c>
      <c r="H439" s="44">
        <f t="shared" si="35"/>
        <v>-0.29999999999999716</v>
      </c>
      <c r="I439" s="45">
        <v>45811</v>
      </c>
      <c r="J439" s="45">
        <v>45811</v>
      </c>
      <c r="K439" s="7">
        <f t="shared" ca="1" si="32"/>
        <v>0</v>
      </c>
      <c r="L439" s="9">
        <v>45845</v>
      </c>
      <c r="M439" s="45">
        <v>45832</v>
      </c>
      <c r="N439" s="7">
        <f t="shared" ca="1" si="36"/>
        <v>13</v>
      </c>
      <c r="O439" s="85"/>
      <c r="P439" s="19"/>
    </row>
    <row r="440" spans="1:16" ht="14.5">
      <c r="A440" s="19" t="s">
        <v>188</v>
      </c>
      <c r="B440" s="291">
        <v>199</v>
      </c>
      <c r="C440" s="291" t="s">
        <v>80</v>
      </c>
      <c r="D440" s="291" t="s">
        <v>91</v>
      </c>
      <c r="E440" s="145">
        <v>45906</v>
      </c>
      <c r="F440" s="44">
        <v>345.3</v>
      </c>
      <c r="G440" s="46">
        <v>345</v>
      </c>
      <c r="H440" s="44">
        <f t="shared" si="35"/>
        <v>0.30000000000001137</v>
      </c>
      <c r="I440" s="45">
        <v>45811</v>
      </c>
      <c r="J440" s="45">
        <v>45811</v>
      </c>
      <c r="K440" s="7">
        <f t="shared" ca="1" si="32"/>
        <v>0</v>
      </c>
      <c r="L440" s="9">
        <v>45825</v>
      </c>
      <c r="M440" s="45">
        <v>45818</v>
      </c>
      <c r="N440" s="7">
        <f t="shared" ca="1" si="36"/>
        <v>7</v>
      </c>
      <c r="O440" s="85">
        <v>45818</v>
      </c>
      <c r="P440" s="19"/>
    </row>
    <row r="441" spans="1:16" ht="14.5">
      <c r="A441" s="19" t="s">
        <v>188</v>
      </c>
      <c r="B441" s="291">
        <v>199</v>
      </c>
      <c r="C441" s="291" t="s">
        <v>857</v>
      </c>
      <c r="D441" s="291" t="s">
        <v>91</v>
      </c>
      <c r="E441" s="145">
        <v>45906</v>
      </c>
      <c r="F441" s="44">
        <v>97.5</v>
      </c>
      <c r="G441" s="46">
        <v>98</v>
      </c>
      <c r="H441" s="44">
        <f t="shared" si="35"/>
        <v>-0.5</v>
      </c>
      <c r="I441" s="45">
        <v>45811</v>
      </c>
      <c r="J441" s="45">
        <v>45811</v>
      </c>
      <c r="K441" s="7">
        <f t="shared" ca="1" si="32"/>
        <v>0</v>
      </c>
      <c r="L441" s="9">
        <f>E441-34-16-13</f>
        <v>45843</v>
      </c>
      <c r="M441" s="45">
        <v>45829</v>
      </c>
      <c r="N441" s="7">
        <f t="shared" ref="N441:N445" ca="1" si="37">+IF(M441="",L441-TODAY(),L441-M441)</f>
        <v>14</v>
      </c>
      <c r="O441" s="85"/>
      <c r="P441" s="19"/>
    </row>
    <row r="442" spans="1:16" ht="14.5">
      <c r="A442" s="19" t="s">
        <v>188</v>
      </c>
      <c r="B442" s="291">
        <v>200</v>
      </c>
      <c r="C442" s="291" t="s">
        <v>75</v>
      </c>
      <c r="D442" s="291" t="s">
        <v>91</v>
      </c>
      <c r="E442" s="145">
        <v>45906</v>
      </c>
      <c r="F442" s="44">
        <v>54.4</v>
      </c>
      <c r="G442" s="46">
        <v>54</v>
      </c>
      <c r="H442" s="44">
        <f t="shared" si="35"/>
        <v>0.39999999999999858</v>
      </c>
      <c r="I442" s="45">
        <v>45811</v>
      </c>
      <c r="J442" s="45">
        <v>45811</v>
      </c>
      <c r="K442" s="7">
        <f t="shared" ca="1" si="32"/>
        <v>0</v>
      </c>
      <c r="L442" s="9">
        <f>E442-34-16-13</f>
        <v>45843</v>
      </c>
      <c r="M442" s="45">
        <v>45829</v>
      </c>
      <c r="N442" s="7">
        <f t="shared" ca="1" si="37"/>
        <v>14</v>
      </c>
      <c r="O442" s="85"/>
      <c r="P442" s="19"/>
    </row>
    <row r="443" spans="1:16" ht="14.5">
      <c r="A443" s="19" t="s">
        <v>188</v>
      </c>
      <c r="B443" s="291">
        <v>200</v>
      </c>
      <c r="C443" s="291" t="s">
        <v>77</v>
      </c>
      <c r="D443" s="291" t="s">
        <v>91</v>
      </c>
      <c r="E443" s="145">
        <v>45906</v>
      </c>
      <c r="F443" s="44">
        <v>903.2</v>
      </c>
      <c r="G443" s="46">
        <v>903</v>
      </c>
      <c r="H443" s="44">
        <f t="shared" si="35"/>
        <v>0.20000000000004547</v>
      </c>
      <c r="I443" s="45">
        <v>45811</v>
      </c>
      <c r="J443" s="45">
        <v>45811</v>
      </c>
      <c r="K443" s="7">
        <f t="shared" ca="1" si="32"/>
        <v>0</v>
      </c>
      <c r="L443" s="9">
        <v>45845</v>
      </c>
      <c r="M443" s="45">
        <v>45829</v>
      </c>
      <c r="N443" s="7">
        <f t="shared" ca="1" si="37"/>
        <v>16</v>
      </c>
      <c r="O443" s="85"/>
      <c r="P443" s="19"/>
    </row>
    <row r="444" spans="1:16" ht="14.5">
      <c r="A444" s="19" t="s">
        <v>188</v>
      </c>
      <c r="B444" s="291">
        <v>200</v>
      </c>
      <c r="C444" s="291" t="s">
        <v>79</v>
      </c>
      <c r="D444" s="291" t="s">
        <v>91</v>
      </c>
      <c r="E444" s="145">
        <v>45906</v>
      </c>
      <c r="F444" s="44">
        <v>222.3</v>
      </c>
      <c r="G444" s="46">
        <v>222</v>
      </c>
      <c r="H444" s="44">
        <f t="shared" si="35"/>
        <v>0.30000000000001137</v>
      </c>
      <c r="I444" s="45">
        <v>45811</v>
      </c>
      <c r="J444" s="45">
        <v>45811</v>
      </c>
      <c r="K444" s="7">
        <f t="shared" ca="1" si="32"/>
        <v>0</v>
      </c>
      <c r="L444" s="9">
        <v>45845</v>
      </c>
      <c r="M444" s="45">
        <v>45832</v>
      </c>
      <c r="N444" s="7">
        <f t="shared" ca="1" si="37"/>
        <v>13</v>
      </c>
      <c r="O444" s="85"/>
      <c r="P444" s="19"/>
    </row>
    <row r="445" spans="1:16" ht="14.5">
      <c r="A445" s="19" t="s">
        <v>188</v>
      </c>
      <c r="B445" s="291">
        <v>200</v>
      </c>
      <c r="C445" s="291" t="s">
        <v>80</v>
      </c>
      <c r="D445" s="291" t="s">
        <v>91</v>
      </c>
      <c r="E445" s="145">
        <v>45906</v>
      </c>
      <c r="F445" s="44">
        <v>414.2</v>
      </c>
      <c r="G445" s="46">
        <v>403</v>
      </c>
      <c r="H445" s="44">
        <f t="shared" si="35"/>
        <v>11.199999999999989</v>
      </c>
      <c r="I445" s="45">
        <v>45811</v>
      </c>
      <c r="J445" s="45">
        <v>45811</v>
      </c>
      <c r="K445" s="7">
        <f t="shared" ca="1" si="32"/>
        <v>0</v>
      </c>
      <c r="L445" s="9">
        <v>45830</v>
      </c>
      <c r="M445" s="45">
        <v>45818</v>
      </c>
      <c r="N445" s="7">
        <f t="shared" ca="1" si="37"/>
        <v>12</v>
      </c>
      <c r="O445" s="85">
        <v>45818</v>
      </c>
      <c r="P445" s="19"/>
    </row>
    <row r="446" spans="1:16" ht="14.5">
      <c r="A446" s="19" t="s">
        <v>188</v>
      </c>
      <c r="B446" s="291">
        <v>200</v>
      </c>
      <c r="C446" s="291" t="s">
        <v>857</v>
      </c>
      <c r="D446" s="291" t="s">
        <v>91</v>
      </c>
      <c r="E446" s="145">
        <v>45906</v>
      </c>
      <c r="F446" s="44">
        <v>62.4</v>
      </c>
      <c r="G446" s="46">
        <v>62</v>
      </c>
      <c r="H446" s="44">
        <f t="shared" si="35"/>
        <v>0.39999999999999858</v>
      </c>
      <c r="I446" s="45">
        <v>45811</v>
      </c>
      <c r="J446" s="45">
        <v>45811</v>
      </c>
      <c r="K446" s="7">
        <f t="shared" ca="1" si="32"/>
        <v>0</v>
      </c>
      <c r="L446" s="9">
        <f>E446-34-16-13</f>
        <v>45843</v>
      </c>
      <c r="M446" s="45">
        <v>45829</v>
      </c>
      <c r="N446" s="7">
        <f ca="1">+IF(M446="",L446-TODAY(),L446-M446)</f>
        <v>14</v>
      </c>
      <c r="O446" s="85"/>
      <c r="P446" s="19"/>
    </row>
    <row r="447" spans="1:16" ht="14.5">
      <c r="A447" s="19" t="s">
        <v>188</v>
      </c>
      <c r="B447" s="291">
        <v>201</v>
      </c>
      <c r="C447" s="291" t="s">
        <v>95</v>
      </c>
      <c r="D447" s="291" t="s">
        <v>91</v>
      </c>
      <c r="E447" s="145">
        <v>45906</v>
      </c>
      <c r="F447" s="44">
        <v>42.7</v>
      </c>
      <c r="G447" s="46">
        <v>43</v>
      </c>
      <c r="H447" s="44">
        <f t="shared" si="35"/>
        <v>-0.29999999999999716</v>
      </c>
      <c r="I447" s="45">
        <v>45811</v>
      </c>
      <c r="J447" s="45">
        <v>45811</v>
      </c>
      <c r="K447" s="7">
        <f t="shared" ca="1" si="32"/>
        <v>0</v>
      </c>
      <c r="L447" s="9">
        <v>45865</v>
      </c>
      <c r="M447" s="45">
        <v>45811</v>
      </c>
      <c r="N447" s="7">
        <f t="shared" ref="N447:N452" ca="1" si="38">+IF(M447="",L447-TODAY(),L447-M447)</f>
        <v>54</v>
      </c>
      <c r="O447" s="85"/>
      <c r="P447" s="19"/>
    </row>
    <row r="448" spans="1:16" ht="14.5">
      <c r="A448" s="19" t="s">
        <v>188</v>
      </c>
      <c r="B448" s="291">
        <v>201</v>
      </c>
      <c r="C448" s="291" t="s">
        <v>95</v>
      </c>
      <c r="D448" s="291" t="s">
        <v>842</v>
      </c>
      <c r="E448" s="145">
        <v>45906</v>
      </c>
      <c r="F448" s="44">
        <v>116</v>
      </c>
      <c r="G448" s="46">
        <v>116</v>
      </c>
      <c r="H448" s="44">
        <f t="shared" ref="H448:H503" si="39">F448-G448</f>
        <v>0</v>
      </c>
      <c r="I448" s="45">
        <v>45811</v>
      </c>
      <c r="J448" s="45">
        <v>45811</v>
      </c>
      <c r="K448" s="7">
        <f t="shared" ca="1" si="32"/>
        <v>0</v>
      </c>
      <c r="L448" s="9">
        <v>45865</v>
      </c>
      <c r="M448" s="45">
        <v>45811</v>
      </c>
      <c r="N448" s="7">
        <f t="shared" ca="1" si="38"/>
        <v>54</v>
      </c>
      <c r="O448" s="85"/>
      <c r="P448" s="19"/>
    </row>
    <row r="449" spans="1:16" ht="14.5">
      <c r="A449" s="19" t="s">
        <v>188</v>
      </c>
      <c r="B449" s="291">
        <v>201</v>
      </c>
      <c r="C449" s="291" t="s">
        <v>96</v>
      </c>
      <c r="D449" s="291" t="s">
        <v>91</v>
      </c>
      <c r="E449" s="145">
        <v>45906</v>
      </c>
      <c r="F449" s="44">
        <v>194.1</v>
      </c>
      <c r="G449" s="46">
        <v>194</v>
      </c>
      <c r="H449" s="44">
        <f t="shared" si="39"/>
        <v>9.9999999999994316E-2</v>
      </c>
      <c r="I449" s="45">
        <v>45811</v>
      </c>
      <c r="J449" s="45">
        <v>45811</v>
      </c>
      <c r="K449" s="7">
        <f t="shared" ca="1" si="32"/>
        <v>0</v>
      </c>
      <c r="L449" s="9">
        <v>45865</v>
      </c>
      <c r="M449" s="45">
        <v>45811</v>
      </c>
      <c r="N449" s="7">
        <f t="shared" ca="1" si="38"/>
        <v>54</v>
      </c>
      <c r="O449" s="85"/>
      <c r="P449" s="19"/>
    </row>
    <row r="450" spans="1:16" ht="14.5">
      <c r="A450" s="19" t="s">
        <v>188</v>
      </c>
      <c r="B450" s="291">
        <v>201</v>
      </c>
      <c r="C450" s="291" t="s">
        <v>75</v>
      </c>
      <c r="D450" s="291" t="s">
        <v>91</v>
      </c>
      <c r="E450" s="145">
        <v>45913</v>
      </c>
      <c r="F450" s="44">
        <v>341.7</v>
      </c>
      <c r="G450" s="46">
        <v>342</v>
      </c>
      <c r="H450" s="44">
        <f t="shared" si="39"/>
        <v>-0.30000000000001137</v>
      </c>
      <c r="I450" s="45">
        <v>45811</v>
      </c>
      <c r="J450" s="45">
        <v>45811</v>
      </c>
      <c r="K450" s="7">
        <f t="shared" ca="1" si="32"/>
        <v>0</v>
      </c>
      <c r="L450" s="9">
        <f>E450-34-16-13</f>
        <v>45850</v>
      </c>
      <c r="M450" s="45">
        <v>45829</v>
      </c>
      <c r="N450" s="7">
        <f t="shared" ref="N450" ca="1" si="40">+IF(M450="",L450-TODAY(),L450-M450)</f>
        <v>21</v>
      </c>
      <c r="O450" s="85"/>
      <c r="P450" s="19"/>
    </row>
    <row r="451" spans="1:16" ht="14.5">
      <c r="A451" s="19" t="s">
        <v>188</v>
      </c>
      <c r="B451" s="291">
        <v>201</v>
      </c>
      <c r="C451" s="291" t="s">
        <v>77</v>
      </c>
      <c r="D451" s="291" t="s">
        <v>91</v>
      </c>
      <c r="E451" s="145">
        <v>45913</v>
      </c>
      <c r="F451" s="44">
        <v>671</v>
      </c>
      <c r="G451" s="46">
        <v>671</v>
      </c>
      <c r="H451" s="44">
        <f t="shared" si="39"/>
        <v>0</v>
      </c>
      <c r="I451" s="45">
        <v>45811</v>
      </c>
      <c r="J451" s="45">
        <v>45811</v>
      </c>
      <c r="K451" s="7">
        <f t="shared" ref="K451:K514" ca="1" si="41">+IF(J451="",I451-TODAY(),I451-J451)</f>
        <v>0</v>
      </c>
      <c r="L451" s="9">
        <v>45850</v>
      </c>
      <c r="M451" s="45">
        <v>45829</v>
      </c>
      <c r="N451" s="7">
        <f t="shared" ca="1" si="38"/>
        <v>21</v>
      </c>
      <c r="O451" s="85"/>
      <c r="P451" s="19"/>
    </row>
    <row r="452" spans="1:16" ht="14.5">
      <c r="A452" s="19" t="s">
        <v>188</v>
      </c>
      <c r="B452" s="291">
        <v>201</v>
      </c>
      <c r="C452" s="291" t="s">
        <v>79</v>
      </c>
      <c r="D452" s="291" t="s">
        <v>91</v>
      </c>
      <c r="E452" s="145">
        <v>45913</v>
      </c>
      <c r="F452" s="44">
        <v>5.7</v>
      </c>
      <c r="G452" s="46">
        <v>6</v>
      </c>
      <c r="H452" s="44">
        <f t="shared" si="39"/>
        <v>-0.29999999999999982</v>
      </c>
      <c r="I452" s="45">
        <v>45811</v>
      </c>
      <c r="J452" s="45">
        <v>45811</v>
      </c>
      <c r="K452" s="7">
        <f t="shared" ca="1" si="41"/>
        <v>0</v>
      </c>
      <c r="L452" s="9">
        <v>45850</v>
      </c>
      <c r="M452" s="45">
        <v>45832</v>
      </c>
      <c r="N452" s="7">
        <f t="shared" ca="1" si="38"/>
        <v>18</v>
      </c>
      <c r="O452" s="85"/>
      <c r="P452" s="19"/>
    </row>
    <row r="453" spans="1:16" ht="14.5">
      <c r="A453" s="19" t="s">
        <v>188</v>
      </c>
      <c r="B453" s="291">
        <v>201</v>
      </c>
      <c r="C453" s="291" t="s">
        <v>80</v>
      </c>
      <c r="D453" s="291" t="s">
        <v>91</v>
      </c>
      <c r="E453" s="145">
        <v>45913</v>
      </c>
      <c r="F453" s="44">
        <v>402.6</v>
      </c>
      <c r="G453" s="46">
        <v>403</v>
      </c>
      <c r="H453" s="44">
        <f t="shared" si="39"/>
        <v>-0.39999999999997726</v>
      </c>
      <c r="I453" s="45">
        <v>45811</v>
      </c>
      <c r="J453" s="45">
        <v>45811</v>
      </c>
      <c r="K453" s="7">
        <f t="shared" ca="1" si="41"/>
        <v>0</v>
      </c>
      <c r="L453" s="9">
        <v>45836</v>
      </c>
      <c r="M453" s="45">
        <v>45822</v>
      </c>
      <c r="N453" s="7">
        <f t="shared" ref="N453:N454" ca="1" si="42">+IF(M453="",L453-TODAY(),L453-M453)</f>
        <v>14</v>
      </c>
      <c r="O453" s="85"/>
      <c r="P453" s="19"/>
    </row>
    <row r="454" spans="1:16" ht="14.5">
      <c r="A454" s="19" t="s">
        <v>188</v>
      </c>
      <c r="B454" s="291">
        <v>201</v>
      </c>
      <c r="C454" s="291" t="s">
        <v>82</v>
      </c>
      <c r="D454" s="291" t="s">
        <v>91</v>
      </c>
      <c r="E454" s="145">
        <v>45913</v>
      </c>
      <c r="F454" s="44">
        <v>206.5</v>
      </c>
      <c r="G454" s="46">
        <v>207</v>
      </c>
      <c r="H454" s="44">
        <f t="shared" si="39"/>
        <v>-0.5</v>
      </c>
      <c r="I454" s="45">
        <v>45811</v>
      </c>
      <c r="J454" s="45">
        <v>45811</v>
      </c>
      <c r="K454" s="7">
        <f t="shared" ca="1" si="41"/>
        <v>0</v>
      </c>
      <c r="L454" s="9">
        <v>45850</v>
      </c>
      <c r="M454" s="45">
        <v>45815</v>
      </c>
      <c r="N454" s="7">
        <f t="shared" ca="1" si="42"/>
        <v>35</v>
      </c>
      <c r="O454" s="85"/>
      <c r="P454" s="19"/>
    </row>
    <row r="455" spans="1:16" ht="14.5">
      <c r="A455" s="19" t="s">
        <v>188</v>
      </c>
      <c r="B455" s="291">
        <v>201</v>
      </c>
      <c r="C455" s="291" t="s">
        <v>857</v>
      </c>
      <c r="D455" s="291" t="s">
        <v>91</v>
      </c>
      <c r="E455" s="145">
        <v>45913</v>
      </c>
      <c r="F455" s="44">
        <v>392.7</v>
      </c>
      <c r="G455" s="46">
        <v>393</v>
      </c>
      <c r="H455" s="44">
        <f t="shared" si="39"/>
        <v>-0.30000000000001137</v>
      </c>
      <c r="I455" s="45">
        <v>45811</v>
      </c>
      <c r="J455" s="45">
        <v>45811</v>
      </c>
      <c r="K455" s="7">
        <f t="shared" ca="1" si="41"/>
        <v>0</v>
      </c>
      <c r="L455" s="9">
        <f>E455-34-16-13</f>
        <v>45850</v>
      </c>
      <c r="M455" s="45">
        <v>45829</v>
      </c>
      <c r="N455" s="7">
        <f t="shared" ref="N455:N457" ca="1" si="43">+IF(M455="",L455-TODAY(),L455-M455)</f>
        <v>21</v>
      </c>
      <c r="O455" s="85"/>
      <c r="P455" s="19"/>
    </row>
    <row r="456" spans="1:16" ht="14.5">
      <c r="A456" s="19" t="s">
        <v>188</v>
      </c>
      <c r="B456" s="291">
        <v>203</v>
      </c>
      <c r="C456" s="291" t="s">
        <v>75</v>
      </c>
      <c r="D456" s="291" t="s">
        <v>91</v>
      </c>
      <c r="E456" s="145">
        <v>45913</v>
      </c>
      <c r="F456" s="44">
        <v>294.7</v>
      </c>
      <c r="G456" s="46">
        <v>295</v>
      </c>
      <c r="H456" s="44">
        <f t="shared" si="39"/>
        <v>-0.30000000000001137</v>
      </c>
      <c r="I456" s="45">
        <v>45811</v>
      </c>
      <c r="J456" s="45">
        <v>45811</v>
      </c>
      <c r="K456" s="7">
        <f t="shared" ca="1" si="41"/>
        <v>0</v>
      </c>
      <c r="L456" s="9">
        <f>E456-34-16-13</f>
        <v>45850</v>
      </c>
      <c r="M456" s="45">
        <v>45829</v>
      </c>
      <c r="N456" s="7">
        <f t="shared" ca="1" si="43"/>
        <v>21</v>
      </c>
      <c r="O456" s="85"/>
      <c r="P456" s="19"/>
    </row>
    <row r="457" spans="1:16" ht="14.5">
      <c r="A457" s="19" t="s">
        <v>188</v>
      </c>
      <c r="B457" s="291">
        <v>203</v>
      </c>
      <c r="C457" s="291" t="s">
        <v>857</v>
      </c>
      <c r="D457" s="291" t="s">
        <v>91</v>
      </c>
      <c r="E457" s="145">
        <v>45913</v>
      </c>
      <c r="F457" s="44">
        <v>338</v>
      </c>
      <c r="G457" s="46">
        <v>338</v>
      </c>
      <c r="H457" s="44">
        <f t="shared" si="39"/>
        <v>0</v>
      </c>
      <c r="I457" s="45">
        <v>45811</v>
      </c>
      <c r="J457" s="45">
        <v>45811</v>
      </c>
      <c r="K457" s="7">
        <f t="shared" ca="1" si="41"/>
        <v>0</v>
      </c>
      <c r="L457" s="9">
        <f>E457-34-16-13</f>
        <v>45850</v>
      </c>
      <c r="M457" s="45">
        <v>45829</v>
      </c>
      <c r="N457" s="7">
        <f t="shared" ca="1" si="43"/>
        <v>21</v>
      </c>
      <c r="O457" s="85"/>
      <c r="P457" s="19"/>
    </row>
    <row r="458" spans="1:16" ht="14.5">
      <c r="A458" s="19" t="s">
        <v>188</v>
      </c>
      <c r="B458" s="291">
        <v>204</v>
      </c>
      <c r="C458" s="291" t="s">
        <v>75</v>
      </c>
      <c r="D458" s="291" t="s">
        <v>91</v>
      </c>
      <c r="E458" s="145">
        <v>45913</v>
      </c>
      <c r="F458" s="44">
        <v>153.1</v>
      </c>
      <c r="G458" s="46">
        <v>153</v>
      </c>
      <c r="H458" s="44">
        <f t="shared" si="39"/>
        <v>9.9999999999994316E-2</v>
      </c>
      <c r="I458" s="45">
        <v>45811</v>
      </c>
      <c r="J458" s="45">
        <v>45811</v>
      </c>
      <c r="K458" s="7">
        <f t="shared" ca="1" si="41"/>
        <v>0</v>
      </c>
      <c r="L458" s="9">
        <f>E458-34-16-13</f>
        <v>45850</v>
      </c>
      <c r="M458" s="45">
        <v>45829</v>
      </c>
      <c r="N458" s="7">
        <f t="shared" ref="N458:N460" ca="1" si="44">+IF(M458="",L458-TODAY(),L458-M458)</f>
        <v>21</v>
      </c>
      <c r="O458" s="85"/>
      <c r="P458" s="19"/>
    </row>
    <row r="459" spans="1:16" ht="14.5">
      <c r="A459" s="19" t="s">
        <v>188</v>
      </c>
      <c r="B459" s="291">
        <v>204</v>
      </c>
      <c r="C459" s="291" t="s">
        <v>77</v>
      </c>
      <c r="D459" s="291" t="s">
        <v>91</v>
      </c>
      <c r="E459" s="145">
        <v>45913</v>
      </c>
      <c r="F459" s="44">
        <v>170.8</v>
      </c>
      <c r="G459" s="46">
        <v>171</v>
      </c>
      <c r="H459" s="44">
        <f t="shared" si="39"/>
        <v>-0.19999999999998863</v>
      </c>
      <c r="I459" s="45">
        <v>45811</v>
      </c>
      <c r="J459" s="45">
        <v>45811</v>
      </c>
      <c r="K459" s="7">
        <f t="shared" ca="1" si="41"/>
        <v>0</v>
      </c>
      <c r="L459" s="9">
        <v>45852</v>
      </c>
      <c r="M459" s="45">
        <v>45829</v>
      </c>
      <c r="N459" s="7">
        <f t="shared" ca="1" si="44"/>
        <v>23</v>
      </c>
      <c r="O459" s="85"/>
      <c r="P459" s="19"/>
    </row>
    <row r="460" spans="1:16" ht="14.5">
      <c r="A460" s="19" t="s">
        <v>188</v>
      </c>
      <c r="B460" s="291">
        <v>204</v>
      </c>
      <c r="C460" s="291" t="s">
        <v>79</v>
      </c>
      <c r="D460" s="291" t="s">
        <v>91</v>
      </c>
      <c r="E460" s="145">
        <v>45913</v>
      </c>
      <c r="F460" s="44">
        <v>154.1</v>
      </c>
      <c r="G460" s="46">
        <v>154</v>
      </c>
      <c r="H460" s="44">
        <f t="shared" si="39"/>
        <v>9.9999999999994316E-2</v>
      </c>
      <c r="I460" s="45">
        <v>45811</v>
      </c>
      <c r="J460" s="45">
        <v>45811</v>
      </c>
      <c r="K460" s="7">
        <f t="shared" ca="1" si="41"/>
        <v>0</v>
      </c>
      <c r="L460" s="9">
        <v>45852</v>
      </c>
      <c r="M460" s="45">
        <v>45832</v>
      </c>
      <c r="N460" s="7">
        <f t="shared" ca="1" si="44"/>
        <v>20</v>
      </c>
      <c r="O460" s="85"/>
      <c r="P460" s="19"/>
    </row>
    <row r="461" spans="1:16" ht="14.5">
      <c r="A461" s="19" t="s">
        <v>188</v>
      </c>
      <c r="B461" s="291">
        <v>204</v>
      </c>
      <c r="C461" s="291" t="s">
        <v>857</v>
      </c>
      <c r="D461" s="291" t="s">
        <v>91</v>
      </c>
      <c r="E461" s="145">
        <v>45913</v>
      </c>
      <c r="F461" s="44">
        <v>175.5</v>
      </c>
      <c r="G461" s="46">
        <v>176</v>
      </c>
      <c r="H461" s="44">
        <f t="shared" si="39"/>
        <v>-0.5</v>
      </c>
      <c r="I461" s="45">
        <v>45811</v>
      </c>
      <c r="J461" s="45">
        <v>45811</v>
      </c>
      <c r="K461" s="7">
        <f t="shared" ca="1" si="41"/>
        <v>0</v>
      </c>
      <c r="L461" s="9">
        <f>E461-34-16-13</f>
        <v>45850</v>
      </c>
      <c r="M461" s="45">
        <v>45829</v>
      </c>
      <c r="N461" s="7">
        <f t="shared" ref="N461:N464" ca="1" si="45">+IF(M461="",L461-TODAY(),L461-M461)</f>
        <v>21</v>
      </c>
      <c r="O461" s="85"/>
      <c r="P461" s="19"/>
    </row>
    <row r="462" spans="1:16" ht="14.5">
      <c r="A462" s="19" t="s">
        <v>188</v>
      </c>
      <c r="B462" s="291">
        <v>205</v>
      </c>
      <c r="C462" s="291" t="s">
        <v>75</v>
      </c>
      <c r="D462" s="291" t="s">
        <v>91</v>
      </c>
      <c r="E462" s="145">
        <v>45913</v>
      </c>
      <c r="F462" s="44">
        <v>119.3</v>
      </c>
      <c r="G462" s="46">
        <v>119</v>
      </c>
      <c r="H462" s="44">
        <f t="shared" si="39"/>
        <v>0.29999999999999716</v>
      </c>
      <c r="I462" s="45">
        <v>45811</v>
      </c>
      <c r="J462" s="45">
        <v>45811</v>
      </c>
      <c r="K462" s="7">
        <f t="shared" ca="1" si="41"/>
        <v>0</v>
      </c>
      <c r="L462" s="9">
        <f>E462-34-16-13</f>
        <v>45850</v>
      </c>
      <c r="M462" s="45">
        <v>45829</v>
      </c>
      <c r="N462" s="7">
        <f t="shared" ca="1" si="45"/>
        <v>21</v>
      </c>
      <c r="O462" s="85"/>
      <c r="P462" s="19"/>
    </row>
    <row r="463" spans="1:16" ht="14.5">
      <c r="A463" s="19" t="s">
        <v>188</v>
      </c>
      <c r="B463" s="291">
        <v>205</v>
      </c>
      <c r="C463" s="291" t="s">
        <v>77</v>
      </c>
      <c r="D463" s="291" t="s">
        <v>91</v>
      </c>
      <c r="E463" s="145">
        <v>45913</v>
      </c>
      <c r="F463" s="44">
        <v>226.2</v>
      </c>
      <c r="G463" s="46">
        <v>226</v>
      </c>
      <c r="H463" s="44">
        <f t="shared" si="39"/>
        <v>0.19999999999998863</v>
      </c>
      <c r="I463" s="45">
        <v>45811</v>
      </c>
      <c r="J463" s="45">
        <v>45811</v>
      </c>
      <c r="K463" s="7">
        <f t="shared" ca="1" si="41"/>
        <v>0</v>
      </c>
      <c r="L463" s="9">
        <v>45852</v>
      </c>
      <c r="M463" s="45">
        <v>45829</v>
      </c>
      <c r="N463" s="7">
        <f t="shared" ca="1" si="45"/>
        <v>23</v>
      </c>
      <c r="O463" s="85"/>
      <c r="P463" s="19"/>
    </row>
    <row r="464" spans="1:16" ht="14.5">
      <c r="A464" s="19" t="s">
        <v>188</v>
      </c>
      <c r="B464" s="291">
        <v>205</v>
      </c>
      <c r="C464" s="291" t="s">
        <v>79</v>
      </c>
      <c r="D464" s="291" t="s">
        <v>91</v>
      </c>
      <c r="E464" s="145">
        <v>45913</v>
      </c>
      <c r="F464" s="44">
        <v>232.5</v>
      </c>
      <c r="G464" s="46">
        <v>233</v>
      </c>
      <c r="H464" s="44">
        <f t="shared" si="39"/>
        <v>-0.5</v>
      </c>
      <c r="I464" s="45">
        <v>45811</v>
      </c>
      <c r="J464" s="45">
        <v>45811</v>
      </c>
      <c r="K464" s="7">
        <f t="shared" ca="1" si="41"/>
        <v>0</v>
      </c>
      <c r="L464" s="9">
        <v>45852</v>
      </c>
      <c r="M464" s="45">
        <v>45832</v>
      </c>
      <c r="N464" s="7">
        <f t="shared" ca="1" si="45"/>
        <v>20</v>
      </c>
      <c r="O464" s="85"/>
      <c r="P464" s="19"/>
    </row>
    <row r="465" spans="1:16" ht="14.5">
      <c r="A465" s="19" t="s">
        <v>188</v>
      </c>
      <c r="B465" s="291">
        <v>205</v>
      </c>
      <c r="C465" s="291" t="s">
        <v>857</v>
      </c>
      <c r="D465" s="291" t="s">
        <v>91</v>
      </c>
      <c r="E465" s="145">
        <v>45913</v>
      </c>
      <c r="F465" s="44">
        <v>136.80000000000001</v>
      </c>
      <c r="G465" s="46">
        <v>137</v>
      </c>
      <c r="H465" s="44">
        <f t="shared" si="39"/>
        <v>-0.19999999999998863</v>
      </c>
      <c r="I465" s="45">
        <v>45811</v>
      </c>
      <c r="J465" s="45">
        <v>45811</v>
      </c>
      <c r="K465" s="7">
        <f t="shared" ca="1" si="41"/>
        <v>0</v>
      </c>
      <c r="L465" s="9">
        <f>E465-34-16-13</f>
        <v>45850</v>
      </c>
      <c r="M465" s="45">
        <v>45829</v>
      </c>
      <c r="N465" s="7">
        <f t="shared" ref="N465:N468" ca="1" si="46">+IF(M465="",L465-TODAY(),L465-M465)</f>
        <v>21</v>
      </c>
      <c r="O465" s="85"/>
      <c r="P465" s="19"/>
    </row>
    <row r="466" spans="1:16" ht="14.5">
      <c r="A466" s="19" t="s">
        <v>188</v>
      </c>
      <c r="B466" s="291">
        <v>206</v>
      </c>
      <c r="C466" s="291" t="s">
        <v>75</v>
      </c>
      <c r="D466" s="291" t="s">
        <v>91</v>
      </c>
      <c r="E466" s="145">
        <v>45913</v>
      </c>
      <c r="F466" s="44">
        <v>94</v>
      </c>
      <c r="G466" s="46">
        <v>94</v>
      </c>
      <c r="H466" s="44">
        <f t="shared" si="39"/>
        <v>0</v>
      </c>
      <c r="I466" s="45">
        <v>45811</v>
      </c>
      <c r="J466" s="45">
        <v>45811</v>
      </c>
      <c r="K466" s="7">
        <f t="shared" ca="1" si="41"/>
        <v>0</v>
      </c>
      <c r="L466" s="9">
        <f>E466-34-16-13</f>
        <v>45850</v>
      </c>
      <c r="M466" s="45">
        <v>45829</v>
      </c>
      <c r="N466" s="7">
        <f t="shared" ca="1" si="46"/>
        <v>21</v>
      </c>
      <c r="O466" s="85"/>
      <c r="P466" s="19"/>
    </row>
    <row r="467" spans="1:16" ht="14.5">
      <c r="A467" s="19" t="s">
        <v>188</v>
      </c>
      <c r="B467" s="291">
        <v>206</v>
      </c>
      <c r="C467" s="291" t="s">
        <v>77</v>
      </c>
      <c r="D467" s="291" t="s">
        <v>91</v>
      </c>
      <c r="E467" s="145">
        <v>45913</v>
      </c>
      <c r="F467" s="44">
        <v>188.5</v>
      </c>
      <c r="G467" s="46">
        <v>189</v>
      </c>
      <c r="H467" s="44">
        <f t="shared" si="39"/>
        <v>-0.5</v>
      </c>
      <c r="I467" s="45">
        <v>45811</v>
      </c>
      <c r="J467" s="45">
        <v>45811</v>
      </c>
      <c r="K467" s="7">
        <f t="shared" ca="1" si="41"/>
        <v>0</v>
      </c>
      <c r="L467" s="9">
        <v>45859</v>
      </c>
      <c r="M467" s="45">
        <v>45829</v>
      </c>
      <c r="N467" s="7">
        <f t="shared" ca="1" si="46"/>
        <v>30</v>
      </c>
      <c r="O467" s="85"/>
      <c r="P467" s="19"/>
    </row>
    <row r="468" spans="1:16" ht="14.5">
      <c r="A468" s="19" t="s">
        <v>188</v>
      </c>
      <c r="B468" s="291">
        <v>206</v>
      </c>
      <c r="C468" s="291" t="s">
        <v>79</v>
      </c>
      <c r="D468" s="291" t="s">
        <v>91</v>
      </c>
      <c r="E468" s="145">
        <v>45913</v>
      </c>
      <c r="F468" s="44">
        <v>211.8</v>
      </c>
      <c r="G468" s="46">
        <v>212</v>
      </c>
      <c r="H468" s="44">
        <f t="shared" si="39"/>
        <v>-0.19999999999998863</v>
      </c>
      <c r="I468" s="45">
        <v>45811</v>
      </c>
      <c r="J468" s="45">
        <v>45811</v>
      </c>
      <c r="K468" s="7">
        <f t="shared" ca="1" si="41"/>
        <v>0</v>
      </c>
      <c r="L468" s="9">
        <v>45859</v>
      </c>
      <c r="M468" s="45">
        <v>45832</v>
      </c>
      <c r="N468" s="7">
        <f t="shared" ca="1" si="46"/>
        <v>27</v>
      </c>
      <c r="O468" s="85"/>
      <c r="P468" s="19"/>
    </row>
    <row r="469" spans="1:16" ht="14.5">
      <c r="A469" s="19" t="s">
        <v>188</v>
      </c>
      <c r="B469" s="291">
        <v>206</v>
      </c>
      <c r="C469" s="291" t="s">
        <v>857</v>
      </c>
      <c r="D469" s="291" t="s">
        <v>91</v>
      </c>
      <c r="E469" s="145">
        <v>45913</v>
      </c>
      <c r="F469" s="44">
        <v>107.7</v>
      </c>
      <c r="G469" s="46">
        <v>108</v>
      </c>
      <c r="H469" s="44">
        <f t="shared" si="39"/>
        <v>-0.29999999999999716</v>
      </c>
      <c r="I469" s="45">
        <v>45811</v>
      </c>
      <c r="J469" s="45">
        <v>45811</v>
      </c>
      <c r="K469" s="7">
        <f t="shared" ca="1" si="41"/>
        <v>0</v>
      </c>
      <c r="L469" s="9">
        <f>E469-34-16-13</f>
        <v>45850</v>
      </c>
      <c r="M469" s="45">
        <v>45829</v>
      </c>
      <c r="N469" s="7">
        <f t="shared" ref="N469:N476" ca="1" si="47">+IF(M469="",L469-TODAY(),L469-M469)</f>
        <v>21</v>
      </c>
      <c r="O469" s="85"/>
      <c r="P469" s="19"/>
    </row>
    <row r="470" spans="1:16" ht="14.5">
      <c r="A470" s="19" t="s">
        <v>188</v>
      </c>
      <c r="B470" s="291">
        <v>207</v>
      </c>
      <c r="C470" s="291" t="s">
        <v>75</v>
      </c>
      <c r="D470" s="291" t="s">
        <v>91</v>
      </c>
      <c r="E470" s="145">
        <v>45913</v>
      </c>
      <c r="F470" s="44">
        <v>71.400000000000006</v>
      </c>
      <c r="G470" s="46">
        <v>71</v>
      </c>
      <c r="H470" s="44">
        <f t="shared" si="39"/>
        <v>0.40000000000000568</v>
      </c>
      <c r="I470" s="45">
        <v>45811</v>
      </c>
      <c r="J470" s="45">
        <v>45811</v>
      </c>
      <c r="K470" s="7">
        <f t="shared" ca="1" si="41"/>
        <v>0</v>
      </c>
      <c r="L470" s="9">
        <f>E470-34-16-13</f>
        <v>45850</v>
      </c>
      <c r="M470" s="45">
        <v>45829</v>
      </c>
      <c r="N470" s="7">
        <f t="shared" ca="1" si="47"/>
        <v>21</v>
      </c>
      <c r="O470" s="85"/>
      <c r="P470" s="19"/>
    </row>
    <row r="471" spans="1:16" ht="14.5">
      <c r="A471" s="19" t="s">
        <v>188</v>
      </c>
      <c r="B471" s="291">
        <v>207</v>
      </c>
      <c r="C471" s="291" t="s">
        <v>77</v>
      </c>
      <c r="D471" s="291" t="s">
        <v>91</v>
      </c>
      <c r="E471" s="145">
        <v>45913</v>
      </c>
      <c r="F471" s="44">
        <v>162.9</v>
      </c>
      <c r="G471" s="46">
        <v>163</v>
      </c>
      <c r="H471" s="44">
        <f t="shared" si="39"/>
        <v>-9.9999999999994316E-2</v>
      </c>
      <c r="I471" s="45">
        <v>45811</v>
      </c>
      <c r="J471" s="45">
        <v>45811</v>
      </c>
      <c r="K471" s="7">
        <f t="shared" ca="1" si="41"/>
        <v>0</v>
      </c>
      <c r="L471" s="9">
        <v>45857</v>
      </c>
      <c r="M471" s="45">
        <v>45829</v>
      </c>
      <c r="N471" s="7">
        <f t="shared" ca="1" si="47"/>
        <v>28</v>
      </c>
      <c r="O471" s="85"/>
      <c r="P471" s="19"/>
    </row>
    <row r="472" spans="1:16" ht="14.5">
      <c r="A472" s="19" t="s">
        <v>188</v>
      </c>
      <c r="B472" s="291">
        <v>207</v>
      </c>
      <c r="C472" s="291" t="s">
        <v>867</v>
      </c>
      <c r="D472" s="291" t="s">
        <v>91</v>
      </c>
      <c r="E472" s="145">
        <v>45913</v>
      </c>
      <c r="F472" s="44">
        <v>36.200000000000003</v>
      </c>
      <c r="G472" s="46"/>
      <c r="H472" s="44">
        <f t="shared" si="39"/>
        <v>36.200000000000003</v>
      </c>
      <c r="I472" s="45">
        <v>45811</v>
      </c>
      <c r="J472" s="45">
        <v>45811</v>
      </c>
      <c r="K472" s="7">
        <f t="shared" ca="1" si="41"/>
        <v>0</v>
      </c>
      <c r="L472" s="9">
        <v>45829</v>
      </c>
      <c r="M472" s="45"/>
      <c r="N472" s="7">
        <f t="shared" ca="1" si="47"/>
        <v>-11</v>
      </c>
      <c r="O472" s="85"/>
      <c r="P472" s="19" t="s">
        <v>964</v>
      </c>
    </row>
    <row r="473" spans="1:16" ht="14.5">
      <c r="A473" s="19" t="s">
        <v>188</v>
      </c>
      <c r="B473" s="291">
        <v>207</v>
      </c>
      <c r="C473" s="291" t="s">
        <v>79</v>
      </c>
      <c r="D473" s="291" t="s">
        <v>91</v>
      </c>
      <c r="E473" s="145">
        <v>45913</v>
      </c>
      <c r="F473" s="44">
        <v>189.3</v>
      </c>
      <c r="G473" s="46">
        <v>189</v>
      </c>
      <c r="H473" s="44">
        <f t="shared" si="39"/>
        <v>0.30000000000001137</v>
      </c>
      <c r="I473" s="45">
        <v>45811</v>
      </c>
      <c r="J473" s="45">
        <v>45811</v>
      </c>
      <c r="K473" s="7">
        <f t="shared" ca="1" si="41"/>
        <v>0</v>
      </c>
      <c r="L473" s="9">
        <v>45857</v>
      </c>
      <c r="M473" s="45">
        <v>45832</v>
      </c>
      <c r="N473" s="7">
        <f t="shared" ca="1" si="47"/>
        <v>25</v>
      </c>
      <c r="O473" s="85"/>
      <c r="P473" s="19"/>
    </row>
    <row r="474" spans="1:16" ht="14.5">
      <c r="A474" s="19" t="s">
        <v>188</v>
      </c>
      <c r="B474" s="291">
        <v>207</v>
      </c>
      <c r="C474" s="291" t="s">
        <v>82</v>
      </c>
      <c r="D474" s="291" t="s">
        <v>91</v>
      </c>
      <c r="E474" s="145">
        <v>45913</v>
      </c>
      <c r="F474" s="44">
        <v>183.3</v>
      </c>
      <c r="G474" s="46">
        <v>183</v>
      </c>
      <c r="H474" s="44">
        <f t="shared" si="39"/>
        <v>0.30000000000001137</v>
      </c>
      <c r="I474" s="45">
        <v>45811</v>
      </c>
      <c r="J474" s="45">
        <v>45811</v>
      </c>
      <c r="K474" s="7">
        <f t="shared" ca="1" si="41"/>
        <v>0</v>
      </c>
      <c r="L474" s="9">
        <v>45857</v>
      </c>
      <c r="M474" s="45">
        <v>45815</v>
      </c>
      <c r="N474" s="7">
        <f t="shared" ca="1" si="47"/>
        <v>42</v>
      </c>
      <c r="O474" s="85"/>
      <c r="P474" s="19"/>
    </row>
    <row r="475" spans="1:16" ht="14.5">
      <c r="A475" s="19" t="s">
        <v>188</v>
      </c>
      <c r="B475" s="291">
        <v>207</v>
      </c>
      <c r="C475" s="291" t="s">
        <v>857</v>
      </c>
      <c r="D475" s="291" t="s">
        <v>91</v>
      </c>
      <c r="E475" s="145">
        <v>45913</v>
      </c>
      <c r="F475" s="44">
        <v>81.900000000000006</v>
      </c>
      <c r="G475" s="46">
        <v>82</v>
      </c>
      <c r="H475" s="44">
        <f t="shared" si="39"/>
        <v>-9.9999999999994316E-2</v>
      </c>
      <c r="I475" s="45">
        <v>45811</v>
      </c>
      <c r="J475" s="45">
        <v>45811</v>
      </c>
      <c r="K475" s="7">
        <f t="shared" ca="1" si="41"/>
        <v>0</v>
      </c>
      <c r="L475" s="9">
        <f>E475-34-16-13</f>
        <v>45850</v>
      </c>
      <c r="M475" s="45">
        <v>45829</v>
      </c>
      <c r="N475" s="7">
        <f t="shared" ref="N475" ca="1" si="48">+IF(M475="",L475-TODAY(),L475-M475)</f>
        <v>21</v>
      </c>
      <c r="O475" s="85"/>
      <c r="P475" s="19"/>
    </row>
    <row r="476" spans="1:16" ht="14.5">
      <c r="A476" s="19" t="s">
        <v>188</v>
      </c>
      <c r="B476" s="291">
        <v>207</v>
      </c>
      <c r="C476" s="291" t="s">
        <v>868</v>
      </c>
      <c r="D476" s="291" t="s">
        <v>91</v>
      </c>
      <c r="E476" s="145">
        <v>45913</v>
      </c>
      <c r="F476" s="44">
        <v>105.8</v>
      </c>
      <c r="G476" s="46"/>
      <c r="H476" s="44">
        <f t="shared" si="39"/>
        <v>105.8</v>
      </c>
      <c r="I476" s="45">
        <v>45811</v>
      </c>
      <c r="J476" s="45">
        <v>45811</v>
      </c>
      <c r="K476" s="7">
        <f t="shared" ca="1" si="41"/>
        <v>0</v>
      </c>
      <c r="L476" s="9">
        <v>45829</v>
      </c>
      <c r="M476" s="45"/>
      <c r="N476" s="7">
        <f t="shared" ca="1" si="47"/>
        <v>-11</v>
      </c>
      <c r="O476" s="85"/>
      <c r="P476" s="19" t="s">
        <v>964</v>
      </c>
    </row>
    <row r="477" spans="1:16" ht="14.5">
      <c r="A477" s="19" t="s">
        <v>188</v>
      </c>
      <c r="B477" s="291">
        <v>208</v>
      </c>
      <c r="C477" s="291" t="s">
        <v>75</v>
      </c>
      <c r="D477" s="291" t="s">
        <v>91</v>
      </c>
      <c r="E477" s="145">
        <v>45913</v>
      </c>
      <c r="F477" s="44">
        <v>136.5</v>
      </c>
      <c r="G477" s="46">
        <v>137</v>
      </c>
      <c r="H477" s="44">
        <f t="shared" si="39"/>
        <v>-0.5</v>
      </c>
      <c r="I477" s="45">
        <v>45811</v>
      </c>
      <c r="J477" s="45">
        <v>45811</v>
      </c>
      <c r="K477" s="7">
        <f t="shared" ca="1" si="41"/>
        <v>0</v>
      </c>
      <c r="L477" s="9">
        <f>E477-34-16-13</f>
        <v>45850</v>
      </c>
      <c r="M477" s="45">
        <v>45829</v>
      </c>
      <c r="N477" s="7">
        <f t="shared" ref="N477:N481" ca="1" si="49">+IF(M477="",L477-TODAY(),L477-M477)</f>
        <v>21</v>
      </c>
      <c r="O477" s="85"/>
      <c r="P477" s="19"/>
    </row>
    <row r="478" spans="1:16" ht="14.5">
      <c r="A478" s="19" t="s">
        <v>188</v>
      </c>
      <c r="B478" s="291">
        <v>208</v>
      </c>
      <c r="C478" s="291" t="s">
        <v>77</v>
      </c>
      <c r="D478" s="291" t="s">
        <v>91</v>
      </c>
      <c r="E478" s="145">
        <v>45913</v>
      </c>
      <c r="F478" s="44">
        <v>1136.7</v>
      </c>
      <c r="G478" s="46">
        <v>1137</v>
      </c>
      <c r="H478" s="44">
        <f t="shared" si="39"/>
        <v>-0.29999999999995453</v>
      </c>
      <c r="I478" s="45">
        <v>45811</v>
      </c>
      <c r="J478" s="45">
        <v>45811</v>
      </c>
      <c r="K478" s="7">
        <f t="shared" ca="1" si="41"/>
        <v>0</v>
      </c>
      <c r="L478" s="9">
        <v>45857</v>
      </c>
      <c r="M478" s="45">
        <v>45829</v>
      </c>
      <c r="N478" s="7">
        <f t="shared" ca="1" si="49"/>
        <v>28</v>
      </c>
      <c r="O478" s="85"/>
      <c r="P478" s="19"/>
    </row>
    <row r="479" spans="1:16" ht="14.5">
      <c r="A479" s="19" t="s">
        <v>188</v>
      </c>
      <c r="B479" s="291">
        <v>208</v>
      </c>
      <c r="C479" s="291" t="s">
        <v>79</v>
      </c>
      <c r="D479" s="291" t="s">
        <v>91</v>
      </c>
      <c r="E479" s="145">
        <v>45913</v>
      </c>
      <c r="F479" s="44">
        <v>147.30000000000001</v>
      </c>
      <c r="G479" s="46">
        <v>147</v>
      </c>
      <c r="H479" s="44">
        <f t="shared" si="39"/>
        <v>0.30000000000001137</v>
      </c>
      <c r="I479" s="45">
        <v>45811</v>
      </c>
      <c r="J479" s="45">
        <v>45811</v>
      </c>
      <c r="K479" s="7">
        <f t="shared" ca="1" si="41"/>
        <v>0</v>
      </c>
      <c r="L479" s="9">
        <v>45857</v>
      </c>
      <c r="M479" s="45">
        <v>45832</v>
      </c>
      <c r="N479" s="7">
        <f t="shared" ca="1" si="49"/>
        <v>25</v>
      </c>
      <c r="O479" s="85"/>
      <c r="P479" s="19"/>
    </row>
    <row r="480" spans="1:16" ht="14.5">
      <c r="A480" s="19" t="s">
        <v>188</v>
      </c>
      <c r="B480" s="291">
        <v>208</v>
      </c>
      <c r="C480" s="291" t="s">
        <v>80</v>
      </c>
      <c r="D480" s="291" t="s">
        <v>91</v>
      </c>
      <c r="E480" s="145">
        <v>45913</v>
      </c>
      <c r="F480" s="44">
        <v>604.4</v>
      </c>
      <c r="G480" s="46">
        <v>604</v>
      </c>
      <c r="H480" s="44">
        <f t="shared" si="39"/>
        <v>0.39999999999997726</v>
      </c>
      <c r="I480" s="45">
        <v>45811</v>
      </c>
      <c r="J480" s="45">
        <v>45811</v>
      </c>
      <c r="K480" s="7">
        <f t="shared" ca="1" si="41"/>
        <v>0</v>
      </c>
      <c r="L480" s="9">
        <v>45844</v>
      </c>
      <c r="M480" s="45">
        <v>45822</v>
      </c>
      <c r="N480" s="7">
        <f t="shared" ca="1" si="49"/>
        <v>22</v>
      </c>
      <c r="O480" s="85"/>
      <c r="P480" s="19"/>
    </row>
    <row r="481" spans="1:16" ht="14.5">
      <c r="A481" s="19" t="s">
        <v>188</v>
      </c>
      <c r="B481" s="291">
        <v>208</v>
      </c>
      <c r="C481" s="291" t="s">
        <v>82</v>
      </c>
      <c r="D481" s="291" t="s">
        <v>91</v>
      </c>
      <c r="E481" s="145">
        <v>45913</v>
      </c>
      <c r="F481" s="44">
        <v>232.2</v>
      </c>
      <c r="G481" s="46">
        <v>232</v>
      </c>
      <c r="H481" s="44">
        <f t="shared" si="39"/>
        <v>0.19999999999998863</v>
      </c>
      <c r="I481" s="45">
        <v>45811</v>
      </c>
      <c r="J481" s="45">
        <v>45811</v>
      </c>
      <c r="K481" s="7">
        <f t="shared" ca="1" si="41"/>
        <v>0</v>
      </c>
      <c r="L481" s="9">
        <v>45857</v>
      </c>
      <c r="M481" s="45">
        <v>45815</v>
      </c>
      <c r="N481" s="7">
        <f t="shared" ca="1" si="49"/>
        <v>42</v>
      </c>
      <c r="O481" s="85"/>
      <c r="P481" s="19"/>
    </row>
    <row r="482" spans="1:16" ht="14.5">
      <c r="A482" s="19" t="s">
        <v>188</v>
      </c>
      <c r="B482" s="291">
        <v>208</v>
      </c>
      <c r="C482" s="291" t="s">
        <v>857</v>
      </c>
      <c r="D482" s="291" t="s">
        <v>91</v>
      </c>
      <c r="E482" s="145">
        <v>45913</v>
      </c>
      <c r="F482" s="44">
        <v>156.6</v>
      </c>
      <c r="G482" s="46">
        <v>157</v>
      </c>
      <c r="H482" s="44">
        <f t="shared" si="39"/>
        <v>-0.40000000000000568</v>
      </c>
      <c r="I482" s="45">
        <v>45811</v>
      </c>
      <c r="J482" s="45">
        <v>45811</v>
      </c>
      <c r="K482" s="7">
        <f t="shared" ca="1" si="41"/>
        <v>0</v>
      </c>
      <c r="L482" s="9">
        <f>E482-34-16-13</f>
        <v>45850</v>
      </c>
      <c r="M482" s="45">
        <v>45829</v>
      </c>
      <c r="N482" s="7">
        <f t="shared" ref="N482:N486" ca="1" si="50">+IF(M482="",L482-TODAY(),L482-M482)</f>
        <v>21</v>
      </c>
      <c r="O482" s="85"/>
      <c r="P482" s="19"/>
    </row>
    <row r="483" spans="1:16" ht="14.5">
      <c r="A483" s="19" t="s">
        <v>188</v>
      </c>
      <c r="B483" s="291">
        <v>209</v>
      </c>
      <c r="C483" s="291" t="s">
        <v>75</v>
      </c>
      <c r="D483" s="291" t="s">
        <v>91</v>
      </c>
      <c r="E483" s="145">
        <v>45913</v>
      </c>
      <c r="F483" s="44">
        <v>14</v>
      </c>
      <c r="G483" s="46">
        <v>14</v>
      </c>
      <c r="H483" s="44">
        <f t="shared" si="39"/>
        <v>0</v>
      </c>
      <c r="I483" s="45">
        <v>45811</v>
      </c>
      <c r="J483" s="45">
        <v>45811</v>
      </c>
      <c r="K483" s="7">
        <f t="shared" ca="1" si="41"/>
        <v>0</v>
      </c>
      <c r="L483" s="9">
        <f>E483-34-16-13</f>
        <v>45850</v>
      </c>
      <c r="M483" s="45">
        <v>45829</v>
      </c>
      <c r="N483" s="7">
        <f t="shared" ca="1" si="50"/>
        <v>21</v>
      </c>
      <c r="O483" s="85"/>
      <c r="P483" s="19"/>
    </row>
    <row r="484" spans="1:16" ht="14.5">
      <c r="A484" s="19" t="s">
        <v>188</v>
      </c>
      <c r="B484" s="291">
        <v>209</v>
      </c>
      <c r="C484" s="291" t="s">
        <v>77</v>
      </c>
      <c r="D484" s="291" t="s">
        <v>91</v>
      </c>
      <c r="E484" s="145">
        <v>45920</v>
      </c>
      <c r="F484" s="44">
        <v>1024.3</v>
      </c>
      <c r="G484" s="46">
        <v>1024</v>
      </c>
      <c r="H484" s="44">
        <f t="shared" si="39"/>
        <v>0.29999999999995453</v>
      </c>
      <c r="I484" s="45">
        <v>45811</v>
      </c>
      <c r="J484" s="45">
        <v>45811</v>
      </c>
      <c r="K484" s="7">
        <f t="shared" ca="1" si="41"/>
        <v>0</v>
      </c>
      <c r="L484" s="9">
        <v>45859</v>
      </c>
      <c r="M484" s="45">
        <v>45829</v>
      </c>
      <c r="N484" s="7">
        <f t="shared" ca="1" si="50"/>
        <v>30</v>
      </c>
      <c r="O484" s="85"/>
      <c r="P484" s="19"/>
    </row>
    <row r="485" spans="1:16" ht="14.5">
      <c r="A485" s="19" t="s">
        <v>188</v>
      </c>
      <c r="B485" s="291">
        <v>209</v>
      </c>
      <c r="C485" s="291" t="s">
        <v>79</v>
      </c>
      <c r="D485" s="291" t="s">
        <v>91</v>
      </c>
      <c r="E485" s="145">
        <v>45920</v>
      </c>
      <c r="F485" s="44">
        <v>73.8</v>
      </c>
      <c r="G485" s="46">
        <v>74</v>
      </c>
      <c r="H485" s="44">
        <f t="shared" si="39"/>
        <v>-0.20000000000000284</v>
      </c>
      <c r="I485" s="45">
        <v>45811</v>
      </c>
      <c r="J485" s="45">
        <v>45811</v>
      </c>
      <c r="K485" s="7">
        <f t="shared" ca="1" si="41"/>
        <v>0</v>
      </c>
      <c r="L485" s="9">
        <v>45859</v>
      </c>
      <c r="M485" s="45">
        <v>45832</v>
      </c>
      <c r="N485" s="7">
        <f t="shared" ca="1" si="50"/>
        <v>27</v>
      </c>
      <c r="O485" s="85"/>
      <c r="P485" s="19"/>
    </row>
    <row r="486" spans="1:16" ht="14.5">
      <c r="A486" s="19" t="s">
        <v>188</v>
      </c>
      <c r="B486" s="291">
        <v>209</v>
      </c>
      <c r="C486" s="291" t="s">
        <v>80</v>
      </c>
      <c r="D486" s="291" t="s">
        <v>91</v>
      </c>
      <c r="E486" s="145">
        <v>45920</v>
      </c>
      <c r="F486" s="44">
        <v>561.20000000000005</v>
      </c>
      <c r="G486" s="46">
        <v>561</v>
      </c>
      <c r="H486" s="44">
        <f t="shared" si="39"/>
        <v>0.20000000000004547</v>
      </c>
      <c r="I486" s="45">
        <v>45811</v>
      </c>
      <c r="J486" s="45">
        <v>45811</v>
      </c>
      <c r="K486" s="7">
        <f t="shared" ca="1" si="41"/>
        <v>0</v>
      </c>
      <c r="L486" s="9">
        <v>45844</v>
      </c>
      <c r="M486" s="45">
        <v>45822</v>
      </c>
      <c r="N486" s="7">
        <f t="shared" ca="1" si="50"/>
        <v>22</v>
      </c>
      <c r="O486" s="85"/>
      <c r="P486" s="19"/>
    </row>
    <row r="487" spans="1:16" ht="14.5">
      <c r="A487" s="19" t="s">
        <v>188</v>
      </c>
      <c r="B487" s="291">
        <v>209</v>
      </c>
      <c r="C487" s="291" t="s">
        <v>857</v>
      </c>
      <c r="D487" s="291" t="s">
        <v>91</v>
      </c>
      <c r="E487" s="145">
        <v>45920</v>
      </c>
      <c r="F487" s="44">
        <v>16.100000000000001</v>
      </c>
      <c r="G487" s="46">
        <v>16</v>
      </c>
      <c r="H487" s="44">
        <f t="shared" si="39"/>
        <v>0.10000000000000142</v>
      </c>
      <c r="I487" s="45">
        <v>45811</v>
      </c>
      <c r="J487" s="45">
        <v>45811</v>
      </c>
      <c r="K487" s="7">
        <f t="shared" ca="1" si="41"/>
        <v>0</v>
      </c>
      <c r="L487" s="9">
        <f>E487-34-16-13</f>
        <v>45857</v>
      </c>
      <c r="M487" s="45">
        <v>45829</v>
      </c>
      <c r="N487" s="7">
        <f t="shared" ref="N487:N515" ca="1" si="51">+IF(M487="",L487-TODAY(),L487-M487)</f>
        <v>28</v>
      </c>
      <c r="O487" s="85"/>
      <c r="P487" s="19"/>
    </row>
    <row r="488" spans="1:16" ht="14.5">
      <c r="A488" s="19" t="s">
        <v>188</v>
      </c>
      <c r="B488" s="291">
        <v>210</v>
      </c>
      <c r="C488" s="291" t="s">
        <v>75</v>
      </c>
      <c r="D488" s="291" t="s">
        <v>91</v>
      </c>
      <c r="E488" s="145">
        <v>45920</v>
      </c>
      <c r="F488" s="44">
        <v>392.7</v>
      </c>
      <c r="G488" s="46">
        <v>393</v>
      </c>
      <c r="H488" s="44">
        <f t="shared" si="39"/>
        <v>-0.30000000000001137</v>
      </c>
      <c r="I488" s="45">
        <v>45811</v>
      </c>
      <c r="J488" s="45">
        <v>45811</v>
      </c>
      <c r="K488" s="7">
        <f t="shared" ca="1" si="41"/>
        <v>0</v>
      </c>
      <c r="L488" s="9">
        <f>E488-34-16-13</f>
        <v>45857</v>
      </c>
      <c r="M488" s="45">
        <v>45829</v>
      </c>
      <c r="N488" s="7">
        <f t="shared" ca="1" si="51"/>
        <v>28</v>
      </c>
      <c r="O488" s="85"/>
      <c r="P488" s="19"/>
    </row>
    <row r="489" spans="1:16" ht="14.5">
      <c r="A489" s="19" t="s">
        <v>188</v>
      </c>
      <c r="B489" s="291">
        <v>210</v>
      </c>
      <c r="C489" s="291" t="s">
        <v>857</v>
      </c>
      <c r="D489" s="291" t="s">
        <v>91</v>
      </c>
      <c r="E489" s="145">
        <v>45920</v>
      </c>
      <c r="F489" s="44">
        <v>450.3</v>
      </c>
      <c r="G489" s="46">
        <v>450</v>
      </c>
      <c r="H489" s="44">
        <f t="shared" si="39"/>
        <v>0.30000000000001137</v>
      </c>
      <c r="I489" s="45">
        <v>45811</v>
      </c>
      <c r="J489" s="45">
        <v>45811</v>
      </c>
      <c r="K489" s="7">
        <f t="shared" ca="1" si="41"/>
        <v>0</v>
      </c>
      <c r="L489" s="9">
        <f>E489-34-16-13</f>
        <v>45857</v>
      </c>
      <c r="M489" s="45">
        <v>45829</v>
      </c>
      <c r="N489" s="7">
        <f t="shared" ca="1" si="51"/>
        <v>28</v>
      </c>
      <c r="O489" s="85"/>
      <c r="P489" s="19"/>
    </row>
    <row r="490" spans="1:16" ht="14.5">
      <c r="A490" s="19" t="s">
        <v>188</v>
      </c>
      <c r="B490" s="291">
        <v>211</v>
      </c>
      <c r="C490" s="291" t="s">
        <v>77</v>
      </c>
      <c r="D490" s="291" t="s">
        <v>91</v>
      </c>
      <c r="E490" s="145">
        <v>45920</v>
      </c>
      <c r="F490" s="44">
        <v>101.6</v>
      </c>
      <c r="G490" s="46">
        <v>102</v>
      </c>
      <c r="H490" s="44">
        <f t="shared" si="39"/>
        <v>-0.40000000000000568</v>
      </c>
      <c r="I490" s="45">
        <v>45811</v>
      </c>
      <c r="J490" s="45">
        <v>45811</v>
      </c>
      <c r="K490" s="7">
        <f t="shared" ca="1" si="41"/>
        <v>0</v>
      </c>
      <c r="L490" s="9">
        <v>45859</v>
      </c>
      <c r="M490" s="45">
        <v>45829</v>
      </c>
      <c r="N490" s="7">
        <f t="shared" ca="1" si="51"/>
        <v>30</v>
      </c>
      <c r="O490" s="85"/>
      <c r="P490" s="19"/>
    </row>
    <row r="491" spans="1:16" ht="14.5">
      <c r="A491" s="19" t="s">
        <v>188</v>
      </c>
      <c r="B491" s="291">
        <v>211</v>
      </c>
      <c r="C491" s="291" t="s">
        <v>867</v>
      </c>
      <c r="D491" s="291" t="s">
        <v>91</v>
      </c>
      <c r="E491" s="145">
        <v>45920</v>
      </c>
      <c r="F491" s="44">
        <v>18.3</v>
      </c>
      <c r="G491" s="46"/>
      <c r="H491" s="44">
        <f t="shared" si="39"/>
        <v>18.3</v>
      </c>
      <c r="I491" s="45">
        <v>45811</v>
      </c>
      <c r="J491" s="45">
        <v>45811</v>
      </c>
      <c r="K491" s="7">
        <f t="shared" ca="1" si="41"/>
        <v>0</v>
      </c>
      <c r="L491" s="9">
        <v>45859</v>
      </c>
      <c r="M491" s="45"/>
      <c r="N491" s="7">
        <f t="shared" ca="1" si="51"/>
        <v>19</v>
      </c>
      <c r="O491" s="85"/>
      <c r="P491" s="19" t="s">
        <v>964</v>
      </c>
    </row>
    <row r="492" spans="1:16" ht="14.5">
      <c r="A492" s="19" t="s">
        <v>188</v>
      </c>
      <c r="B492" s="291">
        <v>211</v>
      </c>
      <c r="C492" s="291" t="s">
        <v>79</v>
      </c>
      <c r="D492" s="291" t="s">
        <v>91</v>
      </c>
      <c r="E492" s="145">
        <v>45920</v>
      </c>
      <c r="F492" s="44">
        <v>91.7</v>
      </c>
      <c r="G492" s="46">
        <v>92</v>
      </c>
      <c r="H492" s="44">
        <f t="shared" si="39"/>
        <v>-0.29999999999999716</v>
      </c>
      <c r="I492" s="45">
        <v>45811</v>
      </c>
      <c r="J492" s="45">
        <v>45811</v>
      </c>
      <c r="K492" s="7">
        <f t="shared" ca="1" si="41"/>
        <v>0</v>
      </c>
      <c r="L492" s="9">
        <v>45859</v>
      </c>
      <c r="M492" s="45">
        <v>45832</v>
      </c>
      <c r="N492" s="7">
        <f t="shared" ca="1" si="51"/>
        <v>27</v>
      </c>
      <c r="O492" s="85"/>
      <c r="P492" s="19"/>
    </row>
    <row r="493" spans="1:16" ht="14.5">
      <c r="A493" s="19" t="s">
        <v>188</v>
      </c>
      <c r="B493" s="291">
        <v>211</v>
      </c>
      <c r="C493" s="291" t="s">
        <v>868</v>
      </c>
      <c r="D493" s="291" t="s">
        <v>91</v>
      </c>
      <c r="E493" s="145">
        <v>45920</v>
      </c>
      <c r="F493" s="44">
        <v>53.6</v>
      </c>
      <c r="G493" s="46"/>
      <c r="H493" s="44">
        <f t="shared" si="39"/>
        <v>53.6</v>
      </c>
      <c r="I493" s="45">
        <v>45811</v>
      </c>
      <c r="J493" s="45">
        <v>45811</v>
      </c>
      <c r="K493" s="7">
        <f t="shared" ca="1" si="41"/>
        <v>0</v>
      </c>
      <c r="L493" s="9">
        <v>45859</v>
      </c>
      <c r="M493" s="45"/>
      <c r="N493" s="7">
        <f t="shared" ca="1" si="51"/>
        <v>19</v>
      </c>
      <c r="O493" s="85"/>
      <c r="P493" s="19" t="s">
        <v>964</v>
      </c>
    </row>
    <row r="494" spans="1:16" ht="14.5">
      <c r="A494" s="19" t="s">
        <v>188</v>
      </c>
      <c r="B494" s="291">
        <v>212</v>
      </c>
      <c r="C494" s="291" t="s">
        <v>75</v>
      </c>
      <c r="D494" s="291" t="s">
        <v>91</v>
      </c>
      <c r="E494" s="145">
        <v>45920</v>
      </c>
      <c r="F494" s="44">
        <v>303.60000000000002</v>
      </c>
      <c r="G494" s="46">
        <v>304</v>
      </c>
      <c r="H494" s="44">
        <f t="shared" si="39"/>
        <v>-0.39999999999997726</v>
      </c>
      <c r="I494" s="45">
        <v>45811</v>
      </c>
      <c r="J494" s="45">
        <v>45811</v>
      </c>
      <c r="K494" s="7">
        <f t="shared" ca="1" si="41"/>
        <v>0</v>
      </c>
      <c r="L494" s="9">
        <f>E494-34-16-13</f>
        <v>45857</v>
      </c>
      <c r="M494" s="45">
        <v>45829</v>
      </c>
      <c r="N494" s="7">
        <f t="shared" ca="1" si="51"/>
        <v>28</v>
      </c>
      <c r="O494" s="85"/>
      <c r="P494" s="19"/>
    </row>
    <row r="495" spans="1:16" ht="14.5">
      <c r="A495" s="19" t="s">
        <v>188</v>
      </c>
      <c r="B495" s="291">
        <v>212</v>
      </c>
      <c r="C495" s="291" t="s">
        <v>77</v>
      </c>
      <c r="D495" s="291" t="s">
        <v>91</v>
      </c>
      <c r="E495" s="145">
        <v>45920</v>
      </c>
      <c r="F495" s="44">
        <v>675.3</v>
      </c>
      <c r="G495" s="46">
        <v>675</v>
      </c>
      <c r="H495" s="44">
        <f t="shared" si="39"/>
        <v>0.29999999999995453</v>
      </c>
      <c r="I495" s="45">
        <v>45811</v>
      </c>
      <c r="J495" s="45">
        <v>45811</v>
      </c>
      <c r="K495" s="7">
        <f t="shared" ca="1" si="41"/>
        <v>0</v>
      </c>
      <c r="L495" s="9">
        <v>45865</v>
      </c>
      <c r="M495" s="45">
        <v>45829</v>
      </c>
      <c r="N495" s="7">
        <f t="shared" ca="1" si="51"/>
        <v>36</v>
      </c>
      <c r="O495" s="85"/>
      <c r="P495" s="19"/>
    </row>
    <row r="496" spans="1:16" ht="14.5">
      <c r="A496" s="19" t="s">
        <v>188</v>
      </c>
      <c r="B496" s="291">
        <v>212</v>
      </c>
      <c r="C496" s="291" t="s">
        <v>79</v>
      </c>
      <c r="D496" s="291" t="s">
        <v>91</v>
      </c>
      <c r="E496" s="145">
        <v>45920</v>
      </c>
      <c r="F496" s="44">
        <v>53</v>
      </c>
      <c r="G496" s="46">
        <v>53</v>
      </c>
      <c r="H496" s="44">
        <f t="shared" si="39"/>
        <v>0</v>
      </c>
      <c r="I496" s="45">
        <v>45811</v>
      </c>
      <c r="J496" s="45">
        <v>45811</v>
      </c>
      <c r="K496" s="7">
        <f t="shared" ca="1" si="41"/>
        <v>0</v>
      </c>
      <c r="L496" s="9">
        <v>45865</v>
      </c>
      <c r="M496" s="45">
        <v>45832</v>
      </c>
      <c r="N496" s="7">
        <f t="shared" ca="1" si="51"/>
        <v>33</v>
      </c>
      <c r="O496" s="85"/>
      <c r="P496" s="19"/>
    </row>
    <row r="497" spans="1:16" ht="14.5">
      <c r="A497" s="19" t="s">
        <v>188</v>
      </c>
      <c r="B497" s="291">
        <v>212</v>
      </c>
      <c r="C497" s="291" t="s">
        <v>80</v>
      </c>
      <c r="D497" s="291" t="s">
        <v>91</v>
      </c>
      <c r="E497" s="145">
        <v>45920</v>
      </c>
      <c r="F497" s="44">
        <v>373.7</v>
      </c>
      <c r="G497" s="46">
        <v>374</v>
      </c>
      <c r="H497" s="44">
        <f t="shared" si="39"/>
        <v>-0.30000000000001137</v>
      </c>
      <c r="I497" s="45">
        <v>45811</v>
      </c>
      <c r="J497" s="45">
        <v>45811</v>
      </c>
      <c r="K497" s="7">
        <f t="shared" ca="1" si="41"/>
        <v>0</v>
      </c>
      <c r="L497" s="9">
        <v>45851</v>
      </c>
      <c r="M497" s="45">
        <v>45822</v>
      </c>
      <c r="N497" s="7">
        <f t="shared" ca="1" si="51"/>
        <v>29</v>
      </c>
      <c r="O497" s="85"/>
      <c r="P497" s="19"/>
    </row>
    <row r="498" spans="1:16" ht="14.5">
      <c r="A498" s="19" t="s">
        <v>188</v>
      </c>
      <c r="B498" s="291">
        <v>212</v>
      </c>
      <c r="C498" s="291" t="s">
        <v>857</v>
      </c>
      <c r="D498" s="291" t="s">
        <v>91</v>
      </c>
      <c r="E498" s="145">
        <v>45920</v>
      </c>
      <c r="F498" s="44">
        <v>347.9</v>
      </c>
      <c r="G498" s="46">
        <v>348</v>
      </c>
      <c r="H498" s="44">
        <f t="shared" si="39"/>
        <v>-0.10000000000002274</v>
      </c>
      <c r="I498" s="45">
        <v>45811</v>
      </c>
      <c r="J498" s="45">
        <v>45811</v>
      </c>
      <c r="K498" s="7">
        <f t="shared" ca="1" si="41"/>
        <v>0</v>
      </c>
      <c r="L498" s="9">
        <f>E498-34-16-13</f>
        <v>45857</v>
      </c>
      <c r="M498" s="45">
        <v>45829</v>
      </c>
      <c r="N498" s="7">
        <f t="shared" ca="1" si="51"/>
        <v>28</v>
      </c>
      <c r="O498" s="85"/>
      <c r="P498" s="19"/>
    </row>
    <row r="499" spans="1:16" ht="14.5">
      <c r="A499" s="19" t="s">
        <v>188</v>
      </c>
      <c r="B499" s="291">
        <v>213</v>
      </c>
      <c r="C499" s="291" t="s">
        <v>75</v>
      </c>
      <c r="D499" s="291" t="s">
        <v>91</v>
      </c>
      <c r="E499" s="145">
        <v>45920</v>
      </c>
      <c r="F499" s="44">
        <v>51</v>
      </c>
      <c r="G499" s="46">
        <v>51</v>
      </c>
      <c r="H499" s="44">
        <f t="shared" si="39"/>
        <v>0</v>
      </c>
      <c r="I499" s="45">
        <v>45811</v>
      </c>
      <c r="J499" s="45">
        <v>45811</v>
      </c>
      <c r="K499" s="7">
        <f t="shared" ca="1" si="41"/>
        <v>0</v>
      </c>
      <c r="L499" s="9">
        <f>E499-34-16-13</f>
        <v>45857</v>
      </c>
      <c r="M499" s="45">
        <v>45829</v>
      </c>
      <c r="N499" s="7">
        <f t="shared" ca="1" si="51"/>
        <v>28</v>
      </c>
      <c r="O499" s="85"/>
      <c r="P499" s="19"/>
    </row>
    <row r="500" spans="1:16" ht="14.5">
      <c r="A500" s="19" t="s">
        <v>188</v>
      </c>
      <c r="B500" s="291">
        <v>213</v>
      </c>
      <c r="C500" s="291" t="s">
        <v>77</v>
      </c>
      <c r="D500" s="291" t="s">
        <v>91</v>
      </c>
      <c r="E500" s="145">
        <v>45920</v>
      </c>
      <c r="F500" s="44">
        <v>970.6</v>
      </c>
      <c r="G500" s="46">
        <v>971</v>
      </c>
      <c r="H500" s="44">
        <f t="shared" si="39"/>
        <v>-0.39999999999997726</v>
      </c>
      <c r="I500" s="45">
        <v>45811</v>
      </c>
      <c r="J500" s="45">
        <v>45811</v>
      </c>
      <c r="K500" s="7">
        <f t="shared" ca="1" si="41"/>
        <v>0</v>
      </c>
      <c r="L500" s="9">
        <v>45864</v>
      </c>
      <c r="M500" s="45">
        <v>45829</v>
      </c>
      <c r="N500" s="7">
        <f t="shared" ca="1" si="51"/>
        <v>35</v>
      </c>
      <c r="O500" s="85"/>
      <c r="P500" s="19"/>
    </row>
    <row r="501" spans="1:16" ht="14.5">
      <c r="A501" s="19" t="s">
        <v>188</v>
      </c>
      <c r="B501" s="291">
        <v>213</v>
      </c>
      <c r="C501" s="291" t="s">
        <v>79</v>
      </c>
      <c r="D501" s="291" t="s">
        <v>91</v>
      </c>
      <c r="E501" s="145">
        <v>45920</v>
      </c>
      <c r="F501" s="44">
        <v>312.3</v>
      </c>
      <c r="G501" s="46">
        <v>312</v>
      </c>
      <c r="H501" s="44">
        <f t="shared" si="39"/>
        <v>0.30000000000001137</v>
      </c>
      <c r="I501" s="45">
        <v>45811</v>
      </c>
      <c r="J501" s="45">
        <v>45811</v>
      </c>
      <c r="K501" s="7">
        <f t="shared" ca="1" si="41"/>
        <v>0</v>
      </c>
      <c r="L501" s="9">
        <v>45864</v>
      </c>
      <c r="M501" s="45">
        <v>45832</v>
      </c>
      <c r="N501" s="7">
        <f t="shared" ca="1" si="51"/>
        <v>32</v>
      </c>
      <c r="O501" s="85"/>
      <c r="P501" s="19"/>
    </row>
    <row r="502" spans="1:16" ht="14.5">
      <c r="A502" s="19" t="s">
        <v>188</v>
      </c>
      <c r="B502" s="291">
        <v>213</v>
      </c>
      <c r="C502" s="291" t="s">
        <v>80</v>
      </c>
      <c r="D502" s="291" t="s">
        <v>91</v>
      </c>
      <c r="E502" s="145">
        <v>45920</v>
      </c>
      <c r="F502" s="44">
        <v>413</v>
      </c>
      <c r="G502" s="46">
        <v>413</v>
      </c>
      <c r="H502" s="44">
        <f t="shared" si="39"/>
        <v>0</v>
      </c>
      <c r="I502" s="45">
        <v>45811</v>
      </c>
      <c r="J502" s="45">
        <v>45811</v>
      </c>
      <c r="K502" s="7">
        <f t="shared" ca="1" si="41"/>
        <v>0</v>
      </c>
      <c r="L502" s="9">
        <v>45851</v>
      </c>
      <c r="M502" s="45">
        <v>45822</v>
      </c>
      <c r="N502" s="7">
        <f t="shared" ca="1" si="51"/>
        <v>29</v>
      </c>
      <c r="O502" s="85"/>
      <c r="P502" s="19"/>
    </row>
    <row r="503" spans="1:16" ht="14.5">
      <c r="A503" s="19" t="s">
        <v>188</v>
      </c>
      <c r="B503" s="291">
        <v>213</v>
      </c>
      <c r="C503" s="291" t="s">
        <v>857</v>
      </c>
      <c r="D503" s="291" t="s">
        <v>91</v>
      </c>
      <c r="E503" s="145">
        <v>45920</v>
      </c>
      <c r="F503" s="44">
        <v>58.4</v>
      </c>
      <c r="G503" s="46">
        <v>58</v>
      </c>
      <c r="H503" s="44">
        <f t="shared" si="39"/>
        <v>0.39999999999999858</v>
      </c>
      <c r="I503" s="45">
        <v>45811</v>
      </c>
      <c r="J503" s="45">
        <v>45811</v>
      </c>
      <c r="K503" s="7">
        <f t="shared" ca="1" si="41"/>
        <v>0</v>
      </c>
      <c r="L503" s="9">
        <f>E503-34-16-13</f>
        <v>45857</v>
      </c>
      <c r="M503" s="45">
        <v>45829</v>
      </c>
      <c r="N503" s="7">
        <f t="shared" ca="1" si="51"/>
        <v>28</v>
      </c>
      <c r="O503" s="85"/>
      <c r="P503" s="19"/>
    </row>
    <row r="504" spans="1:16" ht="14.5">
      <c r="A504" s="19" t="s">
        <v>188</v>
      </c>
      <c r="B504" s="291">
        <v>214</v>
      </c>
      <c r="C504" s="291" t="s">
        <v>95</v>
      </c>
      <c r="D504" s="291" t="s">
        <v>91</v>
      </c>
      <c r="E504" s="145">
        <v>45920</v>
      </c>
      <c r="F504" s="44">
        <v>43</v>
      </c>
      <c r="G504" s="46">
        <v>43</v>
      </c>
      <c r="H504" s="44">
        <f t="shared" ref="H504:H511" si="52">F504-G504</f>
        <v>0</v>
      </c>
      <c r="I504" s="45">
        <v>45811</v>
      </c>
      <c r="J504" s="45">
        <v>45811</v>
      </c>
      <c r="K504" s="7">
        <f t="shared" ca="1" si="41"/>
        <v>0</v>
      </c>
      <c r="L504" s="9">
        <v>45864</v>
      </c>
      <c r="M504" s="45">
        <v>45811</v>
      </c>
      <c r="N504" s="7">
        <f t="shared" ca="1" si="51"/>
        <v>53</v>
      </c>
      <c r="O504" s="85"/>
      <c r="P504" s="19"/>
    </row>
    <row r="505" spans="1:16" ht="14.5">
      <c r="A505" s="19" t="s">
        <v>188</v>
      </c>
      <c r="B505" s="291">
        <v>214</v>
      </c>
      <c r="C505" s="291" t="s">
        <v>95</v>
      </c>
      <c r="D505" s="291" t="s">
        <v>842</v>
      </c>
      <c r="E505" s="145">
        <v>45920</v>
      </c>
      <c r="F505" s="44">
        <v>116</v>
      </c>
      <c r="G505" s="46">
        <v>116</v>
      </c>
      <c r="H505" s="44">
        <f t="shared" si="52"/>
        <v>0</v>
      </c>
      <c r="I505" s="45">
        <v>45811</v>
      </c>
      <c r="J505" s="45">
        <v>45811</v>
      </c>
      <c r="K505" s="7">
        <f t="shared" ca="1" si="41"/>
        <v>0</v>
      </c>
      <c r="L505" s="9">
        <v>45864</v>
      </c>
      <c r="M505" s="45">
        <v>45811</v>
      </c>
      <c r="N505" s="7">
        <f t="shared" ca="1" si="51"/>
        <v>53</v>
      </c>
      <c r="O505" s="85"/>
      <c r="P505" s="19"/>
    </row>
    <row r="506" spans="1:16" ht="14.5">
      <c r="A506" s="19" t="s">
        <v>188</v>
      </c>
      <c r="B506" s="291">
        <v>214</v>
      </c>
      <c r="C506" s="291" t="s">
        <v>96</v>
      </c>
      <c r="D506" s="291" t="s">
        <v>91</v>
      </c>
      <c r="E506" s="145">
        <v>45920</v>
      </c>
      <c r="F506" s="44">
        <v>195</v>
      </c>
      <c r="G506" s="46">
        <v>195</v>
      </c>
      <c r="H506" s="44">
        <f t="shared" si="52"/>
        <v>0</v>
      </c>
      <c r="I506" s="45">
        <v>45811</v>
      </c>
      <c r="J506" s="45">
        <v>45811</v>
      </c>
      <c r="K506" s="7">
        <f t="shared" ca="1" si="41"/>
        <v>0</v>
      </c>
      <c r="L506" s="9">
        <v>45864</v>
      </c>
      <c r="M506" s="45">
        <v>45811</v>
      </c>
      <c r="N506" s="7">
        <f t="shared" ca="1" si="51"/>
        <v>53</v>
      </c>
      <c r="O506" s="85"/>
      <c r="P506" s="19"/>
    </row>
    <row r="507" spans="1:16" ht="14.5">
      <c r="A507" s="19" t="s">
        <v>188</v>
      </c>
      <c r="B507" s="291">
        <v>214</v>
      </c>
      <c r="C507" s="291" t="s">
        <v>77</v>
      </c>
      <c r="D507" s="291" t="s">
        <v>91</v>
      </c>
      <c r="E507" s="145">
        <v>45920</v>
      </c>
      <c r="F507" s="44">
        <v>316</v>
      </c>
      <c r="G507" s="46">
        <v>316</v>
      </c>
      <c r="H507" s="44">
        <f t="shared" si="52"/>
        <v>0</v>
      </c>
      <c r="I507" s="45">
        <v>45811</v>
      </c>
      <c r="J507" s="45">
        <v>45811</v>
      </c>
      <c r="K507" s="7">
        <f t="shared" ca="1" si="41"/>
        <v>0</v>
      </c>
      <c r="L507" s="9">
        <v>45864</v>
      </c>
      <c r="M507" s="45">
        <v>45829</v>
      </c>
      <c r="N507" s="7">
        <f t="shared" ca="1" si="51"/>
        <v>35</v>
      </c>
      <c r="O507" s="85"/>
      <c r="P507" s="19"/>
    </row>
    <row r="508" spans="1:16" ht="14.5">
      <c r="A508" s="19" t="s">
        <v>188</v>
      </c>
      <c r="B508" s="291">
        <v>214</v>
      </c>
      <c r="C508" s="291" t="s">
        <v>867</v>
      </c>
      <c r="D508" s="291" t="s">
        <v>91</v>
      </c>
      <c r="E508" s="145">
        <v>45920</v>
      </c>
      <c r="F508" s="44">
        <v>79.099999999999994</v>
      </c>
      <c r="G508" s="46"/>
      <c r="H508" s="44">
        <f t="shared" si="52"/>
        <v>79.099999999999994</v>
      </c>
      <c r="I508" s="45">
        <v>45811</v>
      </c>
      <c r="J508" s="45">
        <v>45811</v>
      </c>
      <c r="K508" s="7">
        <f t="shared" ca="1" si="41"/>
        <v>0</v>
      </c>
      <c r="L508" s="9">
        <v>45864</v>
      </c>
      <c r="M508" s="45"/>
      <c r="N508" s="7">
        <f t="shared" ca="1" si="51"/>
        <v>24</v>
      </c>
      <c r="O508" s="85"/>
      <c r="P508" s="296" t="s">
        <v>964</v>
      </c>
    </row>
    <row r="509" spans="1:16" ht="14.5">
      <c r="A509" s="19" t="s">
        <v>188</v>
      </c>
      <c r="B509" s="291">
        <v>214</v>
      </c>
      <c r="C509" s="291" t="s">
        <v>79</v>
      </c>
      <c r="D509" s="291" t="s">
        <v>91</v>
      </c>
      <c r="E509" s="145">
        <v>45920</v>
      </c>
      <c r="F509" s="44">
        <v>122.5</v>
      </c>
      <c r="G509" s="46">
        <v>123</v>
      </c>
      <c r="H509" s="44">
        <f t="shared" si="52"/>
        <v>-0.5</v>
      </c>
      <c r="I509" s="45">
        <v>45811</v>
      </c>
      <c r="J509" s="45">
        <v>45811</v>
      </c>
      <c r="K509" s="7">
        <f t="shared" ca="1" si="41"/>
        <v>0</v>
      </c>
      <c r="L509" s="9">
        <v>45851</v>
      </c>
      <c r="M509" s="45">
        <v>45832</v>
      </c>
      <c r="N509" s="7">
        <f t="shared" ca="1" si="51"/>
        <v>19</v>
      </c>
      <c r="O509" s="85"/>
      <c r="P509" s="19"/>
    </row>
    <row r="510" spans="1:16" ht="14.5">
      <c r="A510" s="19" t="s">
        <v>188</v>
      </c>
      <c r="B510" s="291">
        <v>214</v>
      </c>
      <c r="C510" s="291" t="s">
        <v>80</v>
      </c>
      <c r="D510" s="291" t="s">
        <v>91</v>
      </c>
      <c r="E510" s="145">
        <v>45920</v>
      </c>
      <c r="F510" s="44">
        <v>106.7</v>
      </c>
      <c r="G510" s="46">
        <v>107</v>
      </c>
      <c r="H510" s="44">
        <f t="shared" si="52"/>
        <v>-0.29999999999999716</v>
      </c>
      <c r="I510" s="45">
        <v>45811</v>
      </c>
      <c r="J510" s="45">
        <v>45811</v>
      </c>
      <c r="K510" s="7">
        <f t="shared" ca="1" si="41"/>
        <v>0</v>
      </c>
      <c r="L510" s="9">
        <v>45851</v>
      </c>
      <c r="M510" s="45">
        <v>45822</v>
      </c>
      <c r="N510" s="7">
        <f t="shared" ca="1" si="51"/>
        <v>29</v>
      </c>
      <c r="O510" s="85"/>
      <c r="P510" s="19"/>
    </row>
    <row r="511" spans="1:16" ht="14.5">
      <c r="A511" s="19" t="s">
        <v>188</v>
      </c>
      <c r="B511" s="291">
        <v>214</v>
      </c>
      <c r="C511" s="291" t="s">
        <v>868</v>
      </c>
      <c r="D511" s="291" t="s">
        <v>91</v>
      </c>
      <c r="E511" s="145">
        <v>45920</v>
      </c>
      <c r="F511" s="44">
        <v>231.5</v>
      </c>
      <c r="G511" s="46"/>
      <c r="H511" s="44">
        <f t="shared" si="52"/>
        <v>231.5</v>
      </c>
      <c r="I511" s="45">
        <v>45811</v>
      </c>
      <c r="J511" s="45">
        <v>45811</v>
      </c>
      <c r="K511" s="7">
        <f t="shared" ca="1" si="41"/>
        <v>0</v>
      </c>
      <c r="L511" s="9">
        <v>45864</v>
      </c>
      <c r="M511" s="45"/>
      <c r="N511" s="7">
        <f t="shared" ca="1" si="51"/>
        <v>24</v>
      </c>
      <c r="O511" s="85"/>
      <c r="P511" s="296" t="s">
        <v>964</v>
      </c>
    </row>
    <row r="512" spans="1:16" ht="14.5">
      <c r="A512" s="19" t="s">
        <v>188</v>
      </c>
      <c r="B512" s="291">
        <v>202</v>
      </c>
      <c r="C512" s="291" t="s">
        <v>75</v>
      </c>
      <c r="D512" s="291" t="s">
        <v>91</v>
      </c>
      <c r="E512" s="145">
        <v>45920</v>
      </c>
      <c r="F512" s="44">
        <v>141</v>
      </c>
      <c r="G512" s="46">
        <v>141</v>
      </c>
      <c r="H512" s="44">
        <f t="shared" ref="H512:H515" si="53">F512-G512</f>
        <v>0</v>
      </c>
      <c r="I512" s="45">
        <v>45811</v>
      </c>
      <c r="J512" s="45">
        <v>45811</v>
      </c>
      <c r="K512" s="7">
        <f t="shared" ca="1" si="41"/>
        <v>0</v>
      </c>
      <c r="L512" s="9">
        <f>E512-34-16-13</f>
        <v>45857</v>
      </c>
      <c r="M512" s="45">
        <v>45829</v>
      </c>
      <c r="N512" s="7">
        <f t="shared" ca="1" si="51"/>
        <v>28</v>
      </c>
      <c r="O512" s="85"/>
      <c r="P512" s="19"/>
    </row>
    <row r="513" spans="1:16" ht="14.5">
      <c r="A513" s="19" t="s">
        <v>188</v>
      </c>
      <c r="B513" s="291">
        <v>202</v>
      </c>
      <c r="C513" s="291" t="s">
        <v>77</v>
      </c>
      <c r="D513" s="291" t="s">
        <v>91</v>
      </c>
      <c r="E513" s="145">
        <v>45920</v>
      </c>
      <c r="F513" s="44">
        <v>1441.1</v>
      </c>
      <c r="G513" s="46">
        <v>1441</v>
      </c>
      <c r="H513" s="44">
        <f t="shared" si="53"/>
        <v>9.9999999999909051E-2</v>
      </c>
      <c r="I513" s="45">
        <v>45811</v>
      </c>
      <c r="J513" s="45">
        <v>45811</v>
      </c>
      <c r="K513" s="7">
        <f t="shared" ca="1" si="41"/>
        <v>0</v>
      </c>
      <c r="L513" s="9">
        <v>45837</v>
      </c>
      <c r="M513" s="45">
        <v>45829</v>
      </c>
      <c r="N513" s="7">
        <f t="shared" ca="1" si="51"/>
        <v>8</v>
      </c>
      <c r="O513" s="85"/>
      <c r="P513" s="19"/>
    </row>
    <row r="514" spans="1:16" ht="14.5">
      <c r="A514" s="19" t="s">
        <v>188</v>
      </c>
      <c r="B514" s="291">
        <v>202</v>
      </c>
      <c r="C514" s="291" t="s">
        <v>79</v>
      </c>
      <c r="D514" s="291" t="s">
        <v>91</v>
      </c>
      <c r="E514" s="145">
        <v>45920</v>
      </c>
      <c r="F514" s="44">
        <v>48.4</v>
      </c>
      <c r="G514" s="46">
        <v>48</v>
      </c>
      <c r="H514" s="44">
        <f t="shared" si="53"/>
        <v>0.39999999999999858</v>
      </c>
      <c r="I514" s="45">
        <v>45811</v>
      </c>
      <c r="J514" s="45">
        <v>45811</v>
      </c>
      <c r="K514" s="7">
        <f t="shared" ca="1" si="41"/>
        <v>0</v>
      </c>
      <c r="L514" s="9">
        <v>45837</v>
      </c>
      <c r="M514" s="45">
        <v>45832</v>
      </c>
      <c r="N514" s="7">
        <f t="shared" ca="1" si="51"/>
        <v>5</v>
      </c>
      <c r="O514" s="85"/>
      <c r="P514" s="19"/>
    </row>
    <row r="515" spans="1:16" ht="14.5">
      <c r="A515" s="19" t="s">
        <v>188</v>
      </c>
      <c r="B515" s="291">
        <v>202</v>
      </c>
      <c r="C515" s="291" t="s">
        <v>857</v>
      </c>
      <c r="D515" s="291" t="s">
        <v>91</v>
      </c>
      <c r="E515" s="145">
        <v>45920</v>
      </c>
      <c r="F515" s="44">
        <v>161.6</v>
      </c>
      <c r="G515" s="46">
        <v>162</v>
      </c>
      <c r="H515" s="44">
        <f t="shared" si="53"/>
        <v>-0.40000000000000568</v>
      </c>
      <c r="I515" s="45">
        <v>45811</v>
      </c>
      <c r="J515" s="45">
        <v>45811</v>
      </c>
      <c r="K515" s="7">
        <f t="shared" ref="K515:K565" ca="1" si="54">+IF(J515="",I515-TODAY(),I515-J515)</f>
        <v>0</v>
      </c>
      <c r="L515" s="9">
        <f>E515-34-16-13</f>
        <v>45857</v>
      </c>
      <c r="M515" s="45">
        <v>45829</v>
      </c>
      <c r="N515" s="7">
        <f t="shared" ca="1" si="51"/>
        <v>28</v>
      </c>
      <c r="O515" s="85"/>
      <c r="P515" s="19"/>
    </row>
    <row r="516" spans="1:16" ht="14.5">
      <c r="A516" s="19" t="s">
        <v>99</v>
      </c>
      <c r="B516" s="291">
        <v>215</v>
      </c>
      <c r="C516" s="291" t="s">
        <v>846</v>
      </c>
      <c r="D516" s="291" t="s">
        <v>91</v>
      </c>
      <c r="E516" s="145">
        <v>45920</v>
      </c>
      <c r="F516" s="44">
        <v>3416</v>
      </c>
      <c r="G516" s="46">
        <v>3416</v>
      </c>
      <c r="H516" s="44">
        <f t="shared" ref="H516" si="55">F516-G516</f>
        <v>0</v>
      </c>
      <c r="I516" s="45">
        <v>45811</v>
      </c>
      <c r="J516" s="45">
        <v>45811</v>
      </c>
      <c r="K516" s="7">
        <f t="shared" ca="1" si="54"/>
        <v>0</v>
      </c>
      <c r="L516" s="9">
        <f>E516-34-13-18-15</f>
        <v>45840</v>
      </c>
      <c r="M516" s="45">
        <v>45832</v>
      </c>
      <c r="N516" s="7">
        <f t="shared" ref="N516" ca="1" si="56">+IF(M516="",L516-TODAY(),L516-M516)</f>
        <v>8</v>
      </c>
      <c r="O516" s="85"/>
      <c r="P516" s="19"/>
    </row>
    <row r="517" spans="1:16" ht="14.5">
      <c r="A517" s="19" t="s">
        <v>99</v>
      </c>
      <c r="B517" s="291">
        <v>215</v>
      </c>
      <c r="C517" s="291" t="s">
        <v>943</v>
      </c>
      <c r="D517" s="291" t="s">
        <v>91</v>
      </c>
      <c r="E517" s="145">
        <v>45899</v>
      </c>
      <c r="F517" s="44">
        <v>3416</v>
      </c>
      <c r="G517" s="46">
        <v>3416</v>
      </c>
      <c r="H517" s="44">
        <f t="shared" ref="H517" si="57">F517-G517</f>
        <v>0</v>
      </c>
      <c r="I517" s="45">
        <v>45811</v>
      </c>
      <c r="J517" s="45">
        <v>45811</v>
      </c>
      <c r="K517" s="7">
        <f t="shared" ca="1" si="54"/>
        <v>0</v>
      </c>
      <c r="L517" s="9">
        <v>45829</v>
      </c>
      <c r="M517" s="45">
        <v>45828</v>
      </c>
      <c r="N517" s="7">
        <f t="shared" ref="N517" ca="1" si="58">+IF(M517="",L517-TODAY(),L517-M517)</f>
        <v>1</v>
      </c>
      <c r="O517" s="85"/>
      <c r="P517" s="19"/>
    </row>
    <row r="518" spans="1:16" ht="14.5">
      <c r="A518" s="19" t="s">
        <v>188</v>
      </c>
      <c r="B518" s="291">
        <v>216</v>
      </c>
      <c r="C518" s="291" t="s">
        <v>75</v>
      </c>
      <c r="D518" s="291" t="s">
        <v>91</v>
      </c>
      <c r="E518" s="145">
        <v>45899</v>
      </c>
      <c r="F518" s="44">
        <v>139.80000000000001</v>
      </c>
      <c r="G518" s="46">
        <v>140</v>
      </c>
      <c r="H518" s="44">
        <f t="shared" ref="H518" si="59">F518-G518</f>
        <v>-0.19999999999998863</v>
      </c>
      <c r="I518" s="45">
        <v>45825</v>
      </c>
      <c r="J518" s="45">
        <v>45825</v>
      </c>
      <c r="K518" s="7">
        <f t="shared" ca="1" si="54"/>
        <v>0</v>
      </c>
      <c r="L518" s="9">
        <v>45832</v>
      </c>
      <c r="M518" s="45">
        <v>45829</v>
      </c>
      <c r="N518" s="7">
        <f t="shared" ref="N518" ca="1" si="60">+IF(M518="",L518-TODAY(),L518-M518)</f>
        <v>3</v>
      </c>
      <c r="O518" s="85"/>
      <c r="P518" s="19"/>
    </row>
    <row r="519" spans="1:16" ht="14.5">
      <c r="A519" s="19" t="s">
        <v>188</v>
      </c>
      <c r="B519" s="291">
        <v>216</v>
      </c>
      <c r="C519" s="291" t="s">
        <v>77</v>
      </c>
      <c r="D519" s="291" t="s">
        <v>91</v>
      </c>
      <c r="E519" s="145">
        <v>45899</v>
      </c>
      <c r="F519" s="44">
        <v>1600.6</v>
      </c>
      <c r="G519" s="46">
        <v>1601</v>
      </c>
      <c r="H519" s="44">
        <f t="shared" ref="H519:H565" si="61">F519-G519</f>
        <v>-0.40000000000009095</v>
      </c>
      <c r="I519" s="45">
        <v>45825</v>
      </c>
      <c r="J519" s="45">
        <v>45825</v>
      </c>
      <c r="K519" s="7">
        <f t="shared" ca="1" si="54"/>
        <v>0</v>
      </c>
      <c r="L519" s="9">
        <v>45828</v>
      </c>
      <c r="M519" s="45">
        <v>45828</v>
      </c>
      <c r="N519" s="7">
        <f t="shared" ref="N519:N565" ca="1" si="62">+IF(M519="",L519-TODAY(),L519-M519)</f>
        <v>0</v>
      </c>
      <c r="O519" s="85"/>
      <c r="P519" s="19"/>
    </row>
    <row r="520" spans="1:16" ht="14.5">
      <c r="A520" s="19" t="s">
        <v>188</v>
      </c>
      <c r="B520" s="291">
        <v>216</v>
      </c>
      <c r="C520" s="291" t="s">
        <v>80</v>
      </c>
      <c r="D520" s="291" t="s">
        <v>91</v>
      </c>
      <c r="E520" s="145">
        <v>45899</v>
      </c>
      <c r="F520" s="44">
        <v>97.2</v>
      </c>
      <c r="G520" s="46">
        <v>97</v>
      </c>
      <c r="H520" s="44">
        <f t="shared" si="61"/>
        <v>0.20000000000000284</v>
      </c>
      <c r="I520" s="45">
        <v>45825</v>
      </c>
      <c r="J520" s="45">
        <v>45825</v>
      </c>
      <c r="K520" s="7">
        <f t="shared" ca="1" si="54"/>
        <v>0</v>
      </c>
      <c r="L520" s="9">
        <v>45829</v>
      </c>
      <c r="M520" s="45">
        <v>45828</v>
      </c>
      <c r="N520" s="7">
        <f t="shared" ca="1" si="62"/>
        <v>1</v>
      </c>
      <c r="O520" s="85"/>
      <c r="P520" s="19"/>
    </row>
    <row r="521" spans="1:16" ht="14.5">
      <c r="A521" s="19" t="s">
        <v>188</v>
      </c>
      <c r="B521" s="291">
        <v>216</v>
      </c>
      <c r="C521" s="291" t="s">
        <v>951</v>
      </c>
      <c r="D521" s="291" t="s">
        <v>91</v>
      </c>
      <c r="E521" s="145">
        <v>45899</v>
      </c>
      <c r="F521" s="44">
        <v>1817.1</v>
      </c>
      <c r="G521" s="46">
        <v>1817</v>
      </c>
      <c r="H521" s="44">
        <f t="shared" si="61"/>
        <v>9.9999999999909051E-2</v>
      </c>
      <c r="I521" s="45">
        <v>45825</v>
      </c>
      <c r="J521" s="45">
        <v>45825</v>
      </c>
      <c r="K521" s="7">
        <f t="shared" ca="1" si="54"/>
        <v>0</v>
      </c>
      <c r="L521" s="9">
        <v>45835</v>
      </c>
      <c r="M521" s="45">
        <v>45828</v>
      </c>
      <c r="N521" s="7">
        <f t="shared" ca="1" si="62"/>
        <v>7</v>
      </c>
      <c r="O521" s="85"/>
      <c r="P521" s="19"/>
    </row>
    <row r="522" spans="1:16" ht="14.5">
      <c r="A522" s="19" t="s">
        <v>188</v>
      </c>
      <c r="B522" s="291">
        <v>216</v>
      </c>
      <c r="C522" s="291" t="s">
        <v>857</v>
      </c>
      <c r="D522" s="291" t="s">
        <v>91</v>
      </c>
      <c r="E522" s="145">
        <v>45899</v>
      </c>
      <c r="F522" s="44">
        <v>160.30000000000001</v>
      </c>
      <c r="G522" s="46">
        <v>160</v>
      </c>
      <c r="H522" s="44">
        <f t="shared" si="61"/>
        <v>0.30000000000001137</v>
      </c>
      <c r="I522" s="45">
        <v>45825</v>
      </c>
      <c r="J522" s="45">
        <v>45825</v>
      </c>
      <c r="K522" s="7">
        <f t="shared" ca="1" si="54"/>
        <v>0</v>
      </c>
      <c r="L522" s="9">
        <v>45832</v>
      </c>
      <c r="M522" s="45">
        <v>45829</v>
      </c>
      <c r="N522" s="7">
        <f t="shared" ca="1" si="62"/>
        <v>3</v>
      </c>
      <c r="O522" s="85"/>
      <c r="P522" s="19"/>
    </row>
    <row r="523" spans="1:16" ht="14.5">
      <c r="A523" s="19" t="s">
        <v>188</v>
      </c>
      <c r="B523" s="291">
        <v>217</v>
      </c>
      <c r="C523" s="291" t="s">
        <v>77</v>
      </c>
      <c r="D523" s="291" t="s">
        <v>91</v>
      </c>
      <c r="E523" s="145">
        <v>45906</v>
      </c>
      <c r="F523" s="44">
        <v>1102</v>
      </c>
      <c r="G523" s="46"/>
      <c r="H523" s="44">
        <f t="shared" si="61"/>
        <v>1102</v>
      </c>
      <c r="I523" s="45">
        <v>45825</v>
      </c>
      <c r="J523" s="45">
        <v>45825</v>
      </c>
      <c r="K523" s="7">
        <f t="shared" ca="1" si="54"/>
        <v>0</v>
      </c>
      <c r="L523" s="9">
        <v>45842</v>
      </c>
      <c r="M523" s="45"/>
      <c r="N523" s="7">
        <f t="shared" ca="1" si="62"/>
        <v>2</v>
      </c>
      <c r="O523" s="85"/>
      <c r="P523" s="19"/>
    </row>
    <row r="524" spans="1:16" ht="14.5">
      <c r="A524" s="19" t="s">
        <v>188</v>
      </c>
      <c r="B524" s="291">
        <v>217</v>
      </c>
      <c r="C524" s="291" t="s">
        <v>951</v>
      </c>
      <c r="D524" s="291" t="s">
        <v>91</v>
      </c>
      <c r="E524" s="145">
        <v>45906</v>
      </c>
      <c r="F524" s="44">
        <v>1273.2</v>
      </c>
      <c r="G524" s="46"/>
      <c r="H524" s="44">
        <f t="shared" si="61"/>
        <v>1273.2</v>
      </c>
      <c r="I524" s="45">
        <v>45825</v>
      </c>
      <c r="J524" s="45">
        <v>45825</v>
      </c>
      <c r="K524" s="7">
        <f t="shared" ca="1" si="54"/>
        <v>0</v>
      </c>
      <c r="L524" s="9">
        <v>45842</v>
      </c>
      <c r="M524" s="45"/>
      <c r="N524" s="7">
        <f t="shared" ca="1" si="62"/>
        <v>2</v>
      </c>
      <c r="O524" s="85"/>
      <c r="P524" s="19"/>
    </row>
    <row r="525" spans="1:16" ht="14.5">
      <c r="A525" s="19" t="s">
        <v>188</v>
      </c>
      <c r="B525" s="291">
        <v>218</v>
      </c>
      <c r="C525" s="291" t="s">
        <v>75</v>
      </c>
      <c r="D525" s="291" t="s">
        <v>91</v>
      </c>
      <c r="E525" s="145">
        <v>45906</v>
      </c>
      <c r="F525" s="44">
        <v>211</v>
      </c>
      <c r="G525" s="46">
        <v>211</v>
      </c>
      <c r="H525" s="44">
        <f t="shared" si="61"/>
        <v>0</v>
      </c>
      <c r="I525" s="45">
        <v>45825</v>
      </c>
      <c r="J525" s="45">
        <v>45825</v>
      </c>
      <c r="K525" s="7">
        <f t="shared" ca="1" si="54"/>
        <v>0</v>
      </c>
      <c r="L525" s="9">
        <v>45839</v>
      </c>
      <c r="M525" s="45">
        <v>45829</v>
      </c>
      <c r="N525" s="7">
        <f t="shared" ca="1" si="62"/>
        <v>10</v>
      </c>
      <c r="O525" s="85"/>
      <c r="P525" s="19"/>
    </row>
    <row r="526" spans="1:16" ht="14.5">
      <c r="A526" s="19" t="s">
        <v>188</v>
      </c>
      <c r="B526" s="291">
        <v>218</v>
      </c>
      <c r="C526" s="291" t="s">
        <v>77</v>
      </c>
      <c r="D526" s="291" t="s">
        <v>91</v>
      </c>
      <c r="E526" s="145">
        <v>45906</v>
      </c>
      <c r="F526" s="44">
        <v>656.2</v>
      </c>
      <c r="G526" s="46"/>
      <c r="H526" s="44">
        <f t="shared" si="61"/>
        <v>656.2</v>
      </c>
      <c r="I526" s="45">
        <v>45825</v>
      </c>
      <c r="J526" s="45">
        <v>45825</v>
      </c>
      <c r="K526" s="7">
        <f t="shared" ca="1" si="54"/>
        <v>0</v>
      </c>
      <c r="L526" s="9">
        <v>45849</v>
      </c>
      <c r="M526" s="45"/>
      <c r="N526" s="7">
        <f t="shared" ca="1" si="62"/>
        <v>9</v>
      </c>
      <c r="O526" s="85"/>
      <c r="P526" s="19"/>
    </row>
    <row r="527" spans="1:16" ht="14.5">
      <c r="A527" s="19" t="s">
        <v>188</v>
      </c>
      <c r="B527" s="291">
        <v>218</v>
      </c>
      <c r="C527" s="291" t="s">
        <v>79</v>
      </c>
      <c r="D527" s="291" t="s">
        <v>91</v>
      </c>
      <c r="E527" s="145">
        <v>45906</v>
      </c>
      <c r="F527" s="44">
        <v>6.5</v>
      </c>
      <c r="G527" s="46">
        <v>7</v>
      </c>
      <c r="H527" s="44">
        <f t="shared" si="61"/>
        <v>-0.5</v>
      </c>
      <c r="I527" s="45">
        <v>45825</v>
      </c>
      <c r="J527" s="45">
        <v>45825</v>
      </c>
      <c r="K527" s="7">
        <f t="shared" ca="1" si="54"/>
        <v>0</v>
      </c>
      <c r="L527" s="9">
        <v>45832</v>
      </c>
      <c r="M527" s="45">
        <v>45832</v>
      </c>
      <c r="N527" s="7">
        <f t="shared" ca="1" si="62"/>
        <v>0</v>
      </c>
      <c r="O527" s="85"/>
      <c r="P527" s="19"/>
    </row>
    <row r="528" spans="1:16" ht="14.5">
      <c r="A528" s="19" t="s">
        <v>188</v>
      </c>
      <c r="B528" s="291">
        <v>218</v>
      </c>
      <c r="C528" s="291" t="s">
        <v>80</v>
      </c>
      <c r="D528" s="291" t="s">
        <v>91</v>
      </c>
      <c r="E528" s="145">
        <v>45906</v>
      </c>
      <c r="F528" s="44">
        <v>383.3</v>
      </c>
      <c r="G528" s="46">
        <v>383</v>
      </c>
      <c r="H528" s="44">
        <f t="shared" si="61"/>
        <v>0.30000000000001137</v>
      </c>
      <c r="I528" s="45">
        <v>45825</v>
      </c>
      <c r="J528" s="45">
        <v>45825</v>
      </c>
      <c r="K528" s="7">
        <f t="shared" ca="1" si="54"/>
        <v>0</v>
      </c>
      <c r="L528" s="9">
        <v>45832</v>
      </c>
      <c r="M528" s="45">
        <v>45831</v>
      </c>
      <c r="N528" s="7">
        <f t="shared" ca="1" si="62"/>
        <v>1</v>
      </c>
      <c r="O528" s="85"/>
      <c r="P528" s="19"/>
    </row>
    <row r="529" spans="1:16" ht="14.5">
      <c r="A529" s="19" t="s">
        <v>188</v>
      </c>
      <c r="B529" s="291">
        <v>218</v>
      </c>
      <c r="C529" s="291" t="s">
        <v>951</v>
      </c>
      <c r="D529" s="291" t="s">
        <v>91</v>
      </c>
      <c r="E529" s="145">
        <v>45906</v>
      </c>
      <c r="F529" s="44">
        <v>2135.1999999999998</v>
      </c>
      <c r="G529" s="46"/>
      <c r="H529" s="44">
        <f t="shared" si="61"/>
        <v>2135.1999999999998</v>
      </c>
      <c r="I529" s="45">
        <v>45825</v>
      </c>
      <c r="J529" s="45">
        <v>45825</v>
      </c>
      <c r="K529" s="7">
        <f t="shared" ca="1" si="54"/>
        <v>0</v>
      </c>
      <c r="L529" s="9">
        <v>45842</v>
      </c>
      <c r="M529" s="45"/>
      <c r="N529" s="7">
        <f t="shared" ca="1" si="62"/>
        <v>2</v>
      </c>
      <c r="O529" s="85"/>
      <c r="P529" s="19"/>
    </row>
    <row r="530" spans="1:16" ht="14.5">
      <c r="A530" s="19" t="s">
        <v>188</v>
      </c>
      <c r="B530" s="291">
        <v>218</v>
      </c>
      <c r="C530" s="291" t="s">
        <v>857</v>
      </c>
      <c r="D530" s="291" t="s">
        <v>91</v>
      </c>
      <c r="E530" s="145">
        <v>45906</v>
      </c>
      <c r="F530" s="44">
        <v>242</v>
      </c>
      <c r="G530" s="46">
        <v>242</v>
      </c>
      <c r="H530" s="44">
        <f t="shared" si="61"/>
        <v>0</v>
      </c>
      <c r="I530" s="45">
        <v>45825</v>
      </c>
      <c r="J530" s="45">
        <v>45825</v>
      </c>
      <c r="K530" s="7">
        <f t="shared" ca="1" si="54"/>
        <v>0</v>
      </c>
      <c r="L530" s="9">
        <v>45839</v>
      </c>
      <c r="M530" s="45">
        <v>45829</v>
      </c>
      <c r="N530" s="7">
        <f t="shared" ca="1" si="62"/>
        <v>10</v>
      </c>
      <c r="O530" s="85"/>
      <c r="P530" s="19"/>
    </row>
    <row r="531" spans="1:16" ht="14.5">
      <c r="A531" s="19" t="s">
        <v>188</v>
      </c>
      <c r="B531" s="291">
        <v>219</v>
      </c>
      <c r="C531" s="291" t="s">
        <v>75</v>
      </c>
      <c r="D531" s="291" t="s">
        <v>91</v>
      </c>
      <c r="E531" s="145">
        <v>45913</v>
      </c>
      <c r="F531" s="44">
        <v>139.80000000000001</v>
      </c>
      <c r="G531" s="46">
        <v>140</v>
      </c>
      <c r="H531" s="44">
        <f t="shared" si="61"/>
        <v>-0.19999999999998863</v>
      </c>
      <c r="I531" s="45">
        <v>45825</v>
      </c>
      <c r="J531" s="45">
        <v>45825</v>
      </c>
      <c r="K531" s="7">
        <f t="shared" ca="1" si="54"/>
        <v>0</v>
      </c>
      <c r="L531" s="9">
        <v>45846</v>
      </c>
      <c r="M531" s="45">
        <v>45829</v>
      </c>
      <c r="N531" s="7">
        <f t="shared" ca="1" si="62"/>
        <v>17</v>
      </c>
      <c r="O531" s="85"/>
      <c r="P531" s="19"/>
    </row>
    <row r="532" spans="1:16" ht="14.5">
      <c r="A532" s="19" t="s">
        <v>188</v>
      </c>
      <c r="B532" s="291">
        <v>219</v>
      </c>
      <c r="C532" s="291" t="s">
        <v>77</v>
      </c>
      <c r="D532" s="291" t="s">
        <v>91</v>
      </c>
      <c r="E532" s="145">
        <v>45913</v>
      </c>
      <c r="F532" s="44">
        <v>1039.4000000000001</v>
      </c>
      <c r="G532" s="46"/>
      <c r="H532" s="44">
        <f t="shared" si="61"/>
        <v>1039.4000000000001</v>
      </c>
      <c r="I532" s="45">
        <v>45825</v>
      </c>
      <c r="J532" s="45">
        <v>45825</v>
      </c>
      <c r="K532" s="7">
        <f t="shared" ca="1" si="54"/>
        <v>0</v>
      </c>
      <c r="L532" s="9">
        <v>45850</v>
      </c>
      <c r="M532" s="45"/>
      <c r="N532" s="7">
        <f t="shared" ca="1" si="62"/>
        <v>10</v>
      </c>
      <c r="O532" s="85"/>
      <c r="P532" s="19"/>
    </row>
    <row r="533" spans="1:16" ht="14.5">
      <c r="A533" s="19" t="s">
        <v>188</v>
      </c>
      <c r="B533" s="291">
        <v>219</v>
      </c>
      <c r="C533" s="291" t="s">
        <v>79</v>
      </c>
      <c r="D533" s="291" t="s">
        <v>91</v>
      </c>
      <c r="E533" s="145">
        <v>45913</v>
      </c>
      <c r="F533" s="44">
        <v>6.2</v>
      </c>
      <c r="G533" s="46">
        <v>6</v>
      </c>
      <c r="H533" s="44">
        <f t="shared" si="61"/>
        <v>0.20000000000000018</v>
      </c>
      <c r="I533" s="45">
        <v>45825</v>
      </c>
      <c r="J533" s="45">
        <v>45825</v>
      </c>
      <c r="K533" s="7">
        <f t="shared" ca="1" si="54"/>
        <v>0</v>
      </c>
      <c r="L533" s="9">
        <v>45833</v>
      </c>
      <c r="M533" s="45">
        <v>45832</v>
      </c>
      <c r="N533" s="7">
        <f t="shared" ca="1" si="62"/>
        <v>1</v>
      </c>
      <c r="O533" s="85"/>
      <c r="P533" s="19"/>
    </row>
    <row r="534" spans="1:16" ht="14.5">
      <c r="A534" s="19" t="s">
        <v>188</v>
      </c>
      <c r="B534" s="291">
        <v>219</v>
      </c>
      <c r="C534" s="291" t="s">
        <v>80</v>
      </c>
      <c r="D534" s="291" t="s">
        <v>91</v>
      </c>
      <c r="E534" s="145">
        <v>45913</v>
      </c>
      <c r="F534" s="44">
        <v>612.6</v>
      </c>
      <c r="G534" s="46">
        <v>377</v>
      </c>
      <c r="H534" s="44">
        <f t="shared" si="61"/>
        <v>235.60000000000002</v>
      </c>
      <c r="I534" s="45">
        <v>45825</v>
      </c>
      <c r="J534" s="45">
        <v>45825</v>
      </c>
      <c r="K534" s="7">
        <f t="shared" ca="1" si="54"/>
        <v>0</v>
      </c>
      <c r="L534" s="9">
        <v>45833</v>
      </c>
      <c r="M534" s="45"/>
      <c r="N534" s="7">
        <f t="shared" ca="1" si="62"/>
        <v>-7</v>
      </c>
      <c r="O534" s="85"/>
      <c r="P534" s="19"/>
    </row>
    <row r="535" spans="1:16" ht="14.5">
      <c r="A535" s="19" t="s">
        <v>188</v>
      </c>
      <c r="B535" s="291">
        <v>219</v>
      </c>
      <c r="C535" s="291" t="s">
        <v>951</v>
      </c>
      <c r="D535" s="291" t="s">
        <v>91</v>
      </c>
      <c r="E535" s="145">
        <v>45913</v>
      </c>
      <c r="F535" s="44">
        <v>1134</v>
      </c>
      <c r="G535" s="46"/>
      <c r="H535" s="44">
        <f t="shared" si="61"/>
        <v>1134</v>
      </c>
      <c r="I535" s="45">
        <v>45825</v>
      </c>
      <c r="J535" s="45">
        <v>45825</v>
      </c>
      <c r="K535" s="7">
        <f t="shared" ca="1" si="54"/>
        <v>0</v>
      </c>
      <c r="L535" s="9">
        <v>45849</v>
      </c>
      <c r="M535" s="45"/>
      <c r="N535" s="7">
        <f t="shared" ca="1" si="62"/>
        <v>9</v>
      </c>
      <c r="O535" s="85"/>
      <c r="P535" s="19"/>
    </row>
    <row r="536" spans="1:16" ht="14.5">
      <c r="A536" s="19" t="s">
        <v>188</v>
      </c>
      <c r="B536" s="291">
        <v>219</v>
      </c>
      <c r="C536" s="291" t="s">
        <v>857</v>
      </c>
      <c r="D536" s="291" t="s">
        <v>91</v>
      </c>
      <c r="E536" s="145">
        <v>45913</v>
      </c>
      <c r="F536" s="44">
        <v>160.30000000000001</v>
      </c>
      <c r="G536" s="46">
        <v>160</v>
      </c>
      <c r="H536" s="44">
        <f t="shared" si="61"/>
        <v>0.30000000000001137</v>
      </c>
      <c r="I536" s="45">
        <v>45825</v>
      </c>
      <c r="J536" s="45">
        <v>45825</v>
      </c>
      <c r="K536" s="7">
        <f t="shared" ca="1" si="54"/>
        <v>0</v>
      </c>
      <c r="L536" s="9">
        <v>45846</v>
      </c>
      <c r="M536" s="45">
        <v>45829</v>
      </c>
      <c r="N536" s="7">
        <f t="shared" ca="1" si="62"/>
        <v>17</v>
      </c>
      <c r="O536" s="85"/>
      <c r="P536" s="19"/>
    </row>
    <row r="537" spans="1:16" ht="14.5">
      <c r="A537" s="19" t="s">
        <v>188</v>
      </c>
      <c r="B537" s="291">
        <v>220</v>
      </c>
      <c r="C537" s="291" t="s">
        <v>77</v>
      </c>
      <c r="D537" s="291" t="s">
        <v>91</v>
      </c>
      <c r="E537" s="145">
        <v>45920</v>
      </c>
      <c r="F537" s="44">
        <v>226.5</v>
      </c>
      <c r="G537" s="46"/>
      <c r="H537" s="44">
        <f t="shared" si="61"/>
        <v>226.5</v>
      </c>
      <c r="I537" s="45">
        <v>45825</v>
      </c>
      <c r="J537" s="45">
        <v>45825</v>
      </c>
      <c r="K537" s="7">
        <f t="shared" ca="1" si="54"/>
        <v>0</v>
      </c>
      <c r="L537" s="9">
        <v>45856</v>
      </c>
      <c r="M537" s="45"/>
      <c r="N537" s="7">
        <f t="shared" ca="1" si="62"/>
        <v>16</v>
      </c>
      <c r="O537" s="85"/>
      <c r="P537" s="19"/>
    </row>
    <row r="538" spans="1:16" ht="14.5">
      <c r="A538" s="19" t="s">
        <v>188</v>
      </c>
      <c r="B538" s="291">
        <v>220</v>
      </c>
      <c r="C538" s="291" t="s">
        <v>79</v>
      </c>
      <c r="D538" s="291" t="s">
        <v>91</v>
      </c>
      <c r="E538" s="145">
        <v>45920</v>
      </c>
      <c r="F538" s="44">
        <v>204.4</v>
      </c>
      <c r="G538" s="46">
        <v>204</v>
      </c>
      <c r="H538" s="44">
        <f t="shared" si="61"/>
        <v>0.40000000000000568</v>
      </c>
      <c r="I538" s="45">
        <v>45825</v>
      </c>
      <c r="J538" s="45">
        <v>45825</v>
      </c>
      <c r="K538" s="7">
        <f t="shared" ca="1" si="54"/>
        <v>0</v>
      </c>
      <c r="L538" s="9">
        <v>45856</v>
      </c>
      <c r="M538" s="45">
        <v>45832</v>
      </c>
      <c r="N538" s="7">
        <f t="shared" ca="1" si="62"/>
        <v>24</v>
      </c>
      <c r="O538" s="85"/>
      <c r="P538" s="19"/>
    </row>
    <row r="539" spans="1:16" ht="14.5">
      <c r="A539" s="19" t="s">
        <v>188</v>
      </c>
      <c r="B539" s="291">
        <v>220</v>
      </c>
      <c r="C539" s="291" t="s">
        <v>951</v>
      </c>
      <c r="D539" s="291" t="s">
        <v>91</v>
      </c>
      <c r="E539" s="145">
        <v>45920</v>
      </c>
      <c r="F539" s="44">
        <v>2150.4</v>
      </c>
      <c r="G539" s="46"/>
      <c r="H539" s="44">
        <f t="shared" si="61"/>
        <v>2150.4</v>
      </c>
      <c r="I539" s="45">
        <v>45825</v>
      </c>
      <c r="J539" s="45">
        <v>45825</v>
      </c>
      <c r="K539" s="7">
        <f t="shared" ca="1" si="54"/>
        <v>0</v>
      </c>
      <c r="L539" s="9">
        <v>45856</v>
      </c>
      <c r="M539" s="45"/>
      <c r="N539" s="7">
        <f t="shared" ca="1" si="62"/>
        <v>16</v>
      </c>
      <c r="O539" s="85"/>
      <c r="P539" s="19"/>
    </row>
    <row r="540" spans="1:16" ht="14.5">
      <c r="A540" s="19" t="s">
        <v>188</v>
      </c>
      <c r="B540" s="291">
        <v>221</v>
      </c>
      <c r="C540" s="291" t="s">
        <v>77</v>
      </c>
      <c r="D540" s="291" t="s">
        <v>91</v>
      </c>
      <c r="E540" s="145">
        <v>45920</v>
      </c>
      <c r="F540" s="44">
        <v>1283.5</v>
      </c>
      <c r="G540" s="46"/>
      <c r="H540" s="44">
        <f t="shared" si="61"/>
        <v>1283.5</v>
      </c>
      <c r="I540" s="45">
        <v>45825</v>
      </c>
      <c r="J540" s="45">
        <v>45825</v>
      </c>
      <c r="K540" s="7">
        <f t="shared" ca="1" si="54"/>
        <v>0</v>
      </c>
      <c r="L540" s="9">
        <v>45840</v>
      </c>
      <c r="M540" s="45"/>
      <c r="N540" s="7">
        <f t="shared" ca="1" si="62"/>
        <v>0</v>
      </c>
      <c r="O540" s="85"/>
      <c r="P540" s="19"/>
    </row>
    <row r="541" spans="1:16" ht="14.5">
      <c r="A541" s="19" t="s">
        <v>188</v>
      </c>
      <c r="B541" s="291">
        <v>221</v>
      </c>
      <c r="C541" s="291" t="s">
        <v>867</v>
      </c>
      <c r="D541" s="291" t="s">
        <v>91</v>
      </c>
      <c r="E541" s="145">
        <v>45920</v>
      </c>
      <c r="F541" s="44">
        <v>80</v>
      </c>
      <c r="G541" s="46"/>
      <c r="H541" s="44">
        <f t="shared" si="61"/>
        <v>80</v>
      </c>
      <c r="I541" s="45">
        <v>45825</v>
      </c>
      <c r="J541" s="45">
        <v>45825</v>
      </c>
      <c r="K541" s="7">
        <f t="shared" ca="1" si="54"/>
        <v>0</v>
      </c>
      <c r="L541" s="9">
        <v>45856</v>
      </c>
      <c r="M541" s="45"/>
      <c r="N541" s="7">
        <f t="shared" ca="1" si="62"/>
        <v>16</v>
      </c>
      <c r="O541" s="85"/>
      <c r="P541" s="296" t="s">
        <v>964</v>
      </c>
    </row>
    <row r="542" spans="1:16" ht="14.5">
      <c r="A542" s="19" t="s">
        <v>188</v>
      </c>
      <c r="B542" s="291">
        <v>221</v>
      </c>
      <c r="C542" s="291" t="s">
        <v>868</v>
      </c>
      <c r="D542" s="291" t="s">
        <v>91</v>
      </c>
      <c r="E542" s="145">
        <v>45920</v>
      </c>
      <c r="F542" s="44">
        <v>232</v>
      </c>
      <c r="G542" s="46"/>
      <c r="H542" s="44">
        <f t="shared" si="61"/>
        <v>232</v>
      </c>
      <c r="I542" s="45">
        <v>45825</v>
      </c>
      <c r="J542" s="45">
        <v>45825</v>
      </c>
      <c r="K542" s="7">
        <f t="shared" ca="1" si="54"/>
        <v>0</v>
      </c>
      <c r="L542" s="9">
        <v>45856</v>
      </c>
      <c r="M542" s="45"/>
      <c r="N542" s="7">
        <f t="shared" ca="1" si="62"/>
        <v>16</v>
      </c>
      <c r="O542" s="85"/>
      <c r="P542" s="296" t="s">
        <v>964</v>
      </c>
    </row>
    <row r="543" spans="1:16" ht="14.5">
      <c r="A543" s="19" t="s">
        <v>188</v>
      </c>
      <c r="B543" s="291">
        <v>221</v>
      </c>
      <c r="C543" s="291" t="s">
        <v>951</v>
      </c>
      <c r="D543" s="291" t="s">
        <v>91</v>
      </c>
      <c r="E543" s="145">
        <v>45920</v>
      </c>
      <c r="F543" s="44">
        <v>4171.2</v>
      </c>
      <c r="G543" s="46"/>
      <c r="H543" s="44">
        <f t="shared" si="61"/>
        <v>4171.2</v>
      </c>
      <c r="I543" s="45">
        <v>45825</v>
      </c>
      <c r="J543" s="45">
        <v>45825</v>
      </c>
      <c r="K543" s="7">
        <f t="shared" ca="1" si="54"/>
        <v>0</v>
      </c>
      <c r="L543" s="9">
        <v>45856</v>
      </c>
      <c r="M543" s="45"/>
      <c r="N543" s="7">
        <f t="shared" ca="1" si="62"/>
        <v>16</v>
      </c>
      <c r="O543" s="85"/>
      <c r="P543" s="19"/>
    </row>
    <row r="544" spans="1:16" ht="14.5">
      <c r="A544" s="19" t="s">
        <v>188</v>
      </c>
      <c r="B544" s="291">
        <v>222</v>
      </c>
      <c r="C544" s="291" t="s">
        <v>95</v>
      </c>
      <c r="D544" s="291" t="s">
        <v>91</v>
      </c>
      <c r="E544" s="145">
        <v>45920</v>
      </c>
      <c r="F544" s="44">
        <v>163.6</v>
      </c>
      <c r="G544" s="46"/>
      <c r="H544" s="44">
        <f t="shared" si="61"/>
        <v>163.6</v>
      </c>
      <c r="I544" s="45">
        <v>45825</v>
      </c>
      <c r="J544" s="45">
        <v>45825</v>
      </c>
      <c r="K544" s="7">
        <f t="shared" ca="1" si="54"/>
        <v>0</v>
      </c>
      <c r="L544" s="9">
        <v>45868</v>
      </c>
      <c r="M544" s="45"/>
      <c r="N544" s="7">
        <f t="shared" ca="1" si="62"/>
        <v>28</v>
      </c>
      <c r="O544" s="85"/>
      <c r="P544" s="19"/>
    </row>
    <row r="545" spans="1:16" ht="14.5">
      <c r="A545" s="19" t="s">
        <v>188</v>
      </c>
      <c r="B545" s="291">
        <v>222</v>
      </c>
      <c r="C545" s="291" t="s">
        <v>96</v>
      </c>
      <c r="D545" s="291" t="s">
        <v>91</v>
      </c>
      <c r="E545" s="145">
        <v>45920</v>
      </c>
      <c r="F545" s="44">
        <v>195</v>
      </c>
      <c r="G545" s="46"/>
      <c r="H545" s="44">
        <f t="shared" si="61"/>
        <v>195</v>
      </c>
      <c r="I545" s="45">
        <v>45825</v>
      </c>
      <c r="J545" s="45">
        <v>45825</v>
      </c>
      <c r="K545" s="7">
        <f t="shared" ca="1" si="54"/>
        <v>0</v>
      </c>
      <c r="L545" s="9">
        <v>45868</v>
      </c>
      <c r="M545" s="45"/>
      <c r="N545" s="7">
        <f t="shared" ca="1" si="62"/>
        <v>28</v>
      </c>
      <c r="O545" s="85"/>
      <c r="P545" s="19"/>
    </row>
    <row r="546" spans="1:16" ht="14.5">
      <c r="A546" s="19" t="s">
        <v>188</v>
      </c>
      <c r="B546" s="291">
        <v>222</v>
      </c>
      <c r="C546" s="291" t="s">
        <v>75</v>
      </c>
      <c r="D546" s="291" t="s">
        <v>91</v>
      </c>
      <c r="E546" s="145">
        <v>45920</v>
      </c>
      <c r="F546" s="44">
        <v>159.80000000000001</v>
      </c>
      <c r="G546" s="46">
        <v>160</v>
      </c>
      <c r="H546" s="44">
        <f t="shared" si="61"/>
        <v>-0.19999999999998863</v>
      </c>
      <c r="I546" s="45">
        <v>45825</v>
      </c>
      <c r="J546" s="45">
        <v>45825</v>
      </c>
      <c r="K546" s="7">
        <f t="shared" ca="1" si="54"/>
        <v>0</v>
      </c>
      <c r="L546" s="9">
        <v>45852</v>
      </c>
      <c r="M546" s="45">
        <v>45829</v>
      </c>
      <c r="N546" s="7">
        <f t="shared" ca="1" si="62"/>
        <v>23</v>
      </c>
      <c r="O546" s="85"/>
      <c r="P546" s="19"/>
    </row>
    <row r="547" spans="1:16" ht="14.5">
      <c r="A547" s="19" t="s">
        <v>188</v>
      </c>
      <c r="B547" s="291">
        <v>222</v>
      </c>
      <c r="C547" s="291" t="s">
        <v>77</v>
      </c>
      <c r="D547" s="291" t="s">
        <v>91</v>
      </c>
      <c r="E547" s="145">
        <v>45920</v>
      </c>
      <c r="F547" s="44">
        <v>1469</v>
      </c>
      <c r="G547" s="46"/>
      <c r="H547" s="44">
        <f t="shared" si="61"/>
        <v>1469</v>
      </c>
      <c r="I547" s="45">
        <v>45825</v>
      </c>
      <c r="J547" s="45">
        <v>45825</v>
      </c>
      <c r="K547" s="7">
        <f t="shared" ca="1" si="54"/>
        <v>0</v>
      </c>
      <c r="L547" s="9">
        <v>45852</v>
      </c>
      <c r="M547" s="45"/>
      <c r="N547" s="7">
        <f t="shared" ca="1" si="62"/>
        <v>12</v>
      </c>
      <c r="O547" s="85"/>
      <c r="P547" s="19"/>
    </row>
    <row r="548" spans="1:16" ht="14.5">
      <c r="A548" s="19" t="s">
        <v>188</v>
      </c>
      <c r="B548" s="291">
        <v>222</v>
      </c>
      <c r="C548" s="291" t="s">
        <v>79</v>
      </c>
      <c r="D548" s="291" t="s">
        <v>91</v>
      </c>
      <c r="E548" s="145">
        <v>45920</v>
      </c>
      <c r="F548" s="44">
        <v>6.8</v>
      </c>
      <c r="G548" s="46">
        <v>7</v>
      </c>
      <c r="H548" s="44">
        <f t="shared" si="61"/>
        <v>-0.20000000000000018</v>
      </c>
      <c r="I548" s="45">
        <v>45825</v>
      </c>
      <c r="J548" s="45">
        <v>45825</v>
      </c>
      <c r="K548" s="7">
        <f t="shared" ca="1" si="54"/>
        <v>0</v>
      </c>
      <c r="L548" s="9">
        <v>45840</v>
      </c>
      <c r="M548" s="45">
        <v>45832</v>
      </c>
      <c r="N548" s="7">
        <f t="shared" ca="1" si="62"/>
        <v>8</v>
      </c>
      <c r="O548" s="85"/>
      <c r="P548" s="19"/>
    </row>
    <row r="549" spans="1:16" ht="14.5">
      <c r="A549" s="19" t="s">
        <v>188</v>
      </c>
      <c r="B549" s="291">
        <v>222</v>
      </c>
      <c r="C549" s="291" t="s">
        <v>80</v>
      </c>
      <c r="D549" s="291" t="s">
        <v>91</v>
      </c>
      <c r="E549" s="145">
        <v>45920</v>
      </c>
      <c r="F549" s="44">
        <v>102.5</v>
      </c>
      <c r="G549" s="46">
        <v>103</v>
      </c>
      <c r="H549" s="44">
        <f t="shared" si="61"/>
        <v>-0.5</v>
      </c>
      <c r="I549" s="45">
        <v>45825</v>
      </c>
      <c r="J549" s="45">
        <v>45825</v>
      </c>
      <c r="K549" s="7">
        <f t="shared" ca="1" si="54"/>
        <v>0</v>
      </c>
      <c r="L549" s="9">
        <v>45840</v>
      </c>
      <c r="M549" s="45">
        <v>45831</v>
      </c>
      <c r="N549" s="7">
        <f t="shared" ca="1" si="62"/>
        <v>9</v>
      </c>
      <c r="O549" s="85"/>
      <c r="P549" s="19"/>
    </row>
    <row r="550" spans="1:16" ht="14.5">
      <c r="A550" s="19" t="s">
        <v>188</v>
      </c>
      <c r="B550" s="291">
        <v>222</v>
      </c>
      <c r="C550" s="291" t="s">
        <v>951</v>
      </c>
      <c r="D550" s="291" t="s">
        <v>91</v>
      </c>
      <c r="E550" s="145">
        <v>45920</v>
      </c>
      <c r="F550" s="44">
        <v>2401.1</v>
      </c>
      <c r="G550" s="46"/>
      <c r="H550" s="44">
        <f t="shared" si="61"/>
        <v>2401.1</v>
      </c>
      <c r="I550" s="45">
        <v>45825</v>
      </c>
      <c r="J550" s="45">
        <v>45825</v>
      </c>
      <c r="K550" s="7">
        <f t="shared" ca="1" si="54"/>
        <v>0</v>
      </c>
      <c r="L550" s="9">
        <v>45856</v>
      </c>
      <c r="M550" s="45"/>
      <c r="N550" s="7">
        <f t="shared" ca="1" si="62"/>
        <v>16</v>
      </c>
      <c r="O550" s="85"/>
      <c r="P550" s="19"/>
    </row>
    <row r="551" spans="1:16" ht="14.5">
      <c r="A551" s="19" t="s">
        <v>188</v>
      </c>
      <c r="B551" s="291">
        <v>222</v>
      </c>
      <c r="C551" s="291" t="s">
        <v>857</v>
      </c>
      <c r="D551" s="291" t="s">
        <v>91</v>
      </c>
      <c r="E551" s="145">
        <v>45920</v>
      </c>
      <c r="F551" s="44">
        <v>183.2</v>
      </c>
      <c r="G551" s="46">
        <v>183</v>
      </c>
      <c r="H551" s="44">
        <f t="shared" si="61"/>
        <v>0.19999999999998863</v>
      </c>
      <c r="I551" s="45">
        <v>45825</v>
      </c>
      <c r="J551" s="45">
        <v>45825</v>
      </c>
      <c r="K551" s="7">
        <f t="shared" ca="1" si="54"/>
        <v>0</v>
      </c>
      <c r="L551" s="9">
        <v>45852</v>
      </c>
      <c r="M551" s="45">
        <v>45829</v>
      </c>
      <c r="N551" s="7">
        <f t="shared" ca="1" si="62"/>
        <v>23</v>
      </c>
      <c r="O551" s="85"/>
      <c r="P551" s="19"/>
    </row>
    <row r="552" spans="1:16" ht="14.5">
      <c r="A552" s="19" t="s">
        <v>188</v>
      </c>
      <c r="B552" s="291">
        <v>223</v>
      </c>
      <c r="C552" s="291" t="s">
        <v>95</v>
      </c>
      <c r="D552" s="291" t="s">
        <v>91</v>
      </c>
      <c r="E552" s="145">
        <v>45934</v>
      </c>
      <c r="F552" s="44">
        <v>163.6</v>
      </c>
      <c r="G552" s="46"/>
      <c r="H552" s="44">
        <f t="shared" si="61"/>
        <v>163.6</v>
      </c>
      <c r="I552" s="45">
        <v>45825</v>
      </c>
      <c r="J552" s="45">
        <v>45825</v>
      </c>
      <c r="K552" s="7">
        <f t="shared" ca="1" si="54"/>
        <v>0</v>
      </c>
      <c r="L552" s="9">
        <v>45863</v>
      </c>
      <c r="M552" s="45"/>
      <c r="N552" s="7">
        <f t="shared" ca="1" si="62"/>
        <v>23</v>
      </c>
      <c r="O552" s="85"/>
      <c r="P552" s="19"/>
    </row>
    <row r="553" spans="1:16" ht="14.5">
      <c r="A553" s="19" t="s">
        <v>188</v>
      </c>
      <c r="B553" s="291">
        <v>223</v>
      </c>
      <c r="C553" s="291" t="s">
        <v>96</v>
      </c>
      <c r="D553" s="291" t="s">
        <v>91</v>
      </c>
      <c r="E553" s="145">
        <v>45934</v>
      </c>
      <c r="F553" s="44">
        <v>195</v>
      </c>
      <c r="G553" s="46"/>
      <c r="H553" s="44">
        <f t="shared" si="61"/>
        <v>195</v>
      </c>
      <c r="I553" s="45">
        <v>45825</v>
      </c>
      <c r="J553" s="45">
        <v>45825</v>
      </c>
      <c r="K553" s="7">
        <f t="shared" ca="1" si="54"/>
        <v>0</v>
      </c>
      <c r="L553" s="9">
        <v>45864</v>
      </c>
      <c r="M553" s="45"/>
      <c r="N553" s="7">
        <f t="shared" ca="1" si="62"/>
        <v>24</v>
      </c>
      <c r="O553" s="85"/>
      <c r="P553" s="19"/>
    </row>
    <row r="554" spans="1:16" ht="14.5">
      <c r="A554" s="19" t="s">
        <v>188</v>
      </c>
      <c r="B554" s="291">
        <v>223</v>
      </c>
      <c r="C554" s="291" t="s">
        <v>75</v>
      </c>
      <c r="D554" s="291" t="s">
        <v>91</v>
      </c>
      <c r="E554" s="145">
        <v>45934</v>
      </c>
      <c r="F554" s="44">
        <v>137.19999999999999</v>
      </c>
      <c r="G554" s="46">
        <v>137</v>
      </c>
      <c r="H554" s="44">
        <f t="shared" si="61"/>
        <v>0.19999999999998863</v>
      </c>
      <c r="I554" s="45">
        <v>45825</v>
      </c>
      <c r="J554" s="45">
        <v>45825</v>
      </c>
      <c r="K554" s="7">
        <f t="shared" ca="1" si="54"/>
        <v>0</v>
      </c>
      <c r="L554" s="9">
        <v>45867</v>
      </c>
      <c r="M554" s="45">
        <v>45829</v>
      </c>
      <c r="N554" s="7">
        <f t="shared" ca="1" si="62"/>
        <v>38</v>
      </c>
      <c r="O554" s="85"/>
      <c r="P554" s="19"/>
    </row>
    <row r="555" spans="1:16" ht="14.5">
      <c r="A555" s="19" t="s">
        <v>188</v>
      </c>
      <c r="B555" s="291">
        <v>223</v>
      </c>
      <c r="C555" s="291" t="s">
        <v>77</v>
      </c>
      <c r="D555" s="291" t="s">
        <v>91</v>
      </c>
      <c r="E555" s="145">
        <v>45934</v>
      </c>
      <c r="F555" s="44">
        <v>1051</v>
      </c>
      <c r="G555" s="46"/>
      <c r="H555" s="44">
        <f t="shared" si="61"/>
        <v>1051</v>
      </c>
      <c r="I555" s="45">
        <v>45825</v>
      </c>
      <c r="J555" s="45">
        <v>45825</v>
      </c>
      <c r="K555" s="7">
        <f t="shared" ca="1" si="54"/>
        <v>0</v>
      </c>
      <c r="L555" s="9">
        <v>45866</v>
      </c>
      <c r="M555" s="45"/>
      <c r="N555" s="7">
        <f t="shared" ca="1" si="62"/>
        <v>26</v>
      </c>
      <c r="O555" s="85"/>
      <c r="P555" s="19"/>
    </row>
    <row r="556" spans="1:16" ht="14.5">
      <c r="A556" s="19" t="s">
        <v>188</v>
      </c>
      <c r="B556" s="291">
        <v>223</v>
      </c>
      <c r="C556" s="291" t="s">
        <v>79</v>
      </c>
      <c r="D556" s="291" t="s">
        <v>91</v>
      </c>
      <c r="E556" s="145">
        <v>45934</v>
      </c>
      <c r="F556" s="44">
        <v>5.6</v>
      </c>
      <c r="G556" s="46">
        <v>6</v>
      </c>
      <c r="H556" s="44">
        <f t="shared" si="61"/>
        <v>-0.40000000000000036</v>
      </c>
      <c r="I556" s="45">
        <v>45825</v>
      </c>
      <c r="J556" s="45">
        <v>45825</v>
      </c>
      <c r="K556" s="7">
        <f t="shared" ca="1" si="54"/>
        <v>0</v>
      </c>
      <c r="L556" s="9">
        <v>45852</v>
      </c>
      <c r="M556" s="45">
        <v>45832</v>
      </c>
      <c r="N556" s="7">
        <f t="shared" ca="1" si="62"/>
        <v>20</v>
      </c>
      <c r="O556" s="85"/>
      <c r="P556" s="19"/>
    </row>
    <row r="557" spans="1:16" ht="14.5">
      <c r="A557" s="19" t="s">
        <v>188</v>
      </c>
      <c r="B557" s="291">
        <v>223</v>
      </c>
      <c r="C557" s="291" t="s">
        <v>80</v>
      </c>
      <c r="D557" s="291" t="s">
        <v>91</v>
      </c>
      <c r="E557" s="145">
        <v>45934</v>
      </c>
      <c r="F557" s="44">
        <v>85</v>
      </c>
      <c r="G557" s="46">
        <v>85</v>
      </c>
      <c r="H557" s="44">
        <f t="shared" si="61"/>
        <v>0</v>
      </c>
      <c r="I557" s="45">
        <v>45825</v>
      </c>
      <c r="J557" s="45">
        <v>45825</v>
      </c>
      <c r="K557" s="7">
        <f t="shared" ca="1" si="54"/>
        <v>0</v>
      </c>
      <c r="L557" s="9">
        <v>45852</v>
      </c>
      <c r="M557" s="45">
        <v>45831</v>
      </c>
      <c r="N557" s="7">
        <f t="shared" ca="1" si="62"/>
        <v>21</v>
      </c>
      <c r="O557" s="85"/>
      <c r="P557" s="19"/>
    </row>
    <row r="558" spans="1:16" ht="14.5">
      <c r="A558" s="19" t="s">
        <v>188</v>
      </c>
      <c r="B558" s="291">
        <v>223</v>
      </c>
      <c r="C558" s="291" t="s">
        <v>951</v>
      </c>
      <c r="D558" s="291" t="s">
        <v>91</v>
      </c>
      <c r="E558" s="145">
        <v>45934</v>
      </c>
      <c r="F558" s="44">
        <v>2401.1</v>
      </c>
      <c r="G558" s="46"/>
      <c r="H558" s="44">
        <f t="shared" si="61"/>
        <v>2401.1</v>
      </c>
      <c r="I558" s="45">
        <v>45825</v>
      </c>
      <c r="J558" s="45">
        <v>45825</v>
      </c>
      <c r="K558" s="7">
        <f t="shared" ca="1" si="54"/>
        <v>0</v>
      </c>
      <c r="L558" s="9">
        <v>45869</v>
      </c>
      <c r="M558" s="45"/>
      <c r="N558" s="7">
        <f t="shared" ca="1" si="62"/>
        <v>29</v>
      </c>
      <c r="O558" s="85"/>
      <c r="P558" s="19"/>
    </row>
    <row r="559" spans="1:16" ht="14.5">
      <c r="A559" s="19" t="s">
        <v>188</v>
      </c>
      <c r="B559" s="291">
        <v>223</v>
      </c>
      <c r="C559" s="291" t="s">
        <v>857</v>
      </c>
      <c r="D559" s="291" t="s">
        <v>91</v>
      </c>
      <c r="E559" s="145">
        <v>45934</v>
      </c>
      <c r="F559" s="44">
        <v>157.1</v>
      </c>
      <c r="G559" s="46">
        <v>157</v>
      </c>
      <c r="H559" s="44">
        <f t="shared" si="61"/>
        <v>9.9999999999994316E-2</v>
      </c>
      <c r="I559" s="45">
        <v>45825</v>
      </c>
      <c r="J559" s="45">
        <v>45825</v>
      </c>
      <c r="K559" s="7">
        <f t="shared" ca="1" si="54"/>
        <v>0</v>
      </c>
      <c r="L559" s="9">
        <v>45867</v>
      </c>
      <c r="M559" s="45">
        <v>45829</v>
      </c>
      <c r="N559" s="7">
        <f t="shared" ca="1" si="62"/>
        <v>38</v>
      </c>
      <c r="O559" s="85"/>
      <c r="P559" s="19"/>
    </row>
    <row r="560" spans="1:16" ht="14.5">
      <c r="A560" s="19" t="s">
        <v>188</v>
      </c>
      <c r="B560" s="291">
        <v>224</v>
      </c>
      <c r="C560" s="291" t="s">
        <v>75</v>
      </c>
      <c r="D560" s="291" t="s">
        <v>91</v>
      </c>
      <c r="E560" s="145">
        <v>45941</v>
      </c>
      <c r="F560" s="44">
        <v>135.1</v>
      </c>
      <c r="G560" s="46">
        <v>135</v>
      </c>
      <c r="H560" s="44">
        <f t="shared" si="61"/>
        <v>9.9999999999994316E-2</v>
      </c>
      <c r="I560" s="45">
        <v>45825</v>
      </c>
      <c r="J560" s="45">
        <v>45825</v>
      </c>
      <c r="K560" s="7">
        <f t="shared" ca="1" si="54"/>
        <v>0</v>
      </c>
      <c r="L560" s="9">
        <v>45876</v>
      </c>
      <c r="M560" s="45">
        <v>45829</v>
      </c>
      <c r="N560" s="7">
        <f t="shared" ca="1" si="62"/>
        <v>47</v>
      </c>
      <c r="O560" s="85"/>
      <c r="P560" s="19"/>
    </row>
    <row r="561" spans="1:16" ht="14.5">
      <c r="A561" s="19" t="s">
        <v>188</v>
      </c>
      <c r="B561" s="291">
        <v>224</v>
      </c>
      <c r="C561" s="291" t="s">
        <v>77</v>
      </c>
      <c r="D561" s="291" t="s">
        <v>91</v>
      </c>
      <c r="E561" s="145">
        <v>45941</v>
      </c>
      <c r="F561" s="44">
        <v>1493.8</v>
      </c>
      <c r="G561" s="46"/>
      <c r="H561" s="44">
        <f t="shared" si="61"/>
        <v>1493.8</v>
      </c>
      <c r="I561" s="45">
        <v>45825</v>
      </c>
      <c r="J561" s="45">
        <v>45825</v>
      </c>
      <c r="K561" s="7">
        <f t="shared" ca="1" si="54"/>
        <v>0</v>
      </c>
      <c r="L561" s="9">
        <v>45876</v>
      </c>
      <c r="M561" s="45"/>
      <c r="N561" s="7">
        <f t="shared" ca="1" si="62"/>
        <v>36</v>
      </c>
      <c r="O561" s="85"/>
      <c r="P561" s="19"/>
    </row>
    <row r="562" spans="1:16" ht="14.5">
      <c r="A562" s="19" t="s">
        <v>188</v>
      </c>
      <c r="B562" s="291">
        <v>224</v>
      </c>
      <c r="C562" s="291" t="s">
        <v>79</v>
      </c>
      <c r="D562" s="291" t="s">
        <v>91</v>
      </c>
      <c r="E562" s="145">
        <v>45941</v>
      </c>
      <c r="F562" s="44">
        <v>98.7</v>
      </c>
      <c r="G562" s="46">
        <v>99</v>
      </c>
      <c r="H562" s="44">
        <f t="shared" si="61"/>
        <v>-0.29999999999999716</v>
      </c>
      <c r="I562" s="45">
        <v>45825</v>
      </c>
      <c r="J562" s="45">
        <v>45825</v>
      </c>
      <c r="K562" s="7">
        <f t="shared" ca="1" si="54"/>
        <v>0</v>
      </c>
      <c r="L562" s="9">
        <v>45861</v>
      </c>
      <c r="M562" s="45">
        <v>45832</v>
      </c>
      <c r="N562" s="7">
        <f t="shared" ca="1" si="62"/>
        <v>29</v>
      </c>
      <c r="O562" s="85"/>
      <c r="P562" s="19"/>
    </row>
    <row r="563" spans="1:16" ht="14.5">
      <c r="A563" s="19" t="s">
        <v>188</v>
      </c>
      <c r="B563" s="291">
        <v>224</v>
      </c>
      <c r="C563" s="291" t="s">
        <v>80</v>
      </c>
      <c r="D563" s="291" t="s">
        <v>91</v>
      </c>
      <c r="E563" s="145">
        <v>45941</v>
      </c>
      <c r="F563" s="44">
        <v>451</v>
      </c>
      <c r="G563" s="46"/>
      <c r="H563" s="44">
        <f t="shared" si="61"/>
        <v>451</v>
      </c>
      <c r="I563" s="45">
        <v>45825</v>
      </c>
      <c r="J563" s="45">
        <v>45825</v>
      </c>
      <c r="K563" s="7">
        <f t="shared" ca="1" si="54"/>
        <v>0</v>
      </c>
      <c r="L563" s="9">
        <v>45874</v>
      </c>
      <c r="M563" s="45"/>
      <c r="N563" s="7">
        <f t="shared" ca="1" si="62"/>
        <v>34</v>
      </c>
      <c r="O563" s="85"/>
      <c r="P563" s="19"/>
    </row>
    <row r="564" spans="1:16" ht="14.5">
      <c r="A564" s="19" t="s">
        <v>188</v>
      </c>
      <c r="B564" s="291">
        <v>224</v>
      </c>
      <c r="C564" s="291" t="s">
        <v>951</v>
      </c>
      <c r="D564" s="291" t="s">
        <v>91</v>
      </c>
      <c r="E564" s="145">
        <v>45941</v>
      </c>
      <c r="F564" s="44">
        <v>1817.1</v>
      </c>
      <c r="G564" s="46"/>
      <c r="H564" s="44">
        <f t="shared" si="61"/>
        <v>1817.1</v>
      </c>
      <c r="I564" s="45">
        <v>45825</v>
      </c>
      <c r="J564" s="45">
        <v>45825</v>
      </c>
      <c r="K564" s="7">
        <f t="shared" ca="1" si="54"/>
        <v>0</v>
      </c>
      <c r="L564" s="9">
        <v>45877</v>
      </c>
      <c r="M564" s="45"/>
      <c r="N564" s="7">
        <f t="shared" ca="1" si="62"/>
        <v>37</v>
      </c>
      <c r="O564" s="85"/>
      <c r="P564" s="19"/>
    </row>
    <row r="565" spans="1:16" ht="14.5">
      <c r="A565" s="19" t="s">
        <v>188</v>
      </c>
      <c r="B565" s="291">
        <v>224</v>
      </c>
      <c r="C565" s="291" t="s">
        <v>857</v>
      </c>
      <c r="D565" s="291" t="s">
        <v>91</v>
      </c>
      <c r="E565" s="145">
        <v>45941</v>
      </c>
      <c r="F565" s="44">
        <v>155</v>
      </c>
      <c r="G565" s="46">
        <v>155</v>
      </c>
      <c r="H565" s="44">
        <f t="shared" si="61"/>
        <v>0</v>
      </c>
      <c r="I565" s="45">
        <v>45825</v>
      </c>
      <c r="J565" s="45">
        <v>45825</v>
      </c>
      <c r="K565" s="7">
        <f t="shared" ca="1" si="54"/>
        <v>0</v>
      </c>
      <c r="L565" s="9">
        <v>45876</v>
      </c>
      <c r="M565" s="45">
        <v>45829</v>
      </c>
      <c r="N565" s="7">
        <f t="shared" ca="1" si="62"/>
        <v>47</v>
      </c>
      <c r="O565" s="85"/>
      <c r="P565" s="19"/>
    </row>
    <row r="566" spans="1:16" ht="14.5">
      <c r="A566" s="19" t="s">
        <v>188</v>
      </c>
      <c r="B566" s="291">
        <v>225</v>
      </c>
      <c r="C566" s="291" t="s">
        <v>75</v>
      </c>
      <c r="D566" s="291" t="s">
        <v>91</v>
      </c>
      <c r="E566" s="145">
        <v>45912</v>
      </c>
      <c r="F566" s="44">
        <v>142.9</v>
      </c>
      <c r="G566" s="46"/>
      <c r="H566" s="44">
        <f t="shared" ref="H566:H571" si="63">F566-G566</f>
        <v>142.9</v>
      </c>
      <c r="I566" s="45">
        <v>45838</v>
      </c>
      <c r="J566" s="45"/>
      <c r="K566" s="7">
        <f t="shared" ref="K566:K571" ca="1" si="64">+IF(J566="",I566-TODAY(),I566-J566)</f>
        <v>-2</v>
      </c>
      <c r="L566" s="9">
        <v>45846</v>
      </c>
      <c r="M566" s="45"/>
      <c r="N566" s="7">
        <f t="shared" ref="N566:N571" ca="1" si="65">+IF(M566="",L566-TODAY(),L566-M566)</f>
        <v>6</v>
      </c>
      <c r="O566" s="85"/>
      <c r="P566" s="19"/>
    </row>
    <row r="567" spans="1:16" ht="14.5">
      <c r="A567" s="19" t="s">
        <v>188</v>
      </c>
      <c r="B567" s="291">
        <v>225</v>
      </c>
      <c r="C567" s="291" t="s">
        <v>77</v>
      </c>
      <c r="D567" s="291" t="s">
        <v>91</v>
      </c>
      <c r="E567" s="145">
        <v>45912</v>
      </c>
      <c r="F567" s="44">
        <v>97</v>
      </c>
      <c r="G567" s="46"/>
      <c r="H567" s="44">
        <f t="shared" si="63"/>
        <v>97</v>
      </c>
      <c r="I567" s="45">
        <v>45838</v>
      </c>
      <c r="J567" s="45"/>
      <c r="K567" s="7">
        <f t="shared" ca="1" si="64"/>
        <v>-2</v>
      </c>
      <c r="L567" s="9">
        <v>45846</v>
      </c>
      <c r="M567" s="45"/>
      <c r="N567" s="7">
        <f t="shared" ca="1" si="65"/>
        <v>6</v>
      </c>
      <c r="O567" s="85"/>
      <c r="P567" s="19"/>
    </row>
    <row r="568" spans="1:16" ht="14.5">
      <c r="A568" s="19" t="s">
        <v>188</v>
      </c>
      <c r="B568" s="291">
        <v>225</v>
      </c>
      <c r="C568" s="291" t="s">
        <v>966</v>
      </c>
      <c r="D568" s="291" t="s">
        <v>91</v>
      </c>
      <c r="E568" s="145">
        <v>45912</v>
      </c>
      <c r="F568" s="44">
        <v>101.6</v>
      </c>
      <c r="G568" s="46"/>
      <c r="H568" s="44">
        <f t="shared" si="63"/>
        <v>101.6</v>
      </c>
      <c r="I568" s="45">
        <v>45838</v>
      </c>
      <c r="J568" s="45"/>
      <c r="K568" s="7">
        <f t="shared" ca="1" si="64"/>
        <v>-2</v>
      </c>
      <c r="L568" s="9">
        <v>45846</v>
      </c>
      <c r="M568" s="45"/>
      <c r="N568" s="7">
        <f t="shared" ca="1" si="65"/>
        <v>6</v>
      </c>
      <c r="O568" s="85"/>
      <c r="P568" s="19"/>
    </row>
    <row r="569" spans="1:16" ht="14.5">
      <c r="A569" s="19" t="s">
        <v>188</v>
      </c>
      <c r="B569" s="291">
        <v>225</v>
      </c>
      <c r="C569" s="291" t="s">
        <v>79</v>
      </c>
      <c r="D569" s="291" t="s">
        <v>91</v>
      </c>
      <c r="E569" s="145">
        <v>45912</v>
      </c>
      <c r="F569" s="44">
        <v>208</v>
      </c>
      <c r="G569" s="46"/>
      <c r="H569" s="44">
        <f t="shared" si="63"/>
        <v>208</v>
      </c>
      <c r="I569" s="45">
        <v>45838</v>
      </c>
      <c r="J569" s="45"/>
      <c r="K569" s="7">
        <f t="shared" ca="1" si="64"/>
        <v>-2</v>
      </c>
      <c r="L569" s="9">
        <v>45846</v>
      </c>
      <c r="M569" s="45"/>
      <c r="N569" s="7">
        <f t="shared" ca="1" si="65"/>
        <v>6</v>
      </c>
      <c r="O569" s="85"/>
      <c r="P569" s="19"/>
    </row>
    <row r="570" spans="1:16" ht="14.5">
      <c r="A570" s="19" t="s">
        <v>188</v>
      </c>
      <c r="B570" s="291">
        <v>225</v>
      </c>
      <c r="C570" s="291" t="s">
        <v>857</v>
      </c>
      <c r="D570" s="291" t="s">
        <v>91</v>
      </c>
      <c r="E570" s="145">
        <v>45912</v>
      </c>
      <c r="F570" s="44">
        <v>163.80000000000001</v>
      </c>
      <c r="G570" s="46"/>
      <c r="H570" s="44">
        <f t="shared" si="63"/>
        <v>163.80000000000001</v>
      </c>
      <c r="I570" s="45">
        <v>45838</v>
      </c>
      <c r="J570" s="45"/>
      <c r="K570" s="7">
        <f t="shared" ca="1" si="64"/>
        <v>-2</v>
      </c>
      <c r="L570" s="9">
        <v>45846</v>
      </c>
      <c r="M570" s="45"/>
      <c r="N570" s="7">
        <f t="shared" ca="1" si="65"/>
        <v>6</v>
      </c>
      <c r="O570" s="85"/>
      <c r="P570" s="19"/>
    </row>
    <row r="571" spans="1:16" ht="13.5" customHeight="1">
      <c r="A571" s="19" t="s">
        <v>188</v>
      </c>
      <c r="B571" s="291">
        <v>226</v>
      </c>
      <c r="C571" s="291" t="s">
        <v>75</v>
      </c>
      <c r="D571" s="291" t="s">
        <v>91</v>
      </c>
      <c r="E571" s="145">
        <v>45919</v>
      </c>
      <c r="F571" s="44">
        <v>391</v>
      </c>
      <c r="G571" s="46"/>
      <c r="H571" s="44">
        <f t="shared" si="63"/>
        <v>391</v>
      </c>
      <c r="I571" s="45">
        <v>45838</v>
      </c>
      <c r="J571" s="45"/>
      <c r="K571" s="7">
        <f t="shared" ca="1" si="64"/>
        <v>-2</v>
      </c>
      <c r="L571" s="9">
        <v>45852</v>
      </c>
      <c r="M571" s="45"/>
      <c r="N571" s="7">
        <f t="shared" ca="1" si="65"/>
        <v>12</v>
      </c>
      <c r="O571" s="85"/>
      <c r="P571" s="19"/>
    </row>
    <row r="572" spans="1:16" ht="13.5" customHeight="1">
      <c r="A572" s="19" t="s">
        <v>188</v>
      </c>
      <c r="B572" s="291">
        <v>226</v>
      </c>
      <c r="C572" s="291" t="s">
        <v>857</v>
      </c>
      <c r="D572" s="291" t="s">
        <v>91</v>
      </c>
      <c r="E572" s="145">
        <v>45919</v>
      </c>
      <c r="F572" s="44">
        <v>448.2</v>
      </c>
      <c r="G572" s="46"/>
      <c r="H572" s="44">
        <f t="shared" ref="H572:H595" si="66">F572-G572</f>
        <v>448.2</v>
      </c>
      <c r="I572" s="45">
        <v>45838</v>
      </c>
      <c r="J572" s="45"/>
      <c r="K572" s="7">
        <f t="shared" ref="K572:K595" ca="1" si="67">+IF(J572="",I572-TODAY(),I572-J572)</f>
        <v>-2</v>
      </c>
      <c r="L572" s="9">
        <v>45852</v>
      </c>
      <c r="M572" s="45"/>
      <c r="N572" s="7">
        <f t="shared" ref="N572:N595" ca="1" si="68">+IF(M572="",L572-TODAY(),L572-M572)</f>
        <v>12</v>
      </c>
      <c r="O572" s="85"/>
      <c r="P572" s="19"/>
    </row>
    <row r="573" spans="1:16" ht="13.5" customHeight="1">
      <c r="A573" s="19" t="s">
        <v>188</v>
      </c>
      <c r="B573" s="291">
        <v>227</v>
      </c>
      <c r="C573" s="291" t="s">
        <v>75</v>
      </c>
      <c r="D573" s="291" t="s">
        <v>91</v>
      </c>
      <c r="E573" s="145">
        <v>45947</v>
      </c>
      <c r="F573" s="44">
        <v>275.89999999999998</v>
      </c>
      <c r="G573" s="46"/>
      <c r="H573" s="44">
        <f t="shared" si="66"/>
        <v>275.89999999999998</v>
      </c>
      <c r="I573" s="45">
        <v>45838</v>
      </c>
      <c r="J573" s="45"/>
      <c r="K573" s="7">
        <f t="shared" ca="1" si="67"/>
        <v>-2</v>
      </c>
      <c r="L573" s="9">
        <v>45873</v>
      </c>
      <c r="M573" s="45"/>
      <c r="N573" s="7">
        <f t="shared" ca="1" si="68"/>
        <v>33</v>
      </c>
      <c r="O573" s="85"/>
      <c r="P573" s="19"/>
    </row>
    <row r="574" spans="1:16" ht="13.5" customHeight="1">
      <c r="A574" s="19" t="s">
        <v>188</v>
      </c>
      <c r="B574" s="291">
        <v>227</v>
      </c>
      <c r="C574" s="291" t="s">
        <v>77</v>
      </c>
      <c r="D574" s="291" t="s">
        <v>91</v>
      </c>
      <c r="E574" s="145">
        <v>45947</v>
      </c>
      <c r="F574" s="44">
        <v>2233.9</v>
      </c>
      <c r="G574" s="46"/>
      <c r="H574" s="44">
        <f t="shared" si="66"/>
        <v>2233.9</v>
      </c>
      <c r="I574" s="45">
        <v>45838</v>
      </c>
      <c r="J574" s="45"/>
      <c r="K574" s="7">
        <f t="shared" ca="1" si="67"/>
        <v>-2</v>
      </c>
      <c r="L574" s="9">
        <v>45866</v>
      </c>
      <c r="M574" s="45"/>
      <c r="N574" s="7">
        <f t="shared" ca="1" si="68"/>
        <v>26</v>
      </c>
      <c r="O574" s="85"/>
      <c r="P574" s="19"/>
    </row>
    <row r="575" spans="1:16" ht="13.5" customHeight="1">
      <c r="A575" s="19" t="s">
        <v>188</v>
      </c>
      <c r="B575" s="291">
        <v>227</v>
      </c>
      <c r="C575" s="291" t="s">
        <v>79</v>
      </c>
      <c r="D575" s="291" t="s">
        <v>91</v>
      </c>
      <c r="E575" s="145">
        <v>45947</v>
      </c>
      <c r="F575" s="44">
        <v>6.6</v>
      </c>
      <c r="G575" s="46"/>
      <c r="H575" s="44">
        <f t="shared" si="66"/>
        <v>6.6</v>
      </c>
      <c r="I575" s="45">
        <v>45838</v>
      </c>
      <c r="J575" s="45"/>
      <c r="K575" s="7">
        <f t="shared" ca="1" si="67"/>
        <v>-2</v>
      </c>
      <c r="L575" s="9">
        <v>45866</v>
      </c>
      <c r="M575" s="45"/>
      <c r="N575" s="7">
        <f t="shared" ca="1" si="68"/>
        <v>26</v>
      </c>
      <c r="O575" s="85"/>
      <c r="P575" s="19"/>
    </row>
    <row r="576" spans="1:16" ht="13.5" customHeight="1">
      <c r="A576" s="19" t="s">
        <v>188</v>
      </c>
      <c r="B576" s="291">
        <v>227</v>
      </c>
      <c r="C576" s="291" t="s">
        <v>80</v>
      </c>
      <c r="D576" s="291" t="s">
        <v>91</v>
      </c>
      <c r="E576" s="145">
        <v>45947</v>
      </c>
      <c r="F576" s="44">
        <v>506</v>
      </c>
      <c r="G576" s="46"/>
      <c r="H576" s="44">
        <f t="shared" si="66"/>
        <v>506</v>
      </c>
      <c r="I576" s="45">
        <v>45838</v>
      </c>
      <c r="J576" s="45"/>
      <c r="K576" s="7">
        <f t="shared" ca="1" si="67"/>
        <v>-2</v>
      </c>
      <c r="L576" s="9">
        <v>45866</v>
      </c>
      <c r="M576" s="45"/>
      <c r="N576" s="7">
        <f t="shared" ca="1" si="68"/>
        <v>26</v>
      </c>
      <c r="O576" s="85"/>
      <c r="P576" s="19"/>
    </row>
    <row r="577" spans="1:16" ht="13.5" customHeight="1">
      <c r="A577" s="19" t="s">
        <v>188</v>
      </c>
      <c r="B577" s="291">
        <v>227</v>
      </c>
      <c r="C577" s="291" t="s">
        <v>951</v>
      </c>
      <c r="D577" s="291" t="s">
        <v>91</v>
      </c>
      <c r="E577" s="145">
        <v>45947</v>
      </c>
      <c r="F577" s="44">
        <v>1084.4000000000001</v>
      </c>
      <c r="G577" s="46"/>
      <c r="H577" s="44">
        <f t="shared" si="66"/>
        <v>1084.4000000000001</v>
      </c>
      <c r="I577" s="45">
        <v>45838</v>
      </c>
      <c r="J577" s="45"/>
      <c r="K577" s="7">
        <f t="shared" ca="1" si="67"/>
        <v>-2</v>
      </c>
      <c r="L577" s="9">
        <v>45881</v>
      </c>
      <c r="M577" s="45"/>
      <c r="N577" s="7">
        <f t="shared" ca="1" si="68"/>
        <v>41</v>
      </c>
      <c r="O577" s="85"/>
      <c r="P577" s="19"/>
    </row>
    <row r="578" spans="1:16" ht="13.5" customHeight="1">
      <c r="A578" s="19" t="s">
        <v>188</v>
      </c>
      <c r="B578" s="291">
        <v>227</v>
      </c>
      <c r="C578" s="291" t="s">
        <v>857</v>
      </c>
      <c r="D578" s="291" t="s">
        <v>91</v>
      </c>
      <c r="E578" s="145">
        <v>45947</v>
      </c>
      <c r="F578" s="44">
        <v>315.3</v>
      </c>
      <c r="G578" s="46"/>
      <c r="H578" s="44">
        <f t="shared" si="66"/>
        <v>315.3</v>
      </c>
      <c r="I578" s="45">
        <v>45838</v>
      </c>
      <c r="J578" s="45"/>
      <c r="K578" s="7">
        <f t="shared" ca="1" si="67"/>
        <v>-2</v>
      </c>
      <c r="L578" s="9">
        <v>45873</v>
      </c>
      <c r="M578" s="45"/>
      <c r="N578" s="7">
        <f t="shared" ca="1" si="68"/>
        <v>33</v>
      </c>
      <c r="O578" s="85"/>
      <c r="P578" s="19"/>
    </row>
    <row r="579" spans="1:16" ht="13.5" customHeight="1">
      <c r="A579" s="19" t="s">
        <v>188</v>
      </c>
      <c r="B579" s="291">
        <v>228</v>
      </c>
      <c r="C579" s="291" t="s">
        <v>94</v>
      </c>
      <c r="D579" s="291" t="s">
        <v>843</v>
      </c>
      <c r="E579" s="145">
        <v>45926</v>
      </c>
      <c r="F579" s="44">
        <v>177</v>
      </c>
      <c r="G579" s="46"/>
      <c r="H579" s="44">
        <f t="shared" si="66"/>
        <v>177</v>
      </c>
      <c r="I579" s="45">
        <v>45838</v>
      </c>
      <c r="J579" s="45"/>
      <c r="K579" s="7">
        <f t="shared" ca="1" si="67"/>
        <v>-2</v>
      </c>
      <c r="L579" s="9">
        <v>45844</v>
      </c>
      <c r="M579" s="45"/>
      <c r="N579" s="7">
        <f t="shared" ca="1" si="68"/>
        <v>4</v>
      </c>
      <c r="O579" s="85"/>
      <c r="P579" s="19"/>
    </row>
    <row r="580" spans="1:16" ht="13.5" customHeight="1">
      <c r="A580" s="19" t="s">
        <v>188</v>
      </c>
      <c r="B580" s="291">
        <v>228</v>
      </c>
      <c r="C580" s="291" t="s">
        <v>77</v>
      </c>
      <c r="D580" s="291" t="s">
        <v>91</v>
      </c>
      <c r="E580" s="145">
        <v>45926</v>
      </c>
      <c r="F580" s="44">
        <v>656.1</v>
      </c>
      <c r="G580" s="46"/>
      <c r="H580" s="44">
        <f t="shared" si="66"/>
        <v>656.1</v>
      </c>
      <c r="I580" s="45">
        <v>45838</v>
      </c>
      <c r="J580" s="45"/>
      <c r="K580" s="7">
        <f t="shared" ca="1" si="67"/>
        <v>-2</v>
      </c>
      <c r="L580" s="9">
        <v>45852</v>
      </c>
      <c r="M580" s="45"/>
      <c r="N580" s="7">
        <f t="shared" ca="1" si="68"/>
        <v>12</v>
      </c>
      <c r="O580" s="85"/>
      <c r="P580" s="19"/>
    </row>
    <row r="581" spans="1:16" ht="13.5" customHeight="1">
      <c r="A581" s="19" t="s">
        <v>188</v>
      </c>
      <c r="B581" s="291">
        <v>228</v>
      </c>
      <c r="C581" s="291" t="s">
        <v>93</v>
      </c>
      <c r="D581" s="291" t="s">
        <v>91</v>
      </c>
      <c r="E581" s="145">
        <v>45926</v>
      </c>
      <c r="F581" s="44">
        <v>384.5</v>
      </c>
      <c r="G581" s="46"/>
      <c r="H581" s="44">
        <f t="shared" si="66"/>
        <v>384.5</v>
      </c>
      <c r="I581" s="45">
        <v>45838</v>
      </c>
      <c r="J581" s="45"/>
      <c r="K581" s="7">
        <f t="shared" ca="1" si="67"/>
        <v>-2</v>
      </c>
      <c r="L581" s="9">
        <v>45844</v>
      </c>
      <c r="M581" s="45"/>
      <c r="N581" s="7">
        <f t="shared" ca="1" si="68"/>
        <v>4</v>
      </c>
      <c r="O581" s="85"/>
      <c r="P581" s="19"/>
    </row>
    <row r="582" spans="1:16" ht="13.5" customHeight="1">
      <c r="A582" s="19" t="s">
        <v>188</v>
      </c>
      <c r="B582" s="291">
        <v>228</v>
      </c>
      <c r="C582" s="291" t="s">
        <v>867</v>
      </c>
      <c r="D582" s="291" t="s">
        <v>91</v>
      </c>
      <c r="E582" s="145">
        <v>45926</v>
      </c>
      <c r="F582" s="44">
        <v>79</v>
      </c>
      <c r="G582" s="46"/>
      <c r="H582" s="44">
        <f t="shared" si="66"/>
        <v>79</v>
      </c>
      <c r="I582" s="45">
        <v>45838</v>
      </c>
      <c r="J582" s="45"/>
      <c r="K582" s="7">
        <f t="shared" ca="1" si="67"/>
        <v>-2</v>
      </c>
      <c r="L582" s="9">
        <v>45844</v>
      </c>
      <c r="M582" s="45"/>
      <c r="N582" s="7">
        <f t="shared" ca="1" si="68"/>
        <v>4</v>
      </c>
      <c r="O582" s="85"/>
      <c r="P582" s="19"/>
    </row>
    <row r="583" spans="1:16" ht="13.5" customHeight="1">
      <c r="A583" s="19" t="s">
        <v>188</v>
      </c>
      <c r="B583" s="291">
        <v>228</v>
      </c>
      <c r="C583" s="291" t="s">
        <v>94</v>
      </c>
      <c r="D583" s="291" t="s">
        <v>845</v>
      </c>
      <c r="E583" s="145">
        <v>45926</v>
      </c>
      <c r="F583" s="44">
        <v>118</v>
      </c>
      <c r="G583" s="46"/>
      <c r="H583" s="44">
        <f t="shared" si="66"/>
        <v>118</v>
      </c>
      <c r="I583" s="45">
        <v>45838</v>
      </c>
      <c r="J583" s="45"/>
      <c r="K583" s="7">
        <f t="shared" ca="1" si="67"/>
        <v>-2</v>
      </c>
      <c r="L583" s="9">
        <v>45844</v>
      </c>
      <c r="M583" s="45"/>
      <c r="N583" s="7">
        <f t="shared" ca="1" si="68"/>
        <v>4</v>
      </c>
      <c r="O583" s="85"/>
      <c r="P583" s="19"/>
    </row>
    <row r="584" spans="1:16" ht="13.5" customHeight="1">
      <c r="A584" s="19" t="s">
        <v>188</v>
      </c>
      <c r="B584" s="291">
        <v>228</v>
      </c>
      <c r="C584" s="291" t="s">
        <v>79</v>
      </c>
      <c r="D584" s="291" t="s">
        <v>91</v>
      </c>
      <c r="E584" s="145">
        <v>45926</v>
      </c>
      <c r="F584" s="44">
        <v>152</v>
      </c>
      <c r="G584" s="46"/>
      <c r="H584" s="44">
        <f t="shared" si="66"/>
        <v>152</v>
      </c>
      <c r="I584" s="45">
        <v>45838</v>
      </c>
      <c r="J584" s="45"/>
      <c r="K584" s="7">
        <f t="shared" ca="1" si="67"/>
        <v>-2</v>
      </c>
      <c r="L584" s="9">
        <v>45844</v>
      </c>
      <c r="M584" s="45"/>
      <c r="N584" s="7">
        <f t="shared" ca="1" si="68"/>
        <v>4</v>
      </c>
      <c r="O584" s="85"/>
      <c r="P584" s="19"/>
    </row>
    <row r="585" spans="1:16" ht="13.5" customHeight="1">
      <c r="A585" s="19" t="s">
        <v>188</v>
      </c>
      <c r="B585" s="291">
        <v>228</v>
      </c>
      <c r="C585" s="291" t="s">
        <v>80</v>
      </c>
      <c r="D585" s="291" t="s">
        <v>91</v>
      </c>
      <c r="E585" s="145">
        <v>45926</v>
      </c>
      <c r="F585" s="44">
        <v>312</v>
      </c>
      <c r="G585" s="46"/>
      <c r="H585" s="44">
        <f t="shared" si="66"/>
        <v>312</v>
      </c>
      <c r="I585" s="45">
        <v>45838</v>
      </c>
      <c r="J585" s="45"/>
      <c r="K585" s="7">
        <f t="shared" ca="1" si="67"/>
        <v>-2</v>
      </c>
      <c r="L585" s="9">
        <v>45844</v>
      </c>
      <c r="M585" s="45"/>
      <c r="N585" s="7">
        <f t="shared" ca="1" si="68"/>
        <v>4</v>
      </c>
      <c r="O585" s="85"/>
      <c r="P585" s="19"/>
    </row>
    <row r="586" spans="1:16" ht="13.5" customHeight="1">
      <c r="A586" s="19" t="s">
        <v>188</v>
      </c>
      <c r="B586" s="291">
        <v>228</v>
      </c>
      <c r="C586" s="291" t="s">
        <v>94</v>
      </c>
      <c r="D586" s="291" t="s">
        <v>844</v>
      </c>
      <c r="E586" s="145">
        <v>45926</v>
      </c>
      <c r="F586" s="44">
        <v>148</v>
      </c>
      <c r="G586" s="46"/>
      <c r="H586" s="44">
        <f t="shared" si="66"/>
        <v>148</v>
      </c>
      <c r="I586" s="45">
        <v>45838</v>
      </c>
      <c r="J586" s="45"/>
      <c r="K586" s="7">
        <f t="shared" ca="1" si="67"/>
        <v>-2</v>
      </c>
      <c r="L586" s="9">
        <v>45844</v>
      </c>
      <c r="M586" s="45"/>
      <c r="N586" s="7">
        <f t="shared" ca="1" si="68"/>
        <v>4</v>
      </c>
      <c r="O586" s="85"/>
      <c r="P586" s="19"/>
    </row>
    <row r="587" spans="1:16" ht="13.5" customHeight="1">
      <c r="A587" s="19" t="s">
        <v>188</v>
      </c>
      <c r="B587" s="291">
        <v>228</v>
      </c>
      <c r="C587" s="291" t="s">
        <v>868</v>
      </c>
      <c r="D587" s="291" t="s">
        <v>91</v>
      </c>
      <c r="E587" s="145">
        <v>45926</v>
      </c>
      <c r="F587" s="44">
        <v>231</v>
      </c>
      <c r="G587" s="46"/>
      <c r="H587" s="44">
        <f t="shared" si="66"/>
        <v>231</v>
      </c>
      <c r="I587" s="45">
        <v>45838</v>
      </c>
      <c r="J587" s="45"/>
      <c r="K587" s="7">
        <f t="shared" ca="1" si="67"/>
        <v>-2</v>
      </c>
      <c r="L587" s="9">
        <v>45844</v>
      </c>
      <c r="M587" s="45"/>
      <c r="N587" s="7">
        <f t="shared" ca="1" si="68"/>
        <v>4</v>
      </c>
      <c r="O587" s="85"/>
      <c r="P587" s="19"/>
    </row>
    <row r="588" spans="1:16" ht="13.5" customHeight="1">
      <c r="A588" s="19" t="s">
        <v>188</v>
      </c>
      <c r="B588" s="291">
        <v>229</v>
      </c>
      <c r="C588" s="291" t="s">
        <v>75</v>
      </c>
      <c r="D588" s="291" t="s">
        <v>91</v>
      </c>
      <c r="E588" s="145">
        <v>45940</v>
      </c>
      <c r="F588" s="44">
        <v>140.69999999999999</v>
      </c>
      <c r="G588" s="46"/>
      <c r="H588" s="44">
        <f t="shared" si="66"/>
        <v>140.69999999999999</v>
      </c>
      <c r="I588" s="45">
        <v>45838</v>
      </c>
      <c r="J588" s="45"/>
      <c r="K588" s="7">
        <f t="shared" ca="1" si="67"/>
        <v>-2</v>
      </c>
      <c r="L588" s="9">
        <v>45865</v>
      </c>
      <c r="M588" s="45"/>
      <c r="N588" s="7">
        <f t="shared" ca="1" si="68"/>
        <v>25</v>
      </c>
      <c r="O588" s="85"/>
      <c r="P588" s="19"/>
    </row>
    <row r="589" spans="1:16" ht="13.5" customHeight="1">
      <c r="A589" s="19" t="s">
        <v>188</v>
      </c>
      <c r="B589" s="291">
        <v>229</v>
      </c>
      <c r="C589" s="291" t="s">
        <v>77</v>
      </c>
      <c r="D589" s="291" t="s">
        <v>91</v>
      </c>
      <c r="E589" s="145">
        <v>45940</v>
      </c>
      <c r="F589" s="44">
        <v>1568.4</v>
      </c>
      <c r="G589" s="46"/>
      <c r="H589" s="44">
        <f t="shared" si="66"/>
        <v>1568.4</v>
      </c>
      <c r="I589" s="45">
        <v>45838</v>
      </c>
      <c r="J589" s="45"/>
      <c r="K589" s="7">
        <f t="shared" ca="1" si="67"/>
        <v>-2</v>
      </c>
      <c r="L589" s="9">
        <v>45865</v>
      </c>
      <c r="M589" s="45"/>
      <c r="N589" s="7">
        <f t="shared" ca="1" si="68"/>
        <v>25</v>
      </c>
      <c r="O589" s="85"/>
      <c r="P589" s="19"/>
    </row>
    <row r="590" spans="1:16" ht="13.5" customHeight="1">
      <c r="A590" s="19" t="s">
        <v>188</v>
      </c>
      <c r="B590" s="291">
        <v>229</v>
      </c>
      <c r="C590" s="291" t="s">
        <v>867</v>
      </c>
      <c r="D590" s="291" t="s">
        <v>91</v>
      </c>
      <c r="E590" s="145">
        <v>45940</v>
      </c>
      <c r="F590" s="44">
        <v>79.8</v>
      </c>
      <c r="G590" s="46"/>
      <c r="H590" s="44">
        <f t="shared" si="66"/>
        <v>79.8</v>
      </c>
      <c r="I590" s="45">
        <v>45838</v>
      </c>
      <c r="J590" s="45"/>
      <c r="K590" s="7">
        <f t="shared" ca="1" si="67"/>
        <v>-2</v>
      </c>
      <c r="L590" s="9">
        <v>45865</v>
      </c>
      <c r="M590" s="45"/>
      <c r="N590" s="7">
        <f t="shared" ca="1" si="68"/>
        <v>25</v>
      </c>
      <c r="O590" s="85"/>
      <c r="P590" s="19"/>
    </row>
    <row r="591" spans="1:16" ht="13.5" customHeight="1">
      <c r="A591" s="19" t="s">
        <v>188</v>
      </c>
      <c r="B591" s="291">
        <v>229</v>
      </c>
      <c r="C591" s="291" t="s">
        <v>79</v>
      </c>
      <c r="D591" s="291" t="s">
        <v>91</v>
      </c>
      <c r="E591" s="145">
        <v>45940</v>
      </c>
      <c r="F591" s="44">
        <v>4.2</v>
      </c>
      <c r="G591" s="46"/>
      <c r="H591" s="44">
        <f t="shared" si="66"/>
        <v>4.2</v>
      </c>
      <c r="I591" s="45">
        <v>45838</v>
      </c>
      <c r="J591" s="45"/>
      <c r="K591" s="7">
        <f t="shared" ca="1" si="67"/>
        <v>-2</v>
      </c>
      <c r="L591" s="9">
        <v>45865</v>
      </c>
      <c r="M591" s="45"/>
      <c r="N591" s="7">
        <f t="shared" ca="1" si="68"/>
        <v>25</v>
      </c>
      <c r="O591" s="85"/>
      <c r="P591" s="19"/>
    </row>
    <row r="592" spans="1:16" ht="13.5" customHeight="1">
      <c r="A592" s="19" t="s">
        <v>188</v>
      </c>
      <c r="B592" s="291">
        <v>229</v>
      </c>
      <c r="C592" s="291" t="s">
        <v>80</v>
      </c>
      <c r="D592" s="291" t="s">
        <v>91</v>
      </c>
      <c r="E592" s="145">
        <v>45940</v>
      </c>
      <c r="F592" s="44">
        <v>403</v>
      </c>
      <c r="G592" s="46"/>
      <c r="H592" s="44">
        <f t="shared" si="66"/>
        <v>403</v>
      </c>
      <c r="I592" s="45">
        <v>45838</v>
      </c>
      <c r="J592" s="45"/>
      <c r="K592" s="7">
        <f t="shared" ca="1" si="67"/>
        <v>-2</v>
      </c>
      <c r="L592" s="9">
        <v>45858</v>
      </c>
      <c r="M592" s="45"/>
      <c r="N592" s="7">
        <f t="shared" ca="1" si="68"/>
        <v>18</v>
      </c>
      <c r="O592" s="85"/>
      <c r="P592" s="19"/>
    </row>
    <row r="593" spans="1:16" ht="13.5" customHeight="1">
      <c r="A593" s="19" t="s">
        <v>188</v>
      </c>
      <c r="B593" s="291">
        <v>229</v>
      </c>
      <c r="C593" s="291" t="s">
        <v>868</v>
      </c>
      <c r="D593" s="291" t="s">
        <v>91</v>
      </c>
      <c r="E593" s="145">
        <v>45940</v>
      </c>
      <c r="F593" s="44">
        <v>233.8</v>
      </c>
      <c r="G593" s="46"/>
      <c r="H593" s="44">
        <f t="shared" si="66"/>
        <v>233.8</v>
      </c>
      <c r="I593" s="45">
        <v>45838</v>
      </c>
      <c r="J593" s="45"/>
      <c r="K593" s="7">
        <f t="shared" ca="1" si="67"/>
        <v>-2</v>
      </c>
      <c r="L593" s="9">
        <v>45865</v>
      </c>
      <c r="M593" s="45"/>
      <c r="N593" s="7">
        <f t="shared" ca="1" si="68"/>
        <v>25</v>
      </c>
      <c r="O593" s="85"/>
      <c r="P593" s="19"/>
    </row>
    <row r="594" spans="1:16" ht="13.5" customHeight="1">
      <c r="A594" s="19" t="s">
        <v>188</v>
      </c>
      <c r="B594" s="291">
        <v>229</v>
      </c>
      <c r="C594" s="291" t="s">
        <v>951</v>
      </c>
      <c r="D594" s="291" t="s">
        <v>91</v>
      </c>
      <c r="E594" s="145">
        <v>45940</v>
      </c>
      <c r="F594" s="44">
        <v>1791</v>
      </c>
      <c r="G594" s="46"/>
      <c r="H594" s="44">
        <f t="shared" si="66"/>
        <v>1791</v>
      </c>
      <c r="I594" s="45">
        <v>45838</v>
      </c>
      <c r="J594" s="45"/>
      <c r="K594" s="7">
        <f t="shared" ca="1" si="67"/>
        <v>-2</v>
      </c>
      <c r="L594" s="9">
        <v>45865</v>
      </c>
      <c r="M594" s="45"/>
      <c r="N594" s="7">
        <f t="shared" ca="1" si="68"/>
        <v>25</v>
      </c>
      <c r="O594" s="85"/>
      <c r="P594" s="19"/>
    </row>
    <row r="595" spans="1:16" ht="13.5" customHeight="1">
      <c r="A595" s="19" t="s">
        <v>188</v>
      </c>
      <c r="B595" s="291">
        <v>229</v>
      </c>
      <c r="C595" s="291" t="s">
        <v>857</v>
      </c>
      <c r="D595" s="291" t="s">
        <v>91</v>
      </c>
      <c r="E595" s="145">
        <v>45940</v>
      </c>
      <c r="F595" s="44">
        <v>160.6</v>
      </c>
      <c r="G595" s="46"/>
      <c r="H595" s="44">
        <f t="shared" si="66"/>
        <v>160.6</v>
      </c>
      <c r="I595" s="45">
        <v>45838</v>
      </c>
      <c r="J595" s="45"/>
      <c r="K595" s="7">
        <f t="shared" ca="1" si="67"/>
        <v>-2</v>
      </c>
      <c r="L595" s="9">
        <v>45865</v>
      </c>
      <c r="M595" s="45"/>
      <c r="N595" s="7">
        <f t="shared" ca="1" si="68"/>
        <v>25</v>
      </c>
      <c r="O595" s="85"/>
      <c r="P595" s="19"/>
    </row>
  </sheetData>
  <autoFilter ref="A2:Q595"/>
  <mergeCells count="3">
    <mergeCell ref="I1:K1"/>
    <mergeCell ref="L1:N1"/>
    <mergeCell ref="O1:P1"/>
  </mergeCells>
  <phoneticPr fontId="1" type="noConversion"/>
  <conditionalFormatting sqref="F3:H515 A3:A595 O3:P595">
    <cfRule type="expression" dxfId="145" priority="182">
      <formula>ROW()=CELL("row")</formula>
    </cfRule>
  </conditionalFormatting>
  <conditionalFormatting sqref="I3:N103 E3:E570 I34:I133 I134:N515 F516:N565 F566:G570 H566:N571 E571:G571 E572:N595">
    <cfRule type="expression" dxfId="144" priority="221">
      <formula>ROW()=CELL("row")</formula>
    </cfRule>
  </conditionalFormatting>
  <conditionalFormatting sqref="J104:N133">
    <cfRule type="expression" dxfId="143" priority="34">
      <formula>ROW()=CELL("row")</formula>
    </cfRule>
  </conditionalFormatting>
  <conditionalFormatting sqref="K3:K595 N3:N595">
    <cfRule type="cellIs" dxfId="142" priority="255" operator="greaterThanOrEqual">
      <formula>0</formula>
    </cfRule>
    <cfRule type="cellIs" dxfId="141" priority="256" operator="lessThan">
      <formula>0</formula>
    </cfRule>
  </conditionalFormatting>
  <pageMargins left="0.23622047244094491" right="0.23622047244094491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23"/>
  <sheetViews>
    <sheetView zoomScaleNormal="100" workbookViewId="0">
      <selection activeCell="R1" sqref="A1:XFD1"/>
    </sheetView>
  </sheetViews>
  <sheetFormatPr defaultRowHeight="14"/>
  <cols>
    <col min="1" max="1" width="3.4140625" customWidth="1"/>
    <col min="2" max="2" width="9.1640625" customWidth="1"/>
    <col min="3" max="3" width="18" customWidth="1"/>
    <col min="5" max="5" width="8.1640625" customWidth="1"/>
    <col min="6" max="6" width="9.4140625" bestFit="1" customWidth="1"/>
    <col min="8" max="8" width="7" customWidth="1"/>
    <col min="9" max="10" width="6" customWidth="1"/>
    <col min="12" max="12" width="5.25" customWidth="1"/>
    <col min="14" max="14" width="6.4140625" customWidth="1"/>
  </cols>
  <sheetData>
    <row r="1" spans="1:17" ht="39" customHeight="1">
      <c r="A1" s="356" t="s">
        <v>20</v>
      </c>
      <c r="B1" s="358" t="s">
        <v>21</v>
      </c>
      <c r="C1" s="358" t="s">
        <v>22</v>
      </c>
      <c r="D1" s="358" t="s">
        <v>23</v>
      </c>
      <c r="E1" s="362" t="s">
        <v>24</v>
      </c>
      <c r="F1" s="360" t="s">
        <v>961</v>
      </c>
      <c r="G1" s="362" t="s">
        <v>962</v>
      </c>
      <c r="H1" s="362" t="s">
        <v>963</v>
      </c>
      <c r="I1" s="353" t="s">
        <v>29</v>
      </c>
      <c r="J1" s="354"/>
      <c r="K1" s="354"/>
      <c r="L1" s="355"/>
      <c r="M1" s="353" t="s">
        <v>30</v>
      </c>
      <c r="N1" s="354"/>
      <c r="O1" s="355"/>
      <c r="P1" s="353" t="s">
        <v>31</v>
      </c>
      <c r="Q1" s="354"/>
    </row>
    <row r="2" spans="1:17" ht="48">
      <c r="A2" s="357"/>
      <c r="B2" s="359"/>
      <c r="C2" s="359"/>
      <c r="D2" s="359"/>
      <c r="E2" s="363"/>
      <c r="F2" s="361"/>
      <c r="G2" s="363"/>
      <c r="H2" s="363"/>
      <c r="I2" s="225" t="s">
        <v>50</v>
      </c>
      <c r="J2" s="226" t="s">
        <v>32</v>
      </c>
      <c r="K2" s="226" t="s">
        <v>51</v>
      </c>
      <c r="L2" s="226" t="s">
        <v>52</v>
      </c>
      <c r="M2" s="225" t="s">
        <v>50</v>
      </c>
      <c r="N2" s="226" t="s">
        <v>32</v>
      </c>
      <c r="O2" s="226" t="s">
        <v>52</v>
      </c>
      <c r="P2" s="225" t="s">
        <v>53</v>
      </c>
      <c r="Q2" s="225" t="s">
        <v>54</v>
      </c>
    </row>
    <row r="3" spans="1:17" s="11" customFormat="1" ht="14.5">
      <c r="A3" s="87" t="s">
        <v>99</v>
      </c>
      <c r="B3" s="88">
        <v>71</v>
      </c>
      <c r="C3" s="325" t="s">
        <v>101</v>
      </c>
      <c r="D3" s="88" t="s">
        <v>100</v>
      </c>
      <c r="E3" s="82">
        <v>45828</v>
      </c>
      <c r="F3" s="5">
        <v>3377</v>
      </c>
      <c r="G3" s="83">
        <v>3377</v>
      </c>
      <c r="H3" s="83">
        <f>F3-G3</f>
        <v>0</v>
      </c>
      <c r="I3" s="9">
        <v>45740</v>
      </c>
      <c r="J3" s="9">
        <v>45740</v>
      </c>
      <c r="K3" s="9">
        <f>J3+2</f>
        <v>45742</v>
      </c>
      <c r="L3" s="7">
        <f ca="1">+IF(J3="",I3-TODAY(),I3-J3)</f>
        <v>0</v>
      </c>
      <c r="M3" s="9">
        <f>I3+32</f>
        <v>45772</v>
      </c>
      <c r="N3" s="10">
        <v>45792</v>
      </c>
      <c r="O3" s="7">
        <f ca="1">+IF(N3="",M3-TODAY(),M3-N3)</f>
        <v>-20</v>
      </c>
      <c r="P3" s="9">
        <v>45789</v>
      </c>
      <c r="Q3" s="8"/>
    </row>
    <row r="4" spans="1:17" s="11" customFormat="1" ht="17.25" customHeight="1">
      <c r="A4" s="296" t="s">
        <v>59</v>
      </c>
      <c r="B4" s="88">
        <v>82</v>
      </c>
      <c r="C4" s="325" t="s">
        <v>390</v>
      </c>
      <c r="D4" s="88" t="s">
        <v>959</v>
      </c>
      <c r="E4" s="82">
        <v>45836</v>
      </c>
      <c r="F4" s="5">
        <v>628.64196000000004</v>
      </c>
      <c r="G4" s="83">
        <v>629</v>
      </c>
      <c r="H4" s="83">
        <f t="shared" ref="H4:H50" si="0">F4-G4</f>
        <v>-0.35803999999995995</v>
      </c>
      <c r="I4" s="9">
        <v>45744</v>
      </c>
      <c r="J4" s="9">
        <v>45740</v>
      </c>
      <c r="K4" s="9">
        <f t="shared" ref="K4:K22" si="1">J4+2</f>
        <v>45742</v>
      </c>
      <c r="L4" s="7">
        <f t="shared" ref="L4:L22" ca="1" si="2">+IF(J4="",I4-TODAY(),I4-J4)</f>
        <v>4</v>
      </c>
      <c r="M4" s="9">
        <v>45792</v>
      </c>
      <c r="N4" s="10">
        <v>45784</v>
      </c>
      <c r="O4" s="7">
        <f t="shared" ref="O4:O50" ca="1" si="3">+IF(N4="",M4-TODAY(),M4-N4)</f>
        <v>8</v>
      </c>
      <c r="P4" s="9"/>
      <c r="Q4" s="8"/>
    </row>
    <row r="5" spans="1:17" s="11" customFormat="1" ht="17.25" customHeight="1">
      <c r="A5" s="296" t="s">
        <v>59</v>
      </c>
      <c r="B5" s="88">
        <v>84</v>
      </c>
      <c r="C5" s="325" t="s">
        <v>391</v>
      </c>
      <c r="D5" s="88" t="s">
        <v>959</v>
      </c>
      <c r="E5" s="82">
        <v>45865</v>
      </c>
      <c r="F5" s="5">
        <v>354</v>
      </c>
      <c r="G5" s="83">
        <v>354</v>
      </c>
      <c r="H5" s="83">
        <f t="shared" si="0"/>
        <v>0</v>
      </c>
      <c r="I5" s="9">
        <v>45777</v>
      </c>
      <c r="J5" s="9">
        <v>45740</v>
      </c>
      <c r="K5" s="9">
        <f t="shared" si="1"/>
        <v>45742</v>
      </c>
      <c r="L5" s="7">
        <f t="shared" ca="1" si="2"/>
        <v>37</v>
      </c>
      <c r="M5" s="9">
        <f>I5+15</f>
        <v>45792</v>
      </c>
      <c r="N5" s="10">
        <v>45784</v>
      </c>
      <c r="O5" s="7">
        <f t="shared" ca="1" si="3"/>
        <v>8</v>
      </c>
      <c r="P5" s="9"/>
      <c r="Q5" s="8"/>
    </row>
    <row r="6" spans="1:17" s="11" customFormat="1" ht="17.25" customHeight="1">
      <c r="A6" s="296" t="s">
        <v>59</v>
      </c>
      <c r="B6" s="88">
        <v>84</v>
      </c>
      <c r="C6" s="325" t="s">
        <v>839</v>
      </c>
      <c r="D6" s="88" t="s">
        <v>959</v>
      </c>
      <c r="E6" s="82">
        <v>45865</v>
      </c>
      <c r="F6" s="5">
        <v>292</v>
      </c>
      <c r="G6" s="83">
        <v>292</v>
      </c>
      <c r="H6" s="83">
        <f t="shared" si="0"/>
        <v>0</v>
      </c>
      <c r="I6" s="9">
        <v>45777</v>
      </c>
      <c r="J6" s="9">
        <v>45740</v>
      </c>
      <c r="K6" s="9">
        <f t="shared" si="1"/>
        <v>45742</v>
      </c>
      <c r="L6" s="7">
        <f t="shared" ca="1" si="2"/>
        <v>37</v>
      </c>
      <c r="M6" s="9">
        <f t="shared" ref="M6:M50" si="4">I6+15</f>
        <v>45792</v>
      </c>
      <c r="N6" s="10">
        <v>45784</v>
      </c>
      <c r="O6" s="7">
        <f t="shared" ca="1" si="3"/>
        <v>8</v>
      </c>
      <c r="P6" s="9"/>
      <c r="Q6" s="8"/>
    </row>
    <row r="7" spans="1:17" s="11" customFormat="1" ht="17.25" customHeight="1">
      <c r="A7" s="296" t="s">
        <v>59</v>
      </c>
      <c r="B7" s="88">
        <v>90</v>
      </c>
      <c r="C7" s="325" t="s">
        <v>839</v>
      </c>
      <c r="D7" s="88" t="s">
        <v>959</v>
      </c>
      <c r="E7" s="82">
        <v>45842</v>
      </c>
      <c r="F7" s="5">
        <v>651</v>
      </c>
      <c r="G7" s="83">
        <v>651</v>
      </c>
      <c r="H7" s="83">
        <f t="shared" si="0"/>
        <v>0</v>
      </c>
      <c r="I7" s="9">
        <v>45777</v>
      </c>
      <c r="J7" s="9">
        <v>45777</v>
      </c>
      <c r="K7" s="9">
        <f t="shared" si="1"/>
        <v>45779</v>
      </c>
      <c r="L7" s="7">
        <f t="shared" ca="1" si="2"/>
        <v>0</v>
      </c>
      <c r="M7" s="9">
        <f t="shared" si="4"/>
        <v>45792</v>
      </c>
      <c r="N7" s="10">
        <v>45787</v>
      </c>
      <c r="O7" s="7">
        <f t="shared" ca="1" si="3"/>
        <v>5</v>
      </c>
      <c r="P7" s="9"/>
      <c r="Q7" s="8"/>
    </row>
    <row r="8" spans="1:17" s="11" customFormat="1" ht="17.25" customHeight="1">
      <c r="A8" s="296" t="s">
        <v>59</v>
      </c>
      <c r="B8" s="88">
        <v>90</v>
      </c>
      <c r="C8" s="325" t="s">
        <v>391</v>
      </c>
      <c r="D8" s="88" t="s">
        <v>959</v>
      </c>
      <c r="E8" s="82">
        <v>45842</v>
      </c>
      <c r="F8" s="5">
        <v>628</v>
      </c>
      <c r="G8" s="83">
        <v>628</v>
      </c>
      <c r="H8" s="83">
        <f t="shared" si="0"/>
        <v>0</v>
      </c>
      <c r="I8" s="9">
        <v>45777</v>
      </c>
      <c r="J8" s="9">
        <v>45777</v>
      </c>
      <c r="K8" s="9">
        <f t="shared" si="1"/>
        <v>45779</v>
      </c>
      <c r="L8" s="7">
        <f t="shared" ca="1" si="2"/>
        <v>0</v>
      </c>
      <c r="M8" s="9">
        <f t="shared" si="4"/>
        <v>45792</v>
      </c>
      <c r="N8" s="10">
        <v>45787</v>
      </c>
      <c r="O8" s="7">
        <f t="shared" ca="1" si="3"/>
        <v>5</v>
      </c>
      <c r="P8" s="9"/>
      <c r="Q8" s="8"/>
    </row>
    <row r="9" spans="1:17" s="11" customFormat="1" ht="17.25" customHeight="1">
      <c r="A9" s="296" t="s">
        <v>59</v>
      </c>
      <c r="B9" s="88">
        <v>91</v>
      </c>
      <c r="C9" s="325" t="s">
        <v>839</v>
      </c>
      <c r="D9" s="88" t="s">
        <v>959</v>
      </c>
      <c r="E9" s="82">
        <v>45842</v>
      </c>
      <c r="F9" s="5">
        <v>261</v>
      </c>
      <c r="G9" s="83">
        <v>261</v>
      </c>
      <c r="H9" s="83">
        <f t="shared" si="0"/>
        <v>0</v>
      </c>
      <c r="I9" s="9">
        <v>45777</v>
      </c>
      <c r="J9" s="9">
        <v>45777</v>
      </c>
      <c r="K9" s="9">
        <f t="shared" si="1"/>
        <v>45779</v>
      </c>
      <c r="L9" s="7">
        <f t="shared" ca="1" si="2"/>
        <v>0</v>
      </c>
      <c r="M9" s="9">
        <f t="shared" si="4"/>
        <v>45792</v>
      </c>
      <c r="N9" s="10">
        <v>45787</v>
      </c>
      <c r="O9" s="7">
        <f t="shared" ca="1" si="3"/>
        <v>5</v>
      </c>
      <c r="P9" s="9"/>
      <c r="Q9" s="8"/>
    </row>
    <row r="10" spans="1:17" s="11" customFormat="1" ht="17.25" customHeight="1">
      <c r="A10" s="296" t="s">
        <v>59</v>
      </c>
      <c r="B10" s="88">
        <v>92</v>
      </c>
      <c r="C10" s="325" t="s">
        <v>391</v>
      </c>
      <c r="D10" s="88" t="s">
        <v>959</v>
      </c>
      <c r="E10" s="82">
        <v>45856</v>
      </c>
      <c r="F10" s="5">
        <v>127</v>
      </c>
      <c r="G10" s="83">
        <v>127</v>
      </c>
      <c r="H10" s="83">
        <f t="shared" si="0"/>
        <v>0</v>
      </c>
      <c r="I10" s="9">
        <v>45777</v>
      </c>
      <c r="J10" s="9">
        <v>45777</v>
      </c>
      <c r="K10" s="9">
        <f t="shared" si="1"/>
        <v>45779</v>
      </c>
      <c r="L10" s="7">
        <f t="shared" ca="1" si="2"/>
        <v>0</v>
      </c>
      <c r="M10" s="9">
        <f t="shared" si="4"/>
        <v>45792</v>
      </c>
      <c r="N10" s="10">
        <v>45787</v>
      </c>
      <c r="O10" s="7">
        <f t="shared" ca="1" si="3"/>
        <v>5</v>
      </c>
      <c r="P10" s="9"/>
      <c r="Q10" s="8"/>
    </row>
    <row r="11" spans="1:17" s="11" customFormat="1" ht="17.25" customHeight="1">
      <c r="A11" s="296" t="s">
        <v>59</v>
      </c>
      <c r="B11" s="88">
        <v>93</v>
      </c>
      <c r="C11" s="325" t="s">
        <v>839</v>
      </c>
      <c r="D11" s="88" t="s">
        <v>959</v>
      </c>
      <c r="E11" s="82">
        <v>45849</v>
      </c>
      <c r="F11" s="5">
        <v>657</v>
      </c>
      <c r="G11" s="83">
        <v>657</v>
      </c>
      <c r="H11" s="83">
        <f t="shared" si="0"/>
        <v>0</v>
      </c>
      <c r="I11" s="9">
        <v>45777</v>
      </c>
      <c r="J11" s="9">
        <v>45777</v>
      </c>
      <c r="K11" s="9">
        <f t="shared" si="1"/>
        <v>45779</v>
      </c>
      <c r="L11" s="7">
        <f t="shared" ca="1" si="2"/>
        <v>0</v>
      </c>
      <c r="M11" s="9">
        <f t="shared" si="4"/>
        <v>45792</v>
      </c>
      <c r="N11" s="10">
        <v>45787</v>
      </c>
      <c r="O11" s="7">
        <f t="shared" ca="1" si="3"/>
        <v>5</v>
      </c>
      <c r="P11" s="9"/>
      <c r="Q11" s="8"/>
    </row>
    <row r="12" spans="1:17" s="11" customFormat="1" ht="17.25" customHeight="1">
      <c r="A12" s="296" t="s">
        <v>59</v>
      </c>
      <c r="B12" s="88">
        <v>93</v>
      </c>
      <c r="C12" s="325" t="s">
        <v>391</v>
      </c>
      <c r="D12" s="88" t="s">
        <v>959</v>
      </c>
      <c r="E12" s="82">
        <v>45849</v>
      </c>
      <c r="F12" s="5">
        <v>628</v>
      </c>
      <c r="G12" s="83">
        <v>628</v>
      </c>
      <c r="H12" s="83">
        <f t="shared" si="0"/>
        <v>0</v>
      </c>
      <c r="I12" s="9">
        <v>45777</v>
      </c>
      <c r="J12" s="9">
        <v>45777</v>
      </c>
      <c r="K12" s="9">
        <f t="shared" si="1"/>
        <v>45779</v>
      </c>
      <c r="L12" s="7">
        <f t="shared" ca="1" si="2"/>
        <v>0</v>
      </c>
      <c r="M12" s="9">
        <f t="shared" si="4"/>
        <v>45792</v>
      </c>
      <c r="N12" s="10">
        <v>45787</v>
      </c>
      <c r="O12" s="7">
        <f t="shared" ca="1" si="3"/>
        <v>5</v>
      </c>
      <c r="P12" s="9"/>
      <c r="Q12" s="8"/>
    </row>
    <row r="13" spans="1:17" s="11" customFormat="1" ht="17.25" customHeight="1">
      <c r="A13" s="296" t="s">
        <v>59</v>
      </c>
      <c r="B13" s="88">
        <v>105</v>
      </c>
      <c r="C13" s="325" t="s">
        <v>391</v>
      </c>
      <c r="D13" s="88" t="s">
        <v>959</v>
      </c>
      <c r="E13" s="82">
        <v>45849</v>
      </c>
      <c r="F13" s="5">
        <v>628</v>
      </c>
      <c r="G13" s="83">
        <v>628</v>
      </c>
      <c r="H13" s="83">
        <f t="shared" si="0"/>
        <v>0</v>
      </c>
      <c r="I13" s="9">
        <v>45777</v>
      </c>
      <c r="J13" s="9">
        <v>45777</v>
      </c>
      <c r="K13" s="9">
        <f t="shared" si="1"/>
        <v>45779</v>
      </c>
      <c r="L13" s="7">
        <f t="shared" ca="1" si="2"/>
        <v>0</v>
      </c>
      <c r="M13" s="9">
        <f t="shared" si="4"/>
        <v>45792</v>
      </c>
      <c r="N13" s="10">
        <v>45787</v>
      </c>
      <c r="O13" s="7">
        <f t="shared" ca="1" si="3"/>
        <v>5</v>
      </c>
      <c r="P13" s="9"/>
      <c r="Q13" s="8"/>
    </row>
    <row r="14" spans="1:17" s="11" customFormat="1" ht="17.25" customHeight="1">
      <c r="A14" s="296" t="s">
        <v>59</v>
      </c>
      <c r="B14" s="88">
        <v>106</v>
      </c>
      <c r="C14" s="325" t="s">
        <v>391</v>
      </c>
      <c r="D14" s="88" t="s">
        <v>959</v>
      </c>
      <c r="E14" s="82">
        <v>45870</v>
      </c>
      <c r="F14" s="5">
        <v>628</v>
      </c>
      <c r="G14" s="83">
        <v>628</v>
      </c>
      <c r="H14" s="83">
        <f t="shared" si="0"/>
        <v>0</v>
      </c>
      <c r="I14" s="9">
        <v>45777</v>
      </c>
      <c r="J14" s="9">
        <v>45777</v>
      </c>
      <c r="K14" s="9">
        <f t="shared" si="1"/>
        <v>45779</v>
      </c>
      <c r="L14" s="7">
        <f t="shared" ca="1" si="2"/>
        <v>0</v>
      </c>
      <c r="M14" s="9">
        <f t="shared" si="4"/>
        <v>45792</v>
      </c>
      <c r="N14" s="10">
        <v>45787</v>
      </c>
      <c r="O14" s="7">
        <f t="shared" ca="1" si="3"/>
        <v>5</v>
      </c>
      <c r="P14" s="9"/>
      <c r="Q14" s="8"/>
    </row>
    <row r="15" spans="1:17" s="11" customFormat="1" ht="17.25" customHeight="1">
      <c r="A15" s="296" t="s">
        <v>59</v>
      </c>
      <c r="B15" s="88">
        <v>99</v>
      </c>
      <c r="C15" s="325" t="s">
        <v>839</v>
      </c>
      <c r="D15" s="88" t="s">
        <v>959</v>
      </c>
      <c r="E15" s="82">
        <v>45835</v>
      </c>
      <c r="F15" s="5">
        <v>1255</v>
      </c>
      <c r="G15" s="83">
        <v>1255</v>
      </c>
      <c r="H15" s="83">
        <f t="shared" si="0"/>
        <v>0</v>
      </c>
      <c r="I15" s="9">
        <v>45777</v>
      </c>
      <c r="J15" s="9">
        <v>45777</v>
      </c>
      <c r="K15" s="9">
        <f t="shared" si="1"/>
        <v>45779</v>
      </c>
      <c r="L15" s="7">
        <f t="shared" ca="1" si="2"/>
        <v>0</v>
      </c>
      <c r="M15" s="9">
        <f t="shared" si="4"/>
        <v>45792</v>
      </c>
      <c r="N15" s="10">
        <v>45787</v>
      </c>
      <c r="O15" s="7">
        <f t="shared" ca="1" si="3"/>
        <v>5</v>
      </c>
      <c r="P15" s="9"/>
      <c r="Q15" s="8"/>
    </row>
    <row r="16" spans="1:17" s="11" customFormat="1" ht="17.25" customHeight="1">
      <c r="A16" s="296" t="s">
        <v>59</v>
      </c>
      <c r="B16" s="88">
        <v>101</v>
      </c>
      <c r="C16" s="325" t="s">
        <v>839</v>
      </c>
      <c r="D16" s="88" t="s">
        <v>959</v>
      </c>
      <c r="E16" s="82">
        <v>45842</v>
      </c>
      <c r="F16" s="5">
        <v>1254</v>
      </c>
      <c r="G16" s="83">
        <v>1254</v>
      </c>
      <c r="H16" s="83">
        <f t="shared" si="0"/>
        <v>0</v>
      </c>
      <c r="I16" s="9">
        <v>45777</v>
      </c>
      <c r="J16" s="9">
        <v>45777</v>
      </c>
      <c r="K16" s="9">
        <f t="shared" si="1"/>
        <v>45779</v>
      </c>
      <c r="L16" s="7">
        <f t="shared" ca="1" si="2"/>
        <v>0</v>
      </c>
      <c r="M16" s="9">
        <f t="shared" si="4"/>
        <v>45792</v>
      </c>
      <c r="N16" s="10">
        <v>45787</v>
      </c>
      <c r="O16" s="7">
        <f t="shared" ca="1" si="3"/>
        <v>5</v>
      </c>
      <c r="P16" s="9"/>
      <c r="Q16" s="8"/>
    </row>
    <row r="17" spans="1:17" s="11" customFormat="1" ht="17.25" customHeight="1">
      <c r="A17" s="296" t="s">
        <v>59</v>
      </c>
      <c r="B17" s="88">
        <v>102</v>
      </c>
      <c r="C17" s="325" t="s">
        <v>839</v>
      </c>
      <c r="D17" s="88" t="s">
        <v>959</v>
      </c>
      <c r="E17" s="82">
        <v>45842</v>
      </c>
      <c r="F17" s="5">
        <v>490</v>
      </c>
      <c r="G17" s="83">
        <v>490</v>
      </c>
      <c r="H17" s="83">
        <f t="shared" si="0"/>
        <v>0</v>
      </c>
      <c r="I17" s="9">
        <v>45777</v>
      </c>
      <c r="J17" s="9">
        <v>45777</v>
      </c>
      <c r="K17" s="9">
        <f t="shared" si="1"/>
        <v>45779</v>
      </c>
      <c r="L17" s="7">
        <f t="shared" ca="1" si="2"/>
        <v>0</v>
      </c>
      <c r="M17" s="9">
        <f t="shared" si="4"/>
        <v>45792</v>
      </c>
      <c r="N17" s="10">
        <v>45787</v>
      </c>
      <c r="O17" s="7">
        <f t="shared" ca="1" si="3"/>
        <v>5</v>
      </c>
      <c r="P17" s="9"/>
      <c r="Q17" s="8"/>
    </row>
    <row r="18" spans="1:17" s="11" customFormat="1" ht="17.25" customHeight="1">
      <c r="A18" s="296" t="s">
        <v>59</v>
      </c>
      <c r="B18" s="88">
        <v>103</v>
      </c>
      <c r="C18" s="325" t="s">
        <v>839</v>
      </c>
      <c r="D18" s="88" t="s">
        <v>959</v>
      </c>
      <c r="E18" s="82">
        <v>45842</v>
      </c>
      <c r="F18" s="5">
        <v>688</v>
      </c>
      <c r="G18" s="83">
        <v>688</v>
      </c>
      <c r="H18" s="83">
        <f t="shared" si="0"/>
        <v>0</v>
      </c>
      <c r="I18" s="9">
        <v>45777</v>
      </c>
      <c r="J18" s="9">
        <v>45777</v>
      </c>
      <c r="K18" s="9">
        <f t="shared" si="1"/>
        <v>45779</v>
      </c>
      <c r="L18" s="7">
        <f t="shared" ca="1" si="2"/>
        <v>0</v>
      </c>
      <c r="M18" s="9">
        <f t="shared" si="4"/>
        <v>45792</v>
      </c>
      <c r="N18" s="10">
        <v>45787</v>
      </c>
      <c r="O18" s="7">
        <f t="shared" ca="1" si="3"/>
        <v>5</v>
      </c>
      <c r="P18" s="9"/>
      <c r="Q18" s="8"/>
    </row>
    <row r="19" spans="1:17" s="11" customFormat="1" ht="17.25" customHeight="1">
      <c r="A19" s="296" t="s">
        <v>59</v>
      </c>
      <c r="B19" s="88">
        <v>103</v>
      </c>
      <c r="C19" s="325" t="s">
        <v>391</v>
      </c>
      <c r="D19" s="88" t="s">
        <v>959</v>
      </c>
      <c r="E19" s="82">
        <v>45842</v>
      </c>
      <c r="F19" s="5">
        <v>628</v>
      </c>
      <c r="G19" s="83">
        <v>628</v>
      </c>
      <c r="H19" s="83">
        <f t="shared" si="0"/>
        <v>0</v>
      </c>
      <c r="I19" s="9">
        <v>45777</v>
      </c>
      <c r="J19" s="9">
        <v>45777</v>
      </c>
      <c r="K19" s="9">
        <f t="shared" si="1"/>
        <v>45779</v>
      </c>
      <c r="L19" s="7">
        <f t="shared" ca="1" si="2"/>
        <v>0</v>
      </c>
      <c r="M19" s="9">
        <f t="shared" si="4"/>
        <v>45792</v>
      </c>
      <c r="N19" s="10">
        <v>45787</v>
      </c>
      <c r="O19" s="7">
        <f t="shared" ca="1" si="3"/>
        <v>5</v>
      </c>
      <c r="P19" s="9"/>
      <c r="Q19" s="8"/>
    </row>
    <row r="20" spans="1:17" s="11" customFormat="1" ht="17.25" customHeight="1">
      <c r="A20" s="296" t="s">
        <v>59</v>
      </c>
      <c r="B20" s="88">
        <v>110</v>
      </c>
      <c r="C20" s="325" t="s">
        <v>839</v>
      </c>
      <c r="D20" s="88" t="s">
        <v>959</v>
      </c>
      <c r="E20" s="82">
        <v>45842</v>
      </c>
      <c r="F20" s="5">
        <v>714</v>
      </c>
      <c r="G20" s="83">
        <v>714</v>
      </c>
      <c r="H20" s="83">
        <f t="shared" si="0"/>
        <v>0</v>
      </c>
      <c r="I20" s="9">
        <v>45777</v>
      </c>
      <c r="J20" s="9">
        <v>45777</v>
      </c>
      <c r="K20" s="9">
        <f t="shared" si="1"/>
        <v>45779</v>
      </c>
      <c r="L20" s="7">
        <f t="shared" ca="1" si="2"/>
        <v>0</v>
      </c>
      <c r="M20" s="9">
        <f t="shared" si="4"/>
        <v>45792</v>
      </c>
      <c r="N20" s="10">
        <v>45787</v>
      </c>
      <c r="O20" s="7">
        <f t="shared" ca="1" si="3"/>
        <v>5</v>
      </c>
      <c r="P20" s="9"/>
      <c r="Q20" s="8"/>
    </row>
    <row r="21" spans="1:17" s="11" customFormat="1" ht="17.25" customHeight="1">
      <c r="A21" s="296" t="s">
        <v>59</v>
      </c>
      <c r="B21" s="88">
        <v>111</v>
      </c>
      <c r="C21" s="325" t="s">
        <v>839</v>
      </c>
      <c r="D21" s="88" t="s">
        <v>959</v>
      </c>
      <c r="E21" s="82">
        <v>45849</v>
      </c>
      <c r="F21" s="5">
        <v>1038</v>
      </c>
      <c r="G21" s="83">
        <v>1038</v>
      </c>
      <c r="H21" s="83">
        <f t="shared" si="0"/>
        <v>0</v>
      </c>
      <c r="I21" s="9">
        <v>45777</v>
      </c>
      <c r="J21" s="9">
        <v>45777</v>
      </c>
      <c r="K21" s="9">
        <f t="shared" si="1"/>
        <v>45779</v>
      </c>
      <c r="L21" s="7">
        <f t="shared" ca="1" si="2"/>
        <v>0</v>
      </c>
      <c r="M21" s="9">
        <f t="shared" si="4"/>
        <v>45792</v>
      </c>
      <c r="N21" s="10">
        <v>45787</v>
      </c>
      <c r="O21" s="7">
        <f t="shared" ca="1" si="3"/>
        <v>5</v>
      </c>
      <c r="P21" s="9"/>
      <c r="Q21" s="8"/>
    </row>
    <row r="22" spans="1:17" s="11" customFormat="1" ht="17.25" customHeight="1">
      <c r="A22" s="296" t="s">
        <v>59</v>
      </c>
      <c r="B22" s="88">
        <v>112</v>
      </c>
      <c r="C22" s="325" t="s">
        <v>391</v>
      </c>
      <c r="D22" s="88" t="s">
        <v>959</v>
      </c>
      <c r="E22" s="82">
        <v>45856</v>
      </c>
      <c r="F22" s="5">
        <v>628</v>
      </c>
      <c r="G22" s="83">
        <v>628</v>
      </c>
      <c r="H22" s="83">
        <f t="shared" si="0"/>
        <v>0</v>
      </c>
      <c r="I22" s="9">
        <v>45777</v>
      </c>
      <c r="J22" s="9">
        <v>45777</v>
      </c>
      <c r="K22" s="9">
        <f t="shared" si="1"/>
        <v>45779</v>
      </c>
      <c r="L22" s="7">
        <f t="shared" ca="1" si="2"/>
        <v>0</v>
      </c>
      <c r="M22" s="9">
        <f t="shared" si="4"/>
        <v>45792</v>
      </c>
      <c r="N22" s="10">
        <v>45787</v>
      </c>
      <c r="O22" s="7">
        <f t="shared" ca="1" si="3"/>
        <v>5</v>
      </c>
      <c r="P22" s="9"/>
      <c r="Q22" s="8"/>
    </row>
    <row r="23" spans="1:17" ht="14.5">
      <c r="A23" s="296" t="s">
        <v>59</v>
      </c>
      <c r="B23" s="88">
        <v>113</v>
      </c>
      <c r="C23" s="325" t="s">
        <v>839</v>
      </c>
      <c r="D23" s="88" t="s">
        <v>959</v>
      </c>
      <c r="E23" s="82">
        <v>45856</v>
      </c>
      <c r="F23" s="5">
        <v>714</v>
      </c>
      <c r="G23" s="83">
        <v>714</v>
      </c>
      <c r="H23" s="83">
        <f t="shared" si="0"/>
        <v>0</v>
      </c>
      <c r="I23" s="9">
        <v>45777</v>
      </c>
      <c r="J23" s="9">
        <v>45777</v>
      </c>
      <c r="K23" s="9">
        <f t="shared" ref="K23:K50" si="5">J23+2</f>
        <v>45779</v>
      </c>
      <c r="L23" s="7">
        <f t="shared" ref="L23:L50" ca="1" si="6">+IF(J23="",I23-TODAY(),I23-J23)</f>
        <v>0</v>
      </c>
      <c r="M23" s="9">
        <f t="shared" si="4"/>
        <v>45792</v>
      </c>
      <c r="N23" s="10">
        <v>45787</v>
      </c>
      <c r="O23" s="7">
        <f t="shared" ca="1" si="3"/>
        <v>5</v>
      </c>
      <c r="P23" s="9"/>
      <c r="Q23" s="8"/>
    </row>
    <row r="24" spans="1:17" ht="14.5">
      <c r="A24" s="296" t="s">
        <v>59</v>
      </c>
      <c r="B24" s="88">
        <v>113</v>
      </c>
      <c r="C24" s="325" t="s">
        <v>391</v>
      </c>
      <c r="D24" s="88" t="s">
        <v>959</v>
      </c>
      <c r="E24" s="82">
        <v>45856</v>
      </c>
      <c r="F24" s="5">
        <v>633</v>
      </c>
      <c r="G24" s="83">
        <v>633</v>
      </c>
      <c r="H24" s="83">
        <f t="shared" si="0"/>
        <v>0</v>
      </c>
      <c r="I24" s="9">
        <v>45777</v>
      </c>
      <c r="J24" s="9">
        <v>45777</v>
      </c>
      <c r="K24" s="9">
        <f t="shared" si="5"/>
        <v>45779</v>
      </c>
      <c r="L24" s="7">
        <f t="shared" ca="1" si="6"/>
        <v>0</v>
      </c>
      <c r="M24" s="9">
        <f t="shared" si="4"/>
        <v>45792</v>
      </c>
      <c r="N24" s="10">
        <v>45787</v>
      </c>
      <c r="O24" s="7">
        <f t="shared" ca="1" si="3"/>
        <v>5</v>
      </c>
      <c r="P24" s="9"/>
      <c r="Q24" s="8"/>
    </row>
    <row r="25" spans="1:17" ht="14.5">
      <c r="A25" s="296" t="s">
        <v>59</v>
      </c>
      <c r="B25" s="88">
        <v>114</v>
      </c>
      <c r="C25" s="325" t="s">
        <v>391</v>
      </c>
      <c r="D25" s="88" t="s">
        <v>959</v>
      </c>
      <c r="E25" s="82">
        <v>45863</v>
      </c>
      <c r="F25" s="5">
        <v>177</v>
      </c>
      <c r="G25" s="83">
        <v>177</v>
      </c>
      <c r="H25" s="83">
        <f t="shared" si="0"/>
        <v>0</v>
      </c>
      <c r="I25" s="9">
        <v>45777</v>
      </c>
      <c r="J25" s="9">
        <v>45777</v>
      </c>
      <c r="K25" s="9">
        <f t="shared" si="5"/>
        <v>45779</v>
      </c>
      <c r="L25" s="7">
        <f t="shared" ca="1" si="6"/>
        <v>0</v>
      </c>
      <c r="M25" s="9">
        <f t="shared" si="4"/>
        <v>45792</v>
      </c>
      <c r="N25" s="10">
        <v>45787</v>
      </c>
      <c r="O25" s="7">
        <f t="shared" ca="1" si="3"/>
        <v>5</v>
      </c>
      <c r="P25" s="9"/>
      <c r="Q25" s="8"/>
    </row>
    <row r="26" spans="1:17" ht="14.5">
      <c r="A26" s="296" t="s">
        <v>59</v>
      </c>
      <c r="B26" s="88">
        <v>120</v>
      </c>
      <c r="C26" s="325" t="s">
        <v>839</v>
      </c>
      <c r="D26" s="88" t="s">
        <v>959</v>
      </c>
      <c r="E26" s="82">
        <v>45849</v>
      </c>
      <c r="F26" s="5">
        <v>673.9755724800001</v>
      </c>
      <c r="G26" s="83">
        <v>674</v>
      </c>
      <c r="H26" s="83">
        <f t="shared" si="0"/>
        <v>-2.442751999990378E-2</v>
      </c>
      <c r="I26" s="9">
        <v>45780</v>
      </c>
      <c r="J26" s="9">
        <v>45780</v>
      </c>
      <c r="K26" s="9">
        <f t="shared" si="5"/>
        <v>45782</v>
      </c>
      <c r="L26" s="7">
        <f t="shared" ca="1" si="6"/>
        <v>0</v>
      </c>
      <c r="M26" s="9">
        <f t="shared" si="4"/>
        <v>45795</v>
      </c>
      <c r="N26" s="10">
        <v>45787</v>
      </c>
      <c r="O26" s="7">
        <f t="shared" ca="1" si="3"/>
        <v>8</v>
      </c>
      <c r="P26" s="9"/>
      <c r="Q26" s="8"/>
    </row>
    <row r="27" spans="1:17" ht="14.5">
      <c r="A27" s="296" t="s">
        <v>59</v>
      </c>
      <c r="B27" s="88">
        <v>120</v>
      </c>
      <c r="C27" s="325" t="s">
        <v>391</v>
      </c>
      <c r="D27" s="88" t="s">
        <v>959</v>
      </c>
      <c r="E27" s="82">
        <v>45849</v>
      </c>
      <c r="F27" s="5">
        <v>626.95193600000005</v>
      </c>
      <c r="G27" s="83">
        <v>627</v>
      </c>
      <c r="H27" s="83">
        <f t="shared" si="0"/>
        <v>-4.8063999999953921E-2</v>
      </c>
      <c r="I27" s="9">
        <v>45780</v>
      </c>
      <c r="J27" s="9">
        <v>45780</v>
      </c>
      <c r="K27" s="9">
        <f t="shared" si="5"/>
        <v>45782</v>
      </c>
      <c r="L27" s="7">
        <f t="shared" ca="1" si="6"/>
        <v>0</v>
      </c>
      <c r="M27" s="9">
        <f t="shared" si="4"/>
        <v>45795</v>
      </c>
      <c r="N27" s="10">
        <v>45787</v>
      </c>
      <c r="O27" s="7">
        <f t="shared" ca="1" si="3"/>
        <v>8</v>
      </c>
      <c r="P27" s="9"/>
      <c r="Q27" s="8"/>
    </row>
    <row r="28" spans="1:17" ht="14.5">
      <c r="A28" s="296" t="s">
        <v>59</v>
      </c>
      <c r="B28" s="88">
        <v>121</v>
      </c>
      <c r="C28" s="325" t="s">
        <v>391</v>
      </c>
      <c r="D28" s="88" t="s">
        <v>959</v>
      </c>
      <c r="E28" s="82">
        <v>45849</v>
      </c>
      <c r="F28" s="5">
        <v>611.78374400000007</v>
      </c>
      <c r="G28" s="83">
        <v>612</v>
      </c>
      <c r="H28" s="83">
        <f t="shared" si="0"/>
        <v>-0.21625599999993028</v>
      </c>
      <c r="I28" s="9">
        <v>45780</v>
      </c>
      <c r="J28" s="9">
        <v>45780</v>
      </c>
      <c r="K28" s="9">
        <f t="shared" si="5"/>
        <v>45782</v>
      </c>
      <c r="L28" s="7">
        <f t="shared" ca="1" si="6"/>
        <v>0</v>
      </c>
      <c r="M28" s="9">
        <f t="shared" si="4"/>
        <v>45795</v>
      </c>
      <c r="N28" s="10">
        <v>45787</v>
      </c>
      <c r="O28" s="7">
        <f t="shared" ca="1" si="3"/>
        <v>8</v>
      </c>
      <c r="P28" s="9"/>
      <c r="Q28" s="8"/>
    </row>
    <row r="29" spans="1:17" ht="14.5">
      <c r="A29" s="296" t="s">
        <v>59</v>
      </c>
      <c r="B29" s="88">
        <v>122</v>
      </c>
      <c r="C29" s="325" t="s">
        <v>839</v>
      </c>
      <c r="D29" s="88" t="s">
        <v>959</v>
      </c>
      <c r="E29" s="82">
        <v>45863</v>
      </c>
      <c r="F29" s="5">
        <v>654.09120000000007</v>
      </c>
      <c r="G29" s="83">
        <v>654</v>
      </c>
      <c r="H29" s="83">
        <f t="shared" si="0"/>
        <v>9.1200000000071668E-2</v>
      </c>
      <c r="I29" s="9">
        <v>45780</v>
      </c>
      <c r="J29" s="9">
        <v>45780</v>
      </c>
      <c r="K29" s="9">
        <f t="shared" si="5"/>
        <v>45782</v>
      </c>
      <c r="L29" s="7">
        <f t="shared" ca="1" si="6"/>
        <v>0</v>
      </c>
      <c r="M29" s="9">
        <f t="shared" si="4"/>
        <v>45795</v>
      </c>
      <c r="N29" s="10">
        <v>45787</v>
      </c>
      <c r="O29" s="7">
        <f t="shared" ca="1" si="3"/>
        <v>8</v>
      </c>
      <c r="P29" s="9"/>
      <c r="Q29" s="8"/>
    </row>
    <row r="30" spans="1:17" ht="14.5">
      <c r="A30" s="296" t="s">
        <v>59</v>
      </c>
      <c r="B30" s="88">
        <v>123</v>
      </c>
      <c r="C30" s="325" t="s">
        <v>839</v>
      </c>
      <c r="D30" s="88" t="s">
        <v>959</v>
      </c>
      <c r="E30" s="82">
        <v>45870</v>
      </c>
      <c r="F30" s="5">
        <v>682.43515200000013</v>
      </c>
      <c r="G30" s="83">
        <v>682</v>
      </c>
      <c r="H30" s="83">
        <f t="shared" si="0"/>
        <v>0.4351520000001301</v>
      </c>
      <c r="I30" s="9">
        <v>45780</v>
      </c>
      <c r="J30" s="9">
        <v>45780</v>
      </c>
      <c r="K30" s="9">
        <f t="shared" si="5"/>
        <v>45782</v>
      </c>
      <c r="L30" s="7">
        <f t="shared" ca="1" si="6"/>
        <v>0</v>
      </c>
      <c r="M30" s="9">
        <f t="shared" si="4"/>
        <v>45795</v>
      </c>
      <c r="N30" s="10">
        <v>45787</v>
      </c>
      <c r="O30" s="7">
        <f t="shared" ca="1" si="3"/>
        <v>8</v>
      </c>
      <c r="P30" s="9"/>
      <c r="Q30" s="8"/>
    </row>
    <row r="31" spans="1:17" ht="14.5">
      <c r="A31" s="296" t="s">
        <v>59</v>
      </c>
      <c r="B31" s="88">
        <v>123</v>
      </c>
      <c r="C31" s="325" t="s">
        <v>391</v>
      </c>
      <c r="D31" s="88" t="s">
        <v>959</v>
      </c>
      <c r="E31" s="82">
        <v>45870</v>
      </c>
      <c r="F31" s="5">
        <v>626.95193600000005</v>
      </c>
      <c r="G31" s="83">
        <v>627</v>
      </c>
      <c r="H31" s="83">
        <f t="shared" si="0"/>
        <v>-4.8063999999953921E-2</v>
      </c>
      <c r="I31" s="9">
        <v>45780</v>
      </c>
      <c r="J31" s="9">
        <v>45780</v>
      </c>
      <c r="K31" s="9">
        <f t="shared" si="5"/>
        <v>45782</v>
      </c>
      <c r="L31" s="7">
        <f t="shared" ca="1" si="6"/>
        <v>0</v>
      </c>
      <c r="M31" s="9">
        <f t="shared" si="4"/>
        <v>45795</v>
      </c>
      <c r="N31" s="10">
        <v>45787</v>
      </c>
      <c r="O31" s="7">
        <f t="shared" ca="1" si="3"/>
        <v>8</v>
      </c>
      <c r="P31" s="9"/>
      <c r="Q31" s="8"/>
    </row>
    <row r="32" spans="1:17" ht="14.5">
      <c r="A32" s="296" t="s">
        <v>59</v>
      </c>
      <c r="B32" s="88">
        <v>124</v>
      </c>
      <c r="C32" s="325" t="s">
        <v>839</v>
      </c>
      <c r="D32" s="88" t="s">
        <v>959</v>
      </c>
      <c r="E32" s="82">
        <v>45877</v>
      </c>
      <c r="F32" s="5">
        <v>109</v>
      </c>
      <c r="G32" s="83">
        <v>109</v>
      </c>
      <c r="H32" s="83">
        <f t="shared" si="0"/>
        <v>0</v>
      </c>
      <c r="I32" s="9">
        <v>45780</v>
      </c>
      <c r="J32" s="9">
        <v>45780</v>
      </c>
      <c r="K32" s="9">
        <f t="shared" si="5"/>
        <v>45782</v>
      </c>
      <c r="L32" s="7">
        <f t="shared" ca="1" si="6"/>
        <v>0</v>
      </c>
      <c r="M32" s="9">
        <f t="shared" si="4"/>
        <v>45795</v>
      </c>
      <c r="N32" s="10">
        <v>45787</v>
      </c>
      <c r="O32" s="7">
        <f t="shared" ca="1" si="3"/>
        <v>8</v>
      </c>
      <c r="P32" s="9"/>
      <c r="Q32" s="8"/>
    </row>
    <row r="33" spans="1:17" ht="14.5">
      <c r="A33" s="296" t="s">
        <v>59</v>
      </c>
      <c r="B33" s="88">
        <v>124</v>
      </c>
      <c r="C33" s="325" t="s">
        <v>391</v>
      </c>
      <c r="D33" s="88" t="s">
        <v>959</v>
      </c>
      <c r="E33" s="82">
        <v>45877</v>
      </c>
      <c r="F33" s="5">
        <v>859</v>
      </c>
      <c r="G33" s="83">
        <v>859</v>
      </c>
      <c r="H33" s="83">
        <f t="shared" si="0"/>
        <v>0</v>
      </c>
      <c r="I33" s="9">
        <v>45780</v>
      </c>
      <c r="J33" s="9">
        <v>45780</v>
      </c>
      <c r="K33" s="9">
        <f t="shared" si="5"/>
        <v>45782</v>
      </c>
      <c r="L33" s="7">
        <f t="shared" ca="1" si="6"/>
        <v>0</v>
      </c>
      <c r="M33" s="9">
        <f t="shared" si="4"/>
        <v>45795</v>
      </c>
      <c r="N33" s="10">
        <v>45787</v>
      </c>
      <c r="O33" s="7">
        <f t="shared" ca="1" si="3"/>
        <v>8</v>
      </c>
      <c r="P33" s="9"/>
      <c r="Q33" s="8"/>
    </row>
    <row r="34" spans="1:17" ht="14.5">
      <c r="A34" s="296" t="s">
        <v>59</v>
      </c>
      <c r="B34" s="88">
        <v>131</v>
      </c>
      <c r="C34" s="325" t="s">
        <v>839</v>
      </c>
      <c r="D34" s="88" t="s">
        <v>959</v>
      </c>
      <c r="E34" s="82">
        <v>45856</v>
      </c>
      <c r="F34" s="5">
        <v>662.8124160000001</v>
      </c>
      <c r="G34" s="83">
        <v>663</v>
      </c>
      <c r="H34" s="83">
        <f t="shared" si="0"/>
        <v>-0.18758399999990161</v>
      </c>
      <c r="I34" s="9">
        <v>45780</v>
      </c>
      <c r="J34" s="9">
        <v>45780</v>
      </c>
      <c r="K34" s="9">
        <f t="shared" si="5"/>
        <v>45782</v>
      </c>
      <c r="L34" s="7">
        <f t="shared" ca="1" si="6"/>
        <v>0</v>
      </c>
      <c r="M34" s="9">
        <f t="shared" si="4"/>
        <v>45795</v>
      </c>
      <c r="N34" s="10">
        <v>45787</v>
      </c>
      <c r="O34" s="7">
        <f t="shared" ca="1" si="3"/>
        <v>8</v>
      </c>
      <c r="P34" s="9"/>
      <c r="Q34" s="8"/>
    </row>
    <row r="35" spans="1:17" ht="14.5">
      <c r="A35" s="296" t="s">
        <v>59</v>
      </c>
      <c r="B35" s="88">
        <v>135</v>
      </c>
      <c r="C35" s="325" t="s">
        <v>839</v>
      </c>
      <c r="D35" s="88" t="s">
        <v>959</v>
      </c>
      <c r="E35" s="82">
        <v>45863</v>
      </c>
      <c r="F35" s="5">
        <v>700</v>
      </c>
      <c r="G35" s="83">
        <v>700</v>
      </c>
      <c r="H35" s="83">
        <f t="shared" si="0"/>
        <v>0</v>
      </c>
      <c r="I35" s="9">
        <v>45780</v>
      </c>
      <c r="J35" s="9">
        <v>45780</v>
      </c>
      <c r="K35" s="9">
        <f t="shared" si="5"/>
        <v>45782</v>
      </c>
      <c r="L35" s="7">
        <f t="shared" ca="1" si="6"/>
        <v>0</v>
      </c>
      <c r="M35" s="9">
        <f t="shared" si="4"/>
        <v>45795</v>
      </c>
      <c r="N35" s="10">
        <v>45794</v>
      </c>
      <c r="O35" s="7">
        <f t="shared" ca="1" si="3"/>
        <v>1</v>
      </c>
      <c r="P35" s="9"/>
      <c r="Q35" s="8"/>
    </row>
    <row r="36" spans="1:17" ht="14.5">
      <c r="A36" s="296" t="s">
        <v>59</v>
      </c>
      <c r="B36" s="88">
        <v>137</v>
      </c>
      <c r="C36" s="325" t="s">
        <v>839</v>
      </c>
      <c r="D36" s="88" t="s">
        <v>959</v>
      </c>
      <c r="E36" s="82">
        <v>45863</v>
      </c>
      <c r="F36" s="5">
        <v>726.04123200000004</v>
      </c>
      <c r="G36" s="83">
        <v>726</v>
      </c>
      <c r="H36" s="83">
        <f t="shared" si="0"/>
        <v>4.1232000000036351E-2</v>
      </c>
      <c r="I36" s="9">
        <v>45780</v>
      </c>
      <c r="J36" s="9">
        <v>45780</v>
      </c>
      <c r="K36" s="9">
        <f t="shared" si="5"/>
        <v>45782</v>
      </c>
      <c r="L36" s="7">
        <f t="shared" ca="1" si="6"/>
        <v>0</v>
      </c>
      <c r="M36" s="9">
        <f t="shared" si="4"/>
        <v>45795</v>
      </c>
      <c r="N36" s="10">
        <v>45794</v>
      </c>
      <c r="O36" s="7">
        <f t="shared" ca="1" si="3"/>
        <v>1</v>
      </c>
      <c r="P36" s="9"/>
      <c r="Q36" s="8"/>
    </row>
    <row r="37" spans="1:17" ht="14.5">
      <c r="A37" s="296" t="s">
        <v>59</v>
      </c>
      <c r="B37" s="88">
        <v>137</v>
      </c>
      <c r="C37" s="325" t="s">
        <v>391</v>
      </c>
      <c r="D37" s="88" t="s">
        <v>959</v>
      </c>
      <c r="E37" s="82">
        <v>45863</v>
      </c>
      <c r="F37" s="5">
        <v>619.36784</v>
      </c>
      <c r="G37" s="83">
        <v>619</v>
      </c>
      <c r="H37" s="83">
        <f t="shared" si="0"/>
        <v>0.36784000000000106</v>
      </c>
      <c r="I37" s="9">
        <v>45780</v>
      </c>
      <c r="J37" s="9">
        <v>45780</v>
      </c>
      <c r="K37" s="9">
        <f t="shared" si="5"/>
        <v>45782</v>
      </c>
      <c r="L37" s="7">
        <f t="shared" ca="1" si="6"/>
        <v>0</v>
      </c>
      <c r="M37" s="9">
        <f t="shared" si="4"/>
        <v>45795</v>
      </c>
      <c r="N37" s="10">
        <v>45787</v>
      </c>
      <c r="O37" s="7">
        <f t="shared" ca="1" si="3"/>
        <v>8</v>
      </c>
      <c r="P37" s="9"/>
      <c r="Q37" s="8"/>
    </row>
    <row r="38" spans="1:17" ht="14.5">
      <c r="A38" s="296" t="s">
        <v>59</v>
      </c>
      <c r="B38" s="88">
        <v>138</v>
      </c>
      <c r="C38" s="325" t="s">
        <v>839</v>
      </c>
      <c r="D38" s="88" t="s">
        <v>959</v>
      </c>
      <c r="E38" s="82">
        <v>45863</v>
      </c>
      <c r="F38" s="5">
        <v>795.81096000000014</v>
      </c>
      <c r="G38" s="83">
        <v>796</v>
      </c>
      <c r="H38" s="83">
        <f t="shared" si="0"/>
        <v>-0.18903999999986354</v>
      </c>
      <c r="I38" s="9">
        <v>45780</v>
      </c>
      <c r="J38" s="9">
        <v>45780</v>
      </c>
      <c r="K38" s="9">
        <f t="shared" si="5"/>
        <v>45782</v>
      </c>
      <c r="L38" s="7">
        <f t="shared" ca="1" si="6"/>
        <v>0</v>
      </c>
      <c r="M38" s="9">
        <f t="shared" si="4"/>
        <v>45795</v>
      </c>
      <c r="N38" s="10">
        <v>45794</v>
      </c>
      <c r="O38" s="7">
        <f t="shared" ca="1" si="3"/>
        <v>1</v>
      </c>
      <c r="P38" s="9"/>
      <c r="Q38" s="8"/>
    </row>
    <row r="39" spans="1:17" ht="14.5">
      <c r="A39" s="296" t="s">
        <v>59</v>
      </c>
      <c r="B39" s="88">
        <v>139</v>
      </c>
      <c r="C39" s="325" t="s">
        <v>391</v>
      </c>
      <c r="D39" s="88" t="s">
        <v>959</v>
      </c>
      <c r="E39" s="82">
        <v>45870</v>
      </c>
      <c r="F39" s="5">
        <v>626.95193600000005</v>
      </c>
      <c r="G39" s="83">
        <v>627</v>
      </c>
      <c r="H39" s="83">
        <f t="shared" si="0"/>
        <v>-4.8063999999953921E-2</v>
      </c>
      <c r="I39" s="9">
        <v>45780</v>
      </c>
      <c r="J39" s="9">
        <v>45780</v>
      </c>
      <c r="K39" s="9">
        <f t="shared" si="5"/>
        <v>45782</v>
      </c>
      <c r="L39" s="7">
        <f t="shared" ca="1" si="6"/>
        <v>0</v>
      </c>
      <c r="M39" s="9">
        <f t="shared" si="4"/>
        <v>45795</v>
      </c>
      <c r="N39" s="10">
        <v>45787</v>
      </c>
      <c r="O39" s="7">
        <f t="shared" ca="1" si="3"/>
        <v>8</v>
      </c>
      <c r="P39" s="9"/>
      <c r="Q39" s="8"/>
    </row>
    <row r="40" spans="1:17" ht="14.5">
      <c r="A40" s="296" t="s">
        <v>59</v>
      </c>
      <c r="B40" s="88">
        <v>140</v>
      </c>
      <c r="C40" s="325" t="s">
        <v>391</v>
      </c>
      <c r="D40" s="88" t="s">
        <v>959</v>
      </c>
      <c r="E40" s="82">
        <v>45870</v>
      </c>
      <c r="F40" s="5">
        <v>606.72768000000008</v>
      </c>
      <c r="G40" s="83">
        <v>607</v>
      </c>
      <c r="H40" s="83">
        <f t="shared" si="0"/>
        <v>-0.2723199999999224</v>
      </c>
      <c r="I40" s="9">
        <v>45780</v>
      </c>
      <c r="J40" s="9">
        <v>45780</v>
      </c>
      <c r="K40" s="9">
        <f t="shared" si="5"/>
        <v>45782</v>
      </c>
      <c r="L40" s="7">
        <f t="shared" ca="1" si="6"/>
        <v>0</v>
      </c>
      <c r="M40" s="9">
        <f t="shared" si="4"/>
        <v>45795</v>
      </c>
      <c r="N40" s="10">
        <v>45787</v>
      </c>
      <c r="O40" s="7">
        <f t="shared" ca="1" si="3"/>
        <v>8</v>
      </c>
      <c r="P40" s="9"/>
      <c r="Q40" s="8"/>
    </row>
    <row r="41" spans="1:17" ht="14.5">
      <c r="A41" s="296" t="s">
        <v>59</v>
      </c>
      <c r="B41" s="88">
        <v>141</v>
      </c>
      <c r="C41" s="325" t="s">
        <v>839</v>
      </c>
      <c r="D41" s="88" t="s">
        <v>959</v>
      </c>
      <c r="E41" s="82">
        <v>45870</v>
      </c>
      <c r="F41" s="5">
        <v>422.97897600000005</v>
      </c>
      <c r="G41" s="83">
        <v>423</v>
      </c>
      <c r="H41" s="83">
        <f t="shared" si="0"/>
        <v>-2.1023999999954412E-2</v>
      </c>
      <c r="I41" s="9">
        <v>45780</v>
      </c>
      <c r="J41" s="9">
        <v>45780</v>
      </c>
      <c r="K41" s="9">
        <f t="shared" si="5"/>
        <v>45782</v>
      </c>
      <c r="L41" s="7">
        <f t="shared" ca="1" si="6"/>
        <v>0</v>
      </c>
      <c r="M41" s="9">
        <f t="shared" si="4"/>
        <v>45795</v>
      </c>
      <c r="N41" s="10">
        <v>45794</v>
      </c>
      <c r="O41" s="7">
        <f t="shared" ca="1" si="3"/>
        <v>1</v>
      </c>
      <c r="P41" s="9"/>
      <c r="Q41" s="8"/>
    </row>
    <row r="42" spans="1:17" ht="14.5">
      <c r="A42" s="296" t="s">
        <v>59</v>
      </c>
      <c r="B42" s="88">
        <v>141</v>
      </c>
      <c r="C42" s="325" t="s">
        <v>391</v>
      </c>
      <c r="D42" s="88" t="s">
        <v>959</v>
      </c>
      <c r="E42" s="82">
        <v>45870</v>
      </c>
      <c r="F42" s="5">
        <v>626.95193600000005</v>
      </c>
      <c r="G42" s="83">
        <v>627</v>
      </c>
      <c r="H42" s="83">
        <f t="shared" si="0"/>
        <v>-4.8063999999953921E-2</v>
      </c>
      <c r="I42" s="9">
        <v>45780</v>
      </c>
      <c r="J42" s="9">
        <v>45780</v>
      </c>
      <c r="K42" s="9">
        <f t="shared" si="5"/>
        <v>45782</v>
      </c>
      <c r="L42" s="7">
        <f t="shared" ca="1" si="6"/>
        <v>0</v>
      </c>
      <c r="M42" s="9">
        <f t="shared" si="4"/>
        <v>45795</v>
      </c>
      <c r="N42" s="10">
        <v>45787</v>
      </c>
      <c r="O42" s="7">
        <f t="shared" ca="1" si="3"/>
        <v>8</v>
      </c>
      <c r="P42" s="9"/>
      <c r="Q42" s="8"/>
    </row>
    <row r="43" spans="1:17" ht="14.5">
      <c r="A43" s="296" t="s">
        <v>59</v>
      </c>
      <c r="B43" s="88">
        <v>143</v>
      </c>
      <c r="C43" s="325" t="s">
        <v>839</v>
      </c>
      <c r="D43" s="88" t="s">
        <v>959</v>
      </c>
      <c r="E43" s="82">
        <v>45877</v>
      </c>
      <c r="F43" s="5">
        <v>139.53945600000003</v>
      </c>
      <c r="G43" s="83">
        <v>140</v>
      </c>
      <c r="H43" s="83">
        <f t="shared" si="0"/>
        <v>-0.46054399999997031</v>
      </c>
      <c r="I43" s="9">
        <v>45780</v>
      </c>
      <c r="J43" s="9">
        <v>45780</v>
      </c>
      <c r="K43" s="9">
        <f t="shared" si="5"/>
        <v>45782</v>
      </c>
      <c r="L43" s="7">
        <f t="shared" ca="1" si="6"/>
        <v>0</v>
      </c>
      <c r="M43" s="9">
        <f t="shared" si="4"/>
        <v>45795</v>
      </c>
      <c r="N43" s="10">
        <v>45794</v>
      </c>
      <c r="O43" s="7">
        <f t="shared" ca="1" si="3"/>
        <v>1</v>
      </c>
      <c r="P43" s="9"/>
      <c r="Q43" s="8"/>
    </row>
    <row r="44" spans="1:17" ht="14.5">
      <c r="A44" s="296" t="s">
        <v>59</v>
      </c>
      <c r="B44" s="88">
        <v>144</v>
      </c>
      <c r="C44" s="325" t="s">
        <v>391</v>
      </c>
      <c r="D44" s="88" t="s">
        <v>959</v>
      </c>
      <c r="E44" s="82">
        <v>45877</v>
      </c>
      <c r="F44" s="5">
        <v>621.89587200000005</v>
      </c>
      <c r="G44" s="83">
        <v>622</v>
      </c>
      <c r="H44" s="83">
        <f t="shared" si="0"/>
        <v>-0.10412799999994604</v>
      </c>
      <c r="I44" s="9">
        <v>45780</v>
      </c>
      <c r="J44" s="9">
        <v>45780</v>
      </c>
      <c r="K44" s="9">
        <f t="shared" si="5"/>
        <v>45782</v>
      </c>
      <c r="L44" s="7">
        <f t="shared" ca="1" si="6"/>
        <v>0</v>
      </c>
      <c r="M44" s="9">
        <f t="shared" si="4"/>
        <v>45795</v>
      </c>
      <c r="N44" s="10">
        <v>45787</v>
      </c>
      <c r="O44" s="7">
        <f t="shared" ca="1" si="3"/>
        <v>8</v>
      </c>
      <c r="P44" s="9"/>
      <c r="Q44" s="8"/>
    </row>
    <row r="45" spans="1:17" ht="14.5">
      <c r="A45" s="296" t="s">
        <v>59</v>
      </c>
      <c r="B45" s="88">
        <v>145</v>
      </c>
      <c r="C45" s="325" t="s">
        <v>839</v>
      </c>
      <c r="D45" s="88" t="s">
        <v>959</v>
      </c>
      <c r="E45" s="82">
        <v>45877</v>
      </c>
      <c r="F45" s="5">
        <v>263.81678400000004</v>
      </c>
      <c r="G45" s="83">
        <v>264</v>
      </c>
      <c r="H45" s="83">
        <f t="shared" si="0"/>
        <v>-0.18321599999995897</v>
      </c>
      <c r="I45" s="9">
        <v>45780</v>
      </c>
      <c r="J45" s="9">
        <v>45780</v>
      </c>
      <c r="K45" s="9">
        <f t="shared" si="5"/>
        <v>45782</v>
      </c>
      <c r="L45" s="7">
        <f t="shared" ca="1" si="6"/>
        <v>0</v>
      </c>
      <c r="M45" s="9">
        <f t="shared" si="4"/>
        <v>45795</v>
      </c>
      <c r="N45" s="10">
        <v>45794</v>
      </c>
      <c r="O45" s="7">
        <f t="shared" ca="1" si="3"/>
        <v>1</v>
      </c>
      <c r="P45" s="9"/>
      <c r="Q45" s="8"/>
    </row>
    <row r="46" spans="1:17" ht="14.5">
      <c r="A46" s="296" t="s">
        <v>59</v>
      </c>
      <c r="B46" s="88">
        <v>146</v>
      </c>
      <c r="C46" s="325" t="s">
        <v>839</v>
      </c>
      <c r="D46" s="88" t="s">
        <v>959</v>
      </c>
      <c r="E46" s="82">
        <v>45877</v>
      </c>
      <c r="F46" s="5">
        <v>263.81678400000004</v>
      </c>
      <c r="G46" s="83">
        <v>264</v>
      </c>
      <c r="H46" s="83">
        <f t="shared" si="0"/>
        <v>-0.18321599999995897</v>
      </c>
      <c r="I46" s="9">
        <v>45780</v>
      </c>
      <c r="J46" s="9">
        <v>45780</v>
      </c>
      <c r="K46" s="9">
        <f t="shared" si="5"/>
        <v>45782</v>
      </c>
      <c r="L46" s="7">
        <f t="shared" ca="1" si="6"/>
        <v>0</v>
      </c>
      <c r="M46" s="9">
        <f t="shared" si="4"/>
        <v>45795</v>
      </c>
      <c r="N46" s="10">
        <v>45794</v>
      </c>
      <c r="O46" s="7">
        <f t="shared" ca="1" si="3"/>
        <v>1</v>
      </c>
      <c r="P46" s="9"/>
      <c r="Q46" s="8"/>
    </row>
    <row r="47" spans="1:17" ht="14.5">
      <c r="A47" s="296" t="s">
        <v>59</v>
      </c>
      <c r="B47" s="88">
        <v>148</v>
      </c>
      <c r="C47" s="325" t="s">
        <v>839</v>
      </c>
      <c r="D47" s="88" t="s">
        <v>959</v>
      </c>
      <c r="E47" s="82">
        <v>45877</v>
      </c>
      <c r="F47" s="5">
        <v>87.212160000000011</v>
      </c>
      <c r="G47" s="83">
        <v>87</v>
      </c>
      <c r="H47" s="83">
        <f t="shared" si="0"/>
        <v>0.21216000000001145</v>
      </c>
      <c r="I47" s="9">
        <v>45780</v>
      </c>
      <c r="J47" s="9">
        <v>45780</v>
      </c>
      <c r="K47" s="9">
        <f t="shared" si="5"/>
        <v>45782</v>
      </c>
      <c r="L47" s="7">
        <f t="shared" ca="1" si="6"/>
        <v>0</v>
      </c>
      <c r="M47" s="9">
        <f t="shared" si="4"/>
        <v>45795</v>
      </c>
      <c r="N47" s="10">
        <v>45794</v>
      </c>
      <c r="O47" s="7">
        <f t="shared" ca="1" si="3"/>
        <v>1</v>
      </c>
      <c r="P47" s="9"/>
      <c r="Q47" s="8"/>
    </row>
    <row r="48" spans="1:17" ht="14.5">
      <c r="A48" s="296" t="s">
        <v>59</v>
      </c>
      <c r="B48" s="88">
        <v>149</v>
      </c>
      <c r="C48" s="325" t="s">
        <v>839</v>
      </c>
      <c r="D48" s="88" t="s">
        <v>959</v>
      </c>
      <c r="E48" s="82">
        <v>45885</v>
      </c>
      <c r="F48" s="5">
        <v>597.40329600000007</v>
      </c>
      <c r="G48" s="83">
        <v>597</v>
      </c>
      <c r="H48" s="83">
        <f t="shared" si="0"/>
        <v>0.40329600000006849</v>
      </c>
      <c r="I48" s="9">
        <v>45780</v>
      </c>
      <c r="J48" s="9">
        <v>45780</v>
      </c>
      <c r="K48" s="9">
        <f t="shared" si="5"/>
        <v>45782</v>
      </c>
      <c r="L48" s="7">
        <f t="shared" ca="1" si="6"/>
        <v>0</v>
      </c>
      <c r="M48" s="9">
        <f t="shared" si="4"/>
        <v>45795</v>
      </c>
      <c r="N48" s="10">
        <v>45794</v>
      </c>
      <c r="O48" s="7">
        <f t="shared" ca="1" si="3"/>
        <v>1</v>
      </c>
      <c r="P48" s="9"/>
      <c r="Q48" s="8"/>
    </row>
    <row r="49" spans="1:17" ht="14.5">
      <c r="A49" s="296" t="s">
        <v>59</v>
      </c>
      <c r="B49" s="88">
        <v>150</v>
      </c>
      <c r="C49" s="325" t="s">
        <v>839</v>
      </c>
      <c r="D49" s="88" t="s">
        <v>959</v>
      </c>
      <c r="E49" s="82">
        <v>45891</v>
      </c>
      <c r="F49" s="5">
        <v>944.07163200000014</v>
      </c>
      <c r="G49" s="83">
        <v>944</v>
      </c>
      <c r="H49" s="83">
        <f t="shared" si="0"/>
        <v>7.1632000000136031E-2</v>
      </c>
      <c r="I49" s="9">
        <v>45780</v>
      </c>
      <c r="J49" s="9">
        <v>45780</v>
      </c>
      <c r="K49" s="9">
        <f t="shared" si="5"/>
        <v>45782</v>
      </c>
      <c r="L49" s="7">
        <f t="shared" ca="1" si="6"/>
        <v>0</v>
      </c>
      <c r="M49" s="9">
        <f t="shared" si="4"/>
        <v>45795</v>
      </c>
      <c r="N49" s="10">
        <v>45794</v>
      </c>
      <c r="O49" s="7">
        <f t="shared" ca="1" si="3"/>
        <v>1</v>
      </c>
      <c r="P49" s="9"/>
      <c r="Q49" s="8"/>
    </row>
    <row r="50" spans="1:17" ht="14.5">
      <c r="A50" s="296" t="s">
        <v>59</v>
      </c>
      <c r="B50" s="88">
        <v>152</v>
      </c>
      <c r="C50" s="325" t="s">
        <v>839</v>
      </c>
      <c r="D50" s="88" t="s">
        <v>959</v>
      </c>
      <c r="E50" s="82">
        <v>45891</v>
      </c>
      <c r="F50" s="5">
        <v>697.69728000000009</v>
      </c>
      <c r="G50" s="83">
        <v>698</v>
      </c>
      <c r="H50" s="83">
        <f t="shared" si="0"/>
        <v>-0.3027199999999084</v>
      </c>
      <c r="I50" s="9">
        <v>45780</v>
      </c>
      <c r="J50" s="9">
        <v>45780</v>
      </c>
      <c r="K50" s="9">
        <f t="shared" si="5"/>
        <v>45782</v>
      </c>
      <c r="L50" s="7">
        <f t="shared" ca="1" si="6"/>
        <v>0</v>
      </c>
      <c r="M50" s="9">
        <f t="shared" si="4"/>
        <v>45795</v>
      </c>
      <c r="N50" s="10">
        <v>45794</v>
      </c>
      <c r="O50" s="7">
        <f t="shared" ca="1" si="3"/>
        <v>1</v>
      </c>
      <c r="P50" s="9"/>
      <c r="Q50" s="8"/>
    </row>
    <row r="51" spans="1:17" ht="14.5">
      <c r="A51" s="88" t="s">
        <v>59</v>
      </c>
      <c r="B51" s="88">
        <v>157</v>
      </c>
      <c r="C51" s="325" t="s">
        <v>390</v>
      </c>
      <c r="D51" s="88" t="s">
        <v>959</v>
      </c>
      <c r="E51" s="82">
        <v>45884</v>
      </c>
      <c r="F51" s="5">
        <v>715.13971200000003</v>
      </c>
      <c r="G51" s="83">
        <v>715</v>
      </c>
      <c r="H51" s="83">
        <f t="shared" ref="H51" si="7">F51-G51</f>
        <v>0.13971200000003137</v>
      </c>
      <c r="I51" s="9">
        <v>45793</v>
      </c>
      <c r="J51" s="9">
        <v>45793</v>
      </c>
      <c r="K51" s="9">
        <f t="shared" ref="K51" si="8">J51+2</f>
        <v>45795</v>
      </c>
      <c r="L51" s="7">
        <f t="shared" ref="L51" ca="1" si="9">+IF(J51="",I51-TODAY(),I51-J51)</f>
        <v>0</v>
      </c>
      <c r="M51" s="9">
        <f t="shared" ref="M51" si="10">I51+15</f>
        <v>45808</v>
      </c>
      <c r="N51" s="10">
        <v>45806</v>
      </c>
      <c r="O51" s="7">
        <f t="shared" ref="O51" ca="1" si="11">+IF(N51="",M51-TODAY(),M51-N51)</f>
        <v>2</v>
      </c>
      <c r="P51" s="9"/>
      <c r="Q51" s="8"/>
    </row>
    <row r="52" spans="1:17" ht="14.5">
      <c r="A52" s="88" t="s">
        <v>59</v>
      </c>
      <c r="B52" s="88">
        <v>157</v>
      </c>
      <c r="C52" s="325" t="s">
        <v>391</v>
      </c>
      <c r="D52" s="88" t="s">
        <v>959</v>
      </c>
      <c r="E52" s="82">
        <v>45884</v>
      </c>
      <c r="F52" s="5">
        <v>626.95193600000005</v>
      </c>
      <c r="G52" s="83">
        <v>627</v>
      </c>
      <c r="H52" s="83">
        <f t="shared" ref="H52:H62" si="12">F52-G52</f>
        <v>-4.8063999999953921E-2</v>
      </c>
      <c r="I52" s="9">
        <v>45793</v>
      </c>
      <c r="J52" s="9">
        <v>45793</v>
      </c>
      <c r="K52" s="9">
        <f t="shared" ref="K52:K62" si="13">J52+2</f>
        <v>45795</v>
      </c>
      <c r="L52" s="7">
        <f t="shared" ref="L52:L62" ca="1" si="14">+IF(J52="",I52-TODAY(),I52-J52)</f>
        <v>0</v>
      </c>
      <c r="M52" s="9">
        <f t="shared" ref="M52:M62" si="15">I52+15</f>
        <v>45808</v>
      </c>
      <c r="N52" s="10">
        <v>45796</v>
      </c>
      <c r="O52" s="7">
        <f t="shared" ref="O52:O62" ca="1" si="16">+IF(N52="",M52-TODAY(),M52-N52)</f>
        <v>12</v>
      </c>
      <c r="P52" s="9"/>
      <c r="Q52" s="8"/>
    </row>
    <row r="53" spans="1:17" ht="14.5">
      <c r="A53" s="88" t="s">
        <v>59</v>
      </c>
      <c r="B53" s="88">
        <v>158</v>
      </c>
      <c r="C53" s="325" t="s">
        <v>893</v>
      </c>
      <c r="D53" s="88" t="s">
        <v>959</v>
      </c>
      <c r="E53" s="82">
        <v>45884</v>
      </c>
      <c r="F53" s="5">
        <v>976.77619200000015</v>
      </c>
      <c r="G53" s="83">
        <v>977</v>
      </c>
      <c r="H53" s="83">
        <f t="shared" si="12"/>
        <v>-0.22380799999984902</v>
      </c>
      <c r="I53" s="9">
        <v>45793</v>
      </c>
      <c r="J53" s="9">
        <v>45793</v>
      </c>
      <c r="K53" s="9">
        <f t="shared" si="13"/>
        <v>45795</v>
      </c>
      <c r="L53" s="7">
        <f t="shared" ca="1" si="14"/>
        <v>0</v>
      </c>
      <c r="M53" s="9">
        <f t="shared" si="15"/>
        <v>45808</v>
      </c>
      <c r="N53" s="10">
        <v>45806</v>
      </c>
      <c r="O53" s="7">
        <f t="shared" ca="1" si="16"/>
        <v>2</v>
      </c>
      <c r="P53" s="9"/>
      <c r="Q53" s="8"/>
    </row>
    <row r="54" spans="1:17" ht="14.5">
      <c r="A54" s="88" t="s">
        <v>59</v>
      </c>
      <c r="B54" s="88">
        <v>158</v>
      </c>
      <c r="C54" s="325" t="s">
        <v>391</v>
      </c>
      <c r="D54" s="88" t="s">
        <v>959</v>
      </c>
      <c r="E54" s="82">
        <v>45884</v>
      </c>
      <c r="F54" s="5">
        <v>687.62470400000007</v>
      </c>
      <c r="G54" s="83">
        <v>688</v>
      </c>
      <c r="H54" s="83">
        <f t="shared" si="12"/>
        <v>-0.37529599999993479</v>
      </c>
      <c r="I54" s="9">
        <v>45793</v>
      </c>
      <c r="J54" s="9">
        <v>45793</v>
      </c>
      <c r="K54" s="9">
        <f t="shared" si="13"/>
        <v>45795</v>
      </c>
      <c r="L54" s="7">
        <f t="shared" ca="1" si="14"/>
        <v>0</v>
      </c>
      <c r="M54" s="9">
        <f t="shared" si="15"/>
        <v>45808</v>
      </c>
      <c r="N54" s="10">
        <v>45796</v>
      </c>
      <c r="O54" s="7">
        <f t="shared" ca="1" si="16"/>
        <v>12</v>
      </c>
      <c r="P54" s="9"/>
      <c r="Q54" s="8"/>
    </row>
    <row r="55" spans="1:17" ht="14.5">
      <c r="A55" s="88" t="s">
        <v>59</v>
      </c>
      <c r="B55" s="88">
        <v>159</v>
      </c>
      <c r="C55" s="325" t="s">
        <v>391</v>
      </c>
      <c r="D55" s="88" t="s">
        <v>959</v>
      </c>
      <c r="E55" s="82">
        <v>45891</v>
      </c>
      <c r="F55" s="5">
        <v>626</v>
      </c>
      <c r="G55" s="83">
        <v>626</v>
      </c>
      <c r="H55" s="83">
        <f t="shared" si="12"/>
        <v>0</v>
      </c>
      <c r="I55" s="9">
        <v>45793</v>
      </c>
      <c r="J55" s="9">
        <v>45793</v>
      </c>
      <c r="K55" s="9">
        <f t="shared" si="13"/>
        <v>45795</v>
      </c>
      <c r="L55" s="7">
        <f t="shared" ca="1" si="14"/>
        <v>0</v>
      </c>
      <c r="M55" s="9">
        <f t="shared" si="15"/>
        <v>45808</v>
      </c>
      <c r="N55" s="10">
        <v>45796</v>
      </c>
      <c r="O55" s="7">
        <f t="shared" ca="1" si="16"/>
        <v>12</v>
      </c>
      <c r="P55" s="9"/>
      <c r="Q55" s="8"/>
    </row>
    <row r="56" spans="1:17" ht="14.5">
      <c r="A56" s="88" t="s">
        <v>59</v>
      </c>
      <c r="B56" s="88">
        <v>160</v>
      </c>
      <c r="C56" s="325" t="s">
        <v>893</v>
      </c>
      <c r="D56" s="88" t="s">
        <v>959</v>
      </c>
      <c r="E56" s="82">
        <v>45891</v>
      </c>
      <c r="F56" s="5">
        <v>821.9746080000001</v>
      </c>
      <c r="G56" s="83">
        <v>822</v>
      </c>
      <c r="H56" s="83">
        <f t="shared" si="12"/>
        <v>-2.5391999999897052E-2</v>
      </c>
      <c r="I56" s="9">
        <v>45793</v>
      </c>
      <c r="J56" s="9">
        <v>45793</v>
      </c>
      <c r="K56" s="9">
        <f t="shared" si="13"/>
        <v>45795</v>
      </c>
      <c r="L56" s="7">
        <f t="shared" ca="1" si="14"/>
        <v>0</v>
      </c>
      <c r="M56" s="9">
        <f t="shared" si="15"/>
        <v>45808</v>
      </c>
      <c r="N56" s="10">
        <v>45806</v>
      </c>
      <c r="O56" s="7">
        <f t="shared" ca="1" si="16"/>
        <v>2</v>
      </c>
      <c r="P56" s="9"/>
      <c r="Q56" s="8"/>
    </row>
    <row r="57" spans="1:17" ht="14.5">
      <c r="A57" s="88" t="s">
        <v>59</v>
      </c>
      <c r="B57" s="88">
        <v>160</v>
      </c>
      <c r="C57" s="325" t="s">
        <v>391</v>
      </c>
      <c r="D57" s="88" t="s">
        <v>959</v>
      </c>
      <c r="E57" s="82">
        <v>45891</v>
      </c>
      <c r="F57" s="5">
        <v>126.4016</v>
      </c>
      <c r="G57" s="83">
        <v>126</v>
      </c>
      <c r="H57" s="83">
        <f t="shared" si="12"/>
        <v>0.40160000000000196</v>
      </c>
      <c r="I57" s="9">
        <v>45793</v>
      </c>
      <c r="J57" s="9">
        <v>45793</v>
      </c>
      <c r="K57" s="9">
        <f t="shared" si="13"/>
        <v>45795</v>
      </c>
      <c r="L57" s="7">
        <f t="shared" ca="1" si="14"/>
        <v>0</v>
      </c>
      <c r="M57" s="9">
        <f t="shared" si="15"/>
        <v>45808</v>
      </c>
      <c r="N57" s="10">
        <v>45796</v>
      </c>
      <c r="O57" s="7">
        <f t="shared" ca="1" si="16"/>
        <v>12</v>
      </c>
      <c r="P57" s="9"/>
      <c r="Q57" s="8"/>
    </row>
    <row r="58" spans="1:17" ht="14.5">
      <c r="A58" s="88" t="s">
        <v>59</v>
      </c>
      <c r="B58" s="88">
        <v>161</v>
      </c>
      <c r="C58" s="325" t="s">
        <v>391</v>
      </c>
      <c r="D58" s="88" t="s">
        <v>959</v>
      </c>
      <c r="E58" s="82">
        <v>45898</v>
      </c>
      <c r="F58" s="5">
        <v>475.27001600000006</v>
      </c>
      <c r="G58" s="83">
        <v>475</v>
      </c>
      <c r="H58" s="83">
        <f t="shared" si="12"/>
        <v>0.2700160000000551</v>
      </c>
      <c r="I58" s="9">
        <v>45793</v>
      </c>
      <c r="J58" s="9">
        <v>45793</v>
      </c>
      <c r="K58" s="9">
        <f t="shared" si="13"/>
        <v>45795</v>
      </c>
      <c r="L58" s="7">
        <f t="shared" ca="1" si="14"/>
        <v>0</v>
      </c>
      <c r="M58" s="9">
        <f t="shared" si="15"/>
        <v>45808</v>
      </c>
      <c r="N58" s="10">
        <v>45796</v>
      </c>
      <c r="O58" s="7">
        <f t="shared" ca="1" si="16"/>
        <v>12</v>
      </c>
      <c r="P58" s="9"/>
      <c r="Q58" s="8"/>
    </row>
    <row r="59" spans="1:17" ht="14.5">
      <c r="A59" s="88" t="s">
        <v>59</v>
      </c>
      <c r="B59" s="88">
        <v>163</v>
      </c>
      <c r="C59" s="326" t="s">
        <v>893</v>
      </c>
      <c r="D59" s="88" t="s">
        <v>959</v>
      </c>
      <c r="E59" s="82">
        <v>45905</v>
      </c>
      <c r="F59" s="5">
        <v>706</v>
      </c>
      <c r="G59" s="83">
        <v>706</v>
      </c>
      <c r="H59" s="83">
        <f t="shared" si="12"/>
        <v>0</v>
      </c>
      <c r="I59" s="9">
        <v>45793</v>
      </c>
      <c r="J59" s="9">
        <v>45793</v>
      </c>
      <c r="K59" s="9">
        <f t="shared" si="13"/>
        <v>45795</v>
      </c>
      <c r="L59" s="7">
        <f t="shared" ca="1" si="14"/>
        <v>0</v>
      </c>
      <c r="M59" s="9">
        <f>I59+20</f>
        <v>45813</v>
      </c>
      <c r="N59" s="10">
        <v>45813</v>
      </c>
      <c r="O59" s="7">
        <f t="shared" ca="1" si="16"/>
        <v>0</v>
      </c>
      <c r="P59" s="9"/>
      <c r="Q59" s="8"/>
    </row>
    <row r="60" spans="1:17" ht="14.5">
      <c r="A60" s="88" t="s">
        <v>59</v>
      </c>
      <c r="B60" s="88">
        <v>166</v>
      </c>
      <c r="C60" s="325" t="s">
        <v>893</v>
      </c>
      <c r="D60" s="88" t="s">
        <v>959</v>
      </c>
      <c r="E60" s="82">
        <v>45870</v>
      </c>
      <c r="F60" s="5">
        <v>531</v>
      </c>
      <c r="G60" s="83">
        <v>531</v>
      </c>
      <c r="H60" s="83">
        <f t="shared" si="12"/>
        <v>0</v>
      </c>
      <c r="I60" s="9">
        <v>45793</v>
      </c>
      <c r="J60" s="9">
        <v>45793</v>
      </c>
      <c r="K60" s="9">
        <f t="shared" si="13"/>
        <v>45795</v>
      </c>
      <c r="L60" s="7">
        <f t="shared" ca="1" si="14"/>
        <v>0</v>
      </c>
      <c r="M60" s="9">
        <f t="shared" si="15"/>
        <v>45808</v>
      </c>
      <c r="N60" s="10">
        <v>45806</v>
      </c>
      <c r="O60" s="7">
        <f t="shared" ca="1" si="16"/>
        <v>2</v>
      </c>
      <c r="P60" s="9"/>
      <c r="Q60" s="8"/>
    </row>
    <row r="61" spans="1:17" ht="14.5">
      <c r="A61" s="88" t="s">
        <v>59</v>
      </c>
      <c r="B61" s="88">
        <v>168</v>
      </c>
      <c r="C61" s="325" t="s">
        <v>391</v>
      </c>
      <c r="D61" s="88" t="s">
        <v>959</v>
      </c>
      <c r="E61" s="82">
        <v>45874</v>
      </c>
      <c r="F61" s="5">
        <v>626</v>
      </c>
      <c r="G61" s="83">
        <v>626</v>
      </c>
      <c r="H61" s="83">
        <f t="shared" si="12"/>
        <v>0</v>
      </c>
      <c r="I61" s="9">
        <v>45793</v>
      </c>
      <c r="J61" s="9">
        <v>45793</v>
      </c>
      <c r="K61" s="9">
        <f t="shared" si="13"/>
        <v>45795</v>
      </c>
      <c r="L61" s="7">
        <f t="shared" ca="1" si="14"/>
        <v>0</v>
      </c>
      <c r="M61" s="9">
        <f t="shared" si="15"/>
        <v>45808</v>
      </c>
      <c r="N61" s="10">
        <v>45796</v>
      </c>
      <c r="O61" s="7">
        <f t="shared" ca="1" si="16"/>
        <v>12</v>
      </c>
      <c r="P61" s="9"/>
      <c r="Q61" s="8"/>
    </row>
    <row r="62" spans="1:17" ht="14.5">
      <c r="A62" s="88" t="s">
        <v>59</v>
      </c>
      <c r="B62" s="88">
        <v>171</v>
      </c>
      <c r="C62" s="325" t="s">
        <v>390</v>
      </c>
      <c r="D62" s="88" t="s">
        <v>959</v>
      </c>
      <c r="E62" s="82">
        <v>45891</v>
      </c>
      <c r="F62" s="5">
        <v>647</v>
      </c>
      <c r="G62" s="83">
        <v>647</v>
      </c>
      <c r="H62" s="83">
        <f t="shared" si="12"/>
        <v>0</v>
      </c>
      <c r="I62" s="9">
        <v>45793</v>
      </c>
      <c r="J62" s="9">
        <v>45793</v>
      </c>
      <c r="K62" s="9">
        <f t="shared" si="13"/>
        <v>45795</v>
      </c>
      <c r="L62" s="7">
        <f t="shared" ca="1" si="14"/>
        <v>0</v>
      </c>
      <c r="M62" s="9">
        <f t="shared" si="15"/>
        <v>45808</v>
      </c>
      <c r="N62" s="10">
        <v>45806</v>
      </c>
      <c r="O62" s="7">
        <f t="shared" ca="1" si="16"/>
        <v>2</v>
      </c>
      <c r="P62" s="9"/>
      <c r="Q62" s="8"/>
    </row>
    <row r="63" spans="1:17" ht="14.5">
      <c r="A63" s="88" t="s">
        <v>59</v>
      </c>
      <c r="B63" s="88">
        <v>180</v>
      </c>
      <c r="C63" s="88" t="s">
        <v>390</v>
      </c>
      <c r="D63" s="88" t="s">
        <v>959</v>
      </c>
      <c r="E63" s="82">
        <v>45885</v>
      </c>
      <c r="F63" s="5">
        <v>1022.96304</v>
      </c>
      <c r="G63" s="83">
        <v>1023</v>
      </c>
      <c r="H63" s="83">
        <f t="shared" ref="H63" si="17">F63-G63</f>
        <v>-3.6960000000021864E-2</v>
      </c>
      <c r="I63" s="9">
        <v>45806</v>
      </c>
      <c r="J63" s="9">
        <v>45806</v>
      </c>
      <c r="K63" s="9">
        <f t="shared" ref="K63" si="18">J63+2</f>
        <v>45808</v>
      </c>
      <c r="L63" s="7">
        <f t="shared" ref="L63" ca="1" si="19">+IF(J63="",I63-TODAY(),I63-J63)</f>
        <v>0</v>
      </c>
      <c r="M63" s="9">
        <f t="shared" ref="M63:M76" si="20">E63-40-15</f>
        <v>45830</v>
      </c>
      <c r="N63" s="10">
        <v>45818</v>
      </c>
      <c r="O63" s="7">
        <f t="shared" ref="O63" ca="1" si="21">+IF(N63="",M63-TODAY(),M63-N63)</f>
        <v>12</v>
      </c>
      <c r="P63" s="9"/>
      <c r="Q63" s="8"/>
    </row>
    <row r="64" spans="1:17" ht="14.5">
      <c r="A64" s="88" t="s">
        <v>59</v>
      </c>
      <c r="B64" s="88">
        <v>183</v>
      </c>
      <c r="C64" s="88" t="s">
        <v>391</v>
      </c>
      <c r="D64" s="88" t="s">
        <v>959</v>
      </c>
      <c r="E64" s="82">
        <v>45885</v>
      </c>
      <c r="F64" s="5">
        <v>1008.5759999999999</v>
      </c>
      <c r="G64" s="83">
        <v>1009</v>
      </c>
      <c r="H64" s="83">
        <f t="shared" ref="H64:H76" si="22">F64-G64</f>
        <v>-0.42400000000009186</v>
      </c>
      <c r="I64" s="9">
        <v>45806</v>
      </c>
      <c r="J64" s="9">
        <v>45806</v>
      </c>
      <c r="K64" s="9">
        <f t="shared" ref="K64:K76" si="23">J64+2</f>
        <v>45808</v>
      </c>
      <c r="L64" s="7">
        <f t="shared" ref="L64:L76" ca="1" si="24">+IF(J64="",I64-TODAY(),I64-J64)</f>
        <v>0</v>
      </c>
      <c r="M64" s="9">
        <f t="shared" si="20"/>
        <v>45830</v>
      </c>
      <c r="N64" s="10">
        <v>45818</v>
      </c>
      <c r="O64" s="7">
        <f t="shared" ref="O64:O76" ca="1" si="25">+IF(N64="",M64-TODAY(),M64-N64)</f>
        <v>12</v>
      </c>
      <c r="P64" s="9"/>
      <c r="Q64" s="8"/>
    </row>
    <row r="65" spans="1:17" ht="14.5">
      <c r="A65" s="88" t="s">
        <v>59</v>
      </c>
      <c r="B65" s="88">
        <v>183</v>
      </c>
      <c r="C65" s="88" t="s">
        <v>390</v>
      </c>
      <c r="D65" s="88" t="s">
        <v>959</v>
      </c>
      <c r="E65" s="82">
        <v>45885</v>
      </c>
      <c r="F65" s="5">
        <v>686.46204</v>
      </c>
      <c r="G65" s="83">
        <v>686</v>
      </c>
      <c r="H65" s="83">
        <f t="shared" si="22"/>
        <v>0.46204000000000178</v>
      </c>
      <c r="I65" s="9">
        <v>45806</v>
      </c>
      <c r="J65" s="9">
        <v>45806</v>
      </c>
      <c r="K65" s="9">
        <f t="shared" si="23"/>
        <v>45808</v>
      </c>
      <c r="L65" s="7">
        <f t="shared" ca="1" si="24"/>
        <v>0</v>
      </c>
      <c r="M65" s="9">
        <f t="shared" si="20"/>
        <v>45830</v>
      </c>
      <c r="N65" s="10">
        <v>45818</v>
      </c>
      <c r="O65" s="7">
        <f t="shared" ca="1" si="25"/>
        <v>12</v>
      </c>
      <c r="P65" s="9"/>
      <c r="Q65" s="8"/>
    </row>
    <row r="66" spans="1:17" ht="14.5">
      <c r="A66" s="88" t="s">
        <v>59</v>
      </c>
      <c r="B66" s="88">
        <v>184</v>
      </c>
      <c r="C66" s="88" t="s">
        <v>390</v>
      </c>
      <c r="D66" s="88" t="s">
        <v>959</v>
      </c>
      <c r="E66" s="82">
        <v>45885</v>
      </c>
      <c r="F66" s="5">
        <v>704.40876000000003</v>
      </c>
      <c r="G66" s="83">
        <v>704</v>
      </c>
      <c r="H66" s="83">
        <f t="shared" si="22"/>
        <v>0.40876000000002932</v>
      </c>
      <c r="I66" s="9">
        <v>45806</v>
      </c>
      <c r="J66" s="9">
        <v>45806</v>
      </c>
      <c r="K66" s="9">
        <f t="shared" si="23"/>
        <v>45808</v>
      </c>
      <c r="L66" s="7">
        <f t="shared" ca="1" si="24"/>
        <v>0</v>
      </c>
      <c r="M66" s="9">
        <f t="shared" si="20"/>
        <v>45830</v>
      </c>
      <c r="N66" s="10">
        <v>45818</v>
      </c>
      <c r="O66" s="7">
        <f t="shared" ca="1" si="25"/>
        <v>12</v>
      </c>
      <c r="P66" s="9"/>
      <c r="Q66" s="8"/>
    </row>
    <row r="67" spans="1:17" ht="14.5">
      <c r="A67" s="88" t="s">
        <v>59</v>
      </c>
      <c r="B67" s="88">
        <v>186</v>
      </c>
      <c r="C67" s="88" t="s">
        <v>391</v>
      </c>
      <c r="D67" s="88" t="s">
        <v>959</v>
      </c>
      <c r="E67" s="82">
        <v>45892</v>
      </c>
      <c r="F67" s="5">
        <v>630.36</v>
      </c>
      <c r="G67" s="83">
        <v>630</v>
      </c>
      <c r="H67" s="83">
        <f t="shared" si="22"/>
        <v>0.36000000000001364</v>
      </c>
      <c r="I67" s="9">
        <v>45806</v>
      </c>
      <c r="J67" s="9">
        <v>45806</v>
      </c>
      <c r="K67" s="9">
        <f t="shared" si="23"/>
        <v>45808</v>
      </c>
      <c r="L67" s="7">
        <f t="shared" ca="1" si="24"/>
        <v>0</v>
      </c>
      <c r="M67" s="9">
        <f t="shared" si="20"/>
        <v>45837</v>
      </c>
      <c r="N67" s="10">
        <v>45818</v>
      </c>
      <c r="O67" s="7">
        <f t="shared" ca="1" si="25"/>
        <v>19</v>
      </c>
      <c r="P67" s="9"/>
      <c r="Q67" s="8"/>
    </row>
    <row r="68" spans="1:17" ht="14.5">
      <c r="A68" s="88" t="s">
        <v>59</v>
      </c>
      <c r="B68" s="88">
        <v>188</v>
      </c>
      <c r="C68" s="88" t="s">
        <v>391</v>
      </c>
      <c r="D68" s="88" t="s">
        <v>959</v>
      </c>
      <c r="E68" s="82">
        <v>45899</v>
      </c>
      <c r="F68" s="5">
        <v>630.36</v>
      </c>
      <c r="G68" s="83">
        <v>630</v>
      </c>
      <c r="H68" s="83">
        <f t="shared" si="22"/>
        <v>0.36000000000001364</v>
      </c>
      <c r="I68" s="9">
        <v>45806</v>
      </c>
      <c r="J68" s="9">
        <v>45806</v>
      </c>
      <c r="K68" s="9">
        <f t="shared" si="23"/>
        <v>45808</v>
      </c>
      <c r="L68" s="7">
        <f t="shared" ca="1" si="24"/>
        <v>0</v>
      </c>
      <c r="M68" s="9">
        <f t="shared" si="20"/>
        <v>45844</v>
      </c>
      <c r="N68" s="10">
        <v>45818</v>
      </c>
      <c r="O68" s="7">
        <f t="shared" ca="1" si="25"/>
        <v>26</v>
      </c>
      <c r="P68" s="9"/>
      <c r="Q68" s="8"/>
    </row>
    <row r="69" spans="1:17" ht="14.5">
      <c r="A69" s="88" t="s">
        <v>59</v>
      </c>
      <c r="B69" s="88">
        <v>188</v>
      </c>
      <c r="C69" s="88" t="s">
        <v>390</v>
      </c>
      <c r="D69" s="88" t="s">
        <v>959</v>
      </c>
      <c r="E69" s="82">
        <v>45899</v>
      </c>
      <c r="F69" s="5">
        <v>412.77456000000001</v>
      </c>
      <c r="G69" s="83">
        <v>413</v>
      </c>
      <c r="H69" s="83">
        <f t="shared" si="22"/>
        <v>-0.22543999999999187</v>
      </c>
      <c r="I69" s="9">
        <v>45806</v>
      </c>
      <c r="J69" s="9">
        <v>45806</v>
      </c>
      <c r="K69" s="9">
        <f t="shared" si="23"/>
        <v>45808</v>
      </c>
      <c r="L69" s="7">
        <f t="shared" ca="1" si="24"/>
        <v>0</v>
      </c>
      <c r="M69" s="9">
        <f t="shared" si="20"/>
        <v>45844</v>
      </c>
      <c r="N69" s="10">
        <v>45818</v>
      </c>
      <c r="O69" s="7">
        <f t="shared" ca="1" si="25"/>
        <v>26</v>
      </c>
      <c r="P69" s="9"/>
      <c r="Q69" s="8"/>
    </row>
    <row r="70" spans="1:17" ht="14.5">
      <c r="A70" s="88" t="s">
        <v>59</v>
      </c>
      <c r="B70" s="88">
        <v>190</v>
      </c>
      <c r="C70" s="88" t="s">
        <v>391</v>
      </c>
      <c r="D70" s="88" t="s">
        <v>959</v>
      </c>
      <c r="E70" s="82">
        <v>45899</v>
      </c>
      <c r="F70" s="5">
        <v>630.36</v>
      </c>
      <c r="G70" s="83">
        <v>630</v>
      </c>
      <c r="H70" s="83">
        <f t="shared" si="22"/>
        <v>0.36000000000001364</v>
      </c>
      <c r="I70" s="9">
        <v>45806</v>
      </c>
      <c r="J70" s="9">
        <v>45806</v>
      </c>
      <c r="K70" s="9">
        <f t="shared" si="23"/>
        <v>45808</v>
      </c>
      <c r="L70" s="7">
        <f t="shared" ca="1" si="24"/>
        <v>0</v>
      </c>
      <c r="M70" s="9">
        <f t="shared" si="20"/>
        <v>45844</v>
      </c>
      <c r="N70" s="10">
        <v>45818</v>
      </c>
      <c r="O70" s="7">
        <f t="shared" ca="1" si="25"/>
        <v>26</v>
      </c>
      <c r="P70" s="9"/>
      <c r="Q70" s="8"/>
    </row>
    <row r="71" spans="1:17" ht="14.5">
      <c r="A71" s="88" t="s">
        <v>59</v>
      </c>
      <c r="B71" s="88">
        <v>190</v>
      </c>
      <c r="C71" s="88" t="s">
        <v>390</v>
      </c>
      <c r="D71" s="88" t="s">
        <v>959</v>
      </c>
      <c r="E71" s="82">
        <v>45899</v>
      </c>
      <c r="F71" s="5">
        <v>208.63061999999999</v>
      </c>
      <c r="G71" s="83">
        <v>209</v>
      </c>
      <c r="H71" s="83">
        <f t="shared" si="22"/>
        <v>-0.3693800000000067</v>
      </c>
      <c r="I71" s="9">
        <v>45806</v>
      </c>
      <c r="J71" s="9">
        <v>45806</v>
      </c>
      <c r="K71" s="9">
        <f t="shared" si="23"/>
        <v>45808</v>
      </c>
      <c r="L71" s="7">
        <f t="shared" ca="1" si="24"/>
        <v>0</v>
      </c>
      <c r="M71" s="9">
        <f t="shared" si="20"/>
        <v>45844</v>
      </c>
      <c r="N71" s="10">
        <v>45818</v>
      </c>
      <c r="O71" s="7">
        <f t="shared" ca="1" si="25"/>
        <v>26</v>
      </c>
      <c r="P71" s="9"/>
      <c r="Q71" s="8"/>
    </row>
    <row r="72" spans="1:17" ht="14.5">
      <c r="A72" s="88" t="s">
        <v>59</v>
      </c>
      <c r="B72" s="88">
        <v>191</v>
      </c>
      <c r="C72" s="88" t="s">
        <v>390</v>
      </c>
      <c r="D72" s="88" t="s">
        <v>959</v>
      </c>
      <c r="E72" s="82">
        <v>45913</v>
      </c>
      <c r="F72" s="5">
        <v>83.003579999999999</v>
      </c>
      <c r="G72" s="83"/>
      <c r="H72" s="83">
        <f t="shared" si="22"/>
        <v>83.003579999999999</v>
      </c>
      <c r="I72" s="9">
        <v>45806</v>
      </c>
      <c r="J72" s="9">
        <v>45806</v>
      </c>
      <c r="K72" s="9">
        <f t="shared" si="23"/>
        <v>45808</v>
      </c>
      <c r="L72" s="7">
        <f t="shared" ca="1" si="24"/>
        <v>0</v>
      </c>
      <c r="M72" s="9">
        <f t="shared" si="20"/>
        <v>45858</v>
      </c>
      <c r="N72" s="10"/>
      <c r="O72" s="7">
        <f t="shared" ca="1" si="25"/>
        <v>18</v>
      </c>
      <c r="P72" s="9"/>
      <c r="Q72" s="8"/>
    </row>
    <row r="73" spans="1:17" ht="14.5">
      <c r="A73" s="88" t="s">
        <v>59</v>
      </c>
      <c r="B73" s="88">
        <v>192</v>
      </c>
      <c r="C73" s="88" t="s">
        <v>391</v>
      </c>
      <c r="D73" s="88" t="s">
        <v>959</v>
      </c>
      <c r="E73" s="82">
        <v>45913</v>
      </c>
      <c r="F73" s="5">
        <v>315.18</v>
      </c>
      <c r="G73" s="83"/>
      <c r="H73" s="83">
        <f t="shared" si="22"/>
        <v>315.18</v>
      </c>
      <c r="I73" s="9">
        <v>45806</v>
      </c>
      <c r="J73" s="9">
        <v>45806</v>
      </c>
      <c r="K73" s="9">
        <f t="shared" si="23"/>
        <v>45808</v>
      </c>
      <c r="L73" s="7">
        <f t="shared" ca="1" si="24"/>
        <v>0</v>
      </c>
      <c r="M73" s="9">
        <f t="shared" si="20"/>
        <v>45858</v>
      </c>
      <c r="N73" s="10"/>
      <c r="O73" s="7">
        <f t="shared" ca="1" si="25"/>
        <v>18</v>
      </c>
      <c r="P73" s="9"/>
      <c r="Q73" s="8"/>
    </row>
    <row r="74" spans="1:17" ht="14.5">
      <c r="A74" s="88" t="s">
        <v>59</v>
      </c>
      <c r="B74" s="88">
        <v>192</v>
      </c>
      <c r="C74" s="88" t="s">
        <v>390</v>
      </c>
      <c r="D74" s="88" t="s">
        <v>959</v>
      </c>
      <c r="E74" s="82">
        <v>45913</v>
      </c>
      <c r="F74" s="5">
        <v>136.09595999999999</v>
      </c>
      <c r="G74" s="83"/>
      <c r="H74" s="83">
        <f t="shared" si="22"/>
        <v>136.09595999999999</v>
      </c>
      <c r="I74" s="9">
        <v>45806</v>
      </c>
      <c r="J74" s="9">
        <v>45806</v>
      </c>
      <c r="K74" s="9">
        <f t="shared" si="23"/>
        <v>45808</v>
      </c>
      <c r="L74" s="7">
        <f t="shared" ca="1" si="24"/>
        <v>0</v>
      </c>
      <c r="M74" s="9">
        <f t="shared" si="20"/>
        <v>45858</v>
      </c>
      <c r="N74" s="10"/>
      <c r="O74" s="7">
        <f t="shared" ca="1" si="25"/>
        <v>18</v>
      </c>
      <c r="P74" s="9"/>
      <c r="Q74" s="8"/>
    </row>
    <row r="75" spans="1:17" ht="14.5">
      <c r="A75" s="88" t="s">
        <v>59</v>
      </c>
      <c r="B75" s="88">
        <v>193</v>
      </c>
      <c r="C75" s="88" t="s">
        <v>391</v>
      </c>
      <c r="D75" s="88" t="s">
        <v>959</v>
      </c>
      <c r="E75" s="82">
        <v>45913</v>
      </c>
      <c r="F75" s="5">
        <v>189.108</v>
      </c>
      <c r="G75" s="83"/>
      <c r="H75" s="83">
        <f t="shared" si="22"/>
        <v>189.108</v>
      </c>
      <c r="I75" s="9">
        <v>45806</v>
      </c>
      <c r="J75" s="9">
        <v>45806</v>
      </c>
      <c r="K75" s="9">
        <f t="shared" si="23"/>
        <v>45808</v>
      </c>
      <c r="L75" s="7">
        <f t="shared" ca="1" si="24"/>
        <v>0</v>
      </c>
      <c r="M75" s="9">
        <f t="shared" si="20"/>
        <v>45858</v>
      </c>
      <c r="N75" s="10"/>
      <c r="O75" s="7">
        <f t="shared" ca="1" si="25"/>
        <v>18</v>
      </c>
      <c r="P75" s="9"/>
      <c r="Q75" s="8"/>
    </row>
    <row r="76" spans="1:17" ht="14.5">
      <c r="A76" s="88" t="s">
        <v>59</v>
      </c>
      <c r="B76" s="88">
        <v>193</v>
      </c>
      <c r="C76" s="88" t="s">
        <v>390</v>
      </c>
      <c r="D76" s="88" t="s">
        <v>959</v>
      </c>
      <c r="E76" s="82">
        <v>45913</v>
      </c>
      <c r="F76" s="5">
        <v>334.09080000000006</v>
      </c>
      <c r="G76" s="83"/>
      <c r="H76" s="83">
        <f t="shared" si="22"/>
        <v>334.09080000000006</v>
      </c>
      <c r="I76" s="9">
        <v>45806</v>
      </c>
      <c r="J76" s="9">
        <v>45806</v>
      </c>
      <c r="K76" s="9">
        <f t="shared" si="23"/>
        <v>45808</v>
      </c>
      <c r="L76" s="7">
        <f t="shared" ca="1" si="24"/>
        <v>0</v>
      </c>
      <c r="M76" s="9">
        <f t="shared" si="20"/>
        <v>45858</v>
      </c>
      <c r="N76" s="10"/>
      <c r="O76" s="7">
        <f t="shared" ca="1" si="25"/>
        <v>18</v>
      </c>
      <c r="P76" s="9"/>
      <c r="Q76" s="8"/>
    </row>
    <row r="77" spans="1:17" ht="14.5">
      <c r="A77" s="88" t="s">
        <v>59</v>
      </c>
      <c r="B77" s="88">
        <v>196</v>
      </c>
      <c r="C77" s="88" t="s">
        <v>390</v>
      </c>
      <c r="D77" s="88" t="s">
        <v>959</v>
      </c>
      <c r="E77" s="82">
        <v>45892</v>
      </c>
      <c r="F77" s="5">
        <v>650.56859999999995</v>
      </c>
      <c r="G77" s="83">
        <v>651</v>
      </c>
      <c r="H77" s="83">
        <f t="shared" ref="H77" si="26">F77-G77</f>
        <v>-0.4314000000000533</v>
      </c>
      <c r="I77" s="9">
        <v>45811</v>
      </c>
      <c r="J77" s="9">
        <v>45811</v>
      </c>
      <c r="K77" s="9">
        <f t="shared" ref="K77" si="27">J77+2</f>
        <v>45813</v>
      </c>
      <c r="L77" s="7">
        <f t="shared" ref="L77" ca="1" si="28">+IF(J77="",I77-TODAY(),I77-J77)</f>
        <v>0</v>
      </c>
      <c r="M77" s="9">
        <f t="shared" ref="M77:M92" si="29">E77-34-15</f>
        <v>45843</v>
      </c>
      <c r="N77" s="10">
        <v>45818</v>
      </c>
      <c r="O77" s="7">
        <f t="shared" ref="O77" ca="1" si="30">+IF(N77="",M77-TODAY(),M77-N77)</f>
        <v>25</v>
      </c>
      <c r="P77" s="9"/>
      <c r="Q77" s="8"/>
    </row>
    <row r="78" spans="1:17" ht="14.5">
      <c r="A78" s="88" t="s">
        <v>59</v>
      </c>
      <c r="B78" s="88">
        <v>198</v>
      </c>
      <c r="C78" s="88" t="s">
        <v>390</v>
      </c>
      <c r="D78" s="88" t="s">
        <v>959</v>
      </c>
      <c r="E78" s="82">
        <v>45899</v>
      </c>
      <c r="F78" s="5">
        <v>103.19364</v>
      </c>
      <c r="G78" s="83"/>
      <c r="H78" s="83">
        <f t="shared" ref="H78:H92" si="31">F78-G78</f>
        <v>103.19364</v>
      </c>
      <c r="I78" s="9">
        <v>45811</v>
      </c>
      <c r="J78" s="9">
        <v>45811</v>
      </c>
      <c r="K78" s="9">
        <f t="shared" ref="K78:K92" si="32">J78+2</f>
        <v>45813</v>
      </c>
      <c r="L78" s="7">
        <f t="shared" ref="L78:L92" ca="1" si="33">+IF(J78="",I78-TODAY(),I78-J78)</f>
        <v>0</v>
      </c>
      <c r="M78" s="9">
        <f t="shared" si="29"/>
        <v>45850</v>
      </c>
      <c r="N78" s="10"/>
      <c r="O78" s="7">
        <f t="shared" ref="O78:O92" ca="1" si="34">+IF(N78="",M78-TODAY(),M78-N78)</f>
        <v>10</v>
      </c>
      <c r="P78" s="9"/>
      <c r="Q78" s="8"/>
    </row>
    <row r="79" spans="1:17" ht="14.5">
      <c r="A79" s="88" t="s">
        <v>59</v>
      </c>
      <c r="B79" s="88">
        <v>199</v>
      </c>
      <c r="C79" s="88" t="s">
        <v>390</v>
      </c>
      <c r="D79" s="88" t="s">
        <v>959</v>
      </c>
      <c r="E79" s="82">
        <v>45906</v>
      </c>
      <c r="F79" s="5">
        <v>661.78530000000001</v>
      </c>
      <c r="G79" s="83"/>
      <c r="H79" s="83">
        <f t="shared" si="31"/>
        <v>661.78530000000001</v>
      </c>
      <c r="I79" s="9">
        <v>45811</v>
      </c>
      <c r="J79" s="9">
        <v>45811</v>
      </c>
      <c r="K79" s="9">
        <f t="shared" si="32"/>
        <v>45813</v>
      </c>
      <c r="L79" s="7">
        <f t="shared" ca="1" si="33"/>
        <v>0</v>
      </c>
      <c r="M79" s="9">
        <f t="shared" si="29"/>
        <v>45857</v>
      </c>
      <c r="N79" s="10"/>
      <c r="O79" s="7">
        <f t="shared" ca="1" si="34"/>
        <v>17</v>
      </c>
      <c r="P79" s="9"/>
      <c r="Q79" s="8"/>
    </row>
    <row r="80" spans="1:17" ht="14.5">
      <c r="A80" s="88" t="s">
        <v>59</v>
      </c>
      <c r="B80" s="88">
        <v>200</v>
      </c>
      <c r="C80" s="88" t="s">
        <v>390</v>
      </c>
      <c r="D80" s="88" t="s">
        <v>959</v>
      </c>
      <c r="E80" s="82">
        <v>45906</v>
      </c>
      <c r="F80" s="5">
        <v>163.76381999999998</v>
      </c>
      <c r="G80" s="83"/>
      <c r="H80" s="83">
        <f t="shared" si="31"/>
        <v>163.76381999999998</v>
      </c>
      <c r="I80" s="9">
        <v>45811</v>
      </c>
      <c r="J80" s="9">
        <v>45811</v>
      </c>
      <c r="K80" s="9">
        <f t="shared" si="32"/>
        <v>45813</v>
      </c>
      <c r="L80" s="7">
        <f t="shared" ca="1" si="33"/>
        <v>0</v>
      </c>
      <c r="M80" s="9">
        <f t="shared" si="29"/>
        <v>45857</v>
      </c>
      <c r="N80" s="10"/>
      <c r="O80" s="7">
        <f t="shared" ca="1" si="34"/>
        <v>17</v>
      </c>
      <c r="P80" s="9"/>
      <c r="Q80" s="8"/>
    </row>
    <row r="81" spans="1:17" ht="14.5">
      <c r="A81" s="88" t="s">
        <v>59</v>
      </c>
      <c r="B81" s="88">
        <v>200</v>
      </c>
      <c r="C81" s="88" t="s">
        <v>391</v>
      </c>
      <c r="D81" s="88" t="s">
        <v>959</v>
      </c>
      <c r="E81" s="82">
        <v>45906</v>
      </c>
      <c r="F81" s="5">
        <v>266.976</v>
      </c>
      <c r="G81" s="83"/>
      <c r="H81" s="83">
        <f t="shared" si="31"/>
        <v>266.976</v>
      </c>
      <c r="I81" s="9">
        <v>45811</v>
      </c>
      <c r="J81" s="9">
        <v>45811</v>
      </c>
      <c r="K81" s="9">
        <f t="shared" si="32"/>
        <v>45813</v>
      </c>
      <c r="L81" s="7">
        <f t="shared" ca="1" si="33"/>
        <v>0</v>
      </c>
      <c r="M81" s="9">
        <f t="shared" si="29"/>
        <v>45857</v>
      </c>
      <c r="N81" s="10"/>
      <c r="O81" s="7">
        <f t="shared" ca="1" si="34"/>
        <v>17</v>
      </c>
      <c r="P81" s="9"/>
      <c r="Q81" s="8"/>
    </row>
    <row r="82" spans="1:17" ht="14.5">
      <c r="A82" s="88" t="s">
        <v>59</v>
      </c>
      <c r="B82" s="88">
        <v>202</v>
      </c>
      <c r="C82" s="88" t="s">
        <v>390</v>
      </c>
      <c r="D82" s="88" t="s">
        <v>959</v>
      </c>
      <c r="E82" s="82">
        <v>45913</v>
      </c>
      <c r="F82" s="5">
        <v>677.48868000000004</v>
      </c>
      <c r="G82" s="83"/>
      <c r="H82" s="83">
        <f t="shared" si="31"/>
        <v>677.48868000000004</v>
      </c>
      <c r="I82" s="9">
        <v>45811</v>
      </c>
      <c r="J82" s="9">
        <v>45811</v>
      </c>
      <c r="K82" s="9">
        <f t="shared" si="32"/>
        <v>45813</v>
      </c>
      <c r="L82" s="7">
        <f t="shared" ca="1" si="33"/>
        <v>0</v>
      </c>
      <c r="M82" s="9">
        <f t="shared" si="29"/>
        <v>45864</v>
      </c>
      <c r="N82" s="10"/>
      <c r="O82" s="7">
        <f t="shared" ca="1" si="34"/>
        <v>24</v>
      </c>
      <c r="P82" s="9"/>
      <c r="Q82" s="8"/>
    </row>
    <row r="83" spans="1:17" ht="14.5">
      <c r="A83" s="88" t="s">
        <v>59</v>
      </c>
      <c r="B83" s="88">
        <v>203</v>
      </c>
      <c r="C83" s="88" t="s">
        <v>390</v>
      </c>
      <c r="D83" s="88" t="s">
        <v>959</v>
      </c>
      <c r="E83" s="82">
        <v>45913</v>
      </c>
      <c r="F83" s="5">
        <v>468.85806000000002</v>
      </c>
      <c r="G83" s="83"/>
      <c r="H83" s="83">
        <f t="shared" si="31"/>
        <v>468.85806000000002</v>
      </c>
      <c r="I83" s="9">
        <v>45811</v>
      </c>
      <c r="J83" s="9">
        <v>45811</v>
      </c>
      <c r="K83" s="9">
        <f t="shared" si="32"/>
        <v>45813</v>
      </c>
      <c r="L83" s="7">
        <f t="shared" ca="1" si="33"/>
        <v>0</v>
      </c>
      <c r="M83" s="9">
        <f t="shared" si="29"/>
        <v>45864</v>
      </c>
      <c r="N83" s="10"/>
      <c r="O83" s="7">
        <f t="shared" ca="1" si="34"/>
        <v>24</v>
      </c>
      <c r="P83" s="9"/>
      <c r="Q83" s="8"/>
    </row>
    <row r="84" spans="1:17" ht="14.5">
      <c r="A84" s="88" t="s">
        <v>59</v>
      </c>
      <c r="B84" s="88">
        <v>206</v>
      </c>
      <c r="C84" s="88" t="s">
        <v>391</v>
      </c>
      <c r="D84" s="88" t="s">
        <v>959</v>
      </c>
      <c r="E84" s="82">
        <v>45920</v>
      </c>
      <c r="F84" s="5">
        <v>667.44</v>
      </c>
      <c r="G84" s="83"/>
      <c r="H84" s="83">
        <f t="shared" si="31"/>
        <v>667.44</v>
      </c>
      <c r="I84" s="9">
        <v>45811</v>
      </c>
      <c r="J84" s="9">
        <v>45811</v>
      </c>
      <c r="K84" s="9">
        <f t="shared" si="32"/>
        <v>45813</v>
      </c>
      <c r="L84" s="7">
        <f t="shared" ca="1" si="33"/>
        <v>0</v>
      </c>
      <c r="M84" s="9">
        <f t="shared" si="29"/>
        <v>45871</v>
      </c>
      <c r="N84" s="10"/>
      <c r="O84" s="7">
        <f t="shared" ca="1" si="34"/>
        <v>31</v>
      </c>
      <c r="P84" s="9"/>
      <c r="Q84" s="8"/>
    </row>
    <row r="85" spans="1:17" ht="14.5">
      <c r="A85" s="88" t="s">
        <v>59</v>
      </c>
      <c r="B85" s="88">
        <v>207</v>
      </c>
      <c r="C85" s="88" t="s">
        <v>391</v>
      </c>
      <c r="D85" s="88" t="s">
        <v>959</v>
      </c>
      <c r="E85" s="82">
        <v>45920</v>
      </c>
      <c r="F85" s="5">
        <v>667.44</v>
      </c>
      <c r="G85" s="83"/>
      <c r="H85" s="83">
        <f t="shared" si="31"/>
        <v>667.44</v>
      </c>
      <c r="I85" s="9">
        <v>45811</v>
      </c>
      <c r="J85" s="9">
        <v>45811</v>
      </c>
      <c r="K85" s="9">
        <f t="shared" si="32"/>
        <v>45813</v>
      </c>
      <c r="L85" s="7">
        <f t="shared" ca="1" si="33"/>
        <v>0</v>
      </c>
      <c r="M85" s="9">
        <f t="shared" si="29"/>
        <v>45871</v>
      </c>
      <c r="N85" s="10"/>
      <c r="O85" s="7">
        <f t="shared" ca="1" si="34"/>
        <v>31</v>
      </c>
      <c r="P85" s="9"/>
      <c r="Q85" s="8"/>
    </row>
    <row r="86" spans="1:17" ht="14.5">
      <c r="A86" s="88" t="s">
        <v>59</v>
      </c>
      <c r="B86" s="88">
        <v>208</v>
      </c>
      <c r="C86" s="88" t="s">
        <v>391</v>
      </c>
      <c r="D86" s="88" t="s">
        <v>959</v>
      </c>
      <c r="E86" s="82">
        <v>45920</v>
      </c>
      <c r="F86" s="5">
        <v>572.88599999999997</v>
      </c>
      <c r="G86" s="83"/>
      <c r="H86" s="83">
        <f t="shared" si="31"/>
        <v>572.88599999999997</v>
      </c>
      <c r="I86" s="9">
        <v>45811</v>
      </c>
      <c r="J86" s="9">
        <v>45811</v>
      </c>
      <c r="K86" s="9">
        <f t="shared" si="32"/>
        <v>45813</v>
      </c>
      <c r="L86" s="7">
        <f t="shared" ca="1" si="33"/>
        <v>0</v>
      </c>
      <c r="M86" s="9">
        <f t="shared" si="29"/>
        <v>45871</v>
      </c>
      <c r="N86" s="10"/>
      <c r="O86" s="7">
        <f t="shared" ca="1" si="34"/>
        <v>31</v>
      </c>
      <c r="P86" s="9"/>
      <c r="Q86" s="8"/>
    </row>
    <row r="87" spans="1:17" ht="14.5">
      <c r="A87" s="88" t="s">
        <v>59</v>
      </c>
      <c r="B87" s="88">
        <v>209</v>
      </c>
      <c r="C87" s="88" t="s">
        <v>390</v>
      </c>
      <c r="D87" s="88" t="s">
        <v>959</v>
      </c>
      <c r="E87" s="82">
        <v>45920</v>
      </c>
      <c r="F87" s="5">
        <v>690.94871999999998</v>
      </c>
      <c r="G87" s="83"/>
      <c r="H87" s="83">
        <f t="shared" si="31"/>
        <v>690.94871999999998</v>
      </c>
      <c r="I87" s="9">
        <v>45811</v>
      </c>
      <c r="J87" s="9">
        <v>45811</v>
      </c>
      <c r="K87" s="9">
        <f t="shared" si="32"/>
        <v>45813</v>
      </c>
      <c r="L87" s="7">
        <f t="shared" ca="1" si="33"/>
        <v>0</v>
      </c>
      <c r="M87" s="9">
        <f t="shared" si="29"/>
        <v>45871</v>
      </c>
      <c r="N87" s="10"/>
      <c r="O87" s="7">
        <f t="shared" ca="1" si="34"/>
        <v>31</v>
      </c>
      <c r="P87" s="9"/>
      <c r="Q87" s="8"/>
    </row>
    <row r="88" spans="1:17" ht="14.5">
      <c r="A88" s="88" t="s">
        <v>59</v>
      </c>
      <c r="B88" s="88">
        <v>209</v>
      </c>
      <c r="C88" s="88" t="s">
        <v>391</v>
      </c>
      <c r="D88" s="88" t="s">
        <v>959</v>
      </c>
      <c r="E88" s="82">
        <v>45920</v>
      </c>
      <c r="F88" s="5">
        <v>667.44</v>
      </c>
      <c r="G88" s="83"/>
      <c r="H88" s="83">
        <f t="shared" si="31"/>
        <v>667.44</v>
      </c>
      <c r="I88" s="9">
        <v>45811</v>
      </c>
      <c r="J88" s="9">
        <v>45811</v>
      </c>
      <c r="K88" s="9">
        <f t="shared" si="32"/>
        <v>45813</v>
      </c>
      <c r="L88" s="7">
        <f t="shared" ca="1" si="33"/>
        <v>0</v>
      </c>
      <c r="M88" s="9">
        <f t="shared" si="29"/>
        <v>45871</v>
      </c>
      <c r="N88" s="10"/>
      <c r="O88" s="7">
        <f t="shared" ca="1" si="34"/>
        <v>31</v>
      </c>
      <c r="P88" s="9"/>
      <c r="Q88" s="8"/>
    </row>
    <row r="89" spans="1:17" ht="14.5">
      <c r="A89" s="88" t="s">
        <v>59</v>
      </c>
      <c r="B89" s="88">
        <v>211</v>
      </c>
      <c r="C89" s="88" t="s">
        <v>390</v>
      </c>
      <c r="D89" s="88" t="s">
        <v>959</v>
      </c>
      <c r="E89" s="82">
        <v>45920</v>
      </c>
      <c r="F89" s="5">
        <v>634.86522000000002</v>
      </c>
      <c r="G89" s="83"/>
      <c r="H89" s="83">
        <f t="shared" si="31"/>
        <v>634.86522000000002</v>
      </c>
      <c r="I89" s="9">
        <v>45811</v>
      </c>
      <c r="J89" s="9">
        <v>45811</v>
      </c>
      <c r="K89" s="9">
        <f t="shared" si="32"/>
        <v>45813</v>
      </c>
      <c r="L89" s="7">
        <f t="shared" ca="1" si="33"/>
        <v>0</v>
      </c>
      <c r="M89" s="9">
        <f t="shared" si="29"/>
        <v>45871</v>
      </c>
      <c r="N89" s="10"/>
      <c r="O89" s="7">
        <f t="shared" ca="1" si="34"/>
        <v>31</v>
      </c>
      <c r="P89" s="9"/>
      <c r="Q89" s="8"/>
    </row>
    <row r="90" spans="1:17" ht="14.5">
      <c r="A90" s="88" t="s">
        <v>59</v>
      </c>
      <c r="B90" s="88">
        <v>211</v>
      </c>
      <c r="C90" s="88" t="s">
        <v>391</v>
      </c>
      <c r="D90" s="88" t="s">
        <v>959</v>
      </c>
      <c r="E90" s="82">
        <v>45920</v>
      </c>
      <c r="F90" s="5">
        <v>667.44</v>
      </c>
      <c r="G90" s="83"/>
      <c r="H90" s="83">
        <f t="shared" si="31"/>
        <v>667.44</v>
      </c>
      <c r="I90" s="9">
        <v>45811</v>
      </c>
      <c r="J90" s="9">
        <v>45811</v>
      </c>
      <c r="K90" s="9">
        <f t="shared" si="32"/>
        <v>45813</v>
      </c>
      <c r="L90" s="7">
        <f t="shared" ca="1" si="33"/>
        <v>0</v>
      </c>
      <c r="M90" s="9">
        <f t="shared" si="29"/>
        <v>45871</v>
      </c>
      <c r="N90" s="10"/>
      <c r="O90" s="7">
        <f t="shared" ca="1" si="34"/>
        <v>31</v>
      </c>
      <c r="P90" s="9"/>
      <c r="Q90" s="8"/>
    </row>
    <row r="91" spans="1:17" ht="14.5">
      <c r="A91" s="88" t="s">
        <v>59</v>
      </c>
      <c r="B91" s="88">
        <v>213</v>
      </c>
      <c r="C91" s="88" t="s">
        <v>391</v>
      </c>
      <c r="D91" s="88" t="s">
        <v>959</v>
      </c>
      <c r="E91" s="82">
        <v>45927</v>
      </c>
      <c r="F91" s="5">
        <v>66.744</v>
      </c>
      <c r="G91" s="83"/>
      <c r="H91" s="83">
        <f t="shared" si="31"/>
        <v>66.744</v>
      </c>
      <c r="I91" s="9">
        <v>45811</v>
      </c>
      <c r="J91" s="9">
        <v>45811</v>
      </c>
      <c r="K91" s="9">
        <f t="shared" si="32"/>
        <v>45813</v>
      </c>
      <c r="L91" s="7">
        <f t="shared" ca="1" si="33"/>
        <v>0</v>
      </c>
      <c r="M91" s="9">
        <f t="shared" si="29"/>
        <v>45878</v>
      </c>
      <c r="N91" s="10"/>
      <c r="O91" s="7">
        <f t="shared" ca="1" si="34"/>
        <v>38</v>
      </c>
      <c r="P91" s="9"/>
      <c r="Q91" s="8"/>
    </row>
    <row r="92" spans="1:17" ht="14.5">
      <c r="A92" s="88" t="s">
        <v>59</v>
      </c>
      <c r="B92" s="88">
        <v>214</v>
      </c>
      <c r="C92" s="88" t="s">
        <v>390</v>
      </c>
      <c r="D92" s="88" t="s">
        <v>959</v>
      </c>
      <c r="E92" s="82">
        <v>45927</v>
      </c>
      <c r="F92" s="5">
        <v>347.71769999999998</v>
      </c>
      <c r="G92" s="83"/>
      <c r="H92" s="83">
        <f t="shared" si="31"/>
        <v>347.71769999999998</v>
      </c>
      <c r="I92" s="9">
        <v>45811</v>
      </c>
      <c r="J92" s="9">
        <v>45811</v>
      </c>
      <c r="K92" s="9">
        <f t="shared" si="32"/>
        <v>45813</v>
      </c>
      <c r="L92" s="7">
        <f t="shared" ca="1" si="33"/>
        <v>0</v>
      </c>
      <c r="M92" s="9">
        <f t="shared" si="29"/>
        <v>45878</v>
      </c>
      <c r="N92" s="10"/>
      <c r="O92" s="7">
        <f t="shared" ca="1" si="34"/>
        <v>38</v>
      </c>
      <c r="P92" s="9"/>
      <c r="Q92" s="8"/>
    </row>
    <row r="93" spans="1:17" ht="14.5">
      <c r="A93" s="88" t="s">
        <v>59</v>
      </c>
      <c r="B93" s="88">
        <v>217</v>
      </c>
      <c r="C93" s="88" t="s">
        <v>839</v>
      </c>
      <c r="D93" s="88" t="s">
        <v>959</v>
      </c>
      <c r="E93" s="82">
        <v>45906</v>
      </c>
      <c r="F93" s="5">
        <v>646.08192000000008</v>
      </c>
      <c r="G93" s="83"/>
      <c r="H93" s="83">
        <f t="shared" ref="H93" si="35">F93-G93</f>
        <v>646.08192000000008</v>
      </c>
      <c r="I93" s="9">
        <f t="shared" ref="I93:I100" si="36">M93-15</f>
        <v>45844</v>
      </c>
      <c r="J93" s="9">
        <v>45835</v>
      </c>
      <c r="K93" s="9">
        <f t="shared" ref="K93" si="37">J93+2</f>
        <v>45837</v>
      </c>
      <c r="L93" s="7">
        <f t="shared" ref="L93" ca="1" si="38">+IF(J93="",I93-TODAY(),I93-J93)</f>
        <v>9</v>
      </c>
      <c r="M93" s="9">
        <f t="shared" ref="M93:M100" si="39">E93-32-15</f>
        <v>45859</v>
      </c>
      <c r="N93" s="10"/>
      <c r="O93" s="7">
        <f t="shared" ref="O93" ca="1" si="40">+IF(N93="",M93-TODAY(),M93-N93)</f>
        <v>19</v>
      </c>
      <c r="P93" s="9"/>
      <c r="Q93" s="8"/>
    </row>
    <row r="94" spans="1:17" ht="14.5">
      <c r="A94" s="88" t="s">
        <v>59</v>
      </c>
      <c r="B94" s="88">
        <v>217</v>
      </c>
      <c r="C94" s="88" t="s">
        <v>391</v>
      </c>
      <c r="D94" s="88" t="s">
        <v>959</v>
      </c>
      <c r="E94" s="82">
        <v>45906</v>
      </c>
      <c r="F94" s="5">
        <v>667.44</v>
      </c>
      <c r="G94" s="83"/>
      <c r="H94" s="83">
        <f t="shared" ref="H94:H100" si="41">F94-G94</f>
        <v>667.44</v>
      </c>
      <c r="I94" s="9">
        <f t="shared" si="36"/>
        <v>45844</v>
      </c>
      <c r="J94" s="9">
        <v>45835</v>
      </c>
      <c r="K94" s="9">
        <f t="shared" ref="K94:K100" si="42">J94+2</f>
        <v>45837</v>
      </c>
      <c r="L94" s="7">
        <f t="shared" ref="L94:L100" ca="1" si="43">+IF(J94="",I94-TODAY(),I94-J94)</f>
        <v>9</v>
      </c>
      <c r="M94" s="9">
        <f t="shared" si="39"/>
        <v>45859</v>
      </c>
      <c r="N94" s="10"/>
      <c r="O94" s="7">
        <f t="shared" ref="O94:O100" ca="1" si="44">+IF(N94="",M94-TODAY(),M94-N94)</f>
        <v>19</v>
      </c>
      <c r="P94" s="9"/>
      <c r="Q94" s="8"/>
    </row>
    <row r="95" spans="1:17" ht="14.5">
      <c r="A95" s="88" t="s">
        <v>59</v>
      </c>
      <c r="B95" s="88">
        <v>218</v>
      </c>
      <c r="C95" s="88" t="s">
        <v>391</v>
      </c>
      <c r="D95" s="88" t="s">
        <v>959</v>
      </c>
      <c r="E95" s="82">
        <v>45906</v>
      </c>
      <c r="F95" s="5">
        <v>667.44</v>
      </c>
      <c r="G95" s="83"/>
      <c r="H95" s="83">
        <f t="shared" si="41"/>
        <v>667.44</v>
      </c>
      <c r="I95" s="9">
        <f t="shared" si="36"/>
        <v>45844</v>
      </c>
      <c r="J95" s="9">
        <v>45835</v>
      </c>
      <c r="K95" s="9">
        <f t="shared" si="42"/>
        <v>45837</v>
      </c>
      <c r="L95" s="7">
        <f t="shared" ca="1" si="43"/>
        <v>9</v>
      </c>
      <c r="M95" s="9">
        <f t="shared" si="39"/>
        <v>45859</v>
      </c>
      <c r="N95" s="10"/>
      <c r="O95" s="7">
        <f t="shared" ca="1" si="44"/>
        <v>19</v>
      </c>
      <c r="P95" s="9"/>
      <c r="Q95" s="8"/>
    </row>
    <row r="96" spans="1:17" ht="14.5">
      <c r="A96" s="88" t="s">
        <v>59</v>
      </c>
      <c r="B96" s="88">
        <v>219</v>
      </c>
      <c r="C96" s="88" t="s">
        <v>839</v>
      </c>
      <c r="D96" s="88" t="s">
        <v>959</v>
      </c>
      <c r="E96" s="82">
        <v>45913</v>
      </c>
      <c r="F96" s="5">
        <v>646.08192000000008</v>
      </c>
      <c r="G96" s="83"/>
      <c r="H96" s="83">
        <f t="shared" si="41"/>
        <v>646.08192000000008</v>
      </c>
      <c r="I96" s="9">
        <f t="shared" si="36"/>
        <v>45851</v>
      </c>
      <c r="J96" s="9">
        <v>45835</v>
      </c>
      <c r="K96" s="9">
        <f t="shared" si="42"/>
        <v>45837</v>
      </c>
      <c r="L96" s="7">
        <f t="shared" ca="1" si="43"/>
        <v>16</v>
      </c>
      <c r="M96" s="9">
        <f t="shared" si="39"/>
        <v>45866</v>
      </c>
      <c r="N96" s="10"/>
      <c r="O96" s="7">
        <f t="shared" ca="1" si="44"/>
        <v>26</v>
      </c>
      <c r="P96" s="9"/>
      <c r="Q96" s="8"/>
    </row>
    <row r="97" spans="1:17" ht="14.5">
      <c r="A97" s="88" t="s">
        <v>59</v>
      </c>
      <c r="B97" s="88">
        <v>219</v>
      </c>
      <c r="C97" s="88" t="s">
        <v>839</v>
      </c>
      <c r="D97" s="88" t="s">
        <v>959</v>
      </c>
      <c r="E97" s="82">
        <v>45913</v>
      </c>
      <c r="F97" s="5">
        <v>179.46720000000002</v>
      </c>
      <c r="G97" s="83"/>
      <c r="H97" s="83">
        <f t="shared" si="41"/>
        <v>179.46720000000002</v>
      </c>
      <c r="I97" s="9">
        <f t="shared" si="36"/>
        <v>45851</v>
      </c>
      <c r="J97" s="9">
        <v>45835</v>
      </c>
      <c r="K97" s="9">
        <f t="shared" si="42"/>
        <v>45837</v>
      </c>
      <c r="L97" s="7">
        <f t="shared" ca="1" si="43"/>
        <v>16</v>
      </c>
      <c r="M97" s="9">
        <f t="shared" si="39"/>
        <v>45866</v>
      </c>
      <c r="N97" s="10"/>
      <c r="O97" s="7">
        <f t="shared" ca="1" si="44"/>
        <v>26</v>
      </c>
      <c r="P97" s="9"/>
      <c r="Q97" s="8"/>
    </row>
    <row r="98" spans="1:17" ht="14.5">
      <c r="A98" s="88" t="s">
        <v>59</v>
      </c>
      <c r="B98" s="88">
        <v>221</v>
      </c>
      <c r="C98" s="88" t="s">
        <v>391</v>
      </c>
      <c r="D98" s="88" t="s">
        <v>959</v>
      </c>
      <c r="E98" s="82">
        <v>45920</v>
      </c>
      <c r="F98" s="5">
        <v>667.44</v>
      </c>
      <c r="G98" s="83"/>
      <c r="H98" s="83">
        <f t="shared" si="41"/>
        <v>667.44</v>
      </c>
      <c r="I98" s="9">
        <f t="shared" si="36"/>
        <v>45858</v>
      </c>
      <c r="J98" s="9">
        <v>45835</v>
      </c>
      <c r="K98" s="9">
        <f t="shared" si="42"/>
        <v>45837</v>
      </c>
      <c r="L98" s="7">
        <f t="shared" ca="1" si="43"/>
        <v>23</v>
      </c>
      <c r="M98" s="9">
        <f t="shared" si="39"/>
        <v>45873</v>
      </c>
      <c r="N98" s="10"/>
      <c r="O98" s="7">
        <f t="shared" ca="1" si="44"/>
        <v>33</v>
      </c>
      <c r="P98" s="9"/>
      <c r="Q98" s="8"/>
    </row>
    <row r="99" spans="1:17" ht="14.5">
      <c r="A99" s="88" t="s">
        <v>59</v>
      </c>
      <c r="B99" s="88">
        <v>222</v>
      </c>
      <c r="C99" s="88" t="s">
        <v>391</v>
      </c>
      <c r="D99" s="88" t="s">
        <v>959</v>
      </c>
      <c r="E99" s="82">
        <v>45920</v>
      </c>
      <c r="F99" s="5">
        <v>667.44</v>
      </c>
      <c r="G99" s="83"/>
      <c r="H99" s="83">
        <f t="shared" si="41"/>
        <v>667.44</v>
      </c>
      <c r="I99" s="9">
        <f t="shared" si="36"/>
        <v>45858</v>
      </c>
      <c r="J99" s="9">
        <v>45835</v>
      </c>
      <c r="K99" s="9">
        <f t="shared" si="42"/>
        <v>45837</v>
      </c>
      <c r="L99" s="7">
        <f t="shared" ca="1" si="43"/>
        <v>23</v>
      </c>
      <c r="M99" s="9">
        <f t="shared" si="39"/>
        <v>45873</v>
      </c>
      <c r="N99" s="10"/>
      <c r="O99" s="7">
        <f t="shared" ca="1" si="44"/>
        <v>33</v>
      </c>
      <c r="P99" s="9"/>
      <c r="Q99" s="8"/>
    </row>
    <row r="100" spans="1:17" ht="14.5">
      <c r="A100" s="88" t="s">
        <v>59</v>
      </c>
      <c r="B100" s="88">
        <v>223</v>
      </c>
      <c r="C100" s="88" t="s">
        <v>391</v>
      </c>
      <c r="D100" s="88" t="s">
        <v>959</v>
      </c>
      <c r="E100" s="82">
        <v>45934</v>
      </c>
      <c r="F100" s="5">
        <v>1001.1600000000001</v>
      </c>
      <c r="G100" s="83"/>
      <c r="H100" s="83">
        <f t="shared" si="41"/>
        <v>1001.1600000000001</v>
      </c>
      <c r="I100" s="9">
        <f t="shared" si="36"/>
        <v>45872</v>
      </c>
      <c r="J100" s="9">
        <v>45835</v>
      </c>
      <c r="K100" s="9">
        <f t="shared" si="42"/>
        <v>45837</v>
      </c>
      <c r="L100" s="7">
        <f t="shared" ca="1" si="43"/>
        <v>37</v>
      </c>
      <c r="M100" s="9">
        <f t="shared" si="39"/>
        <v>45887</v>
      </c>
      <c r="N100" s="10"/>
      <c r="O100" s="7">
        <f t="shared" ca="1" si="44"/>
        <v>47</v>
      </c>
      <c r="P100" s="9"/>
      <c r="Q100" s="8"/>
    </row>
    <row r="101" spans="1:17" ht="14.5">
      <c r="A101" s="88" t="s">
        <v>59</v>
      </c>
      <c r="B101" s="88">
        <v>228</v>
      </c>
      <c r="C101" s="88" t="s">
        <v>839</v>
      </c>
      <c r="D101" s="88" t="s">
        <v>959</v>
      </c>
      <c r="E101" s="82">
        <v>45926</v>
      </c>
      <c r="F101" s="5">
        <v>462</v>
      </c>
      <c r="G101" s="83"/>
      <c r="H101" s="83">
        <f t="shared" ref="H101" si="45">F101-G101</f>
        <v>462</v>
      </c>
      <c r="I101" s="9">
        <f t="shared" ref="I101" si="46">M101-15</f>
        <v>45863</v>
      </c>
      <c r="J101" s="9">
        <v>45835</v>
      </c>
      <c r="K101" s="9">
        <f t="shared" ref="K101" si="47">J101+2</f>
        <v>45837</v>
      </c>
      <c r="L101" s="7">
        <f t="shared" ref="L101" ca="1" si="48">+IF(J101="",I101-TODAY(),I101-J101)</f>
        <v>28</v>
      </c>
      <c r="M101" s="9">
        <v>45878</v>
      </c>
      <c r="N101" s="10"/>
      <c r="O101" s="7">
        <f t="shared" ref="O101" ca="1" si="49">+IF(N101="",M101-TODAY(),M101-N101)</f>
        <v>38</v>
      </c>
      <c r="P101" s="9"/>
      <c r="Q101" s="8"/>
    </row>
    <row r="102" spans="1:17" ht="14.5">
      <c r="A102" s="88" t="s">
        <v>59</v>
      </c>
      <c r="B102" s="88">
        <v>221</v>
      </c>
      <c r="C102" s="88" t="s">
        <v>958</v>
      </c>
      <c r="D102" s="88" t="s">
        <v>959</v>
      </c>
      <c r="E102" s="82">
        <v>45920</v>
      </c>
      <c r="F102" s="5">
        <v>1423</v>
      </c>
      <c r="G102" s="83"/>
      <c r="H102" s="83">
        <f t="shared" ref="H102" si="50">F102-G102</f>
        <v>1423</v>
      </c>
      <c r="I102" s="9">
        <v>45835</v>
      </c>
      <c r="J102" s="9">
        <v>45835</v>
      </c>
      <c r="K102" s="9">
        <f>J103+2</f>
        <v>45837</v>
      </c>
      <c r="L102" s="7">
        <f ca="1">+IF(J103="",I102-TODAY(),I102-J103)</f>
        <v>0</v>
      </c>
      <c r="M102" s="9">
        <f t="shared" ref="M102:M110" si="51">E102-32-15</f>
        <v>45873</v>
      </c>
      <c r="N102" s="10"/>
      <c r="O102" s="7">
        <f t="shared" ref="O102" ca="1" si="52">+IF(N102="",M102-TODAY(),M102-N102)</f>
        <v>33</v>
      </c>
      <c r="P102" s="9"/>
      <c r="Q102" s="8"/>
    </row>
    <row r="103" spans="1:17" ht="14.5">
      <c r="A103" s="88" t="s">
        <v>59</v>
      </c>
      <c r="B103" s="88">
        <v>222</v>
      </c>
      <c r="C103" s="88" t="s">
        <v>958</v>
      </c>
      <c r="D103" s="88" t="s">
        <v>959</v>
      </c>
      <c r="E103" s="82">
        <v>45920</v>
      </c>
      <c r="F103" s="5">
        <v>819</v>
      </c>
      <c r="G103" s="83"/>
      <c r="H103" s="83">
        <f t="shared" ref="H103:H110" si="53">F103-G103</f>
        <v>819</v>
      </c>
      <c r="I103" s="9">
        <v>45835</v>
      </c>
      <c r="J103" s="9">
        <v>45835</v>
      </c>
      <c r="K103" s="9">
        <f>J104+2</f>
        <v>45837</v>
      </c>
      <c r="L103" s="7">
        <f ca="1">+IF(J104="",I103-TODAY(),I103-J104)</f>
        <v>0</v>
      </c>
      <c r="M103" s="9">
        <f t="shared" si="51"/>
        <v>45873</v>
      </c>
      <c r="N103" s="10"/>
      <c r="O103" s="7">
        <f t="shared" ref="O103:O110" ca="1" si="54">+IF(N103="",M103-TODAY(),M103-N103)</f>
        <v>33</v>
      </c>
      <c r="P103" s="9"/>
      <c r="Q103" s="8"/>
    </row>
    <row r="104" spans="1:17" ht="14.5">
      <c r="A104" s="88" t="s">
        <v>59</v>
      </c>
      <c r="B104" s="88">
        <v>220</v>
      </c>
      <c r="C104" s="88" t="s">
        <v>958</v>
      </c>
      <c r="D104" s="88" t="s">
        <v>959</v>
      </c>
      <c r="E104" s="82">
        <v>45920</v>
      </c>
      <c r="F104" s="5">
        <v>734</v>
      </c>
      <c r="G104" s="83"/>
      <c r="H104" s="83">
        <f t="shared" si="53"/>
        <v>734</v>
      </c>
      <c r="I104" s="9">
        <v>45835</v>
      </c>
      <c r="J104" s="9">
        <v>45835</v>
      </c>
      <c r="K104" s="9">
        <f t="shared" ref="K104:K110" si="55">J104+2</f>
        <v>45837</v>
      </c>
      <c r="L104" s="7">
        <f t="shared" ref="L104:L110" ca="1" si="56">+IF(J104="",I104-TODAY(),I104-J104)</f>
        <v>0</v>
      </c>
      <c r="M104" s="9">
        <f t="shared" si="51"/>
        <v>45873</v>
      </c>
      <c r="N104" s="10"/>
      <c r="O104" s="7">
        <f t="shared" ca="1" si="54"/>
        <v>33</v>
      </c>
      <c r="P104" s="9"/>
      <c r="Q104" s="8"/>
    </row>
    <row r="105" spans="1:17" ht="14.5">
      <c r="A105" s="88" t="s">
        <v>59</v>
      </c>
      <c r="B105" s="88">
        <v>217</v>
      </c>
      <c r="C105" s="88" t="s">
        <v>958</v>
      </c>
      <c r="D105" s="88" t="s">
        <v>959</v>
      </c>
      <c r="E105" s="82">
        <v>45906</v>
      </c>
      <c r="F105" s="5">
        <v>437</v>
      </c>
      <c r="G105" s="83"/>
      <c r="H105" s="83">
        <f t="shared" si="53"/>
        <v>437</v>
      </c>
      <c r="I105" s="9">
        <v>45835</v>
      </c>
      <c r="J105" s="9">
        <v>45835</v>
      </c>
      <c r="K105" s="9">
        <f t="shared" si="55"/>
        <v>45837</v>
      </c>
      <c r="L105" s="7">
        <f t="shared" ca="1" si="56"/>
        <v>0</v>
      </c>
      <c r="M105" s="9">
        <f t="shared" si="51"/>
        <v>45859</v>
      </c>
      <c r="N105" s="10"/>
      <c r="O105" s="7">
        <f t="shared" ca="1" si="54"/>
        <v>19</v>
      </c>
      <c r="P105" s="9"/>
      <c r="Q105" s="8"/>
    </row>
    <row r="106" spans="1:17" ht="14.5">
      <c r="A106" s="88" t="s">
        <v>59</v>
      </c>
      <c r="B106" s="88">
        <v>224</v>
      </c>
      <c r="C106" s="88" t="s">
        <v>958</v>
      </c>
      <c r="D106" s="88" t="s">
        <v>959</v>
      </c>
      <c r="E106" s="82">
        <v>45941</v>
      </c>
      <c r="F106" s="5">
        <v>620</v>
      </c>
      <c r="G106" s="83"/>
      <c r="H106" s="83">
        <f t="shared" si="53"/>
        <v>620</v>
      </c>
      <c r="I106" s="9">
        <v>45835</v>
      </c>
      <c r="J106" s="9">
        <v>45835</v>
      </c>
      <c r="K106" s="9">
        <f t="shared" si="55"/>
        <v>45837</v>
      </c>
      <c r="L106" s="7">
        <f t="shared" ca="1" si="56"/>
        <v>0</v>
      </c>
      <c r="M106" s="9">
        <f t="shared" si="51"/>
        <v>45894</v>
      </c>
      <c r="N106" s="10"/>
      <c r="O106" s="7">
        <f t="shared" ca="1" si="54"/>
        <v>54</v>
      </c>
      <c r="P106" s="9"/>
      <c r="Q106" s="8"/>
    </row>
    <row r="107" spans="1:17" ht="14.5">
      <c r="A107" s="88" t="s">
        <v>59</v>
      </c>
      <c r="B107" s="88">
        <v>223</v>
      </c>
      <c r="C107" s="88" t="s">
        <v>958</v>
      </c>
      <c r="D107" s="88" t="s">
        <v>959</v>
      </c>
      <c r="E107" s="82">
        <v>45934</v>
      </c>
      <c r="F107" s="5">
        <v>819</v>
      </c>
      <c r="G107" s="83"/>
      <c r="H107" s="83">
        <f t="shared" si="53"/>
        <v>819</v>
      </c>
      <c r="I107" s="9">
        <v>45835</v>
      </c>
      <c r="J107" s="9">
        <v>45835</v>
      </c>
      <c r="K107" s="9">
        <f t="shared" si="55"/>
        <v>45837</v>
      </c>
      <c r="L107" s="7">
        <f t="shared" ca="1" si="56"/>
        <v>0</v>
      </c>
      <c r="M107" s="9">
        <f t="shared" si="51"/>
        <v>45887</v>
      </c>
      <c r="N107" s="10"/>
      <c r="O107" s="7">
        <f t="shared" ca="1" si="54"/>
        <v>47</v>
      </c>
      <c r="P107" s="9"/>
      <c r="Q107" s="8"/>
    </row>
    <row r="108" spans="1:17" ht="14.5">
      <c r="A108" s="88" t="s">
        <v>59</v>
      </c>
      <c r="B108" s="88">
        <v>219</v>
      </c>
      <c r="C108" s="88" t="s">
        <v>958</v>
      </c>
      <c r="D108" s="88" t="s">
        <v>959</v>
      </c>
      <c r="E108" s="82">
        <v>45913</v>
      </c>
      <c r="F108" s="5">
        <v>387</v>
      </c>
      <c r="G108" s="83"/>
      <c r="H108" s="83">
        <f t="shared" si="53"/>
        <v>387</v>
      </c>
      <c r="I108" s="9">
        <v>45835</v>
      </c>
      <c r="J108" s="9">
        <v>45835</v>
      </c>
      <c r="K108" s="9">
        <f t="shared" si="55"/>
        <v>45837</v>
      </c>
      <c r="L108" s="7">
        <f t="shared" ca="1" si="56"/>
        <v>0</v>
      </c>
      <c r="M108" s="9">
        <f t="shared" si="51"/>
        <v>45866</v>
      </c>
      <c r="N108" s="10"/>
      <c r="O108" s="7">
        <f t="shared" ca="1" si="54"/>
        <v>26</v>
      </c>
      <c r="P108" s="9"/>
      <c r="Q108" s="8"/>
    </row>
    <row r="109" spans="1:17" ht="14.5">
      <c r="A109" s="88" t="s">
        <v>59</v>
      </c>
      <c r="B109" s="88">
        <v>216</v>
      </c>
      <c r="C109" s="88" t="s">
        <v>958</v>
      </c>
      <c r="D109" s="88" t="s">
        <v>959</v>
      </c>
      <c r="E109" s="82">
        <v>45899</v>
      </c>
      <c r="F109" s="5">
        <v>624</v>
      </c>
      <c r="G109" s="83"/>
      <c r="H109" s="83">
        <f t="shared" si="53"/>
        <v>624</v>
      </c>
      <c r="I109" s="9">
        <v>45835</v>
      </c>
      <c r="J109" s="9">
        <v>45835</v>
      </c>
      <c r="K109" s="9">
        <f t="shared" si="55"/>
        <v>45837</v>
      </c>
      <c r="L109" s="7">
        <f t="shared" ca="1" si="56"/>
        <v>0</v>
      </c>
      <c r="M109" s="9">
        <f t="shared" si="51"/>
        <v>45852</v>
      </c>
      <c r="N109" s="10"/>
      <c r="O109" s="7">
        <f t="shared" ca="1" si="54"/>
        <v>12</v>
      </c>
      <c r="P109" s="9"/>
      <c r="Q109" s="8"/>
    </row>
    <row r="110" spans="1:17" ht="14.5">
      <c r="A110" s="88" t="s">
        <v>59</v>
      </c>
      <c r="B110" s="88">
        <v>218</v>
      </c>
      <c r="C110" s="88" t="s">
        <v>958</v>
      </c>
      <c r="D110" s="88" t="s">
        <v>959</v>
      </c>
      <c r="E110" s="82">
        <v>45906</v>
      </c>
      <c r="F110" s="5">
        <v>732</v>
      </c>
      <c r="G110" s="83"/>
      <c r="H110" s="83">
        <f t="shared" si="53"/>
        <v>732</v>
      </c>
      <c r="I110" s="9">
        <v>45835</v>
      </c>
      <c r="J110" s="9">
        <v>45835</v>
      </c>
      <c r="K110" s="9">
        <f t="shared" si="55"/>
        <v>45837</v>
      </c>
      <c r="L110" s="7">
        <f t="shared" ca="1" si="56"/>
        <v>0</v>
      </c>
      <c r="M110" s="9">
        <f t="shared" si="51"/>
        <v>45859</v>
      </c>
      <c r="N110" s="10"/>
      <c r="O110" s="7">
        <f t="shared" ca="1" si="54"/>
        <v>19</v>
      </c>
      <c r="P110" s="9"/>
      <c r="Q110" s="8"/>
    </row>
    <row r="111" spans="1:17" ht="14.5">
      <c r="A111" s="88" t="s">
        <v>59</v>
      </c>
      <c r="B111" s="88">
        <v>230</v>
      </c>
      <c r="C111" s="88" t="s">
        <v>391</v>
      </c>
      <c r="D111" s="88" t="s">
        <v>959</v>
      </c>
      <c r="E111" s="82">
        <v>45927</v>
      </c>
      <c r="F111" s="5">
        <v>616.51679999999999</v>
      </c>
      <c r="G111" s="83"/>
      <c r="H111" s="83">
        <f t="shared" ref="H111" si="57">F111-G111</f>
        <v>616.51679999999999</v>
      </c>
      <c r="I111" s="9">
        <v>45841</v>
      </c>
      <c r="J111" s="9"/>
      <c r="K111" s="9">
        <f t="shared" ref="K111" si="58">J111+2</f>
        <v>2</v>
      </c>
      <c r="L111" s="7">
        <f t="shared" ref="L111" ca="1" si="59">+IF(J111="",I111-TODAY(),I111-J111)</f>
        <v>1</v>
      </c>
      <c r="M111" s="9">
        <f>E111-32-15</f>
        <v>45880</v>
      </c>
      <c r="N111" s="10"/>
      <c r="O111" s="7">
        <f t="shared" ref="O111" ca="1" si="60">+IF(N111="",M111-TODAY(),M111-N111)</f>
        <v>40</v>
      </c>
      <c r="P111" s="9"/>
      <c r="Q111" s="8"/>
    </row>
    <row r="112" spans="1:17" ht="14.5">
      <c r="A112" s="88" t="s">
        <v>59</v>
      </c>
      <c r="B112" s="88">
        <v>231</v>
      </c>
      <c r="C112" s="88" t="s">
        <v>956</v>
      </c>
      <c r="D112" s="88" t="s">
        <v>959</v>
      </c>
      <c r="E112" s="82">
        <v>45934</v>
      </c>
      <c r="F112" s="5">
        <v>789.80399999999997</v>
      </c>
      <c r="G112" s="83"/>
      <c r="H112" s="83">
        <f t="shared" ref="H112:H123" si="61">F112-G112</f>
        <v>789.80399999999997</v>
      </c>
      <c r="I112" s="9">
        <v>45841</v>
      </c>
      <c r="J112" s="9"/>
      <c r="K112" s="9">
        <f t="shared" ref="K112:K123" si="62">J112+2</f>
        <v>2</v>
      </c>
      <c r="L112" s="7">
        <f t="shared" ref="L112:L123" ca="1" si="63">+IF(J112="",I112-TODAY(),I112-J112)</f>
        <v>1</v>
      </c>
      <c r="M112" s="9">
        <f t="shared" ref="M112:M123" si="64">E112-32-15</f>
        <v>45887</v>
      </c>
      <c r="N112" s="10"/>
      <c r="O112" s="7">
        <f t="shared" ref="O112:O123" ca="1" si="65">+IF(N112="",M112-TODAY(),M112-N112)</f>
        <v>47</v>
      </c>
      <c r="P112" s="9"/>
      <c r="Q112" s="8"/>
    </row>
    <row r="113" spans="1:17" ht="14.5">
      <c r="A113" s="88" t="s">
        <v>59</v>
      </c>
      <c r="B113" s="88">
        <v>232</v>
      </c>
      <c r="C113" s="88" t="s">
        <v>956</v>
      </c>
      <c r="D113" s="88" t="s">
        <v>959</v>
      </c>
      <c r="E113" s="82">
        <v>45934</v>
      </c>
      <c r="F113" s="5">
        <v>177.98400000000001</v>
      </c>
      <c r="G113" s="83"/>
      <c r="H113" s="83">
        <f t="shared" si="61"/>
        <v>177.98400000000001</v>
      </c>
      <c r="I113" s="9">
        <v>45841</v>
      </c>
      <c r="J113" s="9"/>
      <c r="K113" s="9">
        <f t="shared" si="62"/>
        <v>2</v>
      </c>
      <c r="L113" s="7">
        <f t="shared" ca="1" si="63"/>
        <v>1</v>
      </c>
      <c r="M113" s="9">
        <f t="shared" si="64"/>
        <v>45887</v>
      </c>
      <c r="N113" s="10"/>
      <c r="O113" s="7">
        <f t="shared" ca="1" si="65"/>
        <v>47</v>
      </c>
      <c r="P113" s="9"/>
      <c r="Q113" s="8"/>
    </row>
    <row r="114" spans="1:17" ht="14.5">
      <c r="A114" s="88" t="s">
        <v>59</v>
      </c>
      <c r="B114" s="88">
        <v>232</v>
      </c>
      <c r="C114" s="88" t="s">
        <v>391</v>
      </c>
      <c r="D114" s="88" t="s">
        <v>959</v>
      </c>
      <c r="E114" s="82">
        <v>45934</v>
      </c>
      <c r="F114" s="5">
        <v>616.51679999999999</v>
      </c>
      <c r="G114" s="83"/>
      <c r="H114" s="83">
        <f t="shared" si="61"/>
        <v>616.51679999999999</v>
      </c>
      <c r="I114" s="9">
        <v>45841</v>
      </c>
      <c r="J114" s="9"/>
      <c r="K114" s="9">
        <f t="shared" si="62"/>
        <v>2</v>
      </c>
      <c r="L114" s="7">
        <f t="shared" ca="1" si="63"/>
        <v>1</v>
      </c>
      <c r="M114" s="9">
        <f t="shared" si="64"/>
        <v>45887</v>
      </c>
      <c r="N114" s="10"/>
      <c r="O114" s="7">
        <f t="shared" ca="1" si="65"/>
        <v>47</v>
      </c>
      <c r="P114" s="9"/>
      <c r="Q114" s="8"/>
    </row>
    <row r="115" spans="1:17" ht="14.5">
      <c r="A115" s="88" t="s">
        <v>59</v>
      </c>
      <c r="B115" s="88">
        <v>234</v>
      </c>
      <c r="C115" s="88" t="s">
        <v>391</v>
      </c>
      <c r="D115" s="88" t="s">
        <v>959</v>
      </c>
      <c r="E115" s="82">
        <v>45941</v>
      </c>
      <c r="F115" s="5">
        <v>627.14639999999997</v>
      </c>
      <c r="G115" s="83"/>
      <c r="H115" s="83">
        <f t="shared" si="61"/>
        <v>627.14639999999997</v>
      </c>
      <c r="I115" s="9">
        <v>45841</v>
      </c>
      <c r="J115" s="9"/>
      <c r="K115" s="9">
        <f t="shared" si="62"/>
        <v>2</v>
      </c>
      <c r="L115" s="7">
        <f t="shared" ca="1" si="63"/>
        <v>1</v>
      </c>
      <c r="M115" s="9">
        <f t="shared" si="64"/>
        <v>45894</v>
      </c>
      <c r="N115" s="10"/>
      <c r="O115" s="7">
        <f t="shared" ca="1" si="65"/>
        <v>54</v>
      </c>
      <c r="P115" s="9"/>
      <c r="Q115" s="8"/>
    </row>
    <row r="116" spans="1:17" ht="14.5">
      <c r="A116" s="88" t="s">
        <v>59</v>
      </c>
      <c r="B116" s="88">
        <v>238</v>
      </c>
      <c r="C116" s="88" t="s">
        <v>956</v>
      </c>
      <c r="D116" s="88" t="s">
        <v>959</v>
      </c>
      <c r="E116" s="82">
        <v>45955</v>
      </c>
      <c r="F116" s="5">
        <v>130.52160000000001</v>
      </c>
      <c r="G116" s="83"/>
      <c r="H116" s="83">
        <f t="shared" si="61"/>
        <v>130.52160000000001</v>
      </c>
      <c r="I116" s="9">
        <v>45841</v>
      </c>
      <c r="J116" s="9"/>
      <c r="K116" s="9">
        <f t="shared" si="62"/>
        <v>2</v>
      </c>
      <c r="L116" s="7">
        <f t="shared" ca="1" si="63"/>
        <v>1</v>
      </c>
      <c r="M116" s="9">
        <f t="shared" si="64"/>
        <v>45908</v>
      </c>
      <c r="N116" s="10"/>
      <c r="O116" s="7">
        <f t="shared" ca="1" si="65"/>
        <v>68</v>
      </c>
      <c r="P116" s="9"/>
      <c r="Q116" s="8"/>
    </row>
    <row r="117" spans="1:17" ht="14.5">
      <c r="A117" s="88" t="s">
        <v>59</v>
      </c>
      <c r="B117" s="88">
        <v>239</v>
      </c>
      <c r="C117" s="88" t="s">
        <v>956</v>
      </c>
      <c r="D117" s="88" t="s">
        <v>959</v>
      </c>
      <c r="E117" s="82">
        <v>45955</v>
      </c>
      <c r="F117" s="5">
        <v>258.07679999999999</v>
      </c>
      <c r="G117" s="83"/>
      <c r="H117" s="83">
        <f t="shared" si="61"/>
        <v>258.07679999999999</v>
      </c>
      <c r="I117" s="9">
        <v>45841</v>
      </c>
      <c r="J117" s="9"/>
      <c r="K117" s="9">
        <f t="shared" si="62"/>
        <v>2</v>
      </c>
      <c r="L117" s="7">
        <f t="shared" ca="1" si="63"/>
        <v>1</v>
      </c>
      <c r="M117" s="9">
        <f t="shared" si="64"/>
        <v>45908</v>
      </c>
      <c r="N117" s="10"/>
      <c r="O117" s="7">
        <f t="shared" ca="1" si="65"/>
        <v>68</v>
      </c>
      <c r="P117" s="9"/>
      <c r="Q117" s="8"/>
    </row>
    <row r="118" spans="1:17" ht="14.5">
      <c r="A118" s="88" t="s">
        <v>59</v>
      </c>
      <c r="B118" s="88">
        <v>239</v>
      </c>
      <c r="C118" s="88" t="s">
        <v>391</v>
      </c>
      <c r="D118" s="88" t="s">
        <v>959</v>
      </c>
      <c r="E118" s="82">
        <v>45955</v>
      </c>
      <c r="F118" s="5">
        <v>178.04579999999999</v>
      </c>
      <c r="G118" s="83"/>
      <c r="H118" s="83">
        <f t="shared" si="61"/>
        <v>178.04579999999999</v>
      </c>
      <c r="I118" s="9">
        <v>45841</v>
      </c>
      <c r="J118" s="9"/>
      <c r="K118" s="9">
        <f t="shared" si="62"/>
        <v>2</v>
      </c>
      <c r="L118" s="7">
        <f t="shared" ca="1" si="63"/>
        <v>1</v>
      </c>
      <c r="M118" s="9">
        <f t="shared" si="64"/>
        <v>45908</v>
      </c>
      <c r="N118" s="10"/>
      <c r="O118" s="7">
        <f t="shared" ca="1" si="65"/>
        <v>68</v>
      </c>
      <c r="P118" s="9"/>
      <c r="Q118" s="8"/>
    </row>
    <row r="119" spans="1:17" ht="14.5">
      <c r="A119" s="88" t="s">
        <v>59</v>
      </c>
      <c r="B119" s="88">
        <v>240</v>
      </c>
      <c r="C119" s="88" t="s">
        <v>956</v>
      </c>
      <c r="D119" s="88" t="s">
        <v>959</v>
      </c>
      <c r="E119" s="82">
        <v>45969</v>
      </c>
      <c r="F119" s="5">
        <v>662.99040000000002</v>
      </c>
      <c r="G119" s="83"/>
      <c r="H119" s="83">
        <f t="shared" si="61"/>
        <v>662.99040000000002</v>
      </c>
      <c r="I119" s="9">
        <v>45841</v>
      </c>
      <c r="J119" s="9"/>
      <c r="K119" s="9">
        <f t="shared" si="62"/>
        <v>2</v>
      </c>
      <c r="L119" s="7">
        <f t="shared" ca="1" si="63"/>
        <v>1</v>
      </c>
      <c r="M119" s="9">
        <f t="shared" si="64"/>
        <v>45922</v>
      </c>
      <c r="N119" s="10"/>
      <c r="O119" s="7">
        <f t="shared" ca="1" si="65"/>
        <v>82</v>
      </c>
      <c r="P119" s="9"/>
      <c r="Q119" s="8"/>
    </row>
    <row r="120" spans="1:17" ht="14.5">
      <c r="A120" s="88" t="s">
        <v>59</v>
      </c>
      <c r="B120" s="88">
        <v>240</v>
      </c>
      <c r="C120" s="88" t="s">
        <v>391</v>
      </c>
      <c r="D120" s="88" t="s">
        <v>959</v>
      </c>
      <c r="E120" s="82">
        <v>45969</v>
      </c>
      <c r="F120" s="5">
        <v>63.7776</v>
      </c>
      <c r="G120" s="83"/>
      <c r="H120" s="83">
        <f t="shared" si="61"/>
        <v>63.7776</v>
      </c>
      <c r="I120" s="9">
        <v>45841</v>
      </c>
      <c r="J120" s="9"/>
      <c r="K120" s="9">
        <f t="shared" si="62"/>
        <v>2</v>
      </c>
      <c r="L120" s="7">
        <f t="shared" ca="1" si="63"/>
        <v>1</v>
      </c>
      <c r="M120" s="9">
        <f t="shared" si="64"/>
        <v>45922</v>
      </c>
      <c r="N120" s="10"/>
      <c r="O120" s="7">
        <f t="shared" ca="1" si="65"/>
        <v>82</v>
      </c>
      <c r="P120" s="9"/>
      <c r="Q120" s="8"/>
    </row>
    <row r="121" spans="1:17" ht="14.5">
      <c r="A121" s="88" t="s">
        <v>59</v>
      </c>
      <c r="B121" s="88">
        <v>241</v>
      </c>
      <c r="C121" s="88" t="s">
        <v>391</v>
      </c>
      <c r="D121" s="88" t="s">
        <v>959</v>
      </c>
      <c r="E121" s="82">
        <v>45983</v>
      </c>
      <c r="F121" s="5">
        <v>637.77599999999995</v>
      </c>
      <c r="G121" s="83"/>
      <c r="H121" s="83">
        <f t="shared" si="61"/>
        <v>637.77599999999995</v>
      </c>
      <c r="I121" s="9">
        <v>45841</v>
      </c>
      <c r="J121" s="9"/>
      <c r="K121" s="9">
        <f t="shared" si="62"/>
        <v>2</v>
      </c>
      <c r="L121" s="7">
        <f t="shared" ca="1" si="63"/>
        <v>1</v>
      </c>
      <c r="M121" s="9">
        <f t="shared" si="64"/>
        <v>45936</v>
      </c>
      <c r="N121" s="10"/>
      <c r="O121" s="7">
        <f t="shared" ca="1" si="65"/>
        <v>96</v>
      </c>
      <c r="P121" s="9"/>
      <c r="Q121" s="8"/>
    </row>
    <row r="122" spans="1:17" ht="14.5">
      <c r="A122" s="88" t="s">
        <v>59</v>
      </c>
      <c r="B122" s="88">
        <v>242</v>
      </c>
      <c r="C122" s="88" t="s">
        <v>956</v>
      </c>
      <c r="D122" s="88" t="s">
        <v>959</v>
      </c>
      <c r="E122" s="82">
        <v>45905</v>
      </c>
      <c r="F122" s="5">
        <v>1866.6</v>
      </c>
      <c r="G122" s="83"/>
      <c r="H122" s="83">
        <f t="shared" si="61"/>
        <v>1866.6</v>
      </c>
      <c r="I122" s="9">
        <v>45841</v>
      </c>
      <c r="J122" s="9"/>
      <c r="K122" s="9">
        <f t="shared" si="62"/>
        <v>2</v>
      </c>
      <c r="L122" s="7">
        <f t="shared" ca="1" si="63"/>
        <v>1</v>
      </c>
      <c r="M122" s="9">
        <f t="shared" si="64"/>
        <v>45858</v>
      </c>
      <c r="N122" s="10"/>
      <c r="O122" s="7">
        <f t="shared" ca="1" si="65"/>
        <v>18</v>
      </c>
      <c r="P122" s="9"/>
      <c r="Q122" s="8"/>
    </row>
    <row r="123" spans="1:17" ht="14.5">
      <c r="A123" s="88" t="s">
        <v>59</v>
      </c>
      <c r="B123" s="88">
        <v>243</v>
      </c>
      <c r="C123" s="88" t="s">
        <v>956</v>
      </c>
      <c r="D123" s="88" t="s">
        <v>959</v>
      </c>
      <c r="E123" s="82">
        <v>45905</v>
      </c>
      <c r="F123" s="5">
        <v>1866.6</v>
      </c>
      <c r="G123" s="83"/>
      <c r="H123" s="83">
        <f t="shared" si="61"/>
        <v>1866.6</v>
      </c>
      <c r="I123" s="9">
        <v>45841</v>
      </c>
      <c r="J123" s="9"/>
      <c r="K123" s="9">
        <f t="shared" si="62"/>
        <v>2</v>
      </c>
      <c r="L123" s="7">
        <f t="shared" ca="1" si="63"/>
        <v>1</v>
      </c>
      <c r="M123" s="9">
        <f t="shared" si="64"/>
        <v>45858</v>
      </c>
      <c r="N123" s="10"/>
      <c r="O123" s="7">
        <f t="shared" ca="1" si="65"/>
        <v>18</v>
      </c>
      <c r="P123" s="9"/>
      <c r="Q123" s="8"/>
    </row>
  </sheetData>
  <autoFilter ref="A2:Q110"/>
  <mergeCells count="11">
    <mergeCell ref="A1:A2"/>
    <mergeCell ref="B1:B2"/>
    <mergeCell ref="C1:C2"/>
    <mergeCell ref="P1:Q1"/>
    <mergeCell ref="F1:F2"/>
    <mergeCell ref="E1:E2"/>
    <mergeCell ref="D1:D2"/>
    <mergeCell ref="H1:H2"/>
    <mergeCell ref="M1:O1"/>
    <mergeCell ref="G1:G2"/>
    <mergeCell ref="I1:L1"/>
  </mergeCells>
  <phoneticPr fontId="42" type="noConversion"/>
  <conditionalFormatting sqref="A3:XFD3 A4:M110 D4:D123 O8:XFD22 N8:N39 N40:Q110 A111:Q123">
    <cfRule type="expression" dxfId="140" priority="10">
      <formula>ROW()=CELL("row")</formula>
    </cfRule>
  </conditionalFormatting>
  <conditionalFormatting sqref="G3:H123">
    <cfRule type="cellIs" dxfId="139" priority="11" operator="lessThanOrEqual">
      <formula>0</formula>
    </cfRule>
  </conditionalFormatting>
  <conditionalFormatting sqref="L3:L123 O3:O123">
    <cfRule type="cellIs" dxfId="138" priority="57" operator="greaterThanOrEqual">
      <formula>0</formula>
    </cfRule>
    <cfRule type="cellIs" dxfId="137" priority="58" operator="lessThan">
      <formula>0</formula>
    </cfRule>
  </conditionalFormatting>
  <conditionalFormatting sqref="N4:XFD7">
    <cfRule type="expression" dxfId="136" priority="1">
      <formula>ROW()=CELL("row")</formula>
    </cfRule>
  </conditionalFormatting>
  <conditionalFormatting sqref="O23:Q39">
    <cfRule type="expression" dxfId="135" priority="6">
      <formula>ROW()=CELL("row")</formula>
    </cfRule>
  </conditionalFormatting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U851"/>
  <sheetViews>
    <sheetView workbookViewId="0">
      <pane ySplit="2" topLeftCell="A3" activePane="bottomLeft" state="frozen"/>
      <selection activeCell="J1" sqref="J1"/>
      <selection pane="bottomLeft" sqref="A1:XFD1"/>
    </sheetView>
  </sheetViews>
  <sheetFormatPr defaultColWidth="6.4140625" defaultRowHeight="14.5"/>
  <cols>
    <col min="1" max="1" width="6.4140625" style="124" customWidth="1"/>
    <col min="2" max="2" width="6.75" style="127" bestFit="1" customWidth="1"/>
    <col min="3" max="3" width="12.83203125" style="127" customWidth="1"/>
    <col min="4" max="4" width="18.25" style="127" customWidth="1"/>
    <col min="5" max="5" width="7.4140625" style="124" customWidth="1"/>
    <col min="6" max="6" width="7.4140625" style="126" customWidth="1"/>
    <col min="7" max="7" width="8.58203125" style="124" customWidth="1"/>
    <col min="8" max="8" width="8.4140625" style="124" customWidth="1"/>
    <col min="9" max="10" width="6.4140625" style="124" customWidth="1"/>
    <col min="11" max="11" width="8.1640625" style="124" customWidth="1"/>
    <col min="12" max="12" width="7.83203125" style="124" customWidth="1"/>
    <col min="13" max="13" width="8.1640625" style="124" customWidth="1"/>
    <col min="14" max="14" width="9.25" style="124" customWidth="1"/>
    <col min="15" max="15" width="8.4140625" style="124" customWidth="1"/>
    <col min="16" max="16" width="7.75" style="124" customWidth="1"/>
    <col min="17" max="17" width="8" style="124" customWidth="1"/>
    <col min="18" max="18" width="8.75" style="124" customWidth="1"/>
    <col min="19" max="19" width="7.75" style="124" customWidth="1"/>
    <col min="20" max="20" width="6.4140625" style="124" customWidth="1"/>
    <col min="21" max="16384" width="6.4140625" style="124"/>
  </cols>
  <sheetData>
    <row r="1" spans="1:20" ht="36.75" customHeight="1">
      <c r="A1" s="340" t="s">
        <v>20</v>
      </c>
      <c r="B1" s="340" t="s">
        <v>850</v>
      </c>
      <c r="C1" s="340" t="s">
        <v>697</v>
      </c>
      <c r="D1" s="340" t="s">
        <v>225</v>
      </c>
      <c r="E1" s="341" t="s">
        <v>24</v>
      </c>
      <c r="F1" s="341" t="s">
        <v>25</v>
      </c>
      <c r="G1" s="341" t="s">
        <v>102</v>
      </c>
      <c r="H1" s="342" t="s">
        <v>26</v>
      </c>
      <c r="I1" s="338" t="s">
        <v>27</v>
      </c>
      <c r="J1" s="338" t="s">
        <v>103</v>
      </c>
      <c r="K1" s="339" t="s">
        <v>28</v>
      </c>
      <c r="L1" s="353" t="s">
        <v>104</v>
      </c>
      <c r="M1" s="354"/>
      <c r="N1" s="354"/>
      <c r="O1" s="355"/>
      <c r="P1" s="353" t="s">
        <v>30</v>
      </c>
      <c r="Q1" s="354"/>
      <c r="R1" s="355"/>
      <c r="S1" s="353" t="s">
        <v>31</v>
      </c>
      <c r="T1" s="364"/>
    </row>
    <row r="2" spans="1:20" ht="45.75" customHeight="1">
      <c r="A2" s="282"/>
      <c r="B2" s="282"/>
      <c r="C2" s="282"/>
      <c r="D2" s="282"/>
      <c r="E2" s="283"/>
      <c r="F2" s="283"/>
      <c r="G2" s="283"/>
      <c r="H2" s="284"/>
      <c r="I2" s="253"/>
      <c r="J2" s="253"/>
      <c r="K2" s="252"/>
      <c r="L2" s="225" t="s">
        <v>50</v>
      </c>
      <c r="M2" s="228" t="s">
        <v>32</v>
      </c>
      <c r="N2" s="227" t="s">
        <v>965</v>
      </c>
      <c r="O2" s="226" t="s">
        <v>52</v>
      </c>
      <c r="P2" s="225" t="s">
        <v>50</v>
      </c>
      <c r="Q2" s="228" t="s">
        <v>32</v>
      </c>
      <c r="R2" s="226" t="s">
        <v>52</v>
      </c>
      <c r="S2" s="225" t="s">
        <v>53</v>
      </c>
      <c r="T2" s="225" t="s">
        <v>54</v>
      </c>
    </row>
    <row r="3" spans="1:20" hidden="1">
      <c r="A3" s="19" t="s">
        <v>818</v>
      </c>
      <c r="B3" s="4">
        <v>95</v>
      </c>
      <c r="C3" s="12" t="s">
        <v>77</v>
      </c>
      <c r="D3" s="323" t="s">
        <v>162</v>
      </c>
      <c r="E3" s="140">
        <v>45828</v>
      </c>
      <c r="F3" s="141">
        <v>357</v>
      </c>
      <c r="G3" s="138">
        <v>357</v>
      </c>
      <c r="H3" s="138">
        <v>339</v>
      </c>
      <c r="I3" s="83">
        <f>F3*95%-H3</f>
        <v>0.14999999999997726</v>
      </c>
      <c r="J3" s="83">
        <f>F3-G3</f>
        <v>0</v>
      </c>
      <c r="K3" s="298" t="s">
        <v>108</v>
      </c>
      <c r="L3" s="142">
        <v>45759</v>
      </c>
      <c r="M3" s="142">
        <v>45762</v>
      </c>
      <c r="N3" s="142">
        <f>M3+2</f>
        <v>45764</v>
      </c>
      <c r="O3" s="143">
        <f ca="1">+IF(M3="",L3-TODAY(),L3-M3)</f>
        <v>-3</v>
      </c>
      <c r="P3" s="142">
        <v>45771</v>
      </c>
      <c r="Q3" s="142">
        <v>45787</v>
      </c>
      <c r="R3" s="143">
        <f ca="1">+IF(Q3="",P3-TODAY(),P3-Q3)</f>
        <v>-16</v>
      </c>
      <c r="S3" s="306" t="s">
        <v>891</v>
      </c>
      <c r="T3" s="158"/>
    </row>
    <row r="4" spans="1:20" hidden="1">
      <c r="A4" s="19" t="s">
        <v>818</v>
      </c>
      <c r="B4" s="4">
        <v>95</v>
      </c>
      <c r="C4" s="12" t="s">
        <v>820</v>
      </c>
      <c r="D4" s="323" t="s">
        <v>155</v>
      </c>
      <c r="E4" s="140">
        <v>45828</v>
      </c>
      <c r="F4" s="141">
        <v>407</v>
      </c>
      <c r="G4" s="138">
        <v>407</v>
      </c>
      <c r="H4" s="138">
        <v>387</v>
      </c>
      <c r="I4" s="83">
        <f>F4*95%-H4</f>
        <v>-0.35000000000002274</v>
      </c>
      <c r="J4" s="83">
        <f>F4-G4</f>
        <v>0</v>
      </c>
      <c r="K4" s="298" t="s">
        <v>108</v>
      </c>
      <c r="L4" s="142">
        <f>P4-12</f>
        <v>45759</v>
      </c>
      <c r="M4" s="142">
        <v>45762</v>
      </c>
      <c r="N4" s="142">
        <f>M4+2</f>
        <v>45764</v>
      </c>
      <c r="O4" s="143">
        <f ca="1">+IF(M4="",L4-TODAY(),L4-M4)</f>
        <v>-3</v>
      </c>
      <c r="P4" s="142">
        <v>45771</v>
      </c>
      <c r="Q4" s="142">
        <v>45787</v>
      </c>
      <c r="R4" s="143">
        <f ca="1">+IF(Q4="",P4-TODAY(),P4-Q4)</f>
        <v>-16</v>
      </c>
      <c r="S4" s="84">
        <v>85</v>
      </c>
      <c r="T4" s="158"/>
    </row>
    <row r="5" spans="1:20" hidden="1">
      <c r="A5" s="19" t="s">
        <v>818</v>
      </c>
      <c r="B5" s="4">
        <v>95</v>
      </c>
      <c r="C5" s="12" t="s">
        <v>98</v>
      </c>
      <c r="D5" s="323" t="s">
        <v>239</v>
      </c>
      <c r="E5" s="140">
        <v>45828</v>
      </c>
      <c r="F5" s="141">
        <v>388</v>
      </c>
      <c r="G5" s="138">
        <v>388</v>
      </c>
      <c r="H5" s="138">
        <v>369</v>
      </c>
      <c r="I5" s="83">
        <f>F5*95%-H5</f>
        <v>-0.40000000000003411</v>
      </c>
      <c r="J5" s="83">
        <f>F5-G5</f>
        <v>0</v>
      </c>
      <c r="K5" s="298" t="s">
        <v>108</v>
      </c>
      <c r="L5" s="142">
        <f>P5-12</f>
        <v>45759</v>
      </c>
      <c r="M5" s="142">
        <v>45759</v>
      </c>
      <c r="N5" s="142">
        <f>M5+2</f>
        <v>45761</v>
      </c>
      <c r="O5" s="143">
        <f ca="1">+IF(M5="",L5-TODAY(),L5-M5)</f>
        <v>0</v>
      </c>
      <c r="P5" s="142">
        <v>45771</v>
      </c>
      <c r="Q5" s="142">
        <v>45759</v>
      </c>
      <c r="R5" s="143">
        <f ca="1">+IF(Q5="",P5-TODAY(),P5-Q5)</f>
        <v>12</v>
      </c>
      <c r="S5" s="84"/>
      <c r="T5" s="158"/>
    </row>
    <row r="6" spans="1:20" hidden="1">
      <c r="A6" s="19" t="s">
        <v>89</v>
      </c>
      <c r="B6" s="4">
        <v>72</v>
      </c>
      <c r="C6" s="12" t="s">
        <v>822</v>
      </c>
      <c r="D6" s="323" t="s">
        <v>341</v>
      </c>
      <c r="E6" s="140">
        <v>45828</v>
      </c>
      <c r="F6" s="138">
        <v>1555.6521416220628</v>
      </c>
      <c r="G6" s="138">
        <v>1555</v>
      </c>
      <c r="H6" s="138">
        <v>1478</v>
      </c>
      <c r="I6" s="83">
        <f>F6*95%-H6</f>
        <v>-0.13046545904035156</v>
      </c>
      <c r="J6" s="83">
        <f>F6-G6</f>
        <v>0.6521416220627998</v>
      </c>
      <c r="K6" s="298" t="s">
        <v>142</v>
      </c>
      <c r="L6" s="142">
        <f>P6-12</f>
        <v>45759</v>
      </c>
      <c r="M6" s="142">
        <v>45765</v>
      </c>
      <c r="N6" s="142">
        <f>M6+2</f>
        <v>45767</v>
      </c>
      <c r="O6" s="143">
        <f ca="1">+IF(M6="",L6-TODAY(),L6-M6)</f>
        <v>-6</v>
      </c>
      <c r="P6" s="142">
        <v>45771</v>
      </c>
      <c r="Q6" s="142">
        <v>45783</v>
      </c>
      <c r="R6" s="143">
        <f ca="1">+IF(Q6="",P6-TODAY(),P6-Q6)</f>
        <v>-12</v>
      </c>
      <c r="S6" s="84"/>
      <c r="T6" s="158"/>
    </row>
    <row r="7" spans="1:20" hidden="1">
      <c r="A7" s="19" t="s">
        <v>89</v>
      </c>
      <c r="B7" s="4">
        <v>72</v>
      </c>
      <c r="C7" s="12" t="s">
        <v>823</v>
      </c>
      <c r="D7" s="323" t="s">
        <v>341</v>
      </c>
      <c r="E7" s="140">
        <v>45828</v>
      </c>
      <c r="F7" s="138">
        <v>119.50779431703273</v>
      </c>
      <c r="G7" s="138">
        <v>119.51</v>
      </c>
      <c r="H7" s="138">
        <v>114</v>
      </c>
      <c r="I7" s="83">
        <f>F7*95%-H7</f>
        <v>-0.46759539881891499</v>
      </c>
      <c r="J7" s="83">
        <f>F7-G7</f>
        <v>-2.2056829672720824E-3</v>
      </c>
      <c r="K7" s="298" t="s">
        <v>142</v>
      </c>
      <c r="L7" s="142">
        <f>P7-12</f>
        <v>45759</v>
      </c>
      <c r="M7" s="142">
        <v>45762</v>
      </c>
      <c r="N7" s="142">
        <f>M7+2</f>
        <v>45764</v>
      </c>
      <c r="O7" s="143">
        <f ca="1">+IF(M7="",L7-TODAY(),L7-M7)</f>
        <v>-3</v>
      </c>
      <c r="P7" s="142">
        <v>45771</v>
      </c>
      <c r="Q7" s="142">
        <v>45783</v>
      </c>
      <c r="R7" s="143">
        <f ca="1">+IF(Q7="",P7-TODAY(),P7-Q7)</f>
        <v>-12</v>
      </c>
      <c r="S7" s="84"/>
      <c r="T7" s="158"/>
    </row>
    <row r="8" spans="1:20" hidden="1">
      <c r="A8" s="19" t="s">
        <v>89</v>
      </c>
      <c r="B8" s="4">
        <v>72</v>
      </c>
      <c r="C8" s="12" t="s">
        <v>824</v>
      </c>
      <c r="D8" s="323" t="s">
        <v>314</v>
      </c>
      <c r="E8" s="140">
        <v>45828</v>
      </c>
      <c r="F8" s="138">
        <v>40.633805200011643</v>
      </c>
      <c r="G8" s="138">
        <v>40.652999999999999</v>
      </c>
      <c r="H8" s="138">
        <v>39</v>
      </c>
      <c r="I8" s="83">
        <f t="shared" ref="I8:I19" si="0">F8*95%-H8</f>
        <v>-0.39788505998894408</v>
      </c>
      <c r="J8" s="83">
        <f t="shared" ref="J8:J19" si="1">F8-G8</f>
        <v>-1.9194799988355271E-2</v>
      </c>
      <c r="K8" s="298" t="s">
        <v>133</v>
      </c>
      <c r="L8" s="142">
        <f t="shared" ref="L8:L19" si="2">P8-12</f>
        <v>45759</v>
      </c>
      <c r="M8" s="142">
        <v>45768</v>
      </c>
      <c r="N8" s="142">
        <f t="shared" ref="N8:N19" si="3">M8+2</f>
        <v>45770</v>
      </c>
      <c r="O8" s="143">
        <f t="shared" ref="O8:O19" ca="1" si="4">+IF(M8="",L8-TODAY(),L8-M8)</f>
        <v>-9</v>
      </c>
      <c r="P8" s="142">
        <v>45771</v>
      </c>
      <c r="Q8" s="142">
        <v>45787</v>
      </c>
      <c r="R8" s="143">
        <f t="shared" ref="R8:R19" ca="1" si="5">+IF(Q8="",P8-TODAY(),P8-Q8)</f>
        <v>-16</v>
      </c>
      <c r="S8" s="84"/>
      <c r="T8" s="158"/>
    </row>
    <row r="9" spans="1:20" hidden="1">
      <c r="A9" s="19" t="s">
        <v>89</v>
      </c>
      <c r="B9" s="4">
        <v>72</v>
      </c>
      <c r="C9" s="12" t="s">
        <v>825</v>
      </c>
      <c r="D9" s="323" t="s">
        <v>341</v>
      </c>
      <c r="E9" s="140">
        <v>45828</v>
      </c>
      <c r="F9" s="138">
        <v>113.36980990324363</v>
      </c>
      <c r="G9" s="138">
        <v>113.37</v>
      </c>
      <c r="H9" s="138">
        <v>108</v>
      </c>
      <c r="I9" s="83">
        <f t="shared" si="0"/>
        <v>-0.29868059191855423</v>
      </c>
      <c r="J9" s="83">
        <f t="shared" si="1"/>
        <v>-1.9009675636993961E-4</v>
      </c>
      <c r="K9" s="298" t="s">
        <v>142</v>
      </c>
      <c r="L9" s="142">
        <f t="shared" si="2"/>
        <v>45759</v>
      </c>
      <c r="M9" s="142">
        <v>45762</v>
      </c>
      <c r="N9" s="142">
        <f t="shared" si="3"/>
        <v>45764</v>
      </c>
      <c r="O9" s="143">
        <f t="shared" ca="1" si="4"/>
        <v>-3</v>
      </c>
      <c r="P9" s="142">
        <v>45771</v>
      </c>
      <c r="Q9" s="142">
        <v>45783</v>
      </c>
      <c r="R9" s="143">
        <f t="shared" ca="1" si="5"/>
        <v>-12</v>
      </c>
      <c r="S9" s="84"/>
      <c r="T9" s="158"/>
    </row>
    <row r="10" spans="1:20" hidden="1">
      <c r="A10" s="19" t="s">
        <v>89</v>
      </c>
      <c r="B10" s="4">
        <v>72</v>
      </c>
      <c r="C10" s="12" t="s">
        <v>826</v>
      </c>
      <c r="D10" s="323" t="s">
        <v>316</v>
      </c>
      <c r="E10" s="140">
        <v>45828</v>
      </c>
      <c r="F10" s="138">
        <v>43.570974802594918</v>
      </c>
      <c r="G10" s="138">
        <v>43.54</v>
      </c>
      <c r="H10" s="138">
        <v>41</v>
      </c>
      <c r="I10" s="83">
        <f t="shared" si="0"/>
        <v>0.39242606246516942</v>
      </c>
      <c r="J10" s="83">
        <f t="shared" si="1"/>
        <v>3.0974802594919026E-2</v>
      </c>
      <c r="K10" s="298" t="s">
        <v>133</v>
      </c>
      <c r="L10" s="142">
        <f t="shared" si="2"/>
        <v>45759</v>
      </c>
      <c r="M10" s="142">
        <v>45768</v>
      </c>
      <c r="N10" s="142">
        <f t="shared" si="3"/>
        <v>45770</v>
      </c>
      <c r="O10" s="143">
        <f t="shared" ca="1" si="4"/>
        <v>-9</v>
      </c>
      <c r="P10" s="142">
        <v>45771</v>
      </c>
      <c r="Q10" s="142">
        <v>45787</v>
      </c>
      <c r="R10" s="143">
        <f t="shared" ca="1" si="5"/>
        <v>-16</v>
      </c>
      <c r="S10" s="84"/>
      <c r="T10" s="158"/>
    </row>
    <row r="11" spans="1:20" hidden="1">
      <c r="A11" s="19" t="s">
        <v>89</v>
      </c>
      <c r="B11" s="4">
        <v>72</v>
      </c>
      <c r="C11" s="12" t="s">
        <v>827</v>
      </c>
      <c r="D11" s="323" t="s">
        <v>327</v>
      </c>
      <c r="E11" s="140">
        <v>45828</v>
      </c>
      <c r="F11" s="138">
        <v>130.39597711296</v>
      </c>
      <c r="G11" s="138">
        <v>130.4</v>
      </c>
      <c r="H11" s="138">
        <v>124</v>
      </c>
      <c r="I11" s="83">
        <f t="shared" si="0"/>
        <v>-0.12382174268800838</v>
      </c>
      <c r="J11" s="83">
        <f t="shared" si="1"/>
        <v>-4.022887040008527E-3</v>
      </c>
      <c r="K11" s="298" t="s">
        <v>133</v>
      </c>
      <c r="L11" s="142">
        <f t="shared" si="2"/>
        <v>45759</v>
      </c>
      <c r="M11" s="142">
        <v>45762</v>
      </c>
      <c r="N11" s="142">
        <f t="shared" si="3"/>
        <v>45764</v>
      </c>
      <c r="O11" s="143">
        <f t="shared" ca="1" si="4"/>
        <v>-3</v>
      </c>
      <c r="P11" s="142">
        <v>45771</v>
      </c>
      <c r="Q11" s="142">
        <v>45793</v>
      </c>
      <c r="R11" s="143">
        <f t="shared" ca="1" si="5"/>
        <v>-22</v>
      </c>
      <c r="S11" s="84">
        <v>45791</v>
      </c>
      <c r="T11" s="158"/>
    </row>
    <row r="12" spans="1:20" hidden="1">
      <c r="A12" s="19" t="s">
        <v>89</v>
      </c>
      <c r="B12" s="4">
        <v>72</v>
      </c>
      <c r="C12" s="12" t="s">
        <v>828</v>
      </c>
      <c r="D12" s="323" t="s">
        <v>574</v>
      </c>
      <c r="E12" s="140">
        <v>45828</v>
      </c>
      <c r="F12" s="138">
        <v>130.39597711296</v>
      </c>
      <c r="G12" s="138">
        <v>130.4</v>
      </c>
      <c r="H12" s="138">
        <v>124</v>
      </c>
      <c r="I12" s="83">
        <f t="shared" si="0"/>
        <v>-0.12382174268800838</v>
      </c>
      <c r="J12" s="83">
        <f t="shared" si="1"/>
        <v>-4.022887040008527E-3</v>
      </c>
      <c r="K12" s="298" t="s">
        <v>142</v>
      </c>
      <c r="L12" s="142">
        <f t="shared" si="2"/>
        <v>45759</v>
      </c>
      <c r="M12" s="142">
        <v>45762</v>
      </c>
      <c r="N12" s="142">
        <f t="shared" si="3"/>
        <v>45764</v>
      </c>
      <c r="O12" s="143">
        <f t="shared" ca="1" si="4"/>
        <v>-3</v>
      </c>
      <c r="P12" s="142">
        <v>45771</v>
      </c>
      <c r="Q12" s="142">
        <v>45783</v>
      </c>
      <c r="R12" s="143">
        <f t="shared" ca="1" si="5"/>
        <v>-12</v>
      </c>
      <c r="S12" s="84"/>
      <c r="T12" s="158"/>
    </row>
    <row r="13" spans="1:20" hidden="1">
      <c r="A13" s="19" t="s">
        <v>89</v>
      </c>
      <c r="B13" s="4">
        <v>72</v>
      </c>
      <c r="C13" s="12" t="s">
        <v>829</v>
      </c>
      <c r="D13" s="323" t="s">
        <v>348</v>
      </c>
      <c r="E13" s="140">
        <v>45828</v>
      </c>
      <c r="F13" s="138">
        <v>60.460053388799999</v>
      </c>
      <c r="G13" s="138">
        <v>60.46</v>
      </c>
      <c r="H13" s="138">
        <v>57</v>
      </c>
      <c r="I13" s="83">
        <f t="shared" si="0"/>
        <v>0.43705071935999484</v>
      </c>
      <c r="J13" s="83">
        <f t="shared" si="1"/>
        <v>5.3388799997833303E-5</v>
      </c>
      <c r="K13" s="298" t="s">
        <v>133</v>
      </c>
      <c r="L13" s="142">
        <f t="shared" si="2"/>
        <v>45759</v>
      </c>
      <c r="M13" s="142">
        <v>45762</v>
      </c>
      <c r="N13" s="142">
        <f t="shared" si="3"/>
        <v>45764</v>
      </c>
      <c r="O13" s="143">
        <f t="shared" ca="1" si="4"/>
        <v>-3</v>
      </c>
      <c r="P13" s="142">
        <v>45771</v>
      </c>
      <c r="Q13" s="142">
        <v>45783</v>
      </c>
      <c r="R13" s="143">
        <f t="shared" ca="1" si="5"/>
        <v>-12</v>
      </c>
      <c r="S13" s="84"/>
      <c r="T13" s="158"/>
    </row>
    <row r="14" spans="1:20" hidden="1">
      <c r="A14" s="19" t="s">
        <v>89</v>
      </c>
      <c r="B14" s="4">
        <v>72</v>
      </c>
      <c r="C14" s="12" t="s">
        <v>830</v>
      </c>
      <c r="D14" s="323" t="s">
        <v>154</v>
      </c>
      <c r="E14" s="140">
        <v>45828</v>
      </c>
      <c r="F14" s="138">
        <v>73.368625785600003</v>
      </c>
      <c r="G14" s="138">
        <v>73.369</v>
      </c>
      <c r="H14" s="138">
        <v>70</v>
      </c>
      <c r="I14" s="83">
        <f t="shared" si="0"/>
        <v>-0.29980550368000536</v>
      </c>
      <c r="J14" s="83">
        <f t="shared" si="1"/>
        <v>-3.7421439999718586E-4</v>
      </c>
      <c r="K14" s="298" t="s">
        <v>133</v>
      </c>
      <c r="L14" s="142">
        <f t="shared" si="2"/>
        <v>45759</v>
      </c>
      <c r="M14" s="142">
        <v>45762</v>
      </c>
      <c r="N14" s="142">
        <f t="shared" si="3"/>
        <v>45764</v>
      </c>
      <c r="O14" s="143">
        <f t="shared" ca="1" si="4"/>
        <v>-3</v>
      </c>
      <c r="P14" s="142">
        <v>45771</v>
      </c>
      <c r="Q14" s="142">
        <v>45783</v>
      </c>
      <c r="R14" s="143">
        <f t="shared" ca="1" si="5"/>
        <v>-12</v>
      </c>
      <c r="S14" s="84"/>
      <c r="T14" s="158"/>
    </row>
    <row r="15" spans="1:20" hidden="1">
      <c r="A15" s="19" t="s">
        <v>89</v>
      </c>
      <c r="B15" s="4">
        <v>72</v>
      </c>
      <c r="C15" s="12" t="s">
        <v>831</v>
      </c>
      <c r="D15" s="323" t="s">
        <v>788</v>
      </c>
      <c r="E15" s="140">
        <v>45828</v>
      </c>
      <c r="F15" s="138">
        <v>57.495862368000004</v>
      </c>
      <c r="G15" s="138">
        <v>57.496000000000002</v>
      </c>
      <c r="H15" s="138">
        <v>55</v>
      </c>
      <c r="I15" s="83">
        <f t="shared" si="0"/>
        <v>-0.37893075039999502</v>
      </c>
      <c r="J15" s="83">
        <f t="shared" si="1"/>
        <v>-1.3763199999772269E-4</v>
      </c>
      <c r="K15" s="298" t="s">
        <v>142</v>
      </c>
      <c r="L15" s="142">
        <f t="shared" si="2"/>
        <v>45759</v>
      </c>
      <c r="M15" s="142">
        <v>45762</v>
      </c>
      <c r="N15" s="142">
        <f t="shared" si="3"/>
        <v>45764</v>
      </c>
      <c r="O15" s="143">
        <f t="shared" ca="1" si="4"/>
        <v>-3</v>
      </c>
      <c r="P15" s="142">
        <v>45771</v>
      </c>
      <c r="Q15" s="142">
        <v>45783</v>
      </c>
      <c r="R15" s="143">
        <f t="shared" ca="1" si="5"/>
        <v>-12</v>
      </c>
      <c r="S15" s="84"/>
      <c r="T15" s="158"/>
    </row>
    <row r="16" spans="1:20" hidden="1">
      <c r="A16" s="19" t="s">
        <v>89</v>
      </c>
      <c r="B16" s="4">
        <v>72</v>
      </c>
      <c r="C16" s="12" t="s">
        <v>832</v>
      </c>
      <c r="D16" s="323" t="s">
        <v>788</v>
      </c>
      <c r="E16" s="140">
        <v>45828</v>
      </c>
      <c r="F16" s="138">
        <v>114.27129000000001</v>
      </c>
      <c r="G16" s="138">
        <v>114.27</v>
      </c>
      <c r="H16" s="138">
        <v>109</v>
      </c>
      <c r="I16" s="83">
        <f t="shared" si="0"/>
        <v>-0.44227449999999635</v>
      </c>
      <c r="J16" s="83">
        <f t="shared" si="1"/>
        <v>1.2900000000115597E-3</v>
      </c>
      <c r="K16" s="298" t="s">
        <v>142</v>
      </c>
      <c r="L16" s="142">
        <f t="shared" si="2"/>
        <v>45759</v>
      </c>
      <c r="M16" s="142">
        <v>45762</v>
      </c>
      <c r="N16" s="142">
        <f t="shared" si="3"/>
        <v>45764</v>
      </c>
      <c r="O16" s="143">
        <f t="shared" ca="1" si="4"/>
        <v>-3</v>
      </c>
      <c r="P16" s="142">
        <v>45771</v>
      </c>
      <c r="Q16" s="142">
        <v>45783</v>
      </c>
      <c r="R16" s="143">
        <f t="shared" ca="1" si="5"/>
        <v>-12</v>
      </c>
      <c r="S16" s="84"/>
      <c r="T16" s="158"/>
    </row>
    <row r="17" spans="1:21" hidden="1">
      <c r="A17" s="19" t="s">
        <v>89</v>
      </c>
      <c r="B17" s="4">
        <v>72</v>
      </c>
      <c r="C17" s="12" t="s">
        <v>833</v>
      </c>
      <c r="D17" s="323" t="s">
        <v>788</v>
      </c>
      <c r="E17" s="140">
        <v>45828</v>
      </c>
      <c r="F17" s="138">
        <v>37.612370908800003</v>
      </c>
      <c r="G17" s="138">
        <v>37.612000000000002</v>
      </c>
      <c r="H17" s="138">
        <v>36</v>
      </c>
      <c r="I17" s="83">
        <f t="shared" si="0"/>
        <v>-0.26824763663999818</v>
      </c>
      <c r="J17" s="83">
        <f t="shared" si="1"/>
        <v>3.7090880000079096E-4</v>
      </c>
      <c r="K17" s="298" t="s">
        <v>142</v>
      </c>
      <c r="L17" s="142">
        <f t="shared" si="2"/>
        <v>45759</v>
      </c>
      <c r="M17" s="142">
        <v>45762</v>
      </c>
      <c r="N17" s="142">
        <f t="shared" si="3"/>
        <v>45764</v>
      </c>
      <c r="O17" s="143">
        <f t="shared" ca="1" si="4"/>
        <v>-3</v>
      </c>
      <c r="P17" s="142">
        <v>45771</v>
      </c>
      <c r="Q17" s="142">
        <v>45783</v>
      </c>
      <c r="R17" s="143">
        <f t="shared" ca="1" si="5"/>
        <v>-12</v>
      </c>
      <c r="S17" s="84"/>
      <c r="T17" s="158"/>
    </row>
    <row r="18" spans="1:21" hidden="1">
      <c r="A18" s="19" t="s">
        <v>89</v>
      </c>
      <c r="B18" s="4">
        <v>72</v>
      </c>
      <c r="C18" s="12" t="s">
        <v>834</v>
      </c>
      <c r="D18" s="323" t="s">
        <v>348</v>
      </c>
      <c r="E18" s="140">
        <v>45828</v>
      </c>
      <c r="F18" s="138">
        <v>19.533343536</v>
      </c>
      <c r="G18" s="138">
        <v>19.533000000000001</v>
      </c>
      <c r="H18" s="138">
        <v>19</v>
      </c>
      <c r="I18" s="83">
        <f t="shared" si="0"/>
        <v>-0.4433236407999992</v>
      </c>
      <c r="J18" s="83">
        <f t="shared" si="1"/>
        <v>3.4353599999903395E-4</v>
      </c>
      <c r="K18" s="298" t="s">
        <v>133</v>
      </c>
      <c r="L18" s="142">
        <f t="shared" si="2"/>
        <v>45759</v>
      </c>
      <c r="M18" s="142">
        <v>45762</v>
      </c>
      <c r="N18" s="142">
        <f t="shared" si="3"/>
        <v>45764</v>
      </c>
      <c r="O18" s="143">
        <f t="shared" ca="1" si="4"/>
        <v>-3</v>
      </c>
      <c r="P18" s="142">
        <v>45771</v>
      </c>
      <c r="Q18" s="142">
        <v>45783</v>
      </c>
      <c r="R18" s="143">
        <f t="shared" ca="1" si="5"/>
        <v>-12</v>
      </c>
      <c r="S18" s="84"/>
      <c r="T18" s="158"/>
    </row>
    <row r="19" spans="1:21" hidden="1">
      <c r="A19" s="19" t="s">
        <v>89</v>
      </c>
      <c r="B19" s="4">
        <v>72</v>
      </c>
      <c r="C19" s="12" t="s">
        <v>835</v>
      </c>
      <c r="D19" s="323" t="s">
        <v>154</v>
      </c>
      <c r="E19" s="140">
        <v>45828</v>
      </c>
      <c r="F19" s="138">
        <v>19.533343536</v>
      </c>
      <c r="G19" s="138">
        <v>19.533000000000001</v>
      </c>
      <c r="H19" s="138">
        <v>19</v>
      </c>
      <c r="I19" s="83">
        <f t="shared" si="0"/>
        <v>-0.4433236407999992</v>
      </c>
      <c r="J19" s="83">
        <f t="shared" si="1"/>
        <v>3.4353599999903395E-4</v>
      </c>
      <c r="K19" s="298" t="s">
        <v>133</v>
      </c>
      <c r="L19" s="142">
        <f t="shared" si="2"/>
        <v>45759</v>
      </c>
      <c r="M19" s="142">
        <v>45762</v>
      </c>
      <c r="N19" s="142">
        <f t="shared" si="3"/>
        <v>45764</v>
      </c>
      <c r="O19" s="143">
        <f t="shared" ca="1" si="4"/>
        <v>-3</v>
      </c>
      <c r="P19" s="142">
        <v>45771</v>
      </c>
      <c r="Q19" s="142">
        <v>45783</v>
      </c>
      <c r="R19" s="143">
        <f t="shared" ca="1" si="5"/>
        <v>-12</v>
      </c>
      <c r="S19" s="84"/>
      <c r="T19" s="158"/>
    </row>
    <row r="20" spans="1:21" hidden="1">
      <c r="A20" s="19" t="s">
        <v>188</v>
      </c>
      <c r="B20" s="4">
        <v>97</v>
      </c>
      <c r="C20" s="322" t="s">
        <v>75</v>
      </c>
      <c r="D20" s="323" t="s">
        <v>840</v>
      </c>
      <c r="E20" s="140">
        <v>45821</v>
      </c>
      <c r="F20" s="144">
        <v>14.807</v>
      </c>
      <c r="G20" s="138">
        <v>15</v>
      </c>
      <c r="H20" s="138">
        <v>14</v>
      </c>
      <c r="I20" s="83">
        <f t="shared" ref="I20:I67" si="6">F20*95%-H20</f>
        <v>6.664999999999921E-2</v>
      </c>
      <c r="J20" s="83">
        <f t="shared" ref="J20:J67" si="7">F20-G20</f>
        <v>-0.19299999999999962</v>
      </c>
      <c r="K20" s="298" t="s">
        <v>108</v>
      </c>
      <c r="L20" s="142">
        <v>45787</v>
      </c>
      <c r="M20" s="142">
        <v>45785</v>
      </c>
      <c r="N20" s="142">
        <f>M20+2</f>
        <v>45787</v>
      </c>
      <c r="O20" s="143">
        <f ca="1">+IF(M20="",L20-TODAY(),L20-M20)</f>
        <v>2</v>
      </c>
      <c r="P20" s="142">
        <f t="shared" ref="P20:P29" si="8">L20+12</f>
        <v>45799</v>
      </c>
      <c r="Q20" s="142">
        <v>45807</v>
      </c>
      <c r="R20" s="143">
        <f ca="1">+IF(Q20="",P20-TODAY(),P20-Q20)</f>
        <v>-8</v>
      </c>
      <c r="S20" s="84">
        <v>45800</v>
      </c>
      <c r="T20" s="158"/>
      <c r="U20" s="139"/>
    </row>
    <row r="21" spans="1:21" hidden="1">
      <c r="A21" s="19" t="s">
        <v>188</v>
      </c>
      <c r="B21" s="4">
        <v>97</v>
      </c>
      <c r="C21" s="322" t="s">
        <v>75</v>
      </c>
      <c r="D21" s="323" t="s">
        <v>841</v>
      </c>
      <c r="E21" s="140">
        <v>45821</v>
      </c>
      <c r="F21" s="144">
        <v>15.822000000000001</v>
      </c>
      <c r="G21" s="138">
        <v>16</v>
      </c>
      <c r="H21" s="138">
        <v>15</v>
      </c>
      <c r="I21" s="83">
        <f t="shared" si="6"/>
        <v>3.0900000000000816E-2</v>
      </c>
      <c r="J21" s="83">
        <f t="shared" si="7"/>
        <v>-0.17799999999999905</v>
      </c>
      <c r="K21" s="298" t="s">
        <v>108</v>
      </c>
      <c r="L21" s="142">
        <v>45787</v>
      </c>
      <c r="M21" s="142">
        <v>45785</v>
      </c>
      <c r="N21" s="142">
        <f t="shared" ref="N21:N67" si="9">M21+2</f>
        <v>45787</v>
      </c>
      <c r="O21" s="143">
        <f t="shared" ref="O21:O67" ca="1" si="10">+IF(M21="",L21-TODAY(),L21-M21)</f>
        <v>2</v>
      </c>
      <c r="P21" s="142">
        <f t="shared" si="8"/>
        <v>45799</v>
      </c>
      <c r="Q21" s="142">
        <v>45807</v>
      </c>
      <c r="R21" s="143">
        <f t="shared" ref="R21:R67" ca="1" si="11">+IF(Q21="",P21-TODAY(),P21-Q21)</f>
        <v>-8</v>
      </c>
      <c r="S21" s="84">
        <v>45800</v>
      </c>
      <c r="T21" s="158"/>
    </row>
    <row r="22" spans="1:21" hidden="1">
      <c r="A22" s="19" t="s">
        <v>188</v>
      </c>
      <c r="B22" s="4">
        <v>97</v>
      </c>
      <c r="C22" s="322" t="s">
        <v>76</v>
      </c>
      <c r="D22" s="323" t="s">
        <v>840</v>
      </c>
      <c r="E22" s="140">
        <v>45821</v>
      </c>
      <c r="F22" s="144">
        <v>16.044</v>
      </c>
      <c r="G22" s="138">
        <v>16</v>
      </c>
      <c r="H22" s="138">
        <v>15</v>
      </c>
      <c r="I22" s="83">
        <f t="shared" si="6"/>
        <v>0.24179999999999957</v>
      </c>
      <c r="J22" s="83">
        <f t="shared" si="7"/>
        <v>4.4000000000000483E-2</v>
      </c>
      <c r="K22" s="298" t="s">
        <v>108</v>
      </c>
      <c r="L22" s="142">
        <v>45787</v>
      </c>
      <c r="M22" s="142">
        <v>45785</v>
      </c>
      <c r="N22" s="142">
        <f t="shared" si="9"/>
        <v>45787</v>
      </c>
      <c r="O22" s="143">
        <f t="shared" ca="1" si="10"/>
        <v>2</v>
      </c>
      <c r="P22" s="142">
        <f t="shared" si="8"/>
        <v>45799</v>
      </c>
      <c r="Q22" s="142">
        <v>45807</v>
      </c>
      <c r="R22" s="143">
        <f t="shared" ca="1" si="11"/>
        <v>-8</v>
      </c>
      <c r="S22" s="84">
        <v>45800</v>
      </c>
      <c r="T22" s="158"/>
    </row>
    <row r="23" spans="1:21" hidden="1">
      <c r="A23" s="19" t="s">
        <v>188</v>
      </c>
      <c r="B23" s="4">
        <v>97</v>
      </c>
      <c r="C23" s="322" t="s">
        <v>76</v>
      </c>
      <c r="D23" s="323" t="s">
        <v>841</v>
      </c>
      <c r="E23" s="140">
        <v>45821</v>
      </c>
      <c r="F23" s="144">
        <v>17.147000000000002</v>
      </c>
      <c r="G23" s="138">
        <v>17</v>
      </c>
      <c r="H23" s="138">
        <v>16</v>
      </c>
      <c r="I23" s="83">
        <f t="shared" si="6"/>
        <v>0.28965000000000174</v>
      </c>
      <c r="J23" s="83">
        <f t="shared" si="7"/>
        <v>0.14700000000000202</v>
      </c>
      <c r="K23" s="298" t="s">
        <v>108</v>
      </c>
      <c r="L23" s="142">
        <v>45787</v>
      </c>
      <c r="M23" s="142">
        <v>45785</v>
      </c>
      <c r="N23" s="142">
        <f t="shared" si="9"/>
        <v>45787</v>
      </c>
      <c r="O23" s="143">
        <f t="shared" ca="1" si="10"/>
        <v>2</v>
      </c>
      <c r="P23" s="142">
        <f t="shared" si="8"/>
        <v>45799</v>
      </c>
      <c r="Q23" s="142">
        <v>45807</v>
      </c>
      <c r="R23" s="143">
        <f t="shared" ca="1" si="11"/>
        <v>-8</v>
      </c>
      <c r="S23" s="84">
        <v>45800</v>
      </c>
      <c r="T23" s="158"/>
    </row>
    <row r="24" spans="1:21" hidden="1">
      <c r="A24" s="19" t="s">
        <v>188</v>
      </c>
      <c r="B24" s="4">
        <v>98</v>
      </c>
      <c r="C24" s="12" t="s">
        <v>77</v>
      </c>
      <c r="D24" s="323" t="s">
        <v>137</v>
      </c>
      <c r="E24" s="140">
        <v>45835</v>
      </c>
      <c r="F24" s="144">
        <v>59.5</v>
      </c>
      <c r="G24" s="138">
        <v>60</v>
      </c>
      <c r="H24" s="138">
        <v>57</v>
      </c>
      <c r="I24" s="83">
        <f t="shared" si="6"/>
        <v>-0.47500000000000142</v>
      </c>
      <c r="J24" s="83">
        <f t="shared" si="7"/>
        <v>-0.5</v>
      </c>
      <c r="K24" s="298" t="s">
        <v>108</v>
      </c>
      <c r="L24" s="142">
        <v>45784</v>
      </c>
      <c r="M24" s="142">
        <v>45785</v>
      </c>
      <c r="N24" s="142">
        <f t="shared" si="9"/>
        <v>45787</v>
      </c>
      <c r="O24" s="143">
        <f t="shared" ca="1" si="10"/>
        <v>-1</v>
      </c>
      <c r="P24" s="142">
        <f t="shared" si="8"/>
        <v>45796</v>
      </c>
      <c r="Q24" s="142">
        <v>45807</v>
      </c>
      <c r="R24" s="143">
        <f t="shared" ca="1" si="11"/>
        <v>-11</v>
      </c>
      <c r="S24" s="84">
        <v>45796</v>
      </c>
      <c r="T24" s="158"/>
    </row>
    <row r="25" spans="1:21" hidden="1">
      <c r="A25" s="19" t="s">
        <v>188</v>
      </c>
      <c r="B25" s="4">
        <v>98</v>
      </c>
      <c r="C25" s="12" t="s">
        <v>80</v>
      </c>
      <c r="D25" s="323" t="s">
        <v>146</v>
      </c>
      <c r="E25" s="140">
        <v>45835</v>
      </c>
      <c r="F25" s="144">
        <v>547</v>
      </c>
      <c r="G25" s="138">
        <v>547</v>
      </c>
      <c r="H25" s="138">
        <v>520</v>
      </c>
      <c r="I25" s="83">
        <f t="shared" si="6"/>
        <v>-0.35000000000002274</v>
      </c>
      <c r="J25" s="83">
        <f t="shared" si="7"/>
        <v>0</v>
      </c>
      <c r="K25" s="140" t="s">
        <v>133</v>
      </c>
      <c r="L25" s="142">
        <v>45788</v>
      </c>
      <c r="M25" s="142">
        <v>45785</v>
      </c>
      <c r="N25" s="142">
        <f t="shared" si="9"/>
        <v>45787</v>
      </c>
      <c r="O25" s="143">
        <f t="shared" ca="1" si="10"/>
        <v>3</v>
      </c>
      <c r="P25" s="142">
        <f t="shared" si="8"/>
        <v>45800</v>
      </c>
      <c r="Q25" s="142">
        <v>45793</v>
      </c>
      <c r="R25" s="143">
        <f t="shared" ca="1" si="11"/>
        <v>7</v>
      </c>
      <c r="S25" s="84">
        <v>45797</v>
      </c>
      <c r="T25" s="158"/>
    </row>
    <row r="26" spans="1:21" hidden="1">
      <c r="A26" s="19" t="s">
        <v>188</v>
      </c>
      <c r="B26" s="4">
        <v>98</v>
      </c>
      <c r="C26" s="322" t="s">
        <v>75</v>
      </c>
      <c r="D26" s="323" t="s">
        <v>840</v>
      </c>
      <c r="E26" s="140">
        <v>45835</v>
      </c>
      <c r="F26" s="144">
        <v>74.099999999999994</v>
      </c>
      <c r="G26" s="138">
        <v>74</v>
      </c>
      <c r="H26" s="138">
        <v>70</v>
      </c>
      <c r="I26" s="83">
        <f t="shared" si="6"/>
        <v>0.39499999999999602</v>
      </c>
      <c r="J26" s="83">
        <f t="shared" si="7"/>
        <v>9.9999999999994316E-2</v>
      </c>
      <c r="K26" s="298" t="s">
        <v>108</v>
      </c>
      <c r="L26" s="142">
        <v>45787</v>
      </c>
      <c r="M26" s="142">
        <v>45785</v>
      </c>
      <c r="N26" s="142">
        <f t="shared" si="9"/>
        <v>45787</v>
      </c>
      <c r="O26" s="143">
        <f t="shared" ca="1" si="10"/>
        <v>2</v>
      </c>
      <c r="P26" s="142">
        <f t="shared" si="8"/>
        <v>45799</v>
      </c>
      <c r="Q26" s="142">
        <v>45807</v>
      </c>
      <c r="R26" s="143">
        <f t="shared" ca="1" si="11"/>
        <v>-8</v>
      </c>
      <c r="S26" s="84">
        <v>45800</v>
      </c>
      <c r="T26" s="158"/>
    </row>
    <row r="27" spans="1:21" hidden="1">
      <c r="A27" s="19" t="s">
        <v>188</v>
      </c>
      <c r="B27" s="4">
        <v>98</v>
      </c>
      <c r="C27" s="322" t="s">
        <v>75</v>
      </c>
      <c r="D27" s="323" t="s">
        <v>841</v>
      </c>
      <c r="E27" s="140">
        <v>45835</v>
      </c>
      <c r="F27" s="144">
        <v>79.099999999999994</v>
      </c>
      <c r="G27" s="138">
        <v>79</v>
      </c>
      <c r="H27" s="138">
        <v>75</v>
      </c>
      <c r="I27" s="83">
        <f t="shared" si="6"/>
        <v>0.14499999999999602</v>
      </c>
      <c r="J27" s="83">
        <f t="shared" si="7"/>
        <v>9.9999999999994316E-2</v>
      </c>
      <c r="K27" s="298" t="s">
        <v>108</v>
      </c>
      <c r="L27" s="142">
        <v>45787</v>
      </c>
      <c r="M27" s="142">
        <v>45785</v>
      </c>
      <c r="N27" s="142">
        <f t="shared" si="9"/>
        <v>45787</v>
      </c>
      <c r="O27" s="143">
        <f t="shared" ca="1" si="10"/>
        <v>2</v>
      </c>
      <c r="P27" s="142">
        <f t="shared" si="8"/>
        <v>45799</v>
      </c>
      <c r="Q27" s="142">
        <v>45807</v>
      </c>
      <c r="R27" s="143">
        <f t="shared" ca="1" si="11"/>
        <v>-8</v>
      </c>
      <c r="S27" s="84">
        <v>45800</v>
      </c>
      <c r="T27" s="158"/>
    </row>
    <row r="28" spans="1:21" hidden="1">
      <c r="A28" s="19" t="s">
        <v>188</v>
      </c>
      <c r="B28" s="4">
        <v>98</v>
      </c>
      <c r="C28" s="322" t="s">
        <v>76</v>
      </c>
      <c r="D28" s="323" t="s">
        <v>840</v>
      </c>
      <c r="E28" s="140">
        <v>45835</v>
      </c>
      <c r="F28" s="144">
        <v>80.3</v>
      </c>
      <c r="G28" s="138">
        <v>80</v>
      </c>
      <c r="H28" s="138">
        <v>76</v>
      </c>
      <c r="I28" s="83">
        <f t="shared" si="6"/>
        <v>0.28499999999999659</v>
      </c>
      <c r="J28" s="83">
        <f t="shared" si="7"/>
        <v>0.29999999999999716</v>
      </c>
      <c r="K28" s="298" t="s">
        <v>108</v>
      </c>
      <c r="L28" s="142">
        <v>45787</v>
      </c>
      <c r="M28" s="142">
        <v>45785</v>
      </c>
      <c r="N28" s="142">
        <f t="shared" si="9"/>
        <v>45787</v>
      </c>
      <c r="O28" s="143">
        <f t="shared" ca="1" si="10"/>
        <v>2</v>
      </c>
      <c r="P28" s="142">
        <f t="shared" si="8"/>
        <v>45799</v>
      </c>
      <c r="Q28" s="142">
        <v>45807</v>
      </c>
      <c r="R28" s="143">
        <f t="shared" ca="1" si="11"/>
        <v>-8</v>
      </c>
      <c r="S28" s="84">
        <v>45800</v>
      </c>
      <c r="T28" s="158"/>
    </row>
    <row r="29" spans="1:21" hidden="1">
      <c r="A29" s="19" t="s">
        <v>188</v>
      </c>
      <c r="B29" s="4">
        <v>98</v>
      </c>
      <c r="C29" s="322" t="s">
        <v>76</v>
      </c>
      <c r="D29" s="323" t="s">
        <v>841</v>
      </c>
      <c r="E29" s="140">
        <v>45835</v>
      </c>
      <c r="F29" s="144">
        <v>85.8</v>
      </c>
      <c r="G29" s="138">
        <v>86</v>
      </c>
      <c r="H29" s="138">
        <v>82</v>
      </c>
      <c r="I29" s="83">
        <f t="shared" si="6"/>
        <v>-0.49000000000000909</v>
      </c>
      <c r="J29" s="83">
        <f t="shared" si="7"/>
        <v>-0.20000000000000284</v>
      </c>
      <c r="K29" s="298" t="s">
        <v>108</v>
      </c>
      <c r="L29" s="142">
        <v>45787</v>
      </c>
      <c r="M29" s="142">
        <v>45785</v>
      </c>
      <c r="N29" s="142">
        <f t="shared" si="9"/>
        <v>45787</v>
      </c>
      <c r="O29" s="143">
        <f t="shared" ca="1" si="10"/>
        <v>2</v>
      </c>
      <c r="P29" s="142">
        <f t="shared" si="8"/>
        <v>45799</v>
      </c>
      <c r="Q29" s="142">
        <v>45807</v>
      </c>
      <c r="R29" s="143">
        <f t="shared" ca="1" si="11"/>
        <v>-8</v>
      </c>
      <c r="S29" s="84">
        <v>45800</v>
      </c>
      <c r="T29" s="158"/>
    </row>
    <row r="30" spans="1:21" hidden="1">
      <c r="A30" s="19" t="s">
        <v>188</v>
      </c>
      <c r="B30" s="4">
        <v>99</v>
      </c>
      <c r="C30" s="12" t="s">
        <v>77</v>
      </c>
      <c r="D30" s="323" t="s">
        <v>148</v>
      </c>
      <c r="E30" s="140">
        <v>45835</v>
      </c>
      <c r="F30" s="144">
        <v>863.78399999999999</v>
      </c>
      <c r="G30" s="138">
        <v>864</v>
      </c>
      <c r="H30" s="138">
        <v>821</v>
      </c>
      <c r="I30" s="83">
        <f t="shared" si="6"/>
        <v>-0.4052000000000362</v>
      </c>
      <c r="J30" s="83">
        <f t="shared" si="7"/>
        <v>-0.21600000000000819</v>
      </c>
      <c r="K30" s="298" t="s">
        <v>890</v>
      </c>
      <c r="L30" s="142">
        <v>45784</v>
      </c>
      <c r="M30" s="142">
        <v>45784</v>
      </c>
      <c r="N30" s="142">
        <f t="shared" si="9"/>
        <v>45786</v>
      </c>
      <c r="O30" s="143">
        <f t="shared" ca="1" si="10"/>
        <v>0</v>
      </c>
      <c r="P30" s="142">
        <f t="shared" ref="P30:P36" si="12">L30+12</f>
        <v>45796</v>
      </c>
      <c r="Q30" s="142">
        <v>45800</v>
      </c>
      <c r="R30" s="143">
        <f t="shared" ca="1" si="11"/>
        <v>-4</v>
      </c>
      <c r="S30" s="84">
        <v>45800</v>
      </c>
      <c r="T30" s="158"/>
    </row>
    <row r="31" spans="1:21" hidden="1">
      <c r="A31" s="19" t="s">
        <v>188</v>
      </c>
      <c r="B31" s="4">
        <v>99</v>
      </c>
      <c r="C31" s="12" t="s">
        <v>77</v>
      </c>
      <c r="D31" s="323" t="s">
        <v>147</v>
      </c>
      <c r="E31" s="140">
        <v>45835</v>
      </c>
      <c r="F31" s="144">
        <v>547.98099999999999</v>
      </c>
      <c r="G31" s="138">
        <v>548</v>
      </c>
      <c r="H31" s="138">
        <v>521</v>
      </c>
      <c r="I31" s="83">
        <f t="shared" si="6"/>
        <v>-0.41804999999999382</v>
      </c>
      <c r="J31" s="83">
        <f t="shared" si="7"/>
        <v>-1.9000000000005457E-2</v>
      </c>
      <c r="K31" s="298" t="s">
        <v>890</v>
      </c>
      <c r="L31" s="142">
        <v>45784</v>
      </c>
      <c r="M31" s="142">
        <v>45784</v>
      </c>
      <c r="N31" s="142">
        <f t="shared" si="9"/>
        <v>45786</v>
      </c>
      <c r="O31" s="143">
        <f t="shared" ca="1" si="10"/>
        <v>0</v>
      </c>
      <c r="P31" s="142">
        <f t="shared" si="12"/>
        <v>45796</v>
      </c>
      <c r="Q31" s="142">
        <v>45800</v>
      </c>
      <c r="R31" s="143">
        <f t="shared" ca="1" si="11"/>
        <v>-4</v>
      </c>
      <c r="S31" s="84">
        <v>45800</v>
      </c>
      <c r="T31" s="158"/>
    </row>
    <row r="32" spans="1:21" hidden="1">
      <c r="A32" s="19" t="s">
        <v>188</v>
      </c>
      <c r="B32" s="4">
        <v>99</v>
      </c>
      <c r="C32" s="12" t="s">
        <v>79</v>
      </c>
      <c r="D32" s="323" t="s">
        <v>147</v>
      </c>
      <c r="E32" s="140">
        <v>45835</v>
      </c>
      <c r="F32" s="144">
        <v>6.6360000000000001</v>
      </c>
      <c r="G32" s="138">
        <v>7</v>
      </c>
      <c r="H32" s="138">
        <v>6</v>
      </c>
      <c r="I32" s="83">
        <f t="shared" si="6"/>
        <v>0.3041999999999998</v>
      </c>
      <c r="J32" s="83">
        <f t="shared" si="7"/>
        <v>-0.36399999999999988</v>
      </c>
      <c r="K32" s="298" t="s">
        <v>890</v>
      </c>
      <c r="L32" s="142">
        <v>45784</v>
      </c>
      <c r="M32" s="142">
        <v>45784</v>
      </c>
      <c r="N32" s="142">
        <f t="shared" si="9"/>
        <v>45786</v>
      </c>
      <c r="O32" s="143">
        <f t="shared" ca="1" si="10"/>
        <v>0</v>
      </c>
      <c r="P32" s="142">
        <f t="shared" si="12"/>
        <v>45796</v>
      </c>
      <c r="Q32" s="142">
        <v>45800</v>
      </c>
      <c r="R32" s="143">
        <f t="shared" ca="1" si="11"/>
        <v>-4</v>
      </c>
      <c r="S32" s="84">
        <v>45800</v>
      </c>
      <c r="T32" s="158"/>
    </row>
    <row r="33" spans="1:20" hidden="1">
      <c r="A33" s="19" t="s">
        <v>188</v>
      </c>
      <c r="B33" s="4">
        <v>100</v>
      </c>
      <c r="C33" s="322" t="s">
        <v>75</v>
      </c>
      <c r="D33" s="323" t="s">
        <v>840</v>
      </c>
      <c r="E33" s="140">
        <v>45835</v>
      </c>
      <c r="F33" s="144">
        <v>110.90100000000001</v>
      </c>
      <c r="G33" s="138">
        <v>111</v>
      </c>
      <c r="H33" s="138">
        <v>105</v>
      </c>
      <c r="I33" s="83">
        <f t="shared" si="6"/>
        <v>0.35595000000000709</v>
      </c>
      <c r="J33" s="83">
        <f t="shared" si="7"/>
        <v>-9.8999999999989541E-2</v>
      </c>
      <c r="K33" s="298" t="s">
        <v>108</v>
      </c>
      <c r="L33" s="142">
        <v>45787</v>
      </c>
      <c r="M33" s="142">
        <v>45785</v>
      </c>
      <c r="N33" s="142">
        <f t="shared" si="9"/>
        <v>45787</v>
      </c>
      <c r="O33" s="143">
        <f t="shared" ca="1" si="10"/>
        <v>2</v>
      </c>
      <c r="P33" s="142">
        <f t="shared" si="12"/>
        <v>45799</v>
      </c>
      <c r="Q33" s="142">
        <v>45807</v>
      </c>
      <c r="R33" s="143">
        <f t="shared" ca="1" si="11"/>
        <v>-8</v>
      </c>
      <c r="S33" s="84">
        <v>45800</v>
      </c>
      <c r="T33" s="158"/>
    </row>
    <row r="34" spans="1:20" hidden="1">
      <c r="A34" s="19" t="s">
        <v>188</v>
      </c>
      <c r="B34" s="4">
        <v>100</v>
      </c>
      <c r="C34" s="322" t="s">
        <v>75</v>
      </c>
      <c r="D34" s="323" t="s">
        <v>841</v>
      </c>
      <c r="E34" s="140">
        <v>45835</v>
      </c>
      <c r="F34" s="144">
        <v>118.45100000000001</v>
      </c>
      <c r="G34" s="138">
        <v>118</v>
      </c>
      <c r="H34" s="138">
        <v>113</v>
      </c>
      <c r="I34" s="83">
        <f t="shared" si="6"/>
        <v>-0.47154999999999347</v>
      </c>
      <c r="J34" s="83">
        <f t="shared" si="7"/>
        <v>0.45100000000000762</v>
      </c>
      <c r="K34" s="298" t="s">
        <v>108</v>
      </c>
      <c r="L34" s="142">
        <v>45787</v>
      </c>
      <c r="M34" s="142">
        <v>45785</v>
      </c>
      <c r="N34" s="142">
        <f t="shared" si="9"/>
        <v>45787</v>
      </c>
      <c r="O34" s="143">
        <f t="shared" ca="1" si="10"/>
        <v>2</v>
      </c>
      <c r="P34" s="142">
        <f t="shared" si="12"/>
        <v>45799</v>
      </c>
      <c r="Q34" s="142">
        <v>45807</v>
      </c>
      <c r="R34" s="143">
        <f t="shared" ca="1" si="11"/>
        <v>-8</v>
      </c>
      <c r="S34" s="84">
        <v>45800</v>
      </c>
      <c r="T34" s="158"/>
    </row>
    <row r="35" spans="1:20" hidden="1">
      <c r="A35" s="19" t="s">
        <v>188</v>
      </c>
      <c r="B35" s="4">
        <v>100</v>
      </c>
      <c r="C35" s="322" t="s">
        <v>76</v>
      </c>
      <c r="D35" s="323" t="s">
        <v>840</v>
      </c>
      <c r="E35" s="140">
        <v>45835</v>
      </c>
      <c r="F35" s="144">
        <v>127.116</v>
      </c>
      <c r="G35" s="138">
        <v>127</v>
      </c>
      <c r="H35" s="138">
        <v>121</v>
      </c>
      <c r="I35" s="83">
        <f t="shared" si="6"/>
        <v>-0.23980000000000246</v>
      </c>
      <c r="J35" s="83">
        <f t="shared" si="7"/>
        <v>0.11599999999999966</v>
      </c>
      <c r="K35" s="298" t="s">
        <v>108</v>
      </c>
      <c r="L35" s="142">
        <v>45787</v>
      </c>
      <c r="M35" s="142">
        <v>45785</v>
      </c>
      <c r="N35" s="142">
        <f t="shared" si="9"/>
        <v>45787</v>
      </c>
      <c r="O35" s="143">
        <f t="shared" ca="1" si="10"/>
        <v>2</v>
      </c>
      <c r="P35" s="142">
        <f t="shared" si="12"/>
        <v>45799</v>
      </c>
      <c r="Q35" s="142">
        <v>45807</v>
      </c>
      <c r="R35" s="143">
        <f t="shared" ca="1" si="11"/>
        <v>-8</v>
      </c>
      <c r="S35" s="84">
        <v>45800</v>
      </c>
      <c r="T35" s="158"/>
    </row>
    <row r="36" spans="1:20" hidden="1">
      <c r="A36" s="19" t="s">
        <v>188</v>
      </c>
      <c r="B36" s="4">
        <v>100</v>
      </c>
      <c r="C36" s="322" t="s">
        <v>76</v>
      </c>
      <c r="D36" s="323" t="s">
        <v>841</v>
      </c>
      <c r="E36" s="140">
        <v>45835</v>
      </c>
      <c r="F36" s="144">
        <v>135.864</v>
      </c>
      <c r="G36" s="138">
        <v>136</v>
      </c>
      <c r="H36" s="138">
        <v>129</v>
      </c>
      <c r="I36" s="83">
        <f t="shared" si="6"/>
        <v>7.0799999999991314E-2</v>
      </c>
      <c r="J36" s="83">
        <f t="shared" si="7"/>
        <v>-0.13599999999999568</v>
      </c>
      <c r="K36" s="298" t="s">
        <v>108</v>
      </c>
      <c r="L36" s="142">
        <v>45787</v>
      </c>
      <c r="M36" s="142">
        <v>45785</v>
      </c>
      <c r="N36" s="142">
        <f t="shared" si="9"/>
        <v>45787</v>
      </c>
      <c r="O36" s="143">
        <f t="shared" ca="1" si="10"/>
        <v>2</v>
      </c>
      <c r="P36" s="142">
        <f t="shared" si="12"/>
        <v>45799</v>
      </c>
      <c r="Q36" s="142">
        <v>45807</v>
      </c>
      <c r="R36" s="143">
        <f t="shared" ca="1" si="11"/>
        <v>-8</v>
      </c>
      <c r="S36" s="84">
        <v>45800</v>
      </c>
      <c r="T36" s="158"/>
    </row>
    <row r="37" spans="1:20" hidden="1">
      <c r="A37" s="19" t="s">
        <v>188</v>
      </c>
      <c r="B37" s="4">
        <v>100</v>
      </c>
      <c r="C37" s="12" t="s">
        <v>95</v>
      </c>
      <c r="D37" s="323" t="s">
        <v>842</v>
      </c>
      <c r="E37" s="140">
        <v>45835</v>
      </c>
      <c r="F37" s="144">
        <v>115.7</v>
      </c>
      <c r="G37" s="138">
        <v>116</v>
      </c>
      <c r="H37" s="138">
        <v>110</v>
      </c>
      <c r="I37" s="83">
        <f t="shared" si="6"/>
        <v>-8.5000000000007958E-2</v>
      </c>
      <c r="J37" s="83">
        <f t="shared" si="7"/>
        <v>-0.29999999999999716</v>
      </c>
      <c r="K37" s="298" t="s">
        <v>851</v>
      </c>
      <c r="L37" s="142">
        <f>P37-12</f>
        <v>45776</v>
      </c>
      <c r="M37" s="142">
        <v>45769</v>
      </c>
      <c r="N37" s="142">
        <f t="shared" si="9"/>
        <v>45771</v>
      </c>
      <c r="O37" s="143">
        <f t="shared" ca="1" si="10"/>
        <v>7</v>
      </c>
      <c r="P37" s="142">
        <v>45788</v>
      </c>
      <c r="Q37" s="142">
        <v>45769</v>
      </c>
      <c r="R37" s="143">
        <f t="shared" ca="1" si="11"/>
        <v>19</v>
      </c>
      <c r="S37" s="84"/>
      <c r="T37" s="158"/>
    </row>
    <row r="38" spans="1:20" hidden="1">
      <c r="A38" s="19" t="s">
        <v>188</v>
      </c>
      <c r="B38" s="4">
        <v>101</v>
      </c>
      <c r="C38" s="12" t="s">
        <v>82</v>
      </c>
      <c r="D38" s="323" t="s">
        <v>141</v>
      </c>
      <c r="E38" s="140">
        <v>45842</v>
      </c>
      <c r="F38" s="144">
        <v>69</v>
      </c>
      <c r="G38" s="138">
        <v>69</v>
      </c>
      <c r="H38" s="138">
        <v>66</v>
      </c>
      <c r="I38" s="83">
        <f t="shared" si="6"/>
        <v>-0.45000000000000284</v>
      </c>
      <c r="J38" s="83">
        <f t="shared" si="7"/>
        <v>0</v>
      </c>
      <c r="K38" s="298" t="s">
        <v>142</v>
      </c>
      <c r="L38" s="142">
        <v>45784</v>
      </c>
      <c r="M38" s="142">
        <v>45768</v>
      </c>
      <c r="N38" s="142">
        <f t="shared" si="9"/>
        <v>45770</v>
      </c>
      <c r="O38" s="143">
        <f t="shared" ca="1" si="10"/>
        <v>16</v>
      </c>
      <c r="P38" s="142">
        <f t="shared" ref="P38:P45" si="13">L38+12</f>
        <v>45796</v>
      </c>
      <c r="Q38" s="142">
        <v>45835</v>
      </c>
      <c r="R38" s="143">
        <f t="shared" ca="1" si="11"/>
        <v>-39</v>
      </c>
      <c r="S38" s="84"/>
      <c r="T38" s="158"/>
    </row>
    <row r="39" spans="1:20" hidden="1">
      <c r="A39" s="19" t="s">
        <v>188</v>
      </c>
      <c r="B39" s="4">
        <v>101</v>
      </c>
      <c r="C39" s="12" t="s">
        <v>82</v>
      </c>
      <c r="D39" s="314" t="s">
        <v>143</v>
      </c>
      <c r="E39" s="140">
        <v>45842</v>
      </c>
      <c r="F39" s="144">
        <v>69</v>
      </c>
      <c r="G39" s="138">
        <v>69</v>
      </c>
      <c r="H39" s="138">
        <v>66</v>
      </c>
      <c r="I39" s="83">
        <f t="shared" si="6"/>
        <v>-0.45000000000000284</v>
      </c>
      <c r="J39" s="83">
        <f t="shared" si="7"/>
        <v>0</v>
      </c>
      <c r="K39" s="298" t="s">
        <v>900</v>
      </c>
      <c r="L39" s="142">
        <v>45784</v>
      </c>
      <c r="M39" s="142">
        <v>45803</v>
      </c>
      <c r="N39" s="142">
        <f t="shared" si="9"/>
        <v>45805</v>
      </c>
      <c r="O39" s="143">
        <f t="shared" ca="1" si="10"/>
        <v>-19</v>
      </c>
      <c r="P39" s="142">
        <f t="shared" si="13"/>
        <v>45796</v>
      </c>
      <c r="Q39" s="142">
        <v>45835</v>
      </c>
      <c r="R39" s="143">
        <f t="shared" ca="1" si="11"/>
        <v>-39</v>
      </c>
      <c r="S39" s="84">
        <v>45812</v>
      </c>
      <c r="T39" s="158"/>
    </row>
    <row r="40" spans="1:20" hidden="1">
      <c r="A40" s="19" t="s">
        <v>188</v>
      </c>
      <c r="B40" s="4">
        <v>101</v>
      </c>
      <c r="C40" s="12" t="s">
        <v>82</v>
      </c>
      <c r="D40" s="323" t="s">
        <v>144</v>
      </c>
      <c r="E40" s="140">
        <v>45842</v>
      </c>
      <c r="F40" s="144">
        <v>69</v>
      </c>
      <c r="G40" s="138">
        <v>69</v>
      </c>
      <c r="H40" s="138">
        <v>66</v>
      </c>
      <c r="I40" s="83">
        <f t="shared" si="6"/>
        <v>-0.45000000000000284</v>
      </c>
      <c r="J40" s="83">
        <f t="shared" si="7"/>
        <v>0</v>
      </c>
      <c r="K40" s="298" t="s">
        <v>142</v>
      </c>
      <c r="L40" s="142">
        <v>45784</v>
      </c>
      <c r="M40" s="142">
        <v>45768</v>
      </c>
      <c r="N40" s="142">
        <f t="shared" si="9"/>
        <v>45770</v>
      </c>
      <c r="O40" s="143">
        <f t="shared" ca="1" si="10"/>
        <v>16</v>
      </c>
      <c r="P40" s="142">
        <f t="shared" si="13"/>
        <v>45796</v>
      </c>
      <c r="Q40" s="142">
        <v>45835</v>
      </c>
      <c r="R40" s="143">
        <f t="shared" ca="1" si="11"/>
        <v>-39</v>
      </c>
      <c r="S40" s="84"/>
      <c r="T40" s="158"/>
    </row>
    <row r="41" spans="1:20" hidden="1">
      <c r="A41" s="19" t="s">
        <v>188</v>
      </c>
      <c r="B41" s="4">
        <v>101</v>
      </c>
      <c r="C41" s="12" t="s">
        <v>79</v>
      </c>
      <c r="D41" s="313" t="s">
        <v>145</v>
      </c>
      <c r="E41" s="140">
        <v>45842</v>
      </c>
      <c r="F41" s="144">
        <v>5.7</v>
      </c>
      <c r="G41" s="138">
        <v>6</v>
      </c>
      <c r="H41" s="138">
        <v>5</v>
      </c>
      <c r="I41" s="83">
        <f t="shared" si="6"/>
        <v>0.41500000000000004</v>
      </c>
      <c r="J41" s="83">
        <f t="shared" si="7"/>
        <v>-0.29999999999999982</v>
      </c>
      <c r="K41" s="298" t="s">
        <v>108</v>
      </c>
      <c r="L41" s="142">
        <v>45784</v>
      </c>
      <c r="M41" s="142">
        <v>45785</v>
      </c>
      <c r="N41" s="142">
        <f t="shared" si="9"/>
        <v>45787</v>
      </c>
      <c r="O41" s="143">
        <f t="shared" ca="1" si="10"/>
        <v>-1</v>
      </c>
      <c r="P41" s="142">
        <f t="shared" si="13"/>
        <v>45796</v>
      </c>
      <c r="Q41" s="142">
        <v>45822</v>
      </c>
      <c r="R41" s="143">
        <f t="shared" ca="1" si="11"/>
        <v>-26</v>
      </c>
      <c r="S41" s="84"/>
      <c r="T41" s="158"/>
    </row>
    <row r="42" spans="1:20" hidden="1">
      <c r="A42" s="19" t="s">
        <v>188</v>
      </c>
      <c r="B42" s="4">
        <v>101</v>
      </c>
      <c r="C42" s="322" t="s">
        <v>75</v>
      </c>
      <c r="D42" s="323" t="s">
        <v>840</v>
      </c>
      <c r="E42" s="140">
        <v>45842</v>
      </c>
      <c r="F42" s="144">
        <v>56</v>
      </c>
      <c r="G42" s="138">
        <v>56</v>
      </c>
      <c r="H42" s="138">
        <v>53</v>
      </c>
      <c r="I42" s="83">
        <f t="shared" si="6"/>
        <v>0.19999999999999574</v>
      </c>
      <c r="J42" s="83">
        <f t="shared" si="7"/>
        <v>0</v>
      </c>
      <c r="K42" s="298" t="s">
        <v>108</v>
      </c>
      <c r="L42" s="142">
        <v>45796</v>
      </c>
      <c r="M42" s="142">
        <v>45785</v>
      </c>
      <c r="N42" s="142">
        <f t="shared" si="9"/>
        <v>45787</v>
      </c>
      <c r="O42" s="143">
        <f t="shared" ca="1" si="10"/>
        <v>11</v>
      </c>
      <c r="P42" s="142">
        <f t="shared" si="13"/>
        <v>45808</v>
      </c>
      <c r="Q42" s="142">
        <v>45807</v>
      </c>
      <c r="R42" s="143">
        <f t="shared" ca="1" si="11"/>
        <v>1</v>
      </c>
      <c r="S42" s="84">
        <v>45800</v>
      </c>
      <c r="T42" s="158"/>
    </row>
    <row r="43" spans="1:20" hidden="1">
      <c r="A43" s="19" t="s">
        <v>188</v>
      </c>
      <c r="B43" s="4">
        <v>101</v>
      </c>
      <c r="C43" s="322" t="s">
        <v>75</v>
      </c>
      <c r="D43" s="323" t="s">
        <v>841</v>
      </c>
      <c r="E43" s="140">
        <v>45842</v>
      </c>
      <c r="F43" s="144">
        <v>60</v>
      </c>
      <c r="G43" s="138">
        <v>60</v>
      </c>
      <c r="H43" s="138">
        <v>57</v>
      </c>
      <c r="I43" s="83">
        <f t="shared" si="6"/>
        <v>0</v>
      </c>
      <c r="J43" s="83">
        <f t="shared" si="7"/>
        <v>0</v>
      </c>
      <c r="K43" s="298" t="s">
        <v>108</v>
      </c>
      <c r="L43" s="142">
        <v>45796</v>
      </c>
      <c r="M43" s="142">
        <v>45785</v>
      </c>
      <c r="N43" s="142">
        <f t="shared" si="9"/>
        <v>45787</v>
      </c>
      <c r="O43" s="143">
        <f t="shared" ca="1" si="10"/>
        <v>11</v>
      </c>
      <c r="P43" s="142">
        <f t="shared" si="13"/>
        <v>45808</v>
      </c>
      <c r="Q43" s="142">
        <v>45807</v>
      </c>
      <c r="R43" s="143">
        <f t="shared" ca="1" si="11"/>
        <v>1</v>
      </c>
      <c r="S43" s="84">
        <v>45800</v>
      </c>
      <c r="T43" s="158"/>
    </row>
    <row r="44" spans="1:20" hidden="1">
      <c r="A44" s="19" t="s">
        <v>188</v>
      </c>
      <c r="B44" s="4">
        <v>101</v>
      </c>
      <c r="C44" s="322" t="s">
        <v>76</v>
      </c>
      <c r="D44" s="323" t="s">
        <v>840</v>
      </c>
      <c r="E44" s="140">
        <v>45842</v>
      </c>
      <c r="F44" s="144">
        <v>64.099999999999994</v>
      </c>
      <c r="G44" s="138">
        <v>64</v>
      </c>
      <c r="H44" s="138">
        <v>61</v>
      </c>
      <c r="I44" s="83">
        <f t="shared" si="6"/>
        <v>-0.10500000000001108</v>
      </c>
      <c r="J44" s="83">
        <f t="shared" si="7"/>
        <v>9.9999999999994316E-2</v>
      </c>
      <c r="K44" s="298" t="s">
        <v>108</v>
      </c>
      <c r="L44" s="142">
        <v>45796</v>
      </c>
      <c r="M44" s="142">
        <v>45785</v>
      </c>
      <c r="N44" s="142">
        <f t="shared" si="9"/>
        <v>45787</v>
      </c>
      <c r="O44" s="143">
        <f t="shared" ca="1" si="10"/>
        <v>11</v>
      </c>
      <c r="P44" s="142">
        <f t="shared" si="13"/>
        <v>45808</v>
      </c>
      <c r="Q44" s="142">
        <v>45807</v>
      </c>
      <c r="R44" s="143">
        <f t="shared" ca="1" si="11"/>
        <v>1</v>
      </c>
      <c r="S44" s="84">
        <v>45800</v>
      </c>
      <c r="T44" s="158"/>
    </row>
    <row r="45" spans="1:20" hidden="1">
      <c r="A45" s="19" t="s">
        <v>188</v>
      </c>
      <c r="B45" s="4">
        <v>101</v>
      </c>
      <c r="C45" s="322" t="s">
        <v>76</v>
      </c>
      <c r="D45" s="323" t="s">
        <v>841</v>
      </c>
      <c r="E45" s="140">
        <v>45842</v>
      </c>
      <c r="F45" s="144">
        <v>68.5</v>
      </c>
      <c r="G45" s="138">
        <v>69</v>
      </c>
      <c r="H45" s="138">
        <v>65</v>
      </c>
      <c r="I45" s="83">
        <f t="shared" si="6"/>
        <v>7.5000000000002842E-2</v>
      </c>
      <c r="J45" s="83">
        <f t="shared" si="7"/>
        <v>-0.5</v>
      </c>
      <c r="K45" s="298" t="s">
        <v>108</v>
      </c>
      <c r="L45" s="142">
        <v>45796</v>
      </c>
      <c r="M45" s="142">
        <v>45785</v>
      </c>
      <c r="N45" s="142">
        <f t="shared" si="9"/>
        <v>45787</v>
      </c>
      <c r="O45" s="143">
        <f t="shared" ca="1" si="10"/>
        <v>11</v>
      </c>
      <c r="P45" s="142">
        <f t="shared" si="13"/>
        <v>45808</v>
      </c>
      <c r="Q45" s="142">
        <v>45807</v>
      </c>
      <c r="R45" s="143">
        <f t="shared" ca="1" si="11"/>
        <v>1</v>
      </c>
      <c r="S45" s="84">
        <v>45800</v>
      </c>
      <c r="T45" s="158"/>
    </row>
    <row r="46" spans="1:20" hidden="1">
      <c r="A46" s="19" t="s">
        <v>188</v>
      </c>
      <c r="B46" s="4">
        <v>101</v>
      </c>
      <c r="C46" s="12" t="s">
        <v>93</v>
      </c>
      <c r="D46" s="313" t="s">
        <v>843</v>
      </c>
      <c r="E46" s="140">
        <v>45842</v>
      </c>
      <c r="F46" s="144">
        <v>208.1</v>
      </c>
      <c r="G46" s="138">
        <v>208</v>
      </c>
      <c r="H46" s="138">
        <v>198</v>
      </c>
      <c r="I46" s="83">
        <f t="shared" si="6"/>
        <v>-0.30500000000000682</v>
      </c>
      <c r="J46" s="83">
        <f t="shared" si="7"/>
        <v>9.9999999999994316E-2</v>
      </c>
      <c r="K46" s="298" t="s">
        <v>142</v>
      </c>
      <c r="L46" s="142">
        <v>45796</v>
      </c>
      <c r="M46" s="142">
        <v>45798</v>
      </c>
      <c r="N46" s="142">
        <f t="shared" si="9"/>
        <v>45800</v>
      </c>
      <c r="O46" s="143">
        <f t="shared" ca="1" si="10"/>
        <v>-2</v>
      </c>
      <c r="P46" s="142">
        <f>L46+12</f>
        <v>45808</v>
      </c>
      <c r="Q46" s="142">
        <v>45819</v>
      </c>
      <c r="R46" s="143">
        <f t="shared" ca="1" si="11"/>
        <v>-11</v>
      </c>
      <c r="S46" s="84">
        <v>45813</v>
      </c>
      <c r="T46" s="158" t="s">
        <v>906</v>
      </c>
    </row>
    <row r="47" spans="1:20" hidden="1">
      <c r="A47" s="19" t="s">
        <v>188</v>
      </c>
      <c r="B47" s="4">
        <v>101</v>
      </c>
      <c r="C47" s="12" t="s">
        <v>93</v>
      </c>
      <c r="D47" s="313" t="s">
        <v>844</v>
      </c>
      <c r="E47" s="140">
        <v>45842</v>
      </c>
      <c r="F47" s="144">
        <v>174</v>
      </c>
      <c r="G47" s="138">
        <v>174</v>
      </c>
      <c r="H47" s="138">
        <v>165</v>
      </c>
      <c r="I47" s="83">
        <f t="shared" si="6"/>
        <v>0.29999999999998295</v>
      </c>
      <c r="J47" s="83">
        <f t="shared" si="7"/>
        <v>0</v>
      </c>
      <c r="K47" s="298" t="s">
        <v>142</v>
      </c>
      <c r="L47" s="142">
        <v>45796</v>
      </c>
      <c r="M47" s="142">
        <v>45798</v>
      </c>
      <c r="N47" s="142">
        <f t="shared" si="9"/>
        <v>45800</v>
      </c>
      <c r="O47" s="143">
        <f t="shared" ca="1" si="10"/>
        <v>-2</v>
      </c>
      <c r="P47" s="142">
        <f>L47+12</f>
        <v>45808</v>
      </c>
      <c r="Q47" s="142">
        <v>45819</v>
      </c>
      <c r="R47" s="143">
        <f t="shared" ca="1" si="11"/>
        <v>-11</v>
      </c>
      <c r="S47" s="327">
        <v>45810</v>
      </c>
      <c r="T47" s="158" t="s">
        <v>906</v>
      </c>
    </row>
    <row r="48" spans="1:20" hidden="1">
      <c r="A48" s="19" t="s">
        <v>188</v>
      </c>
      <c r="B48" s="4">
        <v>102</v>
      </c>
      <c r="C48" s="12" t="s">
        <v>82</v>
      </c>
      <c r="D48" s="323" t="s">
        <v>141</v>
      </c>
      <c r="E48" s="140">
        <v>45842</v>
      </c>
      <c r="F48" s="144">
        <v>183.2</v>
      </c>
      <c r="G48" s="138">
        <v>183</v>
      </c>
      <c r="H48" s="138">
        <v>174</v>
      </c>
      <c r="I48" s="83">
        <f t="shared" si="6"/>
        <v>3.9999999999992042E-2</v>
      </c>
      <c r="J48" s="83">
        <f t="shared" si="7"/>
        <v>0.19999999999998863</v>
      </c>
      <c r="K48" s="298" t="s">
        <v>890</v>
      </c>
      <c r="L48" s="142">
        <v>45784</v>
      </c>
      <c r="M48" s="142">
        <v>45789</v>
      </c>
      <c r="N48" s="142">
        <f t="shared" si="9"/>
        <v>45791</v>
      </c>
      <c r="O48" s="143">
        <f t="shared" ca="1" si="10"/>
        <v>-5</v>
      </c>
      <c r="P48" s="142">
        <f t="shared" ref="P48:P55" si="14">L48+12</f>
        <v>45796</v>
      </c>
      <c r="Q48" s="142">
        <v>45800</v>
      </c>
      <c r="R48" s="143">
        <f t="shared" ca="1" si="11"/>
        <v>-4</v>
      </c>
      <c r="S48" s="84">
        <v>45800</v>
      </c>
      <c r="T48" s="158"/>
    </row>
    <row r="49" spans="1:21" hidden="1">
      <c r="A49" s="19" t="s">
        <v>188</v>
      </c>
      <c r="B49" s="4">
        <v>102</v>
      </c>
      <c r="C49" s="12" t="s">
        <v>82</v>
      </c>
      <c r="D49" s="323" t="s">
        <v>143</v>
      </c>
      <c r="E49" s="140">
        <v>45842</v>
      </c>
      <c r="F49" s="144">
        <v>183.2</v>
      </c>
      <c r="G49" s="138">
        <v>183</v>
      </c>
      <c r="H49" s="138">
        <v>174</v>
      </c>
      <c r="I49" s="83">
        <f t="shared" si="6"/>
        <v>3.9999999999992042E-2</v>
      </c>
      <c r="J49" s="83">
        <f t="shared" si="7"/>
        <v>0.19999999999998863</v>
      </c>
      <c r="K49" s="298" t="s">
        <v>890</v>
      </c>
      <c r="L49" s="142">
        <v>45784</v>
      </c>
      <c r="M49" s="142">
        <v>45789</v>
      </c>
      <c r="N49" s="142">
        <f t="shared" si="9"/>
        <v>45791</v>
      </c>
      <c r="O49" s="143">
        <f t="shared" ca="1" si="10"/>
        <v>-5</v>
      </c>
      <c r="P49" s="142">
        <f t="shared" si="14"/>
        <v>45796</v>
      </c>
      <c r="Q49" s="142">
        <v>45800</v>
      </c>
      <c r="R49" s="143">
        <f t="shared" ca="1" si="11"/>
        <v>-4</v>
      </c>
      <c r="S49" s="84">
        <v>45800</v>
      </c>
      <c r="T49" s="158"/>
    </row>
    <row r="50" spans="1:21" hidden="1">
      <c r="A50" s="19" t="s">
        <v>188</v>
      </c>
      <c r="B50" s="4">
        <v>102</v>
      </c>
      <c r="C50" s="12" t="s">
        <v>82</v>
      </c>
      <c r="D50" s="323" t="s">
        <v>144</v>
      </c>
      <c r="E50" s="140">
        <v>45842</v>
      </c>
      <c r="F50" s="144">
        <v>183.2</v>
      </c>
      <c r="G50" s="138">
        <v>183</v>
      </c>
      <c r="H50" s="138">
        <v>174</v>
      </c>
      <c r="I50" s="83">
        <f t="shared" si="6"/>
        <v>3.9999999999992042E-2</v>
      </c>
      <c r="J50" s="83">
        <f t="shared" si="7"/>
        <v>0.19999999999998863</v>
      </c>
      <c r="K50" s="298" t="s">
        <v>890</v>
      </c>
      <c r="L50" s="142">
        <v>45784</v>
      </c>
      <c r="M50" s="142">
        <v>45789</v>
      </c>
      <c r="N50" s="142">
        <f t="shared" si="9"/>
        <v>45791</v>
      </c>
      <c r="O50" s="143">
        <f t="shared" ca="1" si="10"/>
        <v>-5</v>
      </c>
      <c r="P50" s="142">
        <f t="shared" si="14"/>
        <v>45796</v>
      </c>
      <c r="Q50" s="142">
        <v>45800</v>
      </c>
      <c r="R50" s="143">
        <f t="shared" ca="1" si="11"/>
        <v>-4</v>
      </c>
      <c r="S50" s="84">
        <v>45800</v>
      </c>
      <c r="T50" s="158"/>
    </row>
    <row r="51" spans="1:21" hidden="1">
      <c r="A51" s="19" t="s">
        <v>188</v>
      </c>
      <c r="B51" s="4">
        <v>102</v>
      </c>
      <c r="C51" s="12" t="s">
        <v>79</v>
      </c>
      <c r="D51" s="313" t="s">
        <v>145</v>
      </c>
      <c r="E51" s="140">
        <v>45842</v>
      </c>
      <c r="F51" s="144">
        <v>15</v>
      </c>
      <c r="G51" s="138">
        <v>15</v>
      </c>
      <c r="H51" s="138">
        <v>14</v>
      </c>
      <c r="I51" s="83">
        <f t="shared" si="6"/>
        <v>0.25</v>
      </c>
      <c r="J51" s="83">
        <f t="shared" si="7"/>
        <v>0</v>
      </c>
      <c r="K51" s="298" t="s">
        <v>108</v>
      </c>
      <c r="L51" s="142">
        <v>45784</v>
      </c>
      <c r="M51" s="142">
        <v>45785</v>
      </c>
      <c r="N51" s="142">
        <f t="shared" si="9"/>
        <v>45787</v>
      </c>
      <c r="O51" s="143">
        <f t="shared" ca="1" si="10"/>
        <v>-1</v>
      </c>
      <c r="P51" s="142">
        <f t="shared" si="14"/>
        <v>45796</v>
      </c>
      <c r="Q51" s="142">
        <v>45822</v>
      </c>
      <c r="R51" s="143">
        <f t="shared" ca="1" si="11"/>
        <v>-26</v>
      </c>
      <c r="S51" s="84"/>
      <c r="T51" s="158"/>
      <c r="U51" s="124" t="s">
        <v>944</v>
      </c>
    </row>
    <row r="52" spans="1:21" hidden="1">
      <c r="A52" s="19" t="s">
        <v>188</v>
      </c>
      <c r="B52" s="4">
        <v>102</v>
      </c>
      <c r="C52" s="322" t="s">
        <v>75</v>
      </c>
      <c r="D52" s="323" t="s">
        <v>840</v>
      </c>
      <c r="E52" s="140">
        <v>45842</v>
      </c>
      <c r="F52" s="144">
        <v>56.7</v>
      </c>
      <c r="G52" s="138">
        <v>57</v>
      </c>
      <c r="H52" s="138">
        <v>54</v>
      </c>
      <c r="I52" s="83">
        <f t="shared" si="6"/>
        <v>-0.13499999999999801</v>
      </c>
      <c r="J52" s="83">
        <f t="shared" si="7"/>
        <v>-0.29999999999999716</v>
      </c>
      <c r="K52" s="298" t="s">
        <v>108</v>
      </c>
      <c r="L52" s="142">
        <v>45796</v>
      </c>
      <c r="M52" s="142">
        <v>45785</v>
      </c>
      <c r="N52" s="142">
        <f t="shared" si="9"/>
        <v>45787</v>
      </c>
      <c r="O52" s="143">
        <f t="shared" ca="1" si="10"/>
        <v>11</v>
      </c>
      <c r="P52" s="142">
        <f t="shared" si="14"/>
        <v>45808</v>
      </c>
      <c r="Q52" s="142">
        <v>45807</v>
      </c>
      <c r="R52" s="143">
        <f t="shared" ca="1" si="11"/>
        <v>1</v>
      </c>
      <c r="S52" s="84">
        <v>45800</v>
      </c>
      <c r="T52" s="158"/>
    </row>
    <row r="53" spans="1:21" hidden="1">
      <c r="A53" s="19" t="s">
        <v>188</v>
      </c>
      <c r="B53" s="4">
        <v>102</v>
      </c>
      <c r="C53" s="322" t="s">
        <v>75</v>
      </c>
      <c r="D53" s="323" t="s">
        <v>841</v>
      </c>
      <c r="E53" s="140">
        <v>45842</v>
      </c>
      <c r="F53" s="144">
        <v>60.5</v>
      </c>
      <c r="G53" s="138">
        <v>61</v>
      </c>
      <c r="H53" s="138">
        <v>57</v>
      </c>
      <c r="I53" s="83">
        <f t="shared" si="6"/>
        <v>0.47499999999999432</v>
      </c>
      <c r="J53" s="83">
        <f t="shared" si="7"/>
        <v>-0.5</v>
      </c>
      <c r="K53" s="298" t="s">
        <v>108</v>
      </c>
      <c r="L53" s="142">
        <v>45796</v>
      </c>
      <c r="M53" s="142">
        <v>45785</v>
      </c>
      <c r="N53" s="142">
        <f t="shared" si="9"/>
        <v>45787</v>
      </c>
      <c r="O53" s="143">
        <f t="shared" ca="1" si="10"/>
        <v>11</v>
      </c>
      <c r="P53" s="142">
        <f t="shared" si="14"/>
        <v>45808</v>
      </c>
      <c r="Q53" s="142">
        <v>45807</v>
      </c>
      <c r="R53" s="143">
        <f t="shared" ca="1" si="11"/>
        <v>1</v>
      </c>
      <c r="S53" s="84">
        <v>45800</v>
      </c>
      <c r="T53" s="158"/>
    </row>
    <row r="54" spans="1:21" hidden="1">
      <c r="A54" s="19" t="s">
        <v>188</v>
      </c>
      <c r="B54" s="4">
        <v>102</v>
      </c>
      <c r="C54" s="322" t="s">
        <v>76</v>
      </c>
      <c r="D54" s="323" t="s">
        <v>840</v>
      </c>
      <c r="E54" s="140">
        <v>45842</v>
      </c>
      <c r="F54" s="144">
        <v>65</v>
      </c>
      <c r="G54" s="138">
        <v>65</v>
      </c>
      <c r="H54" s="138">
        <v>62</v>
      </c>
      <c r="I54" s="83">
        <f t="shared" si="6"/>
        <v>-0.25</v>
      </c>
      <c r="J54" s="83">
        <f t="shared" si="7"/>
        <v>0</v>
      </c>
      <c r="K54" s="298" t="s">
        <v>108</v>
      </c>
      <c r="L54" s="142">
        <v>45796</v>
      </c>
      <c r="M54" s="142">
        <v>45785</v>
      </c>
      <c r="N54" s="142">
        <f t="shared" si="9"/>
        <v>45787</v>
      </c>
      <c r="O54" s="143">
        <f t="shared" ca="1" si="10"/>
        <v>11</v>
      </c>
      <c r="P54" s="142">
        <f t="shared" si="14"/>
        <v>45808</v>
      </c>
      <c r="Q54" s="142">
        <v>45807</v>
      </c>
      <c r="R54" s="143">
        <f t="shared" ca="1" si="11"/>
        <v>1</v>
      </c>
      <c r="S54" s="84">
        <v>45800</v>
      </c>
      <c r="T54" s="158"/>
    </row>
    <row r="55" spans="1:21" hidden="1">
      <c r="A55" s="19" t="s">
        <v>188</v>
      </c>
      <c r="B55" s="4">
        <v>102</v>
      </c>
      <c r="C55" s="322" t="s">
        <v>76</v>
      </c>
      <c r="D55" s="323" t="s">
        <v>841</v>
      </c>
      <c r="E55" s="140">
        <v>45842</v>
      </c>
      <c r="F55" s="144">
        <v>69.5</v>
      </c>
      <c r="G55" s="138">
        <v>70</v>
      </c>
      <c r="H55" s="138">
        <v>66</v>
      </c>
      <c r="I55" s="83">
        <f t="shared" si="6"/>
        <v>2.4999999999991473E-2</v>
      </c>
      <c r="J55" s="83">
        <f t="shared" si="7"/>
        <v>-0.5</v>
      </c>
      <c r="K55" s="298" t="s">
        <v>108</v>
      </c>
      <c r="L55" s="142">
        <v>45796</v>
      </c>
      <c r="M55" s="142">
        <v>45785</v>
      </c>
      <c r="N55" s="142">
        <f t="shared" si="9"/>
        <v>45787</v>
      </c>
      <c r="O55" s="143">
        <f t="shared" ca="1" si="10"/>
        <v>11</v>
      </c>
      <c r="P55" s="142">
        <f t="shared" si="14"/>
        <v>45808</v>
      </c>
      <c r="Q55" s="142">
        <v>45807</v>
      </c>
      <c r="R55" s="143">
        <f t="shared" ca="1" si="11"/>
        <v>1</v>
      </c>
      <c r="S55" s="84">
        <v>45800</v>
      </c>
      <c r="T55" s="158"/>
    </row>
    <row r="56" spans="1:21" hidden="1">
      <c r="A56" s="19" t="s">
        <v>99</v>
      </c>
      <c r="B56" s="291">
        <v>115</v>
      </c>
      <c r="C56" s="12" t="s">
        <v>846</v>
      </c>
      <c r="D56" s="323" t="s">
        <v>847</v>
      </c>
      <c r="E56" s="140">
        <v>45838</v>
      </c>
      <c r="F56" s="144">
        <v>847.7</v>
      </c>
      <c r="G56" s="138">
        <v>848</v>
      </c>
      <c r="H56" s="138">
        <v>805</v>
      </c>
      <c r="I56" s="83">
        <f t="shared" si="6"/>
        <v>0.31500000000005457</v>
      </c>
      <c r="J56" s="83">
        <f t="shared" si="7"/>
        <v>-0.29999999999995453</v>
      </c>
      <c r="K56" s="298" t="s">
        <v>142</v>
      </c>
      <c r="L56" s="142">
        <f>E56-70</f>
        <v>45768</v>
      </c>
      <c r="M56" s="142">
        <v>45768</v>
      </c>
      <c r="N56" s="142">
        <f t="shared" si="9"/>
        <v>45770</v>
      </c>
      <c r="O56" s="143">
        <f t="shared" ca="1" si="10"/>
        <v>0</v>
      </c>
      <c r="P56" s="142">
        <f>L56+13</f>
        <v>45781</v>
      </c>
      <c r="Q56" s="142">
        <v>45803</v>
      </c>
      <c r="R56" s="143">
        <f t="shared" ca="1" si="11"/>
        <v>-22</v>
      </c>
      <c r="S56" s="84">
        <v>45800</v>
      </c>
      <c r="T56" s="158"/>
    </row>
    <row r="57" spans="1:21" hidden="1">
      <c r="A57" s="19" t="s">
        <v>99</v>
      </c>
      <c r="B57" s="291">
        <v>115</v>
      </c>
      <c r="C57" s="12" t="s">
        <v>846</v>
      </c>
      <c r="D57" s="323" t="s">
        <v>848</v>
      </c>
      <c r="E57" s="140">
        <v>45838</v>
      </c>
      <c r="F57" s="144">
        <v>105.7</v>
      </c>
      <c r="G57" s="138">
        <v>106</v>
      </c>
      <c r="H57" s="138">
        <v>100</v>
      </c>
      <c r="I57" s="83">
        <f t="shared" si="6"/>
        <v>0.41499999999999204</v>
      </c>
      <c r="J57" s="83">
        <f t="shared" si="7"/>
        <v>-0.29999999999999716</v>
      </c>
      <c r="K57" s="298" t="s">
        <v>142</v>
      </c>
      <c r="L57" s="142">
        <f>E57-70</f>
        <v>45768</v>
      </c>
      <c r="M57" s="142">
        <v>45768</v>
      </c>
      <c r="N57" s="142">
        <f t="shared" si="9"/>
        <v>45770</v>
      </c>
      <c r="O57" s="143">
        <f t="shared" ca="1" si="10"/>
        <v>0</v>
      </c>
      <c r="P57" s="142">
        <f>L57+13</f>
        <v>45781</v>
      </c>
      <c r="Q57" s="142">
        <v>45803</v>
      </c>
      <c r="R57" s="143">
        <f t="shared" ca="1" si="11"/>
        <v>-22</v>
      </c>
      <c r="S57" s="84">
        <v>45800</v>
      </c>
      <c r="T57" s="158"/>
    </row>
    <row r="58" spans="1:21" hidden="1">
      <c r="A58" s="19" t="s">
        <v>99</v>
      </c>
      <c r="B58" s="291">
        <v>115</v>
      </c>
      <c r="C58" s="12" t="s">
        <v>846</v>
      </c>
      <c r="D58" s="323" t="s">
        <v>849</v>
      </c>
      <c r="E58" s="140">
        <v>45838</v>
      </c>
      <c r="F58" s="144">
        <v>158.30000000000001</v>
      </c>
      <c r="G58" s="138">
        <v>158</v>
      </c>
      <c r="H58" s="138">
        <v>158</v>
      </c>
      <c r="I58" s="83">
        <f t="shared" si="6"/>
        <v>-7.6150000000000091</v>
      </c>
      <c r="J58" s="83">
        <f t="shared" si="7"/>
        <v>0.30000000000001137</v>
      </c>
      <c r="K58" s="298" t="s">
        <v>142</v>
      </c>
      <c r="L58" s="142">
        <f>E58-70</f>
        <v>45768</v>
      </c>
      <c r="M58" s="142">
        <v>45768</v>
      </c>
      <c r="N58" s="142">
        <f t="shared" si="9"/>
        <v>45770</v>
      </c>
      <c r="O58" s="143">
        <f t="shared" ca="1" si="10"/>
        <v>0</v>
      </c>
      <c r="P58" s="142">
        <f>L58+13</f>
        <v>45781</v>
      </c>
      <c r="Q58" s="142">
        <v>45803</v>
      </c>
      <c r="R58" s="143">
        <f t="shared" ca="1" si="11"/>
        <v>-22</v>
      </c>
      <c r="S58" s="84">
        <v>45800</v>
      </c>
      <c r="T58" s="158"/>
    </row>
    <row r="59" spans="1:21" hidden="1">
      <c r="A59" s="19" t="s">
        <v>188</v>
      </c>
      <c r="B59" s="291">
        <v>83</v>
      </c>
      <c r="C59" s="12" t="s">
        <v>82</v>
      </c>
      <c r="D59" s="323" t="s">
        <v>141</v>
      </c>
      <c r="E59" s="140">
        <v>45850</v>
      </c>
      <c r="F59" s="138">
        <v>68.699996948242202</v>
      </c>
      <c r="G59" s="138">
        <v>68.7</v>
      </c>
      <c r="H59" s="138">
        <v>65</v>
      </c>
      <c r="I59" s="83">
        <f t="shared" si="6"/>
        <v>0.26499710083008665</v>
      </c>
      <c r="J59" s="83">
        <f t="shared" si="7"/>
        <v>-3.0517578011313162E-6</v>
      </c>
      <c r="K59" s="298" t="s">
        <v>890</v>
      </c>
      <c r="L59" s="142">
        <v>45784</v>
      </c>
      <c r="M59" s="142">
        <v>45789</v>
      </c>
      <c r="N59" s="142">
        <f t="shared" si="9"/>
        <v>45791</v>
      </c>
      <c r="O59" s="143">
        <f t="shared" ca="1" si="10"/>
        <v>-5</v>
      </c>
      <c r="P59" s="142">
        <f t="shared" ref="P59:P66" si="15">L59+12</f>
        <v>45796</v>
      </c>
      <c r="Q59" s="142">
        <v>45789</v>
      </c>
      <c r="R59" s="143">
        <f t="shared" ca="1" si="11"/>
        <v>7</v>
      </c>
      <c r="S59" s="84"/>
      <c r="T59" s="158"/>
    </row>
    <row r="60" spans="1:21" hidden="1">
      <c r="A60" s="19" t="s">
        <v>188</v>
      </c>
      <c r="B60" s="291">
        <v>83</v>
      </c>
      <c r="C60" s="12" t="s">
        <v>82</v>
      </c>
      <c r="D60" s="323" t="s">
        <v>143</v>
      </c>
      <c r="E60" s="140">
        <v>45850</v>
      </c>
      <c r="F60" s="138">
        <v>68.699996948242202</v>
      </c>
      <c r="G60" s="138">
        <v>68.7</v>
      </c>
      <c r="H60" s="138">
        <v>65</v>
      </c>
      <c r="I60" s="83">
        <f t="shared" si="6"/>
        <v>0.26499710083008665</v>
      </c>
      <c r="J60" s="83">
        <f t="shared" si="7"/>
        <v>-3.0517578011313162E-6</v>
      </c>
      <c r="K60" s="298" t="s">
        <v>890</v>
      </c>
      <c r="L60" s="142">
        <v>45784</v>
      </c>
      <c r="M60" s="142">
        <v>45789</v>
      </c>
      <c r="N60" s="142">
        <f t="shared" si="9"/>
        <v>45791</v>
      </c>
      <c r="O60" s="143">
        <f t="shared" ca="1" si="10"/>
        <v>-5</v>
      </c>
      <c r="P60" s="142">
        <f t="shared" si="15"/>
        <v>45796</v>
      </c>
      <c r="Q60" s="142">
        <v>45789</v>
      </c>
      <c r="R60" s="143">
        <f t="shared" ca="1" si="11"/>
        <v>7</v>
      </c>
      <c r="S60" s="84"/>
      <c r="T60" s="158"/>
    </row>
    <row r="61" spans="1:21" hidden="1">
      <c r="A61" s="19" t="s">
        <v>188</v>
      </c>
      <c r="B61" s="291">
        <v>83</v>
      </c>
      <c r="C61" s="12" t="s">
        <v>82</v>
      </c>
      <c r="D61" s="323" t="s">
        <v>144</v>
      </c>
      <c r="E61" s="140">
        <v>45850</v>
      </c>
      <c r="F61" s="138">
        <v>68.699996948242202</v>
      </c>
      <c r="G61" s="138">
        <v>68.7</v>
      </c>
      <c r="H61" s="138">
        <v>65</v>
      </c>
      <c r="I61" s="83">
        <f t="shared" si="6"/>
        <v>0.26499710083008665</v>
      </c>
      <c r="J61" s="83">
        <f t="shared" si="7"/>
        <v>-3.0517578011313162E-6</v>
      </c>
      <c r="K61" s="298" t="s">
        <v>890</v>
      </c>
      <c r="L61" s="142">
        <v>45784</v>
      </c>
      <c r="M61" s="142">
        <v>45789</v>
      </c>
      <c r="N61" s="142">
        <f t="shared" si="9"/>
        <v>45791</v>
      </c>
      <c r="O61" s="143">
        <f t="shared" ca="1" si="10"/>
        <v>-5</v>
      </c>
      <c r="P61" s="142">
        <f t="shared" si="15"/>
        <v>45796</v>
      </c>
      <c r="Q61" s="142">
        <v>45789</v>
      </c>
      <c r="R61" s="143">
        <f t="shared" ca="1" si="11"/>
        <v>7</v>
      </c>
      <c r="S61" s="84"/>
      <c r="T61" s="158"/>
    </row>
    <row r="62" spans="1:21" hidden="1">
      <c r="A62" s="19" t="s">
        <v>188</v>
      </c>
      <c r="B62" s="291">
        <v>83</v>
      </c>
      <c r="C62" s="12" t="s">
        <v>79</v>
      </c>
      <c r="D62" s="314" t="s">
        <v>145</v>
      </c>
      <c r="E62" s="140">
        <v>45850</v>
      </c>
      <c r="F62" s="138">
        <v>5.6999998092651403</v>
      </c>
      <c r="G62" s="138">
        <v>5.7</v>
      </c>
      <c r="H62" s="138">
        <v>5</v>
      </c>
      <c r="I62" s="83">
        <f t="shared" si="6"/>
        <v>0.41499981880188308</v>
      </c>
      <c r="J62" s="83">
        <f t="shared" si="7"/>
        <v>-1.9073485990617201E-7</v>
      </c>
      <c r="K62" s="298" t="s">
        <v>942</v>
      </c>
      <c r="L62" s="142">
        <v>45784</v>
      </c>
      <c r="M62" s="142">
        <v>45784</v>
      </c>
      <c r="N62" s="142">
        <f t="shared" si="9"/>
        <v>45786</v>
      </c>
      <c r="O62" s="143">
        <f t="shared" ca="1" si="10"/>
        <v>0</v>
      </c>
      <c r="P62" s="142">
        <f t="shared" si="15"/>
        <v>45796</v>
      </c>
      <c r="Q62" s="142">
        <v>45784</v>
      </c>
      <c r="R62" s="143">
        <f t="shared" ca="1" si="11"/>
        <v>12</v>
      </c>
      <c r="S62" s="84"/>
      <c r="T62" s="158"/>
    </row>
    <row r="63" spans="1:21" hidden="1">
      <c r="A63" s="19" t="s">
        <v>188</v>
      </c>
      <c r="B63" s="291">
        <v>83</v>
      </c>
      <c r="C63" s="322" t="s">
        <v>75</v>
      </c>
      <c r="D63" s="323" t="s">
        <v>841</v>
      </c>
      <c r="E63" s="140">
        <v>45850</v>
      </c>
      <c r="F63" s="138">
        <v>71.400001525878906</v>
      </c>
      <c r="G63" s="138">
        <v>71.400000000000006</v>
      </c>
      <c r="H63" s="138">
        <v>68</v>
      </c>
      <c r="I63" s="83">
        <f t="shared" si="6"/>
        <v>-0.16999855041504475</v>
      </c>
      <c r="J63" s="83">
        <f t="shared" si="7"/>
        <v>1.5258789005656581E-6</v>
      </c>
      <c r="K63" s="298" t="s">
        <v>108</v>
      </c>
      <c r="L63" s="142">
        <v>45796</v>
      </c>
      <c r="M63" s="142">
        <v>45785</v>
      </c>
      <c r="N63" s="142">
        <f t="shared" si="9"/>
        <v>45787</v>
      </c>
      <c r="O63" s="143">
        <f t="shared" ca="1" si="10"/>
        <v>11</v>
      </c>
      <c r="P63" s="142">
        <f t="shared" si="15"/>
        <v>45808</v>
      </c>
      <c r="Q63" s="142">
        <v>45807</v>
      </c>
      <c r="R63" s="143">
        <f t="shared" ca="1" si="11"/>
        <v>1</v>
      </c>
      <c r="S63" s="84">
        <v>45800</v>
      </c>
      <c r="T63" s="158"/>
    </row>
    <row r="64" spans="1:21" hidden="1">
      <c r="A64" s="19" t="s">
        <v>188</v>
      </c>
      <c r="B64" s="291">
        <v>83</v>
      </c>
      <c r="C64" s="322" t="s">
        <v>75</v>
      </c>
      <c r="D64" s="323" t="s">
        <v>840</v>
      </c>
      <c r="E64" s="140">
        <v>45850</v>
      </c>
      <c r="F64" s="138">
        <v>66.800003051757798</v>
      </c>
      <c r="G64" s="138">
        <v>66.8</v>
      </c>
      <c r="H64" s="138">
        <v>63</v>
      </c>
      <c r="I64" s="83">
        <f t="shared" si="6"/>
        <v>0.46000289916990766</v>
      </c>
      <c r="J64" s="83">
        <f t="shared" si="7"/>
        <v>3.0517578011313162E-6</v>
      </c>
      <c r="K64" s="298" t="s">
        <v>108</v>
      </c>
      <c r="L64" s="142">
        <v>45796</v>
      </c>
      <c r="M64" s="142">
        <v>45785</v>
      </c>
      <c r="N64" s="142">
        <f t="shared" si="9"/>
        <v>45787</v>
      </c>
      <c r="O64" s="143">
        <f t="shared" ca="1" si="10"/>
        <v>11</v>
      </c>
      <c r="P64" s="142">
        <f t="shared" si="15"/>
        <v>45808</v>
      </c>
      <c r="Q64" s="142">
        <v>45807</v>
      </c>
      <c r="R64" s="143">
        <f t="shared" ca="1" si="11"/>
        <v>1</v>
      </c>
      <c r="S64" s="84">
        <v>45800</v>
      </c>
      <c r="T64" s="158"/>
    </row>
    <row r="65" spans="1:20" hidden="1">
      <c r="A65" s="19" t="s">
        <v>188</v>
      </c>
      <c r="B65" s="291">
        <v>83</v>
      </c>
      <c r="C65" s="322" t="s">
        <v>857</v>
      </c>
      <c r="D65" s="323" t="s">
        <v>841</v>
      </c>
      <c r="E65" s="140">
        <v>45850</v>
      </c>
      <c r="F65" s="138">
        <v>81.800003051757798</v>
      </c>
      <c r="G65" s="138">
        <v>81.8</v>
      </c>
      <c r="H65" s="138">
        <v>78</v>
      </c>
      <c r="I65" s="83">
        <f t="shared" si="6"/>
        <v>-0.28999710083009234</v>
      </c>
      <c r="J65" s="83">
        <f t="shared" si="7"/>
        <v>3.0517578011313162E-6</v>
      </c>
      <c r="K65" s="298" t="s">
        <v>108</v>
      </c>
      <c r="L65" s="142">
        <v>45796</v>
      </c>
      <c r="M65" s="142">
        <v>45785</v>
      </c>
      <c r="N65" s="142">
        <f t="shared" si="9"/>
        <v>45787</v>
      </c>
      <c r="O65" s="143">
        <f t="shared" ca="1" si="10"/>
        <v>11</v>
      </c>
      <c r="P65" s="142">
        <f t="shared" si="15"/>
        <v>45808</v>
      </c>
      <c r="Q65" s="142">
        <v>45807</v>
      </c>
      <c r="R65" s="143">
        <f t="shared" ca="1" si="11"/>
        <v>1</v>
      </c>
      <c r="S65" s="84">
        <v>45800</v>
      </c>
      <c r="T65" s="158"/>
    </row>
    <row r="66" spans="1:20" hidden="1">
      <c r="A66" s="19" t="s">
        <v>188</v>
      </c>
      <c r="B66" s="291">
        <v>83</v>
      </c>
      <c r="C66" s="322" t="s">
        <v>857</v>
      </c>
      <c r="D66" s="323" t="s">
        <v>840</v>
      </c>
      <c r="E66" s="140">
        <v>45850</v>
      </c>
      <c r="F66" s="138">
        <v>76.599998474121094</v>
      </c>
      <c r="G66" s="138">
        <v>76.599999999999994</v>
      </c>
      <c r="H66" s="138">
        <v>73</v>
      </c>
      <c r="I66" s="83">
        <f t="shared" si="6"/>
        <v>-0.23000144958496094</v>
      </c>
      <c r="J66" s="83">
        <f t="shared" si="7"/>
        <v>-1.5258789005656581E-6</v>
      </c>
      <c r="K66" s="298" t="s">
        <v>108</v>
      </c>
      <c r="L66" s="142">
        <v>45796</v>
      </c>
      <c r="M66" s="142">
        <v>45785</v>
      </c>
      <c r="N66" s="142">
        <f t="shared" si="9"/>
        <v>45787</v>
      </c>
      <c r="O66" s="143">
        <f t="shared" ca="1" si="10"/>
        <v>11</v>
      </c>
      <c r="P66" s="142">
        <f t="shared" si="15"/>
        <v>45808</v>
      </c>
      <c r="Q66" s="142">
        <v>45807</v>
      </c>
      <c r="R66" s="143">
        <f t="shared" ca="1" si="11"/>
        <v>1</v>
      </c>
      <c r="S66" s="84">
        <v>45800</v>
      </c>
      <c r="T66" s="158"/>
    </row>
    <row r="67" spans="1:20" hidden="1">
      <c r="A67" s="19" t="s">
        <v>188</v>
      </c>
      <c r="B67" s="291">
        <v>84</v>
      </c>
      <c r="C67" s="12" t="s">
        <v>77</v>
      </c>
      <c r="D67" s="323" t="s">
        <v>137</v>
      </c>
      <c r="E67" s="140">
        <v>45865</v>
      </c>
      <c r="F67" s="138">
        <v>15.699999809265099</v>
      </c>
      <c r="G67" s="138">
        <v>15.7</v>
      </c>
      <c r="H67" s="138">
        <v>15</v>
      </c>
      <c r="I67" s="83">
        <f t="shared" si="6"/>
        <v>-8.5000181198156E-2</v>
      </c>
      <c r="J67" s="83">
        <f t="shared" si="7"/>
        <v>-1.9073489987420089E-7</v>
      </c>
      <c r="K67" s="298" t="s">
        <v>108</v>
      </c>
      <c r="L67" s="142">
        <v>45784</v>
      </c>
      <c r="M67" s="142">
        <v>45785</v>
      </c>
      <c r="N67" s="142">
        <f t="shared" si="9"/>
        <v>45787</v>
      </c>
      <c r="O67" s="143">
        <f t="shared" ca="1" si="10"/>
        <v>-1</v>
      </c>
      <c r="P67" s="142">
        <f t="shared" ref="P67" si="16">L67+12</f>
        <v>45796</v>
      </c>
      <c r="Q67" s="142">
        <v>45807</v>
      </c>
      <c r="R67" s="143">
        <f t="shared" ca="1" si="11"/>
        <v>-11</v>
      </c>
      <c r="S67" s="84">
        <v>45796</v>
      </c>
      <c r="T67" s="158"/>
    </row>
    <row r="68" spans="1:20" hidden="1">
      <c r="A68" s="19" t="s">
        <v>188</v>
      </c>
      <c r="B68" s="291">
        <v>91</v>
      </c>
      <c r="C68" s="12" t="s">
        <v>77</v>
      </c>
      <c r="D68" s="323" t="s">
        <v>149</v>
      </c>
      <c r="E68" s="140">
        <v>45842</v>
      </c>
      <c r="F68" s="138">
        <v>178.69999694824199</v>
      </c>
      <c r="G68" s="138">
        <v>178.7</v>
      </c>
      <c r="H68" s="138">
        <v>170</v>
      </c>
      <c r="I68" s="83">
        <f t="shared" ref="I68:I99" si="17">F68*95%-H68</f>
        <v>-0.23500289917012651</v>
      </c>
      <c r="J68" s="83">
        <f t="shared" ref="J68:J99" si="18">F68-G68</f>
        <v>-3.0517580000832822E-6</v>
      </c>
      <c r="K68" s="298" t="s">
        <v>890</v>
      </c>
      <c r="L68" s="142">
        <v>45784</v>
      </c>
      <c r="M68" s="142">
        <v>45784</v>
      </c>
      <c r="N68" s="142">
        <f t="shared" ref="N68:N99" si="19">M68+2</f>
        <v>45786</v>
      </c>
      <c r="O68" s="143">
        <f t="shared" ref="O68:O99" ca="1" si="20">+IF(M68="",L68-TODAY(),L68-M68)</f>
        <v>0</v>
      </c>
      <c r="P68" s="142">
        <f t="shared" ref="P68:P99" si="21">L68+12</f>
        <v>45796</v>
      </c>
      <c r="Q68" s="142">
        <v>45798</v>
      </c>
      <c r="R68" s="143">
        <f t="shared" ref="R68:R99" ca="1" si="22">+IF(Q68="",P68-TODAY(),P68-Q68)</f>
        <v>-2</v>
      </c>
      <c r="S68" s="84">
        <v>45797</v>
      </c>
      <c r="T68" s="158"/>
    </row>
    <row r="69" spans="1:20" hidden="1">
      <c r="A69" s="19" t="s">
        <v>188</v>
      </c>
      <c r="B69" s="291">
        <v>91</v>
      </c>
      <c r="C69" s="12" t="s">
        <v>77</v>
      </c>
      <c r="D69" s="323" t="s">
        <v>150</v>
      </c>
      <c r="E69" s="140">
        <v>45842</v>
      </c>
      <c r="F69" s="138">
        <v>178.69999694824199</v>
      </c>
      <c r="G69" s="138">
        <v>178.7</v>
      </c>
      <c r="H69" s="138">
        <v>170</v>
      </c>
      <c r="I69" s="83">
        <f t="shared" si="17"/>
        <v>-0.23500289917012651</v>
      </c>
      <c r="J69" s="83">
        <f t="shared" si="18"/>
        <v>-3.0517580000832822E-6</v>
      </c>
      <c r="K69" s="298" t="s">
        <v>890</v>
      </c>
      <c r="L69" s="142">
        <v>45784</v>
      </c>
      <c r="M69" s="142">
        <v>45784</v>
      </c>
      <c r="N69" s="142">
        <f t="shared" si="19"/>
        <v>45786</v>
      </c>
      <c r="O69" s="143">
        <f t="shared" ca="1" si="20"/>
        <v>0</v>
      </c>
      <c r="P69" s="142">
        <f t="shared" si="21"/>
        <v>45796</v>
      </c>
      <c r="Q69" s="142">
        <v>45798</v>
      </c>
      <c r="R69" s="143">
        <f t="shared" ca="1" si="22"/>
        <v>-2</v>
      </c>
      <c r="S69" s="84">
        <v>45797</v>
      </c>
      <c r="T69" s="158"/>
    </row>
    <row r="70" spans="1:20" hidden="1">
      <c r="A70" s="19" t="s">
        <v>188</v>
      </c>
      <c r="B70" s="291">
        <v>91</v>
      </c>
      <c r="C70" s="12" t="s">
        <v>77</v>
      </c>
      <c r="D70" s="323" t="s">
        <v>151</v>
      </c>
      <c r="E70" s="140">
        <v>45842</v>
      </c>
      <c r="F70" s="138">
        <v>63.099998474121101</v>
      </c>
      <c r="G70" s="138">
        <v>63.1</v>
      </c>
      <c r="H70" s="138">
        <v>60</v>
      </c>
      <c r="I70" s="83">
        <f t="shared" si="17"/>
        <v>-5.5001449584956674E-2</v>
      </c>
      <c r="J70" s="83">
        <f t="shared" si="18"/>
        <v>-1.5258789005656581E-6</v>
      </c>
      <c r="K70" s="298" t="s">
        <v>890</v>
      </c>
      <c r="L70" s="142">
        <v>45784</v>
      </c>
      <c r="M70" s="142">
        <v>45784</v>
      </c>
      <c r="N70" s="142">
        <f t="shared" si="19"/>
        <v>45786</v>
      </c>
      <c r="O70" s="143">
        <f t="shared" ca="1" si="20"/>
        <v>0</v>
      </c>
      <c r="P70" s="142">
        <f t="shared" si="21"/>
        <v>45796</v>
      </c>
      <c r="Q70" s="142">
        <v>45798</v>
      </c>
      <c r="R70" s="143">
        <f t="shared" ca="1" si="22"/>
        <v>-2</v>
      </c>
      <c r="S70" s="84">
        <v>45797</v>
      </c>
      <c r="T70" s="158"/>
    </row>
    <row r="71" spans="1:20" hidden="1">
      <c r="A71" s="19" t="s">
        <v>188</v>
      </c>
      <c r="B71" s="291">
        <v>91</v>
      </c>
      <c r="C71" s="12" t="s">
        <v>77</v>
      </c>
      <c r="D71" s="323" t="s">
        <v>152</v>
      </c>
      <c r="E71" s="140">
        <v>45842</v>
      </c>
      <c r="F71" s="138">
        <v>31.600000381469702</v>
      </c>
      <c r="G71" s="138">
        <v>31.6</v>
      </c>
      <c r="H71" s="138">
        <v>30</v>
      </c>
      <c r="I71" s="83">
        <f t="shared" si="17"/>
        <v>2.0000362396213944E-2</v>
      </c>
      <c r="J71" s="83">
        <f t="shared" si="18"/>
        <v>3.8146970027241878E-7</v>
      </c>
      <c r="K71" s="298" t="s">
        <v>890</v>
      </c>
      <c r="L71" s="142">
        <v>45784</v>
      </c>
      <c r="M71" s="142">
        <v>45784</v>
      </c>
      <c r="N71" s="142">
        <f t="shared" si="19"/>
        <v>45786</v>
      </c>
      <c r="O71" s="143">
        <f t="shared" ca="1" si="20"/>
        <v>0</v>
      </c>
      <c r="P71" s="142">
        <f t="shared" si="21"/>
        <v>45796</v>
      </c>
      <c r="Q71" s="142">
        <v>45798</v>
      </c>
      <c r="R71" s="143">
        <f t="shared" ca="1" si="22"/>
        <v>-2</v>
      </c>
      <c r="S71" s="84">
        <v>45797</v>
      </c>
      <c r="T71" s="158"/>
    </row>
    <row r="72" spans="1:20" hidden="1">
      <c r="A72" s="19" t="s">
        <v>188</v>
      </c>
      <c r="B72" s="291">
        <v>84</v>
      </c>
      <c r="C72" s="12" t="s">
        <v>77</v>
      </c>
      <c r="D72" s="323" t="s">
        <v>147</v>
      </c>
      <c r="E72" s="140">
        <v>45865</v>
      </c>
      <c r="F72" s="138">
        <v>141</v>
      </c>
      <c r="G72" s="138">
        <v>141</v>
      </c>
      <c r="H72" s="138">
        <v>134</v>
      </c>
      <c r="I72" s="83">
        <f t="shared" si="17"/>
        <v>-5.0000000000011369E-2</v>
      </c>
      <c r="J72" s="83">
        <f t="shared" si="18"/>
        <v>0</v>
      </c>
      <c r="K72" s="298" t="s">
        <v>890</v>
      </c>
      <c r="L72" s="142">
        <v>45784</v>
      </c>
      <c r="M72" s="142">
        <v>45784</v>
      </c>
      <c r="N72" s="142">
        <f t="shared" si="19"/>
        <v>45786</v>
      </c>
      <c r="O72" s="143">
        <f t="shared" ca="1" si="20"/>
        <v>0</v>
      </c>
      <c r="P72" s="142">
        <f t="shared" si="21"/>
        <v>45796</v>
      </c>
      <c r="Q72" s="142">
        <v>45800</v>
      </c>
      <c r="R72" s="143">
        <f t="shared" ca="1" si="22"/>
        <v>-4</v>
      </c>
      <c r="S72" s="84">
        <v>45796</v>
      </c>
      <c r="T72" s="158"/>
    </row>
    <row r="73" spans="1:20" hidden="1">
      <c r="A73" s="19" t="s">
        <v>188</v>
      </c>
      <c r="B73" s="291">
        <v>91</v>
      </c>
      <c r="C73" s="12" t="s">
        <v>77</v>
      </c>
      <c r="D73" s="323" t="s">
        <v>153</v>
      </c>
      <c r="E73" s="140">
        <v>45842</v>
      </c>
      <c r="F73" s="138">
        <v>178.69999694824199</v>
      </c>
      <c r="G73" s="138">
        <v>178.1</v>
      </c>
      <c r="H73" s="138">
        <v>170</v>
      </c>
      <c r="I73" s="83">
        <f t="shared" si="17"/>
        <v>-0.23500289917012651</v>
      </c>
      <c r="J73" s="83">
        <f t="shared" si="18"/>
        <v>0.59999694824199423</v>
      </c>
      <c r="K73" s="298" t="s">
        <v>890</v>
      </c>
      <c r="L73" s="142">
        <v>45784</v>
      </c>
      <c r="M73" s="142">
        <v>45784</v>
      </c>
      <c r="N73" s="142">
        <f t="shared" si="19"/>
        <v>45786</v>
      </c>
      <c r="O73" s="143">
        <f t="shared" ca="1" si="20"/>
        <v>0</v>
      </c>
      <c r="P73" s="142">
        <f t="shared" si="21"/>
        <v>45796</v>
      </c>
      <c r="Q73" s="142">
        <v>45798</v>
      </c>
      <c r="R73" s="143">
        <f t="shared" ca="1" si="22"/>
        <v>-2</v>
      </c>
      <c r="S73" s="84">
        <v>45797</v>
      </c>
      <c r="T73" s="158"/>
    </row>
    <row r="74" spans="1:20" hidden="1">
      <c r="A74" s="19" t="s">
        <v>188</v>
      </c>
      <c r="B74" s="291">
        <v>84</v>
      </c>
      <c r="C74" s="12" t="s">
        <v>77</v>
      </c>
      <c r="D74" s="323" t="s">
        <v>148</v>
      </c>
      <c r="E74" s="140">
        <v>45865</v>
      </c>
      <c r="F74" s="138">
        <v>222.19999694824199</v>
      </c>
      <c r="G74" s="138">
        <v>222</v>
      </c>
      <c r="H74" s="138">
        <v>211</v>
      </c>
      <c r="I74" s="83">
        <f t="shared" si="17"/>
        <v>8.9997100829890542E-2</v>
      </c>
      <c r="J74" s="83">
        <f t="shared" si="18"/>
        <v>0.19999694824198855</v>
      </c>
      <c r="K74" s="298" t="s">
        <v>890</v>
      </c>
      <c r="L74" s="142">
        <v>45784</v>
      </c>
      <c r="M74" s="142">
        <v>45784</v>
      </c>
      <c r="N74" s="142">
        <f t="shared" si="19"/>
        <v>45786</v>
      </c>
      <c r="O74" s="143">
        <f t="shared" ca="1" si="20"/>
        <v>0</v>
      </c>
      <c r="P74" s="142">
        <f t="shared" si="21"/>
        <v>45796</v>
      </c>
      <c r="Q74" s="142">
        <v>45800</v>
      </c>
      <c r="R74" s="143">
        <f t="shared" ca="1" si="22"/>
        <v>-4</v>
      </c>
      <c r="S74" s="84">
        <v>45796</v>
      </c>
      <c r="T74" s="158"/>
    </row>
    <row r="75" spans="1:20" hidden="1">
      <c r="A75" s="19" t="s">
        <v>188</v>
      </c>
      <c r="B75" s="291">
        <v>84</v>
      </c>
      <c r="C75" s="12" t="s">
        <v>82</v>
      </c>
      <c r="D75" s="323" t="s">
        <v>141</v>
      </c>
      <c r="E75" s="140">
        <v>45865</v>
      </c>
      <c r="F75" s="138">
        <v>59.200000762939503</v>
      </c>
      <c r="G75" s="138">
        <v>59.2</v>
      </c>
      <c r="H75" s="138">
        <v>56</v>
      </c>
      <c r="I75" s="83">
        <f t="shared" si="17"/>
        <v>0.2400007247925231</v>
      </c>
      <c r="J75" s="83">
        <f t="shared" si="18"/>
        <v>7.6293950002082056E-7</v>
      </c>
      <c r="K75" s="298" t="s">
        <v>890</v>
      </c>
      <c r="L75" s="142">
        <v>45784</v>
      </c>
      <c r="M75" s="142">
        <v>45789</v>
      </c>
      <c r="N75" s="142">
        <f t="shared" si="19"/>
        <v>45791</v>
      </c>
      <c r="O75" s="143">
        <f t="shared" ca="1" si="20"/>
        <v>-5</v>
      </c>
      <c r="P75" s="142">
        <f t="shared" si="21"/>
        <v>45796</v>
      </c>
      <c r="Q75" s="142">
        <v>45789</v>
      </c>
      <c r="R75" s="143">
        <f t="shared" ca="1" si="22"/>
        <v>7</v>
      </c>
      <c r="S75" s="84"/>
      <c r="T75" s="158"/>
    </row>
    <row r="76" spans="1:20" hidden="1">
      <c r="A76" s="19" t="s">
        <v>188</v>
      </c>
      <c r="B76" s="291">
        <v>84</v>
      </c>
      <c r="C76" s="12" t="s">
        <v>82</v>
      </c>
      <c r="D76" s="323" t="s">
        <v>143</v>
      </c>
      <c r="E76" s="140">
        <v>45865</v>
      </c>
      <c r="F76" s="138">
        <v>59.200000762939503</v>
      </c>
      <c r="G76" s="138">
        <v>59.2</v>
      </c>
      <c r="H76" s="138">
        <v>56</v>
      </c>
      <c r="I76" s="83">
        <f t="shared" si="17"/>
        <v>0.2400007247925231</v>
      </c>
      <c r="J76" s="83">
        <f t="shared" si="18"/>
        <v>7.6293950002082056E-7</v>
      </c>
      <c r="K76" s="298" t="s">
        <v>890</v>
      </c>
      <c r="L76" s="142">
        <v>45784</v>
      </c>
      <c r="M76" s="142">
        <v>45789</v>
      </c>
      <c r="N76" s="142">
        <f t="shared" si="19"/>
        <v>45791</v>
      </c>
      <c r="O76" s="143">
        <f t="shared" ca="1" si="20"/>
        <v>-5</v>
      </c>
      <c r="P76" s="142">
        <f t="shared" si="21"/>
        <v>45796</v>
      </c>
      <c r="Q76" s="142">
        <v>45789</v>
      </c>
      <c r="R76" s="143">
        <f t="shared" ca="1" si="22"/>
        <v>7</v>
      </c>
      <c r="S76" s="84"/>
      <c r="T76" s="158"/>
    </row>
    <row r="77" spans="1:20" hidden="1">
      <c r="A77" s="19" t="s">
        <v>188</v>
      </c>
      <c r="B77" s="291">
        <v>84</v>
      </c>
      <c r="C77" s="12" t="s">
        <v>82</v>
      </c>
      <c r="D77" s="323" t="s">
        <v>144</v>
      </c>
      <c r="E77" s="140">
        <v>45865</v>
      </c>
      <c r="F77" s="138">
        <v>59.200000762939503</v>
      </c>
      <c r="G77" s="138">
        <v>59.2</v>
      </c>
      <c r="H77" s="138">
        <v>56</v>
      </c>
      <c r="I77" s="83">
        <f t="shared" si="17"/>
        <v>0.2400007247925231</v>
      </c>
      <c r="J77" s="83">
        <f t="shared" si="18"/>
        <v>7.6293950002082056E-7</v>
      </c>
      <c r="K77" s="298" t="s">
        <v>890</v>
      </c>
      <c r="L77" s="142">
        <v>45784</v>
      </c>
      <c r="M77" s="142">
        <v>45789</v>
      </c>
      <c r="N77" s="142">
        <f t="shared" si="19"/>
        <v>45791</v>
      </c>
      <c r="O77" s="143">
        <f t="shared" ca="1" si="20"/>
        <v>-5</v>
      </c>
      <c r="P77" s="142">
        <f t="shared" si="21"/>
        <v>45796</v>
      </c>
      <c r="Q77" s="142">
        <v>45789</v>
      </c>
      <c r="R77" s="143">
        <f t="shared" ca="1" si="22"/>
        <v>7</v>
      </c>
      <c r="S77" s="84"/>
      <c r="T77" s="158"/>
    </row>
    <row r="78" spans="1:20" hidden="1">
      <c r="A78" s="19" t="s">
        <v>188</v>
      </c>
      <c r="B78" s="291">
        <v>91</v>
      </c>
      <c r="C78" s="12" t="s">
        <v>78</v>
      </c>
      <c r="D78" s="323" t="s">
        <v>149</v>
      </c>
      <c r="E78" s="140">
        <v>45842</v>
      </c>
      <c r="F78" s="138">
        <v>1</v>
      </c>
      <c r="G78" s="138">
        <v>1</v>
      </c>
      <c r="H78" s="138">
        <v>1</v>
      </c>
      <c r="I78" s="83">
        <f t="shared" si="17"/>
        <v>-5.0000000000000044E-2</v>
      </c>
      <c r="J78" s="83">
        <f t="shared" si="18"/>
        <v>0</v>
      </c>
      <c r="K78" s="298" t="s">
        <v>890</v>
      </c>
      <c r="L78" s="142">
        <v>45784</v>
      </c>
      <c r="M78" s="142">
        <v>45784</v>
      </c>
      <c r="N78" s="142">
        <f t="shared" si="19"/>
        <v>45786</v>
      </c>
      <c r="O78" s="143">
        <f t="shared" ca="1" si="20"/>
        <v>0</v>
      </c>
      <c r="P78" s="142">
        <f t="shared" si="21"/>
        <v>45796</v>
      </c>
      <c r="Q78" s="142">
        <v>45798</v>
      </c>
      <c r="R78" s="143">
        <f t="shared" ca="1" si="22"/>
        <v>-2</v>
      </c>
      <c r="S78" s="84">
        <v>45797</v>
      </c>
      <c r="T78" s="158"/>
    </row>
    <row r="79" spans="1:20" hidden="1">
      <c r="A79" s="19" t="s">
        <v>188</v>
      </c>
      <c r="B79" s="291">
        <v>91</v>
      </c>
      <c r="C79" s="12" t="s">
        <v>78</v>
      </c>
      <c r="D79" s="323" t="s">
        <v>150</v>
      </c>
      <c r="E79" s="140">
        <v>45842</v>
      </c>
      <c r="F79" s="138">
        <v>1</v>
      </c>
      <c r="G79" s="138">
        <v>1</v>
      </c>
      <c r="H79" s="138">
        <v>1</v>
      </c>
      <c r="I79" s="83">
        <f t="shared" si="17"/>
        <v>-5.0000000000000044E-2</v>
      </c>
      <c r="J79" s="83">
        <f t="shared" si="18"/>
        <v>0</v>
      </c>
      <c r="K79" s="298" t="s">
        <v>890</v>
      </c>
      <c r="L79" s="142">
        <v>45784</v>
      </c>
      <c r="M79" s="142">
        <v>45784</v>
      </c>
      <c r="N79" s="142">
        <f t="shared" si="19"/>
        <v>45786</v>
      </c>
      <c r="O79" s="143">
        <f t="shared" ca="1" si="20"/>
        <v>0</v>
      </c>
      <c r="P79" s="142">
        <f t="shared" si="21"/>
        <v>45796</v>
      </c>
      <c r="Q79" s="142">
        <v>45798</v>
      </c>
      <c r="R79" s="143">
        <f t="shared" ca="1" si="22"/>
        <v>-2</v>
      </c>
      <c r="S79" s="84">
        <v>45797</v>
      </c>
      <c r="T79" s="158"/>
    </row>
    <row r="80" spans="1:20" hidden="1">
      <c r="A80" s="19" t="s">
        <v>188</v>
      </c>
      <c r="B80" s="291">
        <v>91</v>
      </c>
      <c r="C80" s="12" t="s">
        <v>78</v>
      </c>
      <c r="D80" s="323" t="s">
        <v>153</v>
      </c>
      <c r="E80" s="140">
        <v>45842</v>
      </c>
      <c r="F80" s="138">
        <v>1</v>
      </c>
      <c r="G80" s="138">
        <v>1</v>
      </c>
      <c r="H80" s="138">
        <v>1</v>
      </c>
      <c r="I80" s="83">
        <f t="shared" si="17"/>
        <v>-5.0000000000000044E-2</v>
      </c>
      <c r="J80" s="83">
        <f t="shared" si="18"/>
        <v>0</v>
      </c>
      <c r="K80" s="298" t="s">
        <v>890</v>
      </c>
      <c r="L80" s="142">
        <v>45784</v>
      </c>
      <c r="M80" s="142">
        <v>45784</v>
      </c>
      <c r="N80" s="142">
        <f t="shared" si="19"/>
        <v>45786</v>
      </c>
      <c r="O80" s="143">
        <f t="shared" ca="1" si="20"/>
        <v>0</v>
      </c>
      <c r="P80" s="142">
        <f t="shared" si="21"/>
        <v>45796</v>
      </c>
      <c r="Q80" s="142">
        <v>45798</v>
      </c>
      <c r="R80" s="143">
        <f t="shared" ca="1" si="22"/>
        <v>-2</v>
      </c>
      <c r="S80" s="84">
        <v>45797</v>
      </c>
      <c r="T80" s="158"/>
    </row>
    <row r="81" spans="1:20" hidden="1">
      <c r="A81" s="19" t="s">
        <v>188</v>
      </c>
      <c r="B81" s="291">
        <v>84</v>
      </c>
      <c r="C81" s="12" t="s">
        <v>79</v>
      </c>
      <c r="D81" s="313" t="s">
        <v>138</v>
      </c>
      <c r="E81" s="140">
        <v>45865</v>
      </c>
      <c r="F81" s="138">
        <v>18.299999237060501</v>
      </c>
      <c r="G81" s="138">
        <v>18.3</v>
      </c>
      <c r="H81" s="138">
        <v>17</v>
      </c>
      <c r="I81" s="83">
        <f t="shared" si="17"/>
        <v>0.38499927520747335</v>
      </c>
      <c r="J81" s="83">
        <f t="shared" si="18"/>
        <v>-7.6293950002082056E-7</v>
      </c>
      <c r="K81" s="298" t="s">
        <v>108</v>
      </c>
      <c r="L81" s="142">
        <v>45784</v>
      </c>
      <c r="M81" s="142">
        <v>45785</v>
      </c>
      <c r="N81" s="142">
        <f t="shared" si="19"/>
        <v>45787</v>
      </c>
      <c r="O81" s="143">
        <f t="shared" ca="1" si="20"/>
        <v>-1</v>
      </c>
      <c r="P81" s="142">
        <f t="shared" si="21"/>
        <v>45796</v>
      </c>
      <c r="Q81" s="142">
        <v>45813</v>
      </c>
      <c r="R81" s="143">
        <f t="shared" ca="1" si="22"/>
        <v>-17</v>
      </c>
      <c r="S81" s="84">
        <v>45796</v>
      </c>
      <c r="T81" s="158"/>
    </row>
    <row r="82" spans="1:20" hidden="1">
      <c r="A82" s="19" t="s">
        <v>188</v>
      </c>
      <c r="B82" s="291">
        <v>84</v>
      </c>
      <c r="C82" s="12" t="s">
        <v>79</v>
      </c>
      <c r="D82" s="323" t="s">
        <v>147</v>
      </c>
      <c r="E82" s="140">
        <v>45865</v>
      </c>
      <c r="F82" s="138">
        <v>1.79999995231628</v>
      </c>
      <c r="G82" s="138">
        <v>1.8</v>
      </c>
      <c r="H82" s="138">
        <v>2</v>
      </c>
      <c r="I82" s="83">
        <f t="shared" si="17"/>
        <v>-0.29000004529953416</v>
      </c>
      <c r="J82" s="83">
        <f t="shared" si="18"/>
        <v>-4.7683720083568915E-8</v>
      </c>
      <c r="K82" s="298" t="s">
        <v>890</v>
      </c>
      <c r="L82" s="142">
        <v>45784</v>
      </c>
      <c r="M82" s="142">
        <v>45784</v>
      </c>
      <c r="N82" s="142">
        <f t="shared" si="19"/>
        <v>45786</v>
      </c>
      <c r="O82" s="143">
        <f t="shared" ca="1" si="20"/>
        <v>0</v>
      </c>
      <c r="P82" s="142">
        <f t="shared" si="21"/>
        <v>45796</v>
      </c>
      <c r="Q82" s="142">
        <v>45800</v>
      </c>
      <c r="R82" s="143">
        <f t="shared" ca="1" si="22"/>
        <v>-4</v>
      </c>
      <c r="S82" s="84">
        <v>45796</v>
      </c>
      <c r="T82" s="158"/>
    </row>
    <row r="83" spans="1:20" hidden="1">
      <c r="A83" s="19" t="s">
        <v>188</v>
      </c>
      <c r="B83" s="291">
        <v>84</v>
      </c>
      <c r="C83" s="12" t="s">
        <v>79</v>
      </c>
      <c r="D83" s="313" t="s">
        <v>145</v>
      </c>
      <c r="E83" s="140">
        <v>45865</v>
      </c>
      <c r="F83" s="138">
        <v>4.9000000953674299</v>
      </c>
      <c r="G83" s="138">
        <v>4.9000000000000004</v>
      </c>
      <c r="H83" s="138">
        <v>4.9000000000000004</v>
      </c>
      <c r="I83" s="83">
        <f t="shared" si="17"/>
        <v>-0.24499990940094207</v>
      </c>
      <c r="J83" s="83">
        <f t="shared" si="18"/>
        <v>9.5367429508996793E-8</v>
      </c>
      <c r="K83" s="298" t="s">
        <v>942</v>
      </c>
      <c r="L83" s="142">
        <v>45784</v>
      </c>
      <c r="M83" s="142">
        <v>45784</v>
      </c>
      <c r="N83" s="142">
        <f t="shared" si="19"/>
        <v>45786</v>
      </c>
      <c r="O83" s="143">
        <f t="shared" ca="1" si="20"/>
        <v>0</v>
      </c>
      <c r="P83" s="142">
        <f t="shared" si="21"/>
        <v>45796</v>
      </c>
      <c r="Q83" s="142">
        <v>45784</v>
      </c>
      <c r="R83" s="143">
        <f t="shared" ca="1" si="22"/>
        <v>12</v>
      </c>
      <c r="S83" s="84"/>
      <c r="T83" s="158"/>
    </row>
    <row r="84" spans="1:20" hidden="1">
      <c r="A84" s="19" t="s">
        <v>188</v>
      </c>
      <c r="B84" s="291">
        <v>84</v>
      </c>
      <c r="C84" s="322" t="s">
        <v>75</v>
      </c>
      <c r="D84" s="323" t="s">
        <v>841</v>
      </c>
      <c r="E84" s="140">
        <v>45865</v>
      </c>
      <c r="F84" s="138">
        <v>25.799999237060501</v>
      </c>
      <c r="G84" s="138">
        <v>25.8</v>
      </c>
      <c r="H84" s="138">
        <v>25</v>
      </c>
      <c r="I84" s="83">
        <f t="shared" si="17"/>
        <v>-0.49000072479252665</v>
      </c>
      <c r="J84" s="83">
        <f t="shared" si="18"/>
        <v>-7.6293950002082056E-7</v>
      </c>
      <c r="K84" s="298" t="s">
        <v>108</v>
      </c>
      <c r="L84" s="142">
        <v>45796</v>
      </c>
      <c r="M84" s="142">
        <v>45785</v>
      </c>
      <c r="N84" s="142">
        <f t="shared" si="19"/>
        <v>45787</v>
      </c>
      <c r="O84" s="143">
        <f t="shared" ca="1" si="20"/>
        <v>11</v>
      </c>
      <c r="P84" s="142">
        <f t="shared" si="21"/>
        <v>45808</v>
      </c>
      <c r="Q84" s="142">
        <v>45807</v>
      </c>
      <c r="R84" s="143">
        <f t="shared" ca="1" si="22"/>
        <v>1</v>
      </c>
      <c r="S84" s="84">
        <v>45800</v>
      </c>
      <c r="T84" s="158"/>
    </row>
    <row r="85" spans="1:20" hidden="1">
      <c r="A85" s="19" t="s">
        <v>188</v>
      </c>
      <c r="B85" s="291">
        <v>84</v>
      </c>
      <c r="C85" s="322" t="s">
        <v>75</v>
      </c>
      <c r="D85" s="323" t="s">
        <v>840</v>
      </c>
      <c r="E85" s="140">
        <v>45865</v>
      </c>
      <c r="F85" s="138">
        <v>24.200000762939499</v>
      </c>
      <c r="G85" s="138">
        <v>24.2</v>
      </c>
      <c r="H85" s="138">
        <v>23</v>
      </c>
      <c r="I85" s="83">
        <f t="shared" si="17"/>
        <v>-9.9992752074768987E-3</v>
      </c>
      <c r="J85" s="83">
        <f t="shared" si="18"/>
        <v>7.6293950002082056E-7</v>
      </c>
      <c r="K85" s="298" t="s">
        <v>108</v>
      </c>
      <c r="L85" s="142">
        <v>45796</v>
      </c>
      <c r="M85" s="142">
        <v>45785</v>
      </c>
      <c r="N85" s="142">
        <f t="shared" si="19"/>
        <v>45787</v>
      </c>
      <c r="O85" s="143">
        <f t="shared" ca="1" si="20"/>
        <v>11</v>
      </c>
      <c r="P85" s="142">
        <f t="shared" si="21"/>
        <v>45808</v>
      </c>
      <c r="Q85" s="142">
        <v>45807</v>
      </c>
      <c r="R85" s="143">
        <f t="shared" ca="1" si="22"/>
        <v>1</v>
      </c>
      <c r="S85" s="84">
        <v>45800</v>
      </c>
      <c r="T85" s="158"/>
    </row>
    <row r="86" spans="1:20" hidden="1">
      <c r="A86" s="19" t="s">
        <v>188</v>
      </c>
      <c r="B86" s="291">
        <v>84</v>
      </c>
      <c r="C86" s="322" t="s">
        <v>857</v>
      </c>
      <c r="D86" s="323" t="s">
        <v>841</v>
      </c>
      <c r="E86" s="140">
        <v>45865</v>
      </c>
      <c r="F86" s="138">
        <v>29.600000381469702</v>
      </c>
      <c r="G86" s="138">
        <v>29.6</v>
      </c>
      <c r="H86" s="138">
        <v>28</v>
      </c>
      <c r="I86" s="83">
        <f t="shared" si="17"/>
        <v>0.12000036239621537</v>
      </c>
      <c r="J86" s="83">
        <f t="shared" si="18"/>
        <v>3.8146970027241878E-7</v>
      </c>
      <c r="K86" s="298" t="s">
        <v>108</v>
      </c>
      <c r="L86" s="142">
        <v>45796</v>
      </c>
      <c r="M86" s="142">
        <v>45785</v>
      </c>
      <c r="N86" s="142">
        <f t="shared" si="19"/>
        <v>45787</v>
      </c>
      <c r="O86" s="143">
        <f t="shared" ca="1" si="20"/>
        <v>11</v>
      </c>
      <c r="P86" s="142">
        <f t="shared" si="21"/>
        <v>45808</v>
      </c>
      <c r="Q86" s="142">
        <v>45807</v>
      </c>
      <c r="R86" s="143">
        <f t="shared" ca="1" si="22"/>
        <v>1</v>
      </c>
      <c r="S86" s="84">
        <v>45800</v>
      </c>
      <c r="T86" s="158"/>
    </row>
    <row r="87" spans="1:20" hidden="1">
      <c r="A87" s="19" t="s">
        <v>188</v>
      </c>
      <c r="B87" s="291">
        <v>84</v>
      </c>
      <c r="C87" s="322" t="s">
        <v>857</v>
      </c>
      <c r="D87" s="323" t="s">
        <v>840</v>
      </c>
      <c r="E87" s="140">
        <v>45865</v>
      </c>
      <c r="F87" s="138">
        <v>27.700000762939499</v>
      </c>
      <c r="G87" s="138">
        <v>27.7</v>
      </c>
      <c r="H87" s="138">
        <v>26</v>
      </c>
      <c r="I87" s="83">
        <f t="shared" si="17"/>
        <v>0.31500072479252239</v>
      </c>
      <c r="J87" s="83">
        <f t="shared" si="18"/>
        <v>7.6293950002082056E-7</v>
      </c>
      <c r="K87" s="298" t="s">
        <v>108</v>
      </c>
      <c r="L87" s="142">
        <v>45796</v>
      </c>
      <c r="M87" s="142">
        <v>45785</v>
      </c>
      <c r="N87" s="142">
        <f t="shared" si="19"/>
        <v>45787</v>
      </c>
      <c r="O87" s="143">
        <f t="shared" ca="1" si="20"/>
        <v>11</v>
      </c>
      <c r="P87" s="142">
        <f t="shared" si="21"/>
        <v>45808</v>
      </c>
      <c r="Q87" s="142">
        <v>45807</v>
      </c>
      <c r="R87" s="143">
        <f t="shared" ca="1" si="22"/>
        <v>1</v>
      </c>
      <c r="S87" s="84">
        <v>45800</v>
      </c>
      <c r="T87" s="158"/>
    </row>
    <row r="88" spans="1:20" hidden="1">
      <c r="A88" s="19" t="s">
        <v>188</v>
      </c>
      <c r="B88" s="291">
        <v>84</v>
      </c>
      <c r="C88" s="12" t="s">
        <v>93</v>
      </c>
      <c r="D88" s="313" t="s">
        <v>844</v>
      </c>
      <c r="E88" s="140">
        <v>45865</v>
      </c>
      <c r="F88" s="138">
        <v>232.19999694824199</v>
      </c>
      <c r="G88" s="138">
        <v>232.2</v>
      </c>
      <c r="H88" s="138">
        <v>221</v>
      </c>
      <c r="I88" s="83">
        <f t="shared" si="17"/>
        <v>-0.41000289917010946</v>
      </c>
      <c r="J88" s="83">
        <f t="shared" si="18"/>
        <v>-3.0517580000832822E-6</v>
      </c>
      <c r="K88" s="298" t="s">
        <v>890</v>
      </c>
      <c r="L88" s="142">
        <v>45796</v>
      </c>
      <c r="M88" s="142">
        <v>45798</v>
      </c>
      <c r="N88" s="142">
        <f t="shared" si="19"/>
        <v>45800</v>
      </c>
      <c r="O88" s="143">
        <f t="shared" ca="1" si="20"/>
        <v>-2</v>
      </c>
      <c r="P88" s="142">
        <f t="shared" si="21"/>
        <v>45808</v>
      </c>
      <c r="Q88" s="142">
        <v>45810</v>
      </c>
      <c r="R88" s="143">
        <f t="shared" ca="1" si="22"/>
        <v>-2</v>
      </c>
      <c r="S88" s="84">
        <v>45808</v>
      </c>
      <c r="T88" s="158"/>
    </row>
    <row r="89" spans="1:20" hidden="1">
      <c r="A89" s="19" t="s">
        <v>188</v>
      </c>
      <c r="B89" s="291">
        <v>84</v>
      </c>
      <c r="C89" s="12" t="s">
        <v>93</v>
      </c>
      <c r="D89" s="313" t="s">
        <v>843</v>
      </c>
      <c r="E89" s="140">
        <v>45865</v>
      </c>
      <c r="F89" s="138">
        <v>278.70001220703102</v>
      </c>
      <c r="G89" s="138">
        <v>278.7</v>
      </c>
      <c r="H89" s="138">
        <v>264</v>
      </c>
      <c r="I89" s="83">
        <f t="shared" si="17"/>
        <v>0.7650115966794715</v>
      </c>
      <c r="J89" s="83">
        <f t="shared" si="18"/>
        <v>1.2207031033995008E-5</v>
      </c>
      <c r="K89" s="298" t="s">
        <v>890</v>
      </c>
      <c r="L89" s="142">
        <v>45796</v>
      </c>
      <c r="M89" s="142">
        <v>45798</v>
      </c>
      <c r="N89" s="142">
        <f t="shared" si="19"/>
        <v>45800</v>
      </c>
      <c r="O89" s="143">
        <f t="shared" ca="1" si="20"/>
        <v>-2</v>
      </c>
      <c r="P89" s="142">
        <f t="shared" si="21"/>
        <v>45808</v>
      </c>
      <c r="Q89" s="142">
        <v>45810</v>
      </c>
      <c r="R89" s="143">
        <f t="shared" ca="1" si="22"/>
        <v>-2</v>
      </c>
      <c r="S89" s="84">
        <v>45808</v>
      </c>
      <c r="T89" s="158"/>
    </row>
    <row r="90" spans="1:20" hidden="1">
      <c r="A90" s="19" t="s">
        <v>188</v>
      </c>
      <c r="B90" s="291">
        <v>90</v>
      </c>
      <c r="C90" s="12" t="s">
        <v>79</v>
      </c>
      <c r="D90" s="313" t="s">
        <v>138</v>
      </c>
      <c r="E90" s="140">
        <v>45842</v>
      </c>
      <c r="F90" s="138">
        <v>11.3999996185303</v>
      </c>
      <c r="G90" s="138">
        <v>11.4</v>
      </c>
      <c r="H90" s="138">
        <v>11</v>
      </c>
      <c r="I90" s="83">
        <f t="shared" si="17"/>
        <v>-0.17000036239621608</v>
      </c>
      <c r="J90" s="83">
        <f t="shared" si="18"/>
        <v>-3.8146970027241878E-7</v>
      </c>
      <c r="K90" s="298" t="s">
        <v>108</v>
      </c>
      <c r="L90" s="142">
        <v>45784</v>
      </c>
      <c r="M90" s="142">
        <v>45785</v>
      </c>
      <c r="N90" s="142">
        <f t="shared" si="19"/>
        <v>45787</v>
      </c>
      <c r="O90" s="143">
        <f t="shared" ca="1" si="20"/>
        <v>-1</v>
      </c>
      <c r="P90" s="142">
        <f t="shared" si="21"/>
        <v>45796</v>
      </c>
      <c r="Q90" s="142">
        <v>45813</v>
      </c>
      <c r="R90" s="143">
        <f t="shared" ca="1" si="22"/>
        <v>-17</v>
      </c>
      <c r="S90" s="84">
        <v>45796</v>
      </c>
      <c r="T90" s="158"/>
    </row>
    <row r="91" spans="1:20" hidden="1">
      <c r="A91" s="19" t="s">
        <v>188</v>
      </c>
      <c r="B91" s="291">
        <v>90</v>
      </c>
      <c r="C91" s="12" t="s">
        <v>80</v>
      </c>
      <c r="D91" s="323" t="s">
        <v>146</v>
      </c>
      <c r="E91" s="140">
        <v>45842</v>
      </c>
      <c r="F91" s="138">
        <v>430.29998779296898</v>
      </c>
      <c r="G91" s="138">
        <v>430</v>
      </c>
      <c r="H91" s="138">
        <v>409</v>
      </c>
      <c r="I91" s="83">
        <f t="shared" si="17"/>
        <v>-0.21501159667951697</v>
      </c>
      <c r="J91" s="83">
        <f t="shared" si="18"/>
        <v>0.29998779296897737</v>
      </c>
      <c r="K91" s="140" t="s">
        <v>133</v>
      </c>
      <c r="L91" s="142">
        <v>45788</v>
      </c>
      <c r="M91" s="142">
        <v>45785</v>
      </c>
      <c r="N91" s="142">
        <f t="shared" si="19"/>
        <v>45787</v>
      </c>
      <c r="O91" s="143">
        <f t="shared" ca="1" si="20"/>
        <v>3</v>
      </c>
      <c r="P91" s="142">
        <f t="shared" si="21"/>
        <v>45800</v>
      </c>
      <c r="Q91" s="142">
        <v>45793</v>
      </c>
      <c r="R91" s="143">
        <f t="shared" ca="1" si="22"/>
        <v>7</v>
      </c>
      <c r="S91" s="84">
        <v>45797</v>
      </c>
      <c r="T91" s="158"/>
    </row>
    <row r="92" spans="1:20" hidden="1">
      <c r="A92" s="19" t="s">
        <v>188</v>
      </c>
      <c r="B92" s="291">
        <v>90</v>
      </c>
      <c r="C92" s="322" t="s">
        <v>75</v>
      </c>
      <c r="D92" s="323" t="s">
        <v>841</v>
      </c>
      <c r="E92" s="140">
        <v>45842</v>
      </c>
      <c r="F92" s="138">
        <v>8.3999996185302699</v>
      </c>
      <c r="G92" s="138">
        <v>8.4</v>
      </c>
      <c r="H92" s="138">
        <v>8</v>
      </c>
      <c r="I92" s="83">
        <f t="shared" si="17"/>
        <v>-2.0000362396244142E-2</v>
      </c>
      <c r="J92" s="83">
        <f t="shared" si="18"/>
        <v>-3.8146973047048505E-7</v>
      </c>
      <c r="K92" s="298" t="s">
        <v>108</v>
      </c>
      <c r="L92" s="142">
        <v>45796</v>
      </c>
      <c r="M92" s="142">
        <v>45785</v>
      </c>
      <c r="N92" s="142">
        <f t="shared" si="19"/>
        <v>45787</v>
      </c>
      <c r="O92" s="143">
        <f t="shared" ca="1" si="20"/>
        <v>11</v>
      </c>
      <c r="P92" s="142">
        <f t="shared" si="21"/>
        <v>45808</v>
      </c>
      <c r="Q92" s="142">
        <v>45807</v>
      </c>
      <c r="R92" s="143">
        <f t="shared" ca="1" si="22"/>
        <v>1</v>
      </c>
      <c r="S92" s="84">
        <v>45800</v>
      </c>
      <c r="T92" s="158"/>
    </row>
    <row r="93" spans="1:20" hidden="1">
      <c r="A93" s="19" t="s">
        <v>188</v>
      </c>
      <c r="B93" s="291">
        <v>90</v>
      </c>
      <c r="C93" s="322" t="s">
        <v>75</v>
      </c>
      <c r="D93" s="323" t="s">
        <v>840</v>
      </c>
      <c r="E93" s="140">
        <v>45842</v>
      </c>
      <c r="F93" s="138">
        <v>7.9000000953674299</v>
      </c>
      <c r="G93" s="138">
        <v>7.9</v>
      </c>
      <c r="H93" s="138">
        <v>8</v>
      </c>
      <c r="I93" s="83">
        <f t="shared" si="17"/>
        <v>-0.49499990940094207</v>
      </c>
      <c r="J93" s="83">
        <f t="shared" si="18"/>
        <v>9.5367429508996793E-8</v>
      </c>
      <c r="K93" s="298" t="s">
        <v>108</v>
      </c>
      <c r="L93" s="142">
        <v>45796</v>
      </c>
      <c r="M93" s="142">
        <v>45785</v>
      </c>
      <c r="N93" s="142">
        <f t="shared" si="19"/>
        <v>45787</v>
      </c>
      <c r="O93" s="143">
        <f t="shared" ca="1" si="20"/>
        <v>11</v>
      </c>
      <c r="P93" s="142">
        <f t="shared" si="21"/>
        <v>45808</v>
      </c>
      <c r="Q93" s="142">
        <v>45807</v>
      </c>
      <c r="R93" s="143">
        <f t="shared" ca="1" si="22"/>
        <v>1</v>
      </c>
      <c r="S93" s="84">
        <v>45800</v>
      </c>
      <c r="T93" s="158"/>
    </row>
    <row r="94" spans="1:20" hidden="1">
      <c r="A94" s="19" t="s">
        <v>188</v>
      </c>
      <c r="B94" s="291">
        <v>90</v>
      </c>
      <c r="C94" s="322" t="s">
        <v>857</v>
      </c>
      <c r="D94" s="323" t="s">
        <v>841</v>
      </c>
      <c r="E94" s="140">
        <v>45842</v>
      </c>
      <c r="F94" s="138">
        <v>9.6999998092651403</v>
      </c>
      <c r="G94" s="138">
        <v>9.6999999999999993</v>
      </c>
      <c r="H94" s="138">
        <v>9</v>
      </c>
      <c r="I94" s="83">
        <f t="shared" si="17"/>
        <v>0.21499981880188201</v>
      </c>
      <c r="J94" s="83">
        <f t="shared" si="18"/>
        <v>-1.9073485901799359E-7</v>
      </c>
      <c r="K94" s="298" t="s">
        <v>108</v>
      </c>
      <c r="L94" s="142">
        <v>45796</v>
      </c>
      <c r="M94" s="142">
        <v>45785</v>
      </c>
      <c r="N94" s="142">
        <f t="shared" si="19"/>
        <v>45787</v>
      </c>
      <c r="O94" s="143">
        <f t="shared" ca="1" si="20"/>
        <v>11</v>
      </c>
      <c r="P94" s="142">
        <f t="shared" si="21"/>
        <v>45808</v>
      </c>
      <c r="Q94" s="142">
        <v>45807</v>
      </c>
      <c r="R94" s="143">
        <f t="shared" ca="1" si="22"/>
        <v>1</v>
      </c>
      <c r="S94" s="84">
        <v>45800</v>
      </c>
      <c r="T94" s="158"/>
    </row>
    <row r="95" spans="1:20" hidden="1">
      <c r="A95" s="19" t="s">
        <v>188</v>
      </c>
      <c r="B95" s="291">
        <v>90</v>
      </c>
      <c r="C95" s="322" t="s">
        <v>857</v>
      </c>
      <c r="D95" s="323" t="s">
        <v>840</v>
      </c>
      <c r="E95" s="140">
        <v>45842</v>
      </c>
      <c r="F95" s="138">
        <v>9</v>
      </c>
      <c r="G95" s="138">
        <v>9</v>
      </c>
      <c r="H95" s="138">
        <v>9</v>
      </c>
      <c r="I95" s="83">
        <f t="shared" si="17"/>
        <v>-0.45000000000000107</v>
      </c>
      <c r="J95" s="83">
        <f t="shared" si="18"/>
        <v>0</v>
      </c>
      <c r="K95" s="298" t="s">
        <v>108</v>
      </c>
      <c r="L95" s="142">
        <v>45796</v>
      </c>
      <c r="M95" s="142">
        <v>45785</v>
      </c>
      <c r="N95" s="142">
        <f t="shared" si="19"/>
        <v>45787</v>
      </c>
      <c r="O95" s="143">
        <f t="shared" ca="1" si="20"/>
        <v>11</v>
      </c>
      <c r="P95" s="142">
        <f t="shared" si="21"/>
        <v>45808</v>
      </c>
      <c r="Q95" s="142">
        <v>45807</v>
      </c>
      <c r="R95" s="143">
        <f t="shared" ca="1" si="22"/>
        <v>1</v>
      </c>
      <c r="S95" s="84">
        <v>45800</v>
      </c>
      <c r="T95" s="158"/>
    </row>
    <row r="96" spans="1:20" hidden="1">
      <c r="A96" s="19" t="s">
        <v>188</v>
      </c>
      <c r="B96" s="291">
        <v>90</v>
      </c>
      <c r="C96" s="12" t="s">
        <v>93</v>
      </c>
      <c r="D96" s="313" t="s">
        <v>844</v>
      </c>
      <c r="E96" s="140">
        <v>45842</v>
      </c>
      <c r="F96" s="138">
        <v>170.60000610351599</v>
      </c>
      <c r="G96" s="138">
        <v>170.6</v>
      </c>
      <c r="H96" s="138">
        <v>162</v>
      </c>
      <c r="I96" s="83">
        <f t="shared" si="17"/>
        <v>7.0005798340190495E-2</v>
      </c>
      <c r="J96" s="83">
        <f t="shared" si="18"/>
        <v>6.1035160001665645E-6</v>
      </c>
      <c r="K96" s="298" t="s">
        <v>142</v>
      </c>
      <c r="L96" s="142">
        <v>45796</v>
      </c>
      <c r="M96" s="142">
        <v>45798</v>
      </c>
      <c r="N96" s="142">
        <f t="shared" si="19"/>
        <v>45800</v>
      </c>
      <c r="O96" s="143">
        <f t="shared" ca="1" si="20"/>
        <v>-2</v>
      </c>
      <c r="P96" s="142">
        <f t="shared" si="21"/>
        <v>45808</v>
      </c>
      <c r="Q96" s="142">
        <v>45813</v>
      </c>
      <c r="R96" s="143">
        <f t="shared" ca="1" si="22"/>
        <v>-5</v>
      </c>
      <c r="S96" s="327">
        <v>45810</v>
      </c>
      <c r="T96" s="158" t="s">
        <v>906</v>
      </c>
    </row>
    <row r="97" spans="1:20" hidden="1">
      <c r="A97" s="19" t="s">
        <v>188</v>
      </c>
      <c r="B97" s="291">
        <v>90</v>
      </c>
      <c r="C97" s="12" t="s">
        <v>93</v>
      </c>
      <c r="D97" s="313" t="s">
        <v>843</v>
      </c>
      <c r="E97" s="140">
        <v>45842</v>
      </c>
      <c r="F97" s="138">
        <v>204.69999694824199</v>
      </c>
      <c r="G97" s="138">
        <v>204</v>
      </c>
      <c r="H97" s="138">
        <v>194</v>
      </c>
      <c r="I97" s="83">
        <f t="shared" si="17"/>
        <v>0.46499710082989054</v>
      </c>
      <c r="J97" s="83">
        <f t="shared" si="18"/>
        <v>0.69999694824198855</v>
      </c>
      <c r="K97" s="298" t="s">
        <v>142</v>
      </c>
      <c r="L97" s="142">
        <v>45796</v>
      </c>
      <c r="M97" s="142">
        <v>45798</v>
      </c>
      <c r="N97" s="142">
        <f t="shared" si="19"/>
        <v>45800</v>
      </c>
      <c r="O97" s="143">
        <f t="shared" ca="1" si="20"/>
        <v>-2</v>
      </c>
      <c r="P97" s="142">
        <f t="shared" si="21"/>
        <v>45808</v>
      </c>
      <c r="Q97" s="142">
        <v>45811</v>
      </c>
      <c r="R97" s="143">
        <f t="shared" ca="1" si="22"/>
        <v>-3</v>
      </c>
      <c r="S97" s="84">
        <v>45813</v>
      </c>
      <c r="T97" s="158" t="s">
        <v>906</v>
      </c>
    </row>
    <row r="98" spans="1:20" hidden="1">
      <c r="A98" s="19" t="s">
        <v>188</v>
      </c>
      <c r="B98" s="291">
        <v>110</v>
      </c>
      <c r="C98" s="12" t="s">
        <v>77</v>
      </c>
      <c r="D98" s="323" t="s">
        <v>149</v>
      </c>
      <c r="E98" s="140">
        <v>45842</v>
      </c>
      <c r="F98" s="138">
        <v>408.20001220703102</v>
      </c>
      <c r="G98" s="138">
        <v>408</v>
      </c>
      <c r="H98" s="138">
        <v>388</v>
      </c>
      <c r="I98" s="83">
        <f t="shared" si="17"/>
        <v>-0.20998840332055124</v>
      </c>
      <c r="J98" s="83">
        <f t="shared" si="18"/>
        <v>0.20001220703102263</v>
      </c>
      <c r="K98" s="298" t="s">
        <v>890</v>
      </c>
      <c r="L98" s="142">
        <v>45784</v>
      </c>
      <c r="M98" s="142">
        <v>45784</v>
      </c>
      <c r="N98" s="142">
        <f t="shared" si="19"/>
        <v>45786</v>
      </c>
      <c r="O98" s="143">
        <f t="shared" ca="1" si="20"/>
        <v>0</v>
      </c>
      <c r="P98" s="142">
        <f t="shared" si="21"/>
        <v>45796</v>
      </c>
      <c r="Q98" s="142">
        <v>45798</v>
      </c>
      <c r="R98" s="143">
        <f t="shared" ca="1" si="22"/>
        <v>-2</v>
      </c>
      <c r="S98" s="84">
        <v>45797</v>
      </c>
      <c r="T98" s="158"/>
    </row>
    <row r="99" spans="1:20" hidden="1">
      <c r="A99" s="19" t="s">
        <v>188</v>
      </c>
      <c r="B99" s="291">
        <v>110</v>
      </c>
      <c r="C99" s="12" t="s">
        <v>77</v>
      </c>
      <c r="D99" s="323" t="s">
        <v>150</v>
      </c>
      <c r="E99" s="140">
        <v>45842</v>
      </c>
      <c r="F99" s="138">
        <v>408.20001220703102</v>
      </c>
      <c r="G99" s="138">
        <v>408</v>
      </c>
      <c r="H99" s="138">
        <v>388</v>
      </c>
      <c r="I99" s="83">
        <f t="shared" si="17"/>
        <v>-0.20998840332055124</v>
      </c>
      <c r="J99" s="83">
        <f t="shared" si="18"/>
        <v>0.20001220703102263</v>
      </c>
      <c r="K99" s="298" t="s">
        <v>890</v>
      </c>
      <c r="L99" s="142">
        <v>45784</v>
      </c>
      <c r="M99" s="142">
        <v>45784</v>
      </c>
      <c r="N99" s="142">
        <f t="shared" si="19"/>
        <v>45786</v>
      </c>
      <c r="O99" s="143">
        <f t="shared" ca="1" si="20"/>
        <v>0</v>
      </c>
      <c r="P99" s="142">
        <f t="shared" si="21"/>
        <v>45796</v>
      </c>
      <c r="Q99" s="142">
        <v>45798</v>
      </c>
      <c r="R99" s="143">
        <f t="shared" ca="1" si="22"/>
        <v>-2</v>
      </c>
      <c r="S99" s="84">
        <v>45797</v>
      </c>
      <c r="T99" s="158"/>
    </row>
    <row r="100" spans="1:20" hidden="1">
      <c r="A100" s="19" t="s">
        <v>188</v>
      </c>
      <c r="B100" s="291">
        <v>110</v>
      </c>
      <c r="C100" s="12" t="s">
        <v>77</v>
      </c>
      <c r="D100" s="323" t="s">
        <v>151</v>
      </c>
      <c r="E100" s="140">
        <v>45842</v>
      </c>
      <c r="F100" s="138">
        <v>144.10000610351599</v>
      </c>
      <c r="G100" s="138">
        <v>144</v>
      </c>
      <c r="H100" s="138">
        <v>137</v>
      </c>
      <c r="I100" s="83">
        <f t="shared" ref="I100:I131" si="23">F100*95%-H100</f>
        <v>-0.10499420165982087</v>
      </c>
      <c r="J100" s="83">
        <f t="shared" ref="J100:J131" si="24">F100-G100</f>
        <v>0.10000610351599448</v>
      </c>
      <c r="K100" s="298" t="s">
        <v>890</v>
      </c>
      <c r="L100" s="142">
        <v>45784</v>
      </c>
      <c r="M100" s="142">
        <v>45784</v>
      </c>
      <c r="N100" s="142">
        <f t="shared" ref="N100:N131" si="25">M100+2</f>
        <v>45786</v>
      </c>
      <c r="O100" s="143">
        <f t="shared" ref="O100:O131" ca="1" si="26">+IF(M100="",L100-TODAY(),L100-M100)</f>
        <v>0</v>
      </c>
      <c r="P100" s="142">
        <f t="shared" ref="P100:P131" si="27">L100+12</f>
        <v>45796</v>
      </c>
      <c r="Q100" s="142">
        <v>45798</v>
      </c>
      <c r="R100" s="143">
        <f t="shared" ref="R100:R131" ca="1" si="28">+IF(Q100="",P100-TODAY(),P100-Q100)</f>
        <v>-2</v>
      </c>
      <c r="S100" s="84">
        <v>45797</v>
      </c>
      <c r="T100" s="158"/>
    </row>
    <row r="101" spans="1:20" hidden="1">
      <c r="A101" s="19" t="s">
        <v>188</v>
      </c>
      <c r="B101" s="291">
        <v>110</v>
      </c>
      <c r="C101" s="12" t="s">
        <v>77</v>
      </c>
      <c r="D101" s="323" t="s">
        <v>152</v>
      </c>
      <c r="E101" s="140">
        <v>45842</v>
      </c>
      <c r="F101" s="138">
        <v>72.099998474121094</v>
      </c>
      <c r="G101" s="138">
        <v>72</v>
      </c>
      <c r="H101" s="138">
        <v>68</v>
      </c>
      <c r="I101" s="83">
        <f t="shared" si="23"/>
        <v>0.49499855041503338</v>
      </c>
      <c r="J101" s="83">
        <f t="shared" si="24"/>
        <v>9.999847412109375E-2</v>
      </c>
      <c r="K101" s="298" t="s">
        <v>890</v>
      </c>
      <c r="L101" s="142">
        <v>45784</v>
      </c>
      <c r="M101" s="142">
        <v>45784</v>
      </c>
      <c r="N101" s="142">
        <f t="shared" si="25"/>
        <v>45786</v>
      </c>
      <c r="O101" s="143">
        <f t="shared" ca="1" si="26"/>
        <v>0</v>
      </c>
      <c r="P101" s="142">
        <f t="shared" si="27"/>
        <v>45796</v>
      </c>
      <c r="Q101" s="142">
        <v>45798</v>
      </c>
      <c r="R101" s="143">
        <f t="shared" ca="1" si="28"/>
        <v>-2</v>
      </c>
      <c r="S101" s="84">
        <v>45797</v>
      </c>
      <c r="T101" s="158"/>
    </row>
    <row r="102" spans="1:20" hidden="1">
      <c r="A102" s="19" t="s">
        <v>188</v>
      </c>
      <c r="B102" s="291">
        <v>110</v>
      </c>
      <c r="C102" s="12" t="s">
        <v>77</v>
      </c>
      <c r="D102" s="323" t="s">
        <v>153</v>
      </c>
      <c r="E102" s="140">
        <v>45842</v>
      </c>
      <c r="F102" s="138">
        <v>408.20001220703102</v>
      </c>
      <c r="G102" s="138">
        <v>408</v>
      </c>
      <c r="H102" s="138">
        <v>388</v>
      </c>
      <c r="I102" s="83">
        <f t="shared" si="23"/>
        <v>-0.20998840332055124</v>
      </c>
      <c r="J102" s="83">
        <f t="shared" si="24"/>
        <v>0.20001220703102263</v>
      </c>
      <c r="K102" s="298" t="s">
        <v>890</v>
      </c>
      <c r="L102" s="142">
        <v>45784</v>
      </c>
      <c r="M102" s="142">
        <v>45784</v>
      </c>
      <c r="N102" s="142">
        <f t="shared" si="25"/>
        <v>45786</v>
      </c>
      <c r="O102" s="143">
        <f t="shared" ca="1" si="26"/>
        <v>0</v>
      </c>
      <c r="P102" s="142">
        <f t="shared" si="27"/>
        <v>45796</v>
      </c>
      <c r="Q102" s="142">
        <v>45798</v>
      </c>
      <c r="R102" s="143">
        <f t="shared" ca="1" si="28"/>
        <v>-2</v>
      </c>
      <c r="S102" s="84">
        <v>45797</v>
      </c>
      <c r="T102" s="158"/>
    </row>
    <row r="103" spans="1:20" hidden="1">
      <c r="A103" s="19" t="s">
        <v>188</v>
      </c>
      <c r="B103" s="291">
        <v>110</v>
      </c>
      <c r="C103" s="12" t="s">
        <v>78</v>
      </c>
      <c r="D103" s="323" t="s">
        <v>149</v>
      </c>
      <c r="E103" s="140">
        <v>45842</v>
      </c>
      <c r="F103" s="138">
        <v>2.2999999523162802</v>
      </c>
      <c r="G103" s="138">
        <v>2.2999999999999998</v>
      </c>
      <c r="H103" s="138">
        <v>2</v>
      </c>
      <c r="I103" s="83">
        <f t="shared" si="23"/>
        <v>0.18499995470046615</v>
      </c>
      <c r="J103" s="83">
        <f t="shared" si="24"/>
        <v>-4.7683719639479705E-8</v>
      </c>
      <c r="K103" s="298" t="s">
        <v>890</v>
      </c>
      <c r="L103" s="142">
        <v>45784</v>
      </c>
      <c r="M103" s="142">
        <v>45784</v>
      </c>
      <c r="N103" s="142">
        <f t="shared" si="25"/>
        <v>45786</v>
      </c>
      <c r="O103" s="143">
        <f t="shared" ca="1" si="26"/>
        <v>0</v>
      </c>
      <c r="P103" s="142">
        <f t="shared" si="27"/>
        <v>45796</v>
      </c>
      <c r="Q103" s="142">
        <v>45798</v>
      </c>
      <c r="R103" s="143">
        <f t="shared" ca="1" si="28"/>
        <v>-2</v>
      </c>
      <c r="S103" s="84">
        <v>45797</v>
      </c>
      <c r="T103" s="158"/>
    </row>
    <row r="104" spans="1:20" hidden="1">
      <c r="A104" s="19" t="s">
        <v>188</v>
      </c>
      <c r="B104" s="291">
        <v>110</v>
      </c>
      <c r="C104" s="12" t="s">
        <v>78</v>
      </c>
      <c r="D104" s="323" t="s">
        <v>150</v>
      </c>
      <c r="E104" s="140">
        <v>45842</v>
      </c>
      <c r="F104" s="138">
        <v>2.2999999523162802</v>
      </c>
      <c r="G104" s="138">
        <v>2.2999999999999998</v>
      </c>
      <c r="H104" s="138">
        <v>2</v>
      </c>
      <c r="I104" s="83">
        <f t="shared" si="23"/>
        <v>0.18499995470046615</v>
      </c>
      <c r="J104" s="83">
        <f t="shared" si="24"/>
        <v>-4.7683719639479705E-8</v>
      </c>
      <c r="K104" s="298" t="s">
        <v>890</v>
      </c>
      <c r="L104" s="142">
        <v>45784</v>
      </c>
      <c r="M104" s="142">
        <v>45784</v>
      </c>
      <c r="N104" s="142">
        <f t="shared" si="25"/>
        <v>45786</v>
      </c>
      <c r="O104" s="143">
        <f t="shared" ca="1" si="26"/>
        <v>0</v>
      </c>
      <c r="P104" s="142">
        <f t="shared" si="27"/>
        <v>45796</v>
      </c>
      <c r="Q104" s="142">
        <v>45798</v>
      </c>
      <c r="R104" s="143">
        <f t="shared" ca="1" si="28"/>
        <v>-2</v>
      </c>
      <c r="S104" s="84">
        <v>45797</v>
      </c>
      <c r="T104" s="158"/>
    </row>
    <row r="105" spans="1:20" hidden="1">
      <c r="A105" s="19" t="s">
        <v>188</v>
      </c>
      <c r="B105" s="291">
        <v>110</v>
      </c>
      <c r="C105" s="12" t="s">
        <v>78</v>
      </c>
      <c r="D105" s="323" t="s">
        <v>153</v>
      </c>
      <c r="E105" s="140">
        <v>45842</v>
      </c>
      <c r="F105" s="138">
        <v>2.2999999523162802</v>
      </c>
      <c r="G105" s="138">
        <v>2.2999999999999998</v>
      </c>
      <c r="H105" s="138">
        <v>2</v>
      </c>
      <c r="I105" s="83">
        <f t="shared" si="23"/>
        <v>0.18499995470046615</v>
      </c>
      <c r="J105" s="83">
        <f t="shared" si="24"/>
        <v>-4.7683719639479705E-8</v>
      </c>
      <c r="K105" s="298" t="s">
        <v>890</v>
      </c>
      <c r="L105" s="142">
        <v>45784</v>
      </c>
      <c r="M105" s="142">
        <v>45784</v>
      </c>
      <c r="N105" s="142">
        <f t="shared" si="25"/>
        <v>45786</v>
      </c>
      <c r="O105" s="143">
        <f t="shared" ca="1" si="26"/>
        <v>0</v>
      </c>
      <c r="P105" s="142">
        <f t="shared" si="27"/>
        <v>45796</v>
      </c>
      <c r="Q105" s="142">
        <v>45798</v>
      </c>
      <c r="R105" s="143">
        <f t="shared" ca="1" si="28"/>
        <v>-2</v>
      </c>
      <c r="S105" s="84">
        <v>45797</v>
      </c>
      <c r="T105" s="158"/>
    </row>
    <row r="106" spans="1:20" hidden="1">
      <c r="A106" s="19" t="s">
        <v>188</v>
      </c>
      <c r="B106" s="291">
        <v>91</v>
      </c>
      <c r="C106" s="12" t="s">
        <v>80</v>
      </c>
      <c r="D106" s="323" t="s">
        <v>146</v>
      </c>
      <c r="E106" s="140">
        <v>45842</v>
      </c>
      <c r="F106" s="138">
        <v>389.60000610351602</v>
      </c>
      <c r="G106" s="138">
        <v>389.6</v>
      </c>
      <c r="H106" s="138">
        <v>370</v>
      </c>
      <c r="I106" s="83">
        <f t="shared" si="23"/>
        <v>0.12000579834023029</v>
      </c>
      <c r="J106" s="83">
        <f t="shared" si="24"/>
        <v>6.1035160001665645E-6</v>
      </c>
      <c r="K106" s="140" t="s">
        <v>133</v>
      </c>
      <c r="L106" s="142">
        <v>45788</v>
      </c>
      <c r="M106" s="142">
        <v>45785</v>
      </c>
      <c r="N106" s="142">
        <f t="shared" si="25"/>
        <v>45787</v>
      </c>
      <c r="O106" s="143">
        <f t="shared" ca="1" si="26"/>
        <v>3</v>
      </c>
      <c r="P106" s="142">
        <f t="shared" si="27"/>
        <v>45800</v>
      </c>
      <c r="Q106" s="142">
        <v>45793</v>
      </c>
      <c r="R106" s="143">
        <f t="shared" ca="1" si="28"/>
        <v>7</v>
      </c>
      <c r="S106" s="84">
        <v>45797</v>
      </c>
      <c r="T106" s="158"/>
    </row>
    <row r="107" spans="1:20" hidden="1">
      <c r="A107" s="19" t="s">
        <v>188</v>
      </c>
      <c r="B107" s="291">
        <v>92</v>
      </c>
      <c r="C107" s="12" t="s">
        <v>80</v>
      </c>
      <c r="D107" s="323" t="s">
        <v>146</v>
      </c>
      <c r="E107" s="140">
        <v>45856</v>
      </c>
      <c r="F107" s="138">
        <v>306.89999389648398</v>
      </c>
      <c r="G107" s="138">
        <v>306.89999999999998</v>
      </c>
      <c r="H107" s="138">
        <v>292</v>
      </c>
      <c r="I107" s="83">
        <f t="shared" si="23"/>
        <v>-0.44500579834021892</v>
      </c>
      <c r="J107" s="83">
        <f t="shared" si="24"/>
        <v>-6.1035160001665645E-6</v>
      </c>
      <c r="K107" s="140" t="s">
        <v>133</v>
      </c>
      <c r="L107" s="142">
        <v>45788</v>
      </c>
      <c r="M107" s="142">
        <v>45785</v>
      </c>
      <c r="N107" s="142">
        <f t="shared" si="25"/>
        <v>45787</v>
      </c>
      <c r="O107" s="143">
        <f t="shared" ca="1" si="26"/>
        <v>3</v>
      </c>
      <c r="P107" s="142">
        <f t="shared" si="27"/>
        <v>45800</v>
      </c>
      <c r="Q107" s="142">
        <v>45793</v>
      </c>
      <c r="R107" s="143">
        <f t="shared" ca="1" si="28"/>
        <v>7</v>
      </c>
      <c r="S107" s="84">
        <v>45797</v>
      </c>
      <c r="T107" s="158"/>
    </row>
    <row r="108" spans="1:20" hidden="1">
      <c r="A108" s="19" t="s">
        <v>188</v>
      </c>
      <c r="B108" s="291">
        <v>92</v>
      </c>
      <c r="C108" s="322" t="s">
        <v>75</v>
      </c>
      <c r="D108" s="323" t="s">
        <v>841</v>
      </c>
      <c r="E108" s="140">
        <v>45856</v>
      </c>
      <c r="F108" s="138">
        <v>75.699996948242202</v>
      </c>
      <c r="G108" s="138">
        <v>75.7</v>
      </c>
      <c r="H108" s="138">
        <v>72</v>
      </c>
      <c r="I108" s="83">
        <f t="shared" si="23"/>
        <v>-8.5002899169907664E-2</v>
      </c>
      <c r="J108" s="83">
        <f t="shared" si="24"/>
        <v>-3.0517578011313162E-6</v>
      </c>
      <c r="K108" s="298" t="s">
        <v>108</v>
      </c>
      <c r="L108" s="142">
        <v>45796</v>
      </c>
      <c r="M108" s="142">
        <v>45785</v>
      </c>
      <c r="N108" s="142">
        <f t="shared" si="25"/>
        <v>45787</v>
      </c>
      <c r="O108" s="143">
        <f t="shared" ca="1" si="26"/>
        <v>11</v>
      </c>
      <c r="P108" s="142">
        <f t="shared" si="27"/>
        <v>45808</v>
      </c>
      <c r="Q108" s="142">
        <v>45807</v>
      </c>
      <c r="R108" s="143">
        <f t="shared" ca="1" si="28"/>
        <v>1</v>
      </c>
      <c r="S108" s="84">
        <v>45800</v>
      </c>
      <c r="T108" s="158"/>
    </row>
    <row r="109" spans="1:20" hidden="1">
      <c r="A109" s="19" t="s">
        <v>188</v>
      </c>
      <c r="B109" s="291">
        <v>92</v>
      </c>
      <c r="C109" s="322" t="s">
        <v>75</v>
      </c>
      <c r="D109" s="323" t="s">
        <v>840</v>
      </c>
      <c r="E109" s="140">
        <v>45856</v>
      </c>
      <c r="F109" s="138">
        <v>70.900001525878906</v>
      </c>
      <c r="G109" s="138">
        <v>70.900000000000006</v>
      </c>
      <c r="H109" s="138">
        <v>67</v>
      </c>
      <c r="I109" s="83">
        <f t="shared" si="23"/>
        <v>0.35500144958496094</v>
      </c>
      <c r="J109" s="83">
        <f t="shared" si="24"/>
        <v>1.5258789005656581E-6</v>
      </c>
      <c r="K109" s="298" t="s">
        <v>108</v>
      </c>
      <c r="L109" s="142">
        <v>45796</v>
      </c>
      <c r="M109" s="142">
        <v>45785</v>
      </c>
      <c r="N109" s="142">
        <f t="shared" si="25"/>
        <v>45787</v>
      </c>
      <c r="O109" s="143">
        <f t="shared" ca="1" si="26"/>
        <v>11</v>
      </c>
      <c r="P109" s="142">
        <f t="shared" si="27"/>
        <v>45808</v>
      </c>
      <c r="Q109" s="142">
        <v>45807</v>
      </c>
      <c r="R109" s="143">
        <f t="shared" ca="1" si="28"/>
        <v>1</v>
      </c>
      <c r="S109" s="84">
        <v>45800</v>
      </c>
      <c r="T109" s="158"/>
    </row>
    <row r="110" spans="1:20" hidden="1">
      <c r="A110" s="19" t="s">
        <v>188</v>
      </c>
      <c r="B110" s="291">
        <v>92</v>
      </c>
      <c r="C110" s="322" t="s">
        <v>857</v>
      </c>
      <c r="D110" s="323" t="s">
        <v>841</v>
      </c>
      <c r="E110" s="140">
        <v>45856</v>
      </c>
      <c r="F110" s="138">
        <v>86.900001525878906</v>
      </c>
      <c r="G110" s="138">
        <v>86.9</v>
      </c>
      <c r="H110" s="138">
        <v>83</v>
      </c>
      <c r="I110" s="83">
        <f t="shared" si="23"/>
        <v>-0.44499855041503622</v>
      </c>
      <c r="J110" s="83">
        <f t="shared" si="24"/>
        <v>1.5258789005656581E-6</v>
      </c>
      <c r="K110" s="298" t="s">
        <v>108</v>
      </c>
      <c r="L110" s="142">
        <v>45796</v>
      </c>
      <c r="M110" s="142">
        <v>45785</v>
      </c>
      <c r="N110" s="142">
        <f t="shared" si="25"/>
        <v>45787</v>
      </c>
      <c r="O110" s="143">
        <f t="shared" ca="1" si="26"/>
        <v>11</v>
      </c>
      <c r="P110" s="142">
        <f t="shared" si="27"/>
        <v>45808</v>
      </c>
      <c r="Q110" s="142">
        <v>45807</v>
      </c>
      <c r="R110" s="143">
        <f t="shared" ca="1" si="28"/>
        <v>1</v>
      </c>
      <c r="S110" s="84">
        <v>45800</v>
      </c>
      <c r="T110" s="158"/>
    </row>
    <row r="111" spans="1:20" hidden="1">
      <c r="A111" s="19" t="s">
        <v>188</v>
      </c>
      <c r="B111" s="291">
        <v>92</v>
      </c>
      <c r="C111" s="322" t="s">
        <v>857</v>
      </c>
      <c r="D111" s="323" t="s">
        <v>840</v>
      </c>
      <c r="E111" s="140">
        <v>45856</v>
      </c>
      <c r="F111" s="138">
        <v>81.300003051757798</v>
      </c>
      <c r="G111" s="138">
        <v>81.3</v>
      </c>
      <c r="H111" s="138">
        <v>77</v>
      </c>
      <c r="I111" s="83">
        <f t="shared" si="23"/>
        <v>0.23500289916989914</v>
      </c>
      <c r="J111" s="83">
        <f t="shared" si="24"/>
        <v>3.0517578011313162E-6</v>
      </c>
      <c r="K111" s="298" t="s">
        <v>108</v>
      </c>
      <c r="L111" s="142">
        <v>45796</v>
      </c>
      <c r="M111" s="142">
        <v>45785</v>
      </c>
      <c r="N111" s="142">
        <f t="shared" si="25"/>
        <v>45787</v>
      </c>
      <c r="O111" s="143">
        <f t="shared" ca="1" si="26"/>
        <v>11</v>
      </c>
      <c r="P111" s="142">
        <f t="shared" si="27"/>
        <v>45808</v>
      </c>
      <c r="Q111" s="142">
        <v>45807</v>
      </c>
      <c r="R111" s="143">
        <f t="shared" ca="1" si="28"/>
        <v>1</v>
      </c>
      <c r="S111" s="84">
        <v>45800</v>
      </c>
      <c r="T111" s="158"/>
    </row>
    <row r="112" spans="1:20" hidden="1">
      <c r="A112" s="19" t="s">
        <v>188</v>
      </c>
      <c r="B112" s="291">
        <v>93</v>
      </c>
      <c r="C112" s="12" t="s">
        <v>78</v>
      </c>
      <c r="D112" s="313" t="s">
        <v>146</v>
      </c>
      <c r="E112" s="140">
        <v>45849</v>
      </c>
      <c r="F112" s="138">
        <v>5.5999999046325701</v>
      </c>
      <c r="G112" s="138">
        <v>5.6</v>
      </c>
      <c r="H112" s="138">
        <v>5</v>
      </c>
      <c r="I112" s="83">
        <f t="shared" si="23"/>
        <v>0.31999990940094136</v>
      </c>
      <c r="J112" s="83">
        <f t="shared" si="24"/>
        <v>-9.5367429508996793E-8</v>
      </c>
      <c r="K112" s="298" t="s">
        <v>108</v>
      </c>
      <c r="L112" s="142">
        <v>45784</v>
      </c>
      <c r="M112" s="142">
        <v>45785</v>
      </c>
      <c r="N112" s="142">
        <f t="shared" si="25"/>
        <v>45787</v>
      </c>
      <c r="O112" s="143">
        <f t="shared" ca="1" si="26"/>
        <v>-1</v>
      </c>
      <c r="P112" s="142">
        <f t="shared" si="27"/>
        <v>45796</v>
      </c>
      <c r="Q112" s="142">
        <v>45822</v>
      </c>
      <c r="R112" s="143">
        <f t="shared" ca="1" si="28"/>
        <v>-26</v>
      </c>
      <c r="S112" s="84">
        <v>45796</v>
      </c>
      <c r="T112" s="158"/>
    </row>
    <row r="113" spans="1:20" hidden="1">
      <c r="A113" s="19" t="s">
        <v>188</v>
      </c>
      <c r="B113" s="291">
        <v>93</v>
      </c>
      <c r="C113" s="12" t="s">
        <v>80</v>
      </c>
      <c r="D113" s="323" t="s">
        <v>146</v>
      </c>
      <c r="E113" s="140">
        <v>45849</v>
      </c>
      <c r="F113" s="138">
        <v>500</v>
      </c>
      <c r="G113" s="138">
        <v>500</v>
      </c>
      <c r="H113" s="138">
        <v>475</v>
      </c>
      <c r="I113" s="83">
        <f t="shared" si="23"/>
        <v>0</v>
      </c>
      <c r="J113" s="83">
        <f t="shared" si="24"/>
        <v>0</v>
      </c>
      <c r="K113" s="140" t="s">
        <v>133</v>
      </c>
      <c r="L113" s="142">
        <v>45788</v>
      </c>
      <c r="M113" s="142">
        <v>45785</v>
      </c>
      <c r="N113" s="142">
        <f t="shared" si="25"/>
        <v>45787</v>
      </c>
      <c r="O113" s="143">
        <f t="shared" ca="1" si="26"/>
        <v>3</v>
      </c>
      <c r="P113" s="142">
        <f t="shared" si="27"/>
        <v>45800</v>
      </c>
      <c r="Q113" s="142">
        <v>45794</v>
      </c>
      <c r="R113" s="143">
        <f t="shared" ca="1" si="28"/>
        <v>6</v>
      </c>
      <c r="S113" s="84">
        <v>45797</v>
      </c>
      <c r="T113" s="158"/>
    </row>
    <row r="114" spans="1:20" hidden="1">
      <c r="A114" s="19" t="s">
        <v>188</v>
      </c>
      <c r="B114" s="291">
        <v>93</v>
      </c>
      <c r="C114" s="322" t="s">
        <v>75</v>
      </c>
      <c r="D114" s="323" t="s">
        <v>841</v>
      </c>
      <c r="E114" s="140">
        <v>45849</v>
      </c>
      <c r="F114" s="138">
        <v>7.9000000953674299</v>
      </c>
      <c r="G114" s="138">
        <v>7.9</v>
      </c>
      <c r="H114" s="138">
        <v>8</v>
      </c>
      <c r="I114" s="83">
        <f t="shared" si="23"/>
        <v>-0.49499990940094207</v>
      </c>
      <c r="J114" s="83">
        <f t="shared" si="24"/>
        <v>9.5367429508996793E-8</v>
      </c>
      <c r="K114" s="298" t="s">
        <v>108</v>
      </c>
      <c r="L114" s="142">
        <v>45796</v>
      </c>
      <c r="M114" s="142">
        <v>45785</v>
      </c>
      <c r="N114" s="142">
        <f t="shared" si="25"/>
        <v>45787</v>
      </c>
      <c r="O114" s="143">
        <f t="shared" ca="1" si="26"/>
        <v>11</v>
      </c>
      <c r="P114" s="142">
        <f t="shared" si="27"/>
        <v>45808</v>
      </c>
      <c r="Q114" s="142">
        <v>45807</v>
      </c>
      <c r="R114" s="143">
        <f t="shared" ca="1" si="28"/>
        <v>1</v>
      </c>
      <c r="S114" s="84">
        <v>45800</v>
      </c>
      <c r="T114" s="158"/>
    </row>
    <row r="115" spans="1:20" hidden="1">
      <c r="A115" s="19" t="s">
        <v>188</v>
      </c>
      <c r="B115" s="291">
        <v>93</v>
      </c>
      <c r="C115" s="322" t="s">
        <v>75</v>
      </c>
      <c r="D115" s="323" t="s">
        <v>840</v>
      </c>
      <c r="E115" s="140">
        <v>45849</v>
      </c>
      <c r="F115" s="138">
        <v>7.4000000953674299</v>
      </c>
      <c r="G115" s="138">
        <v>7.4</v>
      </c>
      <c r="H115" s="138">
        <v>7</v>
      </c>
      <c r="I115" s="83">
        <f t="shared" si="23"/>
        <v>3.0000090599058282E-2</v>
      </c>
      <c r="J115" s="83">
        <f t="shared" si="24"/>
        <v>9.5367429508996793E-8</v>
      </c>
      <c r="K115" s="298" t="s">
        <v>108</v>
      </c>
      <c r="L115" s="142">
        <v>45796</v>
      </c>
      <c r="M115" s="142">
        <v>45785</v>
      </c>
      <c r="N115" s="142">
        <f t="shared" si="25"/>
        <v>45787</v>
      </c>
      <c r="O115" s="143">
        <f t="shared" ca="1" si="26"/>
        <v>11</v>
      </c>
      <c r="P115" s="142">
        <f t="shared" si="27"/>
        <v>45808</v>
      </c>
      <c r="Q115" s="142">
        <v>45807</v>
      </c>
      <c r="R115" s="143">
        <f t="shared" ca="1" si="28"/>
        <v>1</v>
      </c>
      <c r="S115" s="84">
        <v>45800</v>
      </c>
      <c r="T115" s="158"/>
    </row>
    <row r="116" spans="1:20" hidden="1">
      <c r="A116" s="19" t="s">
        <v>188</v>
      </c>
      <c r="B116" s="291">
        <v>93</v>
      </c>
      <c r="C116" s="322" t="s">
        <v>857</v>
      </c>
      <c r="D116" s="323" t="s">
        <v>841</v>
      </c>
      <c r="E116" s="140">
        <v>45849</v>
      </c>
      <c r="F116" s="138">
        <v>9.1000003814697301</v>
      </c>
      <c r="G116" s="138">
        <v>9.1</v>
      </c>
      <c r="H116" s="138">
        <v>9</v>
      </c>
      <c r="I116" s="83">
        <f t="shared" si="23"/>
        <v>-0.35499963760375763</v>
      </c>
      <c r="J116" s="83">
        <f t="shared" si="24"/>
        <v>3.8146973047048505E-7</v>
      </c>
      <c r="K116" s="298" t="s">
        <v>108</v>
      </c>
      <c r="L116" s="142">
        <v>45796</v>
      </c>
      <c r="M116" s="142">
        <v>45785</v>
      </c>
      <c r="N116" s="142">
        <f t="shared" si="25"/>
        <v>45787</v>
      </c>
      <c r="O116" s="143">
        <f t="shared" ca="1" si="26"/>
        <v>11</v>
      </c>
      <c r="P116" s="142">
        <f t="shared" si="27"/>
        <v>45808</v>
      </c>
      <c r="Q116" s="142">
        <v>45807</v>
      </c>
      <c r="R116" s="143">
        <f t="shared" ca="1" si="28"/>
        <v>1</v>
      </c>
      <c r="S116" s="84">
        <v>45800</v>
      </c>
      <c r="T116" s="158"/>
    </row>
    <row r="117" spans="1:20" hidden="1">
      <c r="A117" s="19" t="s">
        <v>188</v>
      </c>
      <c r="B117" s="291">
        <v>93</v>
      </c>
      <c r="C117" s="322" t="s">
        <v>857</v>
      </c>
      <c r="D117" s="323" t="s">
        <v>840</v>
      </c>
      <c r="E117" s="140">
        <v>45849</v>
      </c>
      <c r="F117" s="138">
        <v>8.5</v>
      </c>
      <c r="G117" s="138">
        <v>8.5</v>
      </c>
      <c r="H117" s="138">
        <v>8</v>
      </c>
      <c r="I117" s="83">
        <f t="shared" si="23"/>
        <v>7.4999999999999289E-2</v>
      </c>
      <c r="J117" s="83">
        <f t="shared" si="24"/>
        <v>0</v>
      </c>
      <c r="K117" s="298" t="s">
        <v>108</v>
      </c>
      <c r="L117" s="142">
        <v>45796</v>
      </c>
      <c r="M117" s="142">
        <v>45785</v>
      </c>
      <c r="N117" s="142">
        <f t="shared" si="25"/>
        <v>45787</v>
      </c>
      <c r="O117" s="143">
        <f t="shared" ca="1" si="26"/>
        <v>11</v>
      </c>
      <c r="P117" s="142">
        <f t="shared" si="27"/>
        <v>45808</v>
      </c>
      <c r="Q117" s="142">
        <v>45807</v>
      </c>
      <c r="R117" s="143">
        <f t="shared" ca="1" si="28"/>
        <v>1</v>
      </c>
      <c r="S117" s="84">
        <v>45800</v>
      </c>
      <c r="T117" s="158"/>
    </row>
    <row r="118" spans="1:20" hidden="1">
      <c r="A118" s="19" t="s">
        <v>188</v>
      </c>
      <c r="B118" s="291">
        <v>93</v>
      </c>
      <c r="C118" s="12" t="s">
        <v>93</v>
      </c>
      <c r="D118" s="313" t="s">
        <v>844</v>
      </c>
      <c r="E118" s="140">
        <v>45849</v>
      </c>
      <c r="F118" s="138">
        <v>170.5</v>
      </c>
      <c r="G118" s="138">
        <v>170.5</v>
      </c>
      <c r="H118" s="138">
        <v>162</v>
      </c>
      <c r="I118" s="83">
        <f t="shared" si="23"/>
        <v>-2.5000000000005684E-2</v>
      </c>
      <c r="J118" s="83">
        <f t="shared" si="24"/>
        <v>0</v>
      </c>
      <c r="K118" s="298" t="s">
        <v>142</v>
      </c>
      <c r="L118" s="142">
        <v>45796</v>
      </c>
      <c r="M118" s="142">
        <v>45798</v>
      </c>
      <c r="N118" s="142">
        <f t="shared" si="25"/>
        <v>45800</v>
      </c>
      <c r="O118" s="143">
        <f t="shared" ca="1" si="26"/>
        <v>-2</v>
      </c>
      <c r="P118" s="142">
        <f t="shared" si="27"/>
        <v>45808</v>
      </c>
      <c r="Q118" s="142">
        <v>45819</v>
      </c>
      <c r="R118" s="143">
        <f t="shared" ca="1" si="28"/>
        <v>-11</v>
      </c>
      <c r="S118" s="327">
        <v>45810</v>
      </c>
      <c r="T118" s="158" t="s">
        <v>906</v>
      </c>
    </row>
    <row r="119" spans="1:20" hidden="1">
      <c r="A119" s="19" t="s">
        <v>188</v>
      </c>
      <c r="B119" s="291">
        <v>93</v>
      </c>
      <c r="C119" s="12" t="s">
        <v>93</v>
      </c>
      <c r="D119" s="313" t="s">
        <v>843</v>
      </c>
      <c r="E119" s="140">
        <v>45849</v>
      </c>
      <c r="F119" s="138">
        <v>204.69999694824199</v>
      </c>
      <c r="G119" s="138">
        <v>204.7</v>
      </c>
      <c r="H119" s="138">
        <v>194</v>
      </c>
      <c r="I119" s="83">
        <f t="shared" si="23"/>
        <v>0.46499710082989054</v>
      </c>
      <c r="J119" s="83">
        <f t="shared" si="24"/>
        <v>-3.0517580000832822E-6</v>
      </c>
      <c r="K119" s="298" t="s">
        <v>142</v>
      </c>
      <c r="L119" s="142">
        <v>45796</v>
      </c>
      <c r="M119" s="142">
        <v>45798</v>
      </c>
      <c r="N119" s="142">
        <f t="shared" si="25"/>
        <v>45800</v>
      </c>
      <c r="O119" s="143">
        <f t="shared" ca="1" si="26"/>
        <v>-2</v>
      </c>
      <c r="P119" s="142">
        <f t="shared" si="27"/>
        <v>45808</v>
      </c>
      <c r="Q119" s="142">
        <v>45819</v>
      </c>
      <c r="R119" s="143">
        <f t="shared" ca="1" si="28"/>
        <v>-11</v>
      </c>
      <c r="S119" s="84">
        <v>45813</v>
      </c>
      <c r="T119" s="158" t="s">
        <v>906</v>
      </c>
    </row>
    <row r="120" spans="1:20" hidden="1">
      <c r="A120" s="19" t="s">
        <v>188</v>
      </c>
      <c r="B120" s="291">
        <v>104</v>
      </c>
      <c r="C120" s="12" t="s">
        <v>77</v>
      </c>
      <c r="D120" s="313" t="s">
        <v>137</v>
      </c>
      <c r="E120" s="140">
        <v>45849</v>
      </c>
      <c r="F120" s="138">
        <v>105.5</v>
      </c>
      <c r="G120" s="138">
        <v>105.5</v>
      </c>
      <c r="H120" s="138">
        <v>100</v>
      </c>
      <c r="I120" s="83">
        <f t="shared" si="23"/>
        <v>0.22499999999999432</v>
      </c>
      <c r="J120" s="83">
        <f t="shared" si="24"/>
        <v>0</v>
      </c>
      <c r="K120" s="298" t="s">
        <v>108</v>
      </c>
      <c r="L120" s="142">
        <v>45784</v>
      </c>
      <c r="M120" s="142">
        <v>45785</v>
      </c>
      <c r="N120" s="142">
        <f t="shared" si="25"/>
        <v>45787</v>
      </c>
      <c r="O120" s="143">
        <f t="shared" ca="1" si="26"/>
        <v>-1</v>
      </c>
      <c r="P120" s="142">
        <f t="shared" si="27"/>
        <v>45796</v>
      </c>
      <c r="Q120" s="142">
        <v>45810</v>
      </c>
      <c r="R120" s="143">
        <f t="shared" ca="1" si="28"/>
        <v>-14</v>
      </c>
      <c r="S120" s="84">
        <v>45796</v>
      </c>
      <c r="T120" s="158"/>
    </row>
    <row r="121" spans="1:20" hidden="1">
      <c r="A121" s="19" t="s">
        <v>188</v>
      </c>
      <c r="B121" s="291">
        <v>104</v>
      </c>
      <c r="C121" s="12" t="s">
        <v>79</v>
      </c>
      <c r="D121" s="313" t="s">
        <v>146</v>
      </c>
      <c r="E121" s="140">
        <v>45849</v>
      </c>
      <c r="F121" s="138">
        <v>5.3000001907348597</v>
      </c>
      <c r="G121" s="138">
        <v>5.3</v>
      </c>
      <c r="H121" s="138">
        <v>5</v>
      </c>
      <c r="I121" s="83">
        <f t="shared" si="23"/>
        <v>3.5000181198116209E-2</v>
      </c>
      <c r="J121" s="83">
        <f t="shared" si="24"/>
        <v>1.9073485990617201E-7</v>
      </c>
      <c r="K121" s="298" t="s">
        <v>108</v>
      </c>
      <c r="L121" s="142">
        <v>45784</v>
      </c>
      <c r="M121" s="142">
        <v>45785</v>
      </c>
      <c r="N121" s="142">
        <f t="shared" si="25"/>
        <v>45787</v>
      </c>
      <c r="O121" s="143">
        <f t="shared" ca="1" si="26"/>
        <v>-1</v>
      </c>
      <c r="P121" s="142">
        <f t="shared" si="27"/>
        <v>45796</v>
      </c>
      <c r="Q121" s="142">
        <v>45822</v>
      </c>
      <c r="R121" s="143">
        <f t="shared" ca="1" si="28"/>
        <v>-26</v>
      </c>
      <c r="S121" s="84">
        <v>45796</v>
      </c>
      <c r="T121" s="158"/>
    </row>
    <row r="122" spans="1:20" hidden="1">
      <c r="A122" s="19" t="s">
        <v>188</v>
      </c>
      <c r="B122" s="291">
        <v>104</v>
      </c>
      <c r="C122" s="12" t="s">
        <v>80</v>
      </c>
      <c r="D122" s="323" t="s">
        <v>146</v>
      </c>
      <c r="E122" s="140">
        <v>45849</v>
      </c>
      <c r="F122" s="138">
        <v>470</v>
      </c>
      <c r="G122" s="138">
        <v>470</v>
      </c>
      <c r="H122" s="138">
        <v>447</v>
      </c>
      <c r="I122" s="83">
        <f t="shared" si="23"/>
        <v>-0.5</v>
      </c>
      <c r="J122" s="83">
        <f t="shared" si="24"/>
        <v>0</v>
      </c>
      <c r="K122" s="140" t="s">
        <v>133</v>
      </c>
      <c r="L122" s="142">
        <v>45788</v>
      </c>
      <c r="M122" s="142">
        <v>45785</v>
      </c>
      <c r="N122" s="142">
        <f t="shared" si="25"/>
        <v>45787</v>
      </c>
      <c r="O122" s="143">
        <f t="shared" ca="1" si="26"/>
        <v>3</v>
      </c>
      <c r="P122" s="142">
        <f t="shared" si="27"/>
        <v>45800</v>
      </c>
      <c r="Q122" s="142">
        <v>45794</v>
      </c>
      <c r="R122" s="143">
        <f t="shared" ca="1" si="28"/>
        <v>6</v>
      </c>
      <c r="S122" s="84">
        <v>45797</v>
      </c>
      <c r="T122" s="158"/>
    </row>
    <row r="123" spans="1:20" hidden="1">
      <c r="A123" s="19" t="s">
        <v>188</v>
      </c>
      <c r="B123" s="291">
        <v>104</v>
      </c>
      <c r="C123" s="322" t="s">
        <v>75</v>
      </c>
      <c r="D123" s="323" t="s">
        <v>841</v>
      </c>
      <c r="E123" s="140">
        <v>45849</v>
      </c>
      <c r="F123" s="138">
        <v>29.299999237060501</v>
      </c>
      <c r="G123" s="138">
        <v>29.3</v>
      </c>
      <c r="H123" s="138">
        <v>28</v>
      </c>
      <c r="I123" s="83">
        <f t="shared" si="23"/>
        <v>-0.16500072479252736</v>
      </c>
      <c r="J123" s="83">
        <f t="shared" si="24"/>
        <v>-7.6293950002082056E-7</v>
      </c>
      <c r="K123" s="298" t="s">
        <v>108</v>
      </c>
      <c r="L123" s="142">
        <v>45796</v>
      </c>
      <c r="M123" s="142">
        <v>45785</v>
      </c>
      <c r="N123" s="142">
        <f t="shared" si="25"/>
        <v>45787</v>
      </c>
      <c r="O123" s="143">
        <f t="shared" ca="1" si="26"/>
        <v>11</v>
      </c>
      <c r="P123" s="142">
        <f t="shared" si="27"/>
        <v>45808</v>
      </c>
      <c r="Q123" s="142">
        <v>45807</v>
      </c>
      <c r="R123" s="143">
        <f t="shared" ca="1" si="28"/>
        <v>1</v>
      </c>
      <c r="S123" s="84">
        <v>45808</v>
      </c>
      <c r="T123" s="158"/>
    </row>
    <row r="124" spans="1:20" hidden="1">
      <c r="A124" s="19" t="s">
        <v>188</v>
      </c>
      <c r="B124" s="291">
        <v>104</v>
      </c>
      <c r="C124" s="322" t="s">
        <v>75</v>
      </c>
      <c r="D124" s="323" t="s">
        <v>858</v>
      </c>
      <c r="E124" s="140">
        <v>45849</v>
      </c>
      <c r="F124" s="138">
        <v>83.400001525878906</v>
      </c>
      <c r="G124" s="138">
        <v>83.4</v>
      </c>
      <c r="H124" s="138">
        <v>79</v>
      </c>
      <c r="I124" s="83">
        <f t="shared" si="23"/>
        <v>0.23000144958496094</v>
      </c>
      <c r="J124" s="83">
        <f t="shared" si="24"/>
        <v>1.5258789005656581E-6</v>
      </c>
      <c r="K124" s="298" t="s">
        <v>108</v>
      </c>
      <c r="L124" s="142">
        <v>45796</v>
      </c>
      <c r="M124" s="142">
        <v>45785</v>
      </c>
      <c r="N124" s="142">
        <f t="shared" si="25"/>
        <v>45787</v>
      </c>
      <c r="O124" s="143">
        <f t="shared" ca="1" si="26"/>
        <v>11</v>
      </c>
      <c r="P124" s="142">
        <f t="shared" si="27"/>
        <v>45808</v>
      </c>
      <c r="Q124" s="142">
        <v>45807</v>
      </c>
      <c r="R124" s="143">
        <f t="shared" ca="1" si="28"/>
        <v>1</v>
      </c>
      <c r="S124" s="84">
        <v>45808</v>
      </c>
      <c r="T124" s="158"/>
    </row>
    <row r="125" spans="1:20" hidden="1">
      <c r="A125" s="19" t="s">
        <v>188</v>
      </c>
      <c r="B125" s="291">
        <v>104</v>
      </c>
      <c r="C125" s="322" t="s">
        <v>75</v>
      </c>
      <c r="D125" s="323" t="s">
        <v>840</v>
      </c>
      <c r="E125" s="140">
        <v>45849</v>
      </c>
      <c r="F125" s="138">
        <v>27.5</v>
      </c>
      <c r="G125" s="138">
        <v>27.5</v>
      </c>
      <c r="H125" s="138">
        <v>26</v>
      </c>
      <c r="I125" s="83">
        <f t="shared" si="23"/>
        <v>0.125</v>
      </c>
      <c r="J125" s="83">
        <f t="shared" si="24"/>
        <v>0</v>
      </c>
      <c r="K125" s="298" t="s">
        <v>108</v>
      </c>
      <c r="L125" s="142">
        <v>45796</v>
      </c>
      <c r="M125" s="142">
        <v>45785</v>
      </c>
      <c r="N125" s="142">
        <f t="shared" si="25"/>
        <v>45787</v>
      </c>
      <c r="O125" s="143">
        <f t="shared" ca="1" si="26"/>
        <v>11</v>
      </c>
      <c r="P125" s="142">
        <f t="shared" si="27"/>
        <v>45808</v>
      </c>
      <c r="Q125" s="142">
        <v>45807</v>
      </c>
      <c r="R125" s="143">
        <f t="shared" ca="1" si="28"/>
        <v>1</v>
      </c>
      <c r="S125" s="84">
        <v>45808</v>
      </c>
      <c r="T125" s="158"/>
    </row>
    <row r="126" spans="1:20" hidden="1">
      <c r="A126" s="19" t="s">
        <v>188</v>
      </c>
      <c r="B126" s="291">
        <v>104</v>
      </c>
      <c r="C126" s="322" t="s">
        <v>75</v>
      </c>
      <c r="D126" s="323" t="s">
        <v>859</v>
      </c>
      <c r="E126" s="140">
        <v>45849</v>
      </c>
      <c r="F126" s="138">
        <v>51.099998474121101</v>
      </c>
      <c r="G126" s="138">
        <v>51.1</v>
      </c>
      <c r="H126" s="138">
        <v>49</v>
      </c>
      <c r="I126" s="83">
        <f t="shared" si="23"/>
        <v>-0.45500144958495525</v>
      </c>
      <c r="J126" s="83">
        <f t="shared" si="24"/>
        <v>-1.5258789005656581E-6</v>
      </c>
      <c r="K126" s="298" t="s">
        <v>108</v>
      </c>
      <c r="L126" s="142">
        <v>45796</v>
      </c>
      <c r="M126" s="142">
        <v>45785</v>
      </c>
      <c r="N126" s="142">
        <f t="shared" si="25"/>
        <v>45787</v>
      </c>
      <c r="O126" s="143">
        <f t="shared" ca="1" si="26"/>
        <v>11</v>
      </c>
      <c r="P126" s="142">
        <f t="shared" si="27"/>
        <v>45808</v>
      </c>
      <c r="Q126" s="142">
        <v>45807</v>
      </c>
      <c r="R126" s="143">
        <f t="shared" ca="1" si="28"/>
        <v>1</v>
      </c>
      <c r="S126" s="84">
        <v>45808</v>
      </c>
      <c r="T126" s="158"/>
    </row>
    <row r="127" spans="1:20" hidden="1">
      <c r="A127" s="19" t="s">
        <v>188</v>
      </c>
      <c r="B127" s="291">
        <v>104</v>
      </c>
      <c r="C127" s="322" t="s">
        <v>76</v>
      </c>
      <c r="D127" s="323" t="s">
        <v>841</v>
      </c>
      <c r="E127" s="140">
        <v>45849</v>
      </c>
      <c r="F127" s="138">
        <v>33.599998474121101</v>
      </c>
      <c r="G127" s="138">
        <v>33.6</v>
      </c>
      <c r="H127" s="138">
        <v>32</v>
      </c>
      <c r="I127" s="83">
        <f t="shared" si="23"/>
        <v>-8.0001449584955253E-2</v>
      </c>
      <c r="J127" s="83">
        <f t="shared" si="24"/>
        <v>-1.5258789005656581E-6</v>
      </c>
      <c r="K127" s="298" t="s">
        <v>108</v>
      </c>
      <c r="L127" s="142">
        <v>45796</v>
      </c>
      <c r="M127" s="142">
        <v>45785</v>
      </c>
      <c r="N127" s="142">
        <f t="shared" si="25"/>
        <v>45787</v>
      </c>
      <c r="O127" s="143">
        <f t="shared" ca="1" si="26"/>
        <v>11</v>
      </c>
      <c r="P127" s="142">
        <f t="shared" si="27"/>
        <v>45808</v>
      </c>
      <c r="Q127" s="142">
        <v>45807</v>
      </c>
      <c r="R127" s="143">
        <f t="shared" ca="1" si="28"/>
        <v>1</v>
      </c>
      <c r="S127" s="84">
        <v>45808</v>
      </c>
      <c r="T127" s="158"/>
    </row>
    <row r="128" spans="1:20" hidden="1">
      <c r="A128" s="19" t="s">
        <v>188</v>
      </c>
      <c r="B128" s="291">
        <v>104</v>
      </c>
      <c r="C128" s="322" t="s">
        <v>76</v>
      </c>
      <c r="D128" s="323" t="s">
        <v>858</v>
      </c>
      <c r="E128" s="140">
        <v>45849</v>
      </c>
      <c r="F128" s="138">
        <v>95.599998474121094</v>
      </c>
      <c r="G128" s="138">
        <v>95.6</v>
      </c>
      <c r="H128" s="138">
        <v>91</v>
      </c>
      <c r="I128" s="83">
        <f t="shared" si="23"/>
        <v>-0.18000144958496378</v>
      </c>
      <c r="J128" s="83">
        <f t="shared" si="24"/>
        <v>-1.5258789005656581E-6</v>
      </c>
      <c r="K128" s="298" t="s">
        <v>108</v>
      </c>
      <c r="L128" s="142">
        <v>45796</v>
      </c>
      <c r="M128" s="142">
        <v>45785</v>
      </c>
      <c r="N128" s="142">
        <f t="shared" si="25"/>
        <v>45787</v>
      </c>
      <c r="O128" s="143">
        <f t="shared" ca="1" si="26"/>
        <v>11</v>
      </c>
      <c r="P128" s="142">
        <f t="shared" si="27"/>
        <v>45808</v>
      </c>
      <c r="Q128" s="142">
        <v>45807</v>
      </c>
      <c r="R128" s="143">
        <f t="shared" ca="1" si="28"/>
        <v>1</v>
      </c>
      <c r="S128" s="84">
        <v>45808</v>
      </c>
      <c r="T128" s="158"/>
    </row>
    <row r="129" spans="1:20" hidden="1">
      <c r="A129" s="19" t="s">
        <v>188</v>
      </c>
      <c r="B129" s="291">
        <v>104</v>
      </c>
      <c r="C129" s="322" t="s">
        <v>76</v>
      </c>
      <c r="D129" s="323" t="s">
        <v>840</v>
      </c>
      <c r="E129" s="140">
        <v>45849</v>
      </c>
      <c r="F129" s="138">
        <v>31.5</v>
      </c>
      <c r="G129" s="138">
        <v>31.5</v>
      </c>
      <c r="H129" s="138">
        <v>30</v>
      </c>
      <c r="I129" s="83">
        <f t="shared" si="23"/>
        <v>-7.5000000000002842E-2</v>
      </c>
      <c r="J129" s="83">
        <f t="shared" si="24"/>
        <v>0</v>
      </c>
      <c r="K129" s="298" t="s">
        <v>108</v>
      </c>
      <c r="L129" s="142">
        <v>45796</v>
      </c>
      <c r="M129" s="142">
        <v>45785</v>
      </c>
      <c r="N129" s="142">
        <f t="shared" si="25"/>
        <v>45787</v>
      </c>
      <c r="O129" s="143">
        <f t="shared" ca="1" si="26"/>
        <v>11</v>
      </c>
      <c r="P129" s="142">
        <f t="shared" si="27"/>
        <v>45808</v>
      </c>
      <c r="Q129" s="142">
        <v>45807</v>
      </c>
      <c r="R129" s="143">
        <f t="shared" ca="1" si="28"/>
        <v>1</v>
      </c>
      <c r="S129" s="84">
        <v>45808</v>
      </c>
      <c r="T129" s="158"/>
    </row>
    <row r="130" spans="1:20" hidden="1">
      <c r="A130" s="19" t="s">
        <v>188</v>
      </c>
      <c r="B130" s="291">
        <v>104</v>
      </c>
      <c r="C130" s="322" t="s">
        <v>76</v>
      </c>
      <c r="D130" s="323" t="s">
        <v>859</v>
      </c>
      <c r="E130" s="140">
        <v>45849</v>
      </c>
      <c r="F130" s="138">
        <v>58.599998474121101</v>
      </c>
      <c r="G130" s="138">
        <v>58.6</v>
      </c>
      <c r="H130" s="138">
        <v>56</v>
      </c>
      <c r="I130" s="83">
        <f t="shared" si="23"/>
        <v>-0.33000144958495525</v>
      </c>
      <c r="J130" s="83">
        <f t="shared" si="24"/>
        <v>-1.5258789005656581E-6</v>
      </c>
      <c r="K130" s="298" t="s">
        <v>108</v>
      </c>
      <c r="L130" s="142">
        <v>45796</v>
      </c>
      <c r="M130" s="142">
        <v>45785</v>
      </c>
      <c r="N130" s="142">
        <f t="shared" si="25"/>
        <v>45787</v>
      </c>
      <c r="O130" s="143">
        <f t="shared" ca="1" si="26"/>
        <v>11</v>
      </c>
      <c r="P130" s="142">
        <f t="shared" si="27"/>
        <v>45808</v>
      </c>
      <c r="Q130" s="142">
        <v>45807</v>
      </c>
      <c r="R130" s="143">
        <f t="shared" ca="1" si="28"/>
        <v>1</v>
      </c>
      <c r="S130" s="84">
        <v>45808</v>
      </c>
      <c r="T130" s="158"/>
    </row>
    <row r="131" spans="1:20" hidden="1">
      <c r="A131" s="19" t="s">
        <v>188</v>
      </c>
      <c r="B131" s="291">
        <v>105</v>
      </c>
      <c r="C131" s="322" t="s">
        <v>75</v>
      </c>
      <c r="D131" s="323" t="s">
        <v>841</v>
      </c>
      <c r="E131" s="140">
        <v>45849</v>
      </c>
      <c r="F131" s="138">
        <v>13.6000003814697</v>
      </c>
      <c r="G131" s="138">
        <v>13.6</v>
      </c>
      <c r="H131" s="138">
        <v>13</v>
      </c>
      <c r="I131" s="83">
        <f t="shared" si="23"/>
        <v>-7.99996376037857E-2</v>
      </c>
      <c r="J131" s="83">
        <f t="shared" si="24"/>
        <v>3.8146970027241878E-7</v>
      </c>
      <c r="K131" s="298" t="s">
        <v>108</v>
      </c>
      <c r="L131" s="142">
        <v>45796</v>
      </c>
      <c r="M131" s="142">
        <v>45785</v>
      </c>
      <c r="N131" s="142">
        <f t="shared" si="25"/>
        <v>45787</v>
      </c>
      <c r="O131" s="143">
        <f t="shared" ca="1" si="26"/>
        <v>11</v>
      </c>
      <c r="P131" s="142">
        <f t="shared" si="27"/>
        <v>45808</v>
      </c>
      <c r="Q131" s="142">
        <v>45807</v>
      </c>
      <c r="R131" s="143">
        <f t="shared" ca="1" si="28"/>
        <v>1</v>
      </c>
      <c r="S131" s="84">
        <v>45808</v>
      </c>
      <c r="T131" s="158"/>
    </row>
    <row r="132" spans="1:20" hidden="1">
      <c r="A132" s="19" t="s">
        <v>188</v>
      </c>
      <c r="B132" s="291">
        <v>105</v>
      </c>
      <c r="C132" s="322" t="s">
        <v>75</v>
      </c>
      <c r="D132" s="323" t="s">
        <v>858</v>
      </c>
      <c r="E132" s="140">
        <v>45849</v>
      </c>
      <c r="F132" s="138">
        <v>85.099998474121094</v>
      </c>
      <c r="G132" s="138">
        <v>85.1</v>
      </c>
      <c r="H132" s="138">
        <v>81</v>
      </c>
      <c r="I132" s="83">
        <f t="shared" ref="I132:I163" si="29">F132*95%-H132</f>
        <v>-0.1550014495849581</v>
      </c>
      <c r="J132" s="83">
        <f t="shared" ref="J132:J163" si="30">F132-G132</f>
        <v>-1.5258789005656581E-6</v>
      </c>
      <c r="K132" s="298" t="s">
        <v>108</v>
      </c>
      <c r="L132" s="142">
        <v>45796</v>
      </c>
      <c r="M132" s="142">
        <v>45785</v>
      </c>
      <c r="N132" s="142">
        <f t="shared" ref="N132:N163" si="31">M132+2</f>
        <v>45787</v>
      </c>
      <c r="O132" s="143">
        <f t="shared" ref="O132:O163" ca="1" si="32">+IF(M132="",L132-TODAY(),L132-M132)</f>
        <v>11</v>
      </c>
      <c r="P132" s="142">
        <f t="shared" ref="P132:P163" si="33">L132+12</f>
        <v>45808</v>
      </c>
      <c r="Q132" s="142">
        <v>45807</v>
      </c>
      <c r="R132" s="143">
        <f t="shared" ref="R132:R163" ca="1" si="34">+IF(Q132="",P132-TODAY(),P132-Q132)</f>
        <v>1</v>
      </c>
      <c r="S132" s="84">
        <v>45808</v>
      </c>
      <c r="T132" s="158"/>
    </row>
    <row r="133" spans="1:20" hidden="1">
      <c r="A133" s="19" t="s">
        <v>188</v>
      </c>
      <c r="B133" s="291">
        <v>105</v>
      </c>
      <c r="C133" s="322" t="s">
        <v>75</v>
      </c>
      <c r="D133" s="323" t="s">
        <v>840</v>
      </c>
      <c r="E133" s="140">
        <v>45849</v>
      </c>
      <c r="F133" s="138">
        <v>12.699999809265099</v>
      </c>
      <c r="G133" s="138">
        <v>12.7</v>
      </c>
      <c r="H133" s="138">
        <v>12</v>
      </c>
      <c r="I133" s="83">
        <f t="shared" si="29"/>
        <v>6.4999818801844356E-2</v>
      </c>
      <c r="J133" s="83">
        <f t="shared" si="30"/>
        <v>-1.9073489987420089E-7</v>
      </c>
      <c r="K133" s="298" t="s">
        <v>108</v>
      </c>
      <c r="L133" s="142">
        <v>45796</v>
      </c>
      <c r="M133" s="142">
        <v>45785</v>
      </c>
      <c r="N133" s="142">
        <f t="shared" si="31"/>
        <v>45787</v>
      </c>
      <c r="O133" s="143">
        <f t="shared" ca="1" si="32"/>
        <v>11</v>
      </c>
      <c r="P133" s="142">
        <f t="shared" si="33"/>
        <v>45808</v>
      </c>
      <c r="Q133" s="142">
        <v>45807</v>
      </c>
      <c r="R133" s="143">
        <f t="shared" ca="1" si="34"/>
        <v>1</v>
      </c>
      <c r="S133" s="84">
        <v>45808</v>
      </c>
      <c r="T133" s="158"/>
    </row>
    <row r="134" spans="1:20" hidden="1">
      <c r="A134" s="19" t="s">
        <v>188</v>
      </c>
      <c r="B134" s="291">
        <v>105</v>
      </c>
      <c r="C134" s="322" t="s">
        <v>75</v>
      </c>
      <c r="D134" s="323" t="s">
        <v>859</v>
      </c>
      <c r="E134" s="140">
        <v>45849</v>
      </c>
      <c r="F134" s="138">
        <v>52.099998474121101</v>
      </c>
      <c r="G134" s="138">
        <v>52.1</v>
      </c>
      <c r="H134" s="138">
        <v>49</v>
      </c>
      <c r="I134" s="83">
        <f t="shared" si="29"/>
        <v>0.49499855041504048</v>
      </c>
      <c r="J134" s="83">
        <f t="shared" si="30"/>
        <v>-1.5258789005656581E-6</v>
      </c>
      <c r="K134" s="298" t="s">
        <v>108</v>
      </c>
      <c r="L134" s="142">
        <v>45796</v>
      </c>
      <c r="M134" s="142">
        <v>45785</v>
      </c>
      <c r="N134" s="142">
        <f t="shared" si="31"/>
        <v>45787</v>
      </c>
      <c r="O134" s="143">
        <f t="shared" ca="1" si="32"/>
        <v>11</v>
      </c>
      <c r="P134" s="142">
        <f t="shared" si="33"/>
        <v>45808</v>
      </c>
      <c r="Q134" s="142">
        <v>45807</v>
      </c>
      <c r="R134" s="143">
        <f t="shared" ca="1" si="34"/>
        <v>1</v>
      </c>
      <c r="S134" s="84">
        <v>45808</v>
      </c>
      <c r="T134" s="158"/>
    </row>
    <row r="135" spans="1:20" hidden="1">
      <c r="A135" s="19" t="s">
        <v>188</v>
      </c>
      <c r="B135" s="291">
        <v>105</v>
      </c>
      <c r="C135" s="322" t="s">
        <v>76</v>
      </c>
      <c r="D135" s="323" t="s">
        <v>841</v>
      </c>
      <c r="E135" s="140">
        <v>45849</v>
      </c>
      <c r="F135" s="138">
        <v>15.5</v>
      </c>
      <c r="G135" s="138">
        <v>15.5</v>
      </c>
      <c r="H135" s="138">
        <v>15</v>
      </c>
      <c r="I135" s="83">
        <f t="shared" si="29"/>
        <v>-0.27500000000000036</v>
      </c>
      <c r="J135" s="83">
        <f t="shared" si="30"/>
        <v>0</v>
      </c>
      <c r="K135" s="298" t="s">
        <v>108</v>
      </c>
      <c r="L135" s="142">
        <v>45796</v>
      </c>
      <c r="M135" s="142">
        <v>45785</v>
      </c>
      <c r="N135" s="142">
        <f t="shared" si="31"/>
        <v>45787</v>
      </c>
      <c r="O135" s="143">
        <f t="shared" ca="1" si="32"/>
        <v>11</v>
      </c>
      <c r="P135" s="142">
        <f t="shared" si="33"/>
        <v>45808</v>
      </c>
      <c r="Q135" s="142">
        <v>45807</v>
      </c>
      <c r="R135" s="143">
        <f t="shared" ca="1" si="34"/>
        <v>1</v>
      </c>
      <c r="S135" s="84">
        <v>45808</v>
      </c>
      <c r="T135" s="158"/>
    </row>
    <row r="136" spans="1:20" hidden="1">
      <c r="A136" s="19" t="s">
        <v>188</v>
      </c>
      <c r="B136" s="291">
        <v>105</v>
      </c>
      <c r="C136" s="322" t="s">
        <v>76</v>
      </c>
      <c r="D136" s="323" t="s">
        <v>858</v>
      </c>
      <c r="E136" s="140">
        <v>45849</v>
      </c>
      <c r="F136" s="138">
        <v>97.599998474121094</v>
      </c>
      <c r="G136" s="138">
        <v>97.6</v>
      </c>
      <c r="H136" s="138">
        <v>93</v>
      </c>
      <c r="I136" s="83">
        <f t="shared" si="29"/>
        <v>-0.28000144958497231</v>
      </c>
      <c r="J136" s="83">
        <f t="shared" si="30"/>
        <v>-1.5258789005656581E-6</v>
      </c>
      <c r="K136" s="298" t="s">
        <v>108</v>
      </c>
      <c r="L136" s="142">
        <v>45796</v>
      </c>
      <c r="M136" s="142">
        <v>45785</v>
      </c>
      <c r="N136" s="142">
        <f t="shared" si="31"/>
        <v>45787</v>
      </c>
      <c r="O136" s="143">
        <f t="shared" ca="1" si="32"/>
        <v>11</v>
      </c>
      <c r="P136" s="142">
        <f t="shared" si="33"/>
        <v>45808</v>
      </c>
      <c r="Q136" s="142">
        <v>45807</v>
      </c>
      <c r="R136" s="143">
        <f t="shared" ca="1" si="34"/>
        <v>1</v>
      </c>
      <c r="S136" s="84">
        <v>45808</v>
      </c>
      <c r="T136" s="158"/>
    </row>
    <row r="137" spans="1:20" hidden="1">
      <c r="A137" s="19" t="s">
        <v>188</v>
      </c>
      <c r="B137" s="291">
        <v>105</v>
      </c>
      <c r="C137" s="322" t="s">
        <v>76</v>
      </c>
      <c r="D137" s="323" t="s">
        <v>840</v>
      </c>
      <c r="E137" s="140">
        <v>45849</v>
      </c>
      <c r="F137" s="138">
        <v>14.5</v>
      </c>
      <c r="G137" s="138">
        <v>14.5</v>
      </c>
      <c r="H137" s="138">
        <v>14</v>
      </c>
      <c r="I137" s="83">
        <f t="shared" si="29"/>
        <v>-0.22500000000000142</v>
      </c>
      <c r="J137" s="83">
        <f t="shared" si="30"/>
        <v>0</v>
      </c>
      <c r="K137" s="298" t="s">
        <v>108</v>
      </c>
      <c r="L137" s="142">
        <v>45796</v>
      </c>
      <c r="M137" s="142">
        <v>45785</v>
      </c>
      <c r="N137" s="142">
        <f t="shared" si="31"/>
        <v>45787</v>
      </c>
      <c r="O137" s="143">
        <f t="shared" ca="1" si="32"/>
        <v>11</v>
      </c>
      <c r="P137" s="142">
        <f t="shared" si="33"/>
        <v>45808</v>
      </c>
      <c r="Q137" s="142">
        <v>45807</v>
      </c>
      <c r="R137" s="143">
        <f t="shared" ca="1" si="34"/>
        <v>1</v>
      </c>
      <c r="S137" s="84">
        <v>45808</v>
      </c>
      <c r="T137" s="158"/>
    </row>
    <row r="138" spans="1:20" hidden="1">
      <c r="A138" s="19" t="s">
        <v>188</v>
      </c>
      <c r="B138" s="291">
        <v>105</v>
      </c>
      <c r="C138" s="322" t="s">
        <v>76</v>
      </c>
      <c r="D138" s="323" t="s">
        <v>859</v>
      </c>
      <c r="E138" s="140">
        <v>45849</v>
      </c>
      <c r="F138" s="138">
        <v>59.799999237060497</v>
      </c>
      <c r="G138" s="138">
        <v>59.8</v>
      </c>
      <c r="H138" s="138">
        <v>57</v>
      </c>
      <c r="I138" s="83">
        <f t="shared" si="29"/>
        <v>-0.19000072479253305</v>
      </c>
      <c r="J138" s="83">
        <f t="shared" si="30"/>
        <v>-7.6293950002082056E-7</v>
      </c>
      <c r="K138" s="298" t="s">
        <v>108</v>
      </c>
      <c r="L138" s="142">
        <v>45796</v>
      </c>
      <c r="M138" s="142">
        <v>45785</v>
      </c>
      <c r="N138" s="142">
        <f t="shared" si="31"/>
        <v>45787</v>
      </c>
      <c r="O138" s="143">
        <f t="shared" ca="1" si="32"/>
        <v>11</v>
      </c>
      <c r="P138" s="142">
        <f t="shared" si="33"/>
        <v>45808</v>
      </c>
      <c r="Q138" s="142">
        <v>45807</v>
      </c>
      <c r="R138" s="143">
        <f t="shared" ca="1" si="34"/>
        <v>1</v>
      </c>
      <c r="S138" s="84">
        <v>45808</v>
      </c>
      <c r="T138" s="158"/>
    </row>
    <row r="139" spans="1:20" hidden="1">
      <c r="A139" s="19" t="s">
        <v>188</v>
      </c>
      <c r="B139" s="291">
        <v>106</v>
      </c>
      <c r="C139" s="12" t="s">
        <v>82</v>
      </c>
      <c r="D139" s="323" t="s">
        <v>141</v>
      </c>
      <c r="E139" s="140">
        <v>45870</v>
      </c>
      <c r="F139" s="138">
        <v>68.699996948242202</v>
      </c>
      <c r="G139" s="138">
        <v>68.7</v>
      </c>
      <c r="H139" s="138">
        <v>65</v>
      </c>
      <c r="I139" s="83">
        <f t="shared" si="29"/>
        <v>0.26499710083008665</v>
      </c>
      <c r="J139" s="83">
        <f t="shared" si="30"/>
        <v>-3.0517578011313162E-6</v>
      </c>
      <c r="K139" s="298" t="s">
        <v>890</v>
      </c>
      <c r="L139" s="142">
        <v>45784</v>
      </c>
      <c r="M139" s="142">
        <v>45789</v>
      </c>
      <c r="N139" s="142">
        <f t="shared" si="31"/>
        <v>45791</v>
      </c>
      <c r="O139" s="143">
        <f t="shared" ca="1" si="32"/>
        <v>-5</v>
      </c>
      <c r="P139" s="142">
        <f t="shared" si="33"/>
        <v>45796</v>
      </c>
      <c r="Q139" s="142">
        <v>45800</v>
      </c>
      <c r="R139" s="143">
        <f t="shared" ca="1" si="34"/>
        <v>-4</v>
      </c>
      <c r="S139" s="84">
        <v>45800</v>
      </c>
      <c r="T139" s="158"/>
    </row>
    <row r="140" spans="1:20" hidden="1">
      <c r="A140" s="19" t="s">
        <v>188</v>
      </c>
      <c r="B140" s="291">
        <v>106</v>
      </c>
      <c r="C140" s="12" t="s">
        <v>82</v>
      </c>
      <c r="D140" s="323" t="s">
        <v>143</v>
      </c>
      <c r="E140" s="140">
        <v>45870</v>
      </c>
      <c r="F140" s="138">
        <v>68.699996948242202</v>
      </c>
      <c r="G140" s="138">
        <v>68.7</v>
      </c>
      <c r="H140" s="138">
        <v>65</v>
      </c>
      <c r="I140" s="83">
        <f t="shared" si="29"/>
        <v>0.26499710083008665</v>
      </c>
      <c r="J140" s="83">
        <f t="shared" si="30"/>
        <v>-3.0517578011313162E-6</v>
      </c>
      <c r="K140" s="298" t="s">
        <v>890</v>
      </c>
      <c r="L140" s="142">
        <v>45784</v>
      </c>
      <c r="M140" s="142">
        <v>45789</v>
      </c>
      <c r="N140" s="142">
        <f t="shared" si="31"/>
        <v>45791</v>
      </c>
      <c r="O140" s="143">
        <f t="shared" ca="1" si="32"/>
        <v>-5</v>
      </c>
      <c r="P140" s="142">
        <f t="shared" si="33"/>
        <v>45796</v>
      </c>
      <c r="Q140" s="142">
        <v>45800</v>
      </c>
      <c r="R140" s="143">
        <f t="shared" ca="1" si="34"/>
        <v>-4</v>
      </c>
      <c r="S140" s="84">
        <v>45800</v>
      </c>
      <c r="T140" s="158"/>
    </row>
    <row r="141" spans="1:20" hidden="1">
      <c r="A141" s="19" t="s">
        <v>188</v>
      </c>
      <c r="B141" s="291">
        <v>106</v>
      </c>
      <c r="C141" s="12" t="s">
        <v>82</v>
      </c>
      <c r="D141" s="323" t="s">
        <v>144</v>
      </c>
      <c r="E141" s="140">
        <v>45870</v>
      </c>
      <c r="F141" s="138">
        <v>68.699996948242202</v>
      </c>
      <c r="G141" s="138">
        <v>68.7</v>
      </c>
      <c r="H141" s="138">
        <v>65</v>
      </c>
      <c r="I141" s="83">
        <f t="shared" si="29"/>
        <v>0.26499710083008665</v>
      </c>
      <c r="J141" s="83">
        <f t="shared" si="30"/>
        <v>-3.0517578011313162E-6</v>
      </c>
      <c r="K141" s="298" t="s">
        <v>890</v>
      </c>
      <c r="L141" s="142">
        <v>45784</v>
      </c>
      <c r="M141" s="142">
        <v>45789</v>
      </c>
      <c r="N141" s="142">
        <f t="shared" si="31"/>
        <v>45791</v>
      </c>
      <c r="O141" s="143">
        <f t="shared" ca="1" si="32"/>
        <v>-5</v>
      </c>
      <c r="P141" s="142">
        <f t="shared" si="33"/>
        <v>45796</v>
      </c>
      <c r="Q141" s="142">
        <v>45800</v>
      </c>
      <c r="R141" s="143">
        <f t="shared" ca="1" si="34"/>
        <v>-4</v>
      </c>
      <c r="S141" s="84">
        <v>45800</v>
      </c>
      <c r="T141" s="158"/>
    </row>
    <row r="142" spans="1:20" hidden="1">
      <c r="A142" s="19" t="s">
        <v>188</v>
      </c>
      <c r="B142" s="291">
        <v>106</v>
      </c>
      <c r="C142" s="12" t="s">
        <v>79</v>
      </c>
      <c r="D142" s="313" t="s">
        <v>145</v>
      </c>
      <c r="E142" s="140">
        <v>45870</v>
      </c>
      <c r="F142" s="138">
        <v>5.6999998092651403</v>
      </c>
      <c r="G142" s="138">
        <v>5.7</v>
      </c>
      <c r="H142" s="138">
        <v>5</v>
      </c>
      <c r="I142" s="83">
        <f t="shared" si="29"/>
        <v>0.41499981880188308</v>
      </c>
      <c r="J142" s="83">
        <f t="shared" si="30"/>
        <v>-1.9073485990617201E-7</v>
      </c>
      <c r="K142" s="298" t="s">
        <v>108</v>
      </c>
      <c r="L142" s="142">
        <v>45784</v>
      </c>
      <c r="M142" s="142">
        <v>45785</v>
      </c>
      <c r="N142" s="142">
        <f t="shared" si="31"/>
        <v>45787</v>
      </c>
      <c r="O142" s="143">
        <f t="shared" ca="1" si="32"/>
        <v>-1</v>
      </c>
      <c r="P142" s="142">
        <f t="shared" si="33"/>
        <v>45796</v>
      </c>
      <c r="Q142" s="142">
        <v>45822</v>
      </c>
      <c r="R142" s="143">
        <f t="shared" ca="1" si="34"/>
        <v>-26</v>
      </c>
      <c r="S142" s="84"/>
      <c r="T142" s="158"/>
    </row>
    <row r="143" spans="1:20" hidden="1">
      <c r="A143" s="19" t="s">
        <v>188</v>
      </c>
      <c r="B143" s="291">
        <v>106</v>
      </c>
      <c r="C143" s="322" t="s">
        <v>75</v>
      </c>
      <c r="D143" s="323" t="s">
        <v>841</v>
      </c>
      <c r="E143" s="140">
        <v>45870</v>
      </c>
      <c r="F143" s="138">
        <v>65.699996948242202</v>
      </c>
      <c r="G143" s="138">
        <v>65.7</v>
      </c>
      <c r="H143" s="138">
        <v>62</v>
      </c>
      <c r="I143" s="83">
        <f t="shared" si="29"/>
        <v>0.41499710083008523</v>
      </c>
      <c r="J143" s="83">
        <f t="shared" si="30"/>
        <v>-3.0517578011313162E-6</v>
      </c>
      <c r="K143" s="298" t="s">
        <v>108</v>
      </c>
      <c r="L143" s="142">
        <v>45796</v>
      </c>
      <c r="M143" s="142">
        <v>45785</v>
      </c>
      <c r="N143" s="142">
        <f t="shared" si="31"/>
        <v>45787</v>
      </c>
      <c r="O143" s="143">
        <f t="shared" ca="1" si="32"/>
        <v>11</v>
      </c>
      <c r="P143" s="142">
        <f t="shared" si="33"/>
        <v>45808</v>
      </c>
      <c r="Q143" s="142">
        <v>45807</v>
      </c>
      <c r="R143" s="143">
        <f t="shared" ca="1" si="34"/>
        <v>1</v>
      </c>
      <c r="S143" s="84">
        <v>45800</v>
      </c>
      <c r="T143" s="158"/>
    </row>
    <row r="144" spans="1:20" hidden="1">
      <c r="A144" s="19" t="s">
        <v>188</v>
      </c>
      <c r="B144" s="291">
        <v>106</v>
      </c>
      <c r="C144" s="322" t="s">
        <v>75</v>
      </c>
      <c r="D144" s="323" t="s">
        <v>840</v>
      </c>
      <c r="E144" s="140">
        <v>45870</v>
      </c>
      <c r="F144" s="138">
        <v>61.5</v>
      </c>
      <c r="G144" s="138">
        <v>61.5</v>
      </c>
      <c r="H144" s="138">
        <v>58</v>
      </c>
      <c r="I144" s="83">
        <f t="shared" si="29"/>
        <v>0.42499999999999716</v>
      </c>
      <c r="J144" s="83">
        <f t="shared" si="30"/>
        <v>0</v>
      </c>
      <c r="K144" s="298" t="s">
        <v>108</v>
      </c>
      <c r="L144" s="142">
        <v>45796</v>
      </c>
      <c r="M144" s="142">
        <v>45785</v>
      </c>
      <c r="N144" s="142">
        <f t="shared" si="31"/>
        <v>45787</v>
      </c>
      <c r="O144" s="143">
        <f t="shared" ca="1" si="32"/>
        <v>11</v>
      </c>
      <c r="P144" s="142">
        <f t="shared" si="33"/>
        <v>45808</v>
      </c>
      <c r="Q144" s="142">
        <v>45807</v>
      </c>
      <c r="R144" s="143">
        <f t="shared" ca="1" si="34"/>
        <v>1</v>
      </c>
      <c r="S144" s="84">
        <v>45800</v>
      </c>
      <c r="T144" s="158"/>
    </row>
    <row r="145" spans="1:20" hidden="1">
      <c r="A145" s="19" t="s">
        <v>188</v>
      </c>
      <c r="B145" s="291">
        <v>106</v>
      </c>
      <c r="C145" s="322" t="s">
        <v>76</v>
      </c>
      <c r="D145" s="323" t="s">
        <v>841</v>
      </c>
      <c r="E145" s="140">
        <v>45870</v>
      </c>
      <c r="F145" s="138">
        <v>75.300003051757798</v>
      </c>
      <c r="G145" s="138">
        <v>75.3</v>
      </c>
      <c r="H145" s="138">
        <v>72</v>
      </c>
      <c r="I145" s="83">
        <f t="shared" si="29"/>
        <v>-0.46499710083008949</v>
      </c>
      <c r="J145" s="83">
        <f t="shared" si="30"/>
        <v>3.0517578011313162E-6</v>
      </c>
      <c r="K145" s="298" t="s">
        <v>108</v>
      </c>
      <c r="L145" s="142">
        <v>45796</v>
      </c>
      <c r="M145" s="142">
        <v>45785</v>
      </c>
      <c r="N145" s="142">
        <f t="shared" si="31"/>
        <v>45787</v>
      </c>
      <c r="O145" s="143">
        <f t="shared" ca="1" si="32"/>
        <v>11</v>
      </c>
      <c r="P145" s="142">
        <f t="shared" si="33"/>
        <v>45808</v>
      </c>
      <c r="Q145" s="142">
        <v>45807</v>
      </c>
      <c r="R145" s="143">
        <f t="shared" ca="1" si="34"/>
        <v>1</v>
      </c>
      <c r="S145" s="84">
        <v>45800</v>
      </c>
      <c r="T145" s="158"/>
    </row>
    <row r="146" spans="1:20" hidden="1">
      <c r="A146" s="19" t="s">
        <v>188</v>
      </c>
      <c r="B146" s="291">
        <v>106</v>
      </c>
      <c r="C146" s="322" t="s">
        <v>76</v>
      </c>
      <c r="D146" s="323" t="s">
        <v>840</v>
      </c>
      <c r="E146" s="140">
        <v>45870</v>
      </c>
      <c r="F146" s="138">
        <v>70.5</v>
      </c>
      <c r="G146" s="138">
        <v>70.5</v>
      </c>
      <c r="H146" s="138">
        <v>67</v>
      </c>
      <c r="I146" s="83">
        <f t="shared" si="29"/>
        <v>-2.5000000000005684E-2</v>
      </c>
      <c r="J146" s="83">
        <f t="shared" si="30"/>
        <v>0</v>
      </c>
      <c r="K146" s="298" t="s">
        <v>108</v>
      </c>
      <c r="L146" s="142">
        <v>45796</v>
      </c>
      <c r="M146" s="142">
        <v>45785</v>
      </c>
      <c r="N146" s="142">
        <f t="shared" si="31"/>
        <v>45787</v>
      </c>
      <c r="O146" s="143">
        <f t="shared" ca="1" si="32"/>
        <v>11</v>
      </c>
      <c r="P146" s="142">
        <f t="shared" si="33"/>
        <v>45808</v>
      </c>
      <c r="Q146" s="142">
        <v>45807</v>
      </c>
      <c r="R146" s="143">
        <f t="shared" ca="1" si="34"/>
        <v>1</v>
      </c>
      <c r="S146" s="84">
        <v>45800</v>
      </c>
      <c r="T146" s="158"/>
    </row>
    <row r="147" spans="1:20" hidden="1">
      <c r="A147" s="19" t="s">
        <v>188</v>
      </c>
      <c r="B147" s="291">
        <v>106</v>
      </c>
      <c r="C147" s="12" t="s">
        <v>93</v>
      </c>
      <c r="D147" s="313" t="s">
        <v>844</v>
      </c>
      <c r="E147" s="140">
        <v>45870</v>
      </c>
      <c r="F147" s="138">
        <v>178</v>
      </c>
      <c r="G147" s="138">
        <v>178</v>
      </c>
      <c r="H147" s="138">
        <v>169</v>
      </c>
      <c r="I147" s="83">
        <f t="shared" si="29"/>
        <v>9.9999999999994316E-2</v>
      </c>
      <c r="J147" s="83">
        <f t="shared" si="30"/>
        <v>0</v>
      </c>
      <c r="K147" s="298" t="s">
        <v>142</v>
      </c>
      <c r="L147" s="142">
        <v>45796</v>
      </c>
      <c r="M147" s="142">
        <v>45798</v>
      </c>
      <c r="N147" s="142">
        <f t="shared" si="31"/>
        <v>45800</v>
      </c>
      <c r="O147" s="143">
        <f t="shared" ca="1" si="32"/>
        <v>-2</v>
      </c>
      <c r="P147" s="142">
        <f t="shared" si="33"/>
        <v>45808</v>
      </c>
      <c r="Q147" s="142">
        <v>45819</v>
      </c>
      <c r="R147" s="143">
        <f t="shared" ca="1" si="34"/>
        <v>-11</v>
      </c>
      <c r="S147" s="327">
        <v>45810</v>
      </c>
      <c r="T147" s="158" t="s">
        <v>906</v>
      </c>
    </row>
    <row r="148" spans="1:20" hidden="1">
      <c r="A148" s="19" t="s">
        <v>188</v>
      </c>
      <c r="B148" s="291">
        <v>106</v>
      </c>
      <c r="C148" s="12" t="s">
        <v>93</v>
      </c>
      <c r="D148" s="313" t="s">
        <v>843</v>
      </c>
      <c r="E148" s="140">
        <v>45870</v>
      </c>
      <c r="F148" s="138">
        <v>213.69999694824199</v>
      </c>
      <c r="G148" s="138">
        <v>213.7</v>
      </c>
      <c r="H148" s="138">
        <v>203</v>
      </c>
      <c r="I148" s="83">
        <f t="shared" si="29"/>
        <v>1.4997100829873489E-2</v>
      </c>
      <c r="J148" s="83">
        <f t="shared" si="30"/>
        <v>-3.0517580000832822E-6</v>
      </c>
      <c r="K148" s="298" t="s">
        <v>142</v>
      </c>
      <c r="L148" s="142">
        <v>45796</v>
      </c>
      <c r="M148" s="142">
        <v>45798</v>
      </c>
      <c r="N148" s="142">
        <f t="shared" si="31"/>
        <v>45800</v>
      </c>
      <c r="O148" s="143">
        <f t="shared" ca="1" si="32"/>
        <v>-2</v>
      </c>
      <c r="P148" s="142">
        <f t="shared" si="33"/>
        <v>45808</v>
      </c>
      <c r="Q148" s="142">
        <v>45819</v>
      </c>
      <c r="R148" s="143">
        <f t="shared" ca="1" si="34"/>
        <v>-11</v>
      </c>
      <c r="S148" s="84">
        <v>45813</v>
      </c>
      <c r="T148" s="158" t="s">
        <v>906</v>
      </c>
    </row>
    <row r="149" spans="1:20" hidden="1">
      <c r="A149" s="19" t="s">
        <v>188</v>
      </c>
      <c r="B149" s="291">
        <v>109</v>
      </c>
      <c r="C149" s="12" t="s">
        <v>77</v>
      </c>
      <c r="D149" s="323" t="s">
        <v>147</v>
      </c>
      <c r="E149" s="140">
        <v>45842</v>
      </c>
      <c r="F149" s="138">
        <v>573.5</v>
      </c>
      <c r="G149" s="138">
        <v>573</v>
      </c>
      <c r="H149" s="138">
        <v>545</v>
      </c>
      <c r="I149" s="83">
        <f t="shared" si="29"/>
        <v>-0.17500000000006821</v>
      </c>
      <c r="J149" s="83">
        <f t="shared" si="30"/>
        <v>0.5</v>
      </c>
      <c r="K149" s="298" t="s">
        <v>890</v>
      </c>
      <c r="L149" s="142">
        <v>45784</v>
      </c>
      <c r="M149" s="142">
        <v>45784</v>
      </c>
      <c r="N149" s="142">
        <f t="shared" si="31"/>
        <v>45786</v>
      </c>
      <c r="O149" s="143">
        <f t="shared" ca="1" si="32"/>
        <v>0</v>
      </c>
      <c r="P149" s="142">
        <f t="shared" si="33"/>
        <v>45796</v>
      </c>
      <c r="Q149" s="142">
        <v>45800</v>
      </c>
      <c r="R149" s="143">
        <f t="shared" ca="1" si="34"/>
        <v>-4</v>
      </c>
      <c r="S149" s="84">
        <v>45796</v>
      </c>
      <c r="T149" s="158"/>
    </row>
    <row r="150" spans="1:20" hidden="1">
      <c r="A150" s="19" t="s">
        <v>188</v>
      </c>
      <c r="B150" s="291">
        <v>109</v>
      </c>
      <c r="C150" s="12" t="s">
        <v>77</v>
      </c>
      <c r="D150" s="323" t="s">
        <v>148</v>
      </c>
      <c r="E150" s="140">
        <v>45842</v>
      </c>
      <c r="F150" s="138">
        <v>904.09997558593795</v>
      </c>
      <c r="G150" s="138">
        <v>904</v>
      </c>
      <c r="H150" s="138">
        <v>859</v>
      </c>
      <c r="I150" s="83">
        <f t="shared" si="29"/>
        <v>-0.10502319335898846</v>
      </c>
      <c r="J150" s="83">
        <f t="shared" si="30"/>
        <v>9.9975585937954747E-2</v>
      </c>
      <c r="K150" s="298" t="s">
        <v>890</v>
      </c>
      <c r="L150" s="142">
        <v>45784</v>
      </c>
      <c r="M150" s="142">
        <v>45784</v>
      </c>
      <c r="N150" s="142">
        <f t="shared" si="31"/>
        <v>45786</v>
      </c>
      <c r="O150" s="143">
        <f t="shared" ca="1" si="32"/>
        <v>0</v>
      </c>
      <c r="P150" s="142">
        <f t="shared" si="33"/>
        <v>45796</v>
      </c>
      <c r="Q150" s="142">
        <v>45800</v>
      </c>
      <c r="R150" s="143">
        <f t="shared" ca="1" si="34"/>
        <v>-4</v>
      </c>
      <c r="S150" s="84">
        <v>45796</v>
      </c>
      <c r="T150" s="158"/>
    </row>
    <row r="151" spans="1:20" hidden="1">
      <c r="A151" s="19" t="s">
        <v>188</v>
      </c>
      <c r="B151" s="291">
        <v>109</v>
      </c>
      <c r="C151" s="12" t="s">
        <v>79</v>
      </c>
      <c r="D151" s="323" t="s">
        <v>147</v>
      </c>
      <c r="E151" s="140">
        <v>45842</v>
      </c>
      <c r="F151" s="138">
        <v>7.0999999046325701</v>
      </c>
      <c r="G151" s="138">
        <v>7.1</v>
      </c>
      <c r="H151" s="138">
        <v>7</v>
      </c>
      <c r="I151" s="83">
        <f t="shared" si="29"/>
        <v>-0.25500009059905882</v>
      </c>
      <c r="J151" s="83">
        <f t="shared" si="30"/>
        <v>-9.5367429508996793E-8</v>
      </c>
      <c r="K151" s="298" t="s">
        <v>890</v>
      </c>
      <c r="L151" s="142">
        <v>45784</v>
      </c>
      <c r="M151" s="142">
        <v>45784</v>
      </c>
      <c r="N151" s="142">
        <f t="shared" si="31"/>
        <v>45786</v>
      </c>
      <c r="O151" s="143">
        <f t="shared" ca="1" si="32"/>
        <v>0</v>
      </c>
      <c r="P151" s="142">
        <f t="shared" si="33"/>
        <v>45796</v>
      </c>
      <c r="Q151" s="142">
        <v>45800</v>
      </c>
      <c r="R151" s="143">
        <f t="shared" ca="1" si="34"/>
        <v>-4</v>
      </c>
      <c r="S151" s="84">
        <v>45796</v>
      </c>
      <c r="T151" s="158"/>
    </row>
    <row r="152" spans="1:20" hidden="1">
      <c r="A152" s="19" t="s">
        <v>188</v>
      </c>
      <c r="B152" s="291">
        <v>109</v>
      </c>
      <c r="C152" s="322" t="s">
        <v>75</v>
      </c>
      <c r="D152" s="323" t="s">
        <v>858</v>
      </c>
      <c r="E152" s="140">
        <v>45842</v>
      </c>
      <c r="F152" s="138">
        <v>88.599998474121094</v>
      </c>
      <c r="G152" s="138">
        <v>88.6</v>
      </c>
      <c r="H152" s="138">
        <v>84</v>
      </c>
      <c r="I152" s="83">
        <f t="shared" si="29"/>
        <v>0.16999855041503054</v>
      </c>
      <c r="J152" s="83">
        <f t="shared" si="30"/>
        <v>-1.5258789005656581E-6</v>
      </c>
      <c r="K152" s="298" t="s">
        <v>108</v>
      </c>
      <c r="L152" s="142">
        <v>45796</v>
      </c>
      <c r="M152" s="142">
        <v>45785</v>
      </c>
      <c r="N152" s="142">
        <f t="shared" si="31"/>
        <v>45787</v>
      </c>
      <c r="O152" s="143">
        <f t="shared" ca="1" si="32"/>
        <v>11</v>
      </c>
      <c r="P152" s="142">
        <f t="shared" si="33"/>
        <v>45808</v>
      </c>
      <c r="Q152" s="142">
        <v>45807</v>
      </c>
      <c r="R152" s="143">
        <f t="shared" ca="1" si="34"/>
        <v>1</v>
      </c>
      <c r="S152" s="84">
        <v>45800</v>
      </c>
      <c r="T152" s="158"/>
    </row>
    <row r="153" spans="1:20" hidden="1">
      <c r="A153" s="19" t="s">
        <v>188</v>
      </c>
      <c r="B153" s="291">
        <v>109</v>
      </c>
      <c r="C153" s="322" t="s">
        <v>75</v>
      </c>
      <c r="D153" s="323" t="s">
        <v>859</v>
      </c>
      <c r="E153" s="140">
        <v>45842</v>
      </c>
      <c r="F153" s="138">
        <v>54.299999237060497</v>
      </c>
      <c r="G153" s="138">
        <v>54.3</v>
      </c>
      <c r="H153" s="138">
        <v>52</v>
      </c>
      <c r="I153" s="83">
        <f t="shared" si="29"/>
        <v>-0.41500072479252736</v>
      </c>
      <c r="J153" s="83">
        <f t="shared" si="30"/>
        <v>-7.6293950002082056E-7</v>
      </c>
      <c r="K153" s="298" t="s">
        <v>108</v>
      </c>
      <c r="L153" s="142">
        <v>45796</v>
      </c>
      <c r="M153" s="142">
        <v>45785</v>
      </c>
      <c r="N153" s="142">
        <f t="shared" si="31"/>
        <v>45787</v>
      </c>
      <c r="O153" s="143">
        <f t="shared" ca="1" si="32"/>
        <v>11</v>
      </c>
      <c r="P153" s="142">
        <f t="shared" si="33"/>
        <v>45808</v>
      </c>
      <c r="Q153" s="142">
        <v>45807</v>
      </c>
      <c r="R153" s="143">
        <f t="shared" ca="1" si="34"/>
        <v>1</v>
      </c>
      <c r="S153" s="84">
        <v>45800</v>
      </c>
      <c r="T153" s="158"/>
    </row>
    <row r="154" spans="1:20" hidden="1">
      <c r="A154" s="19" t="s">
        <v>188</v>
      </c>
      <c r="B154" s="291">
        <v>109</v>
      </c>
      <c r="C154" s="322" t="s">
        <v>857</v>
      </c>
      <c r="D154" s="323" t="s">
        <v>858</v>
      </c>
      <c r="E154" s="140">
        <v>45842</v>
      </c>
      <c r="F154" s="138">
        <v>101.59999847412099</v>
      </c>
      <c r="G154" s="138">
        <v>101.6</v>
      </c>
      <c r="H154" s="138">
        <v>97</v>
      </c>
      <c r="I154" s="83">
        <f t="shared" si="29"/>
        <v>-0.48000144958506041</v>
      </c>
      <c r="J154" s="83">
        <f t="shared" si="30"/>
        <v>-1.5258790000416411E-6</v>
      </c>
      <c r="K154" s="298" t="s">
        <v>108</v>
      </c>
      <c r="L154" s="142">
        <v>45796</v>
      </c>
      <c r="M154" s="142">
        <v>45785</v>
      </c>
      <c r="N154" s="142">
        <f t="shared" si="31"/>
        <v>45787</v>
      </c>
      <c r="O154" s="143">
        <f t="shared" ca="1" si="32"/>
        <v>11</v>
      </c>
      <c r="P154" s="142">
        <f t="shared" si="33"/>
        <v>45808</v>
      </c>
      <c r="Q154" s="142">
        <v>45807</v>
      </c>
      <c r="R154" s="143">
        <f t="shared" ca="1" si="34"/>
        <v>1</v>
      </c>
      <c r="S154" s="84">
        <v>45800</v>
      </c>
      <c r="T154" s="158"/>
    </row>
    <row r="155" spans="1:20" hidden="1">
      <c r="A155" s="19" t="s">
        <v>188</v>
      </c>
      <c r="B155" s="291">
        <v>109</v>
      </c>
      <c r="C155" s="322" t="s">
        <v>857</v>
      </c>
      <c r="D155" s="323" t="s">
        <v>859</v>
      </c>
      <c r="E155" s="140">
        <v>45842</v>
      </c>
      <c r="F155" s="138">
        <v>62.299999237060497</v>
      </c>
      <c r="G155" s="138">
        <v>62.3</v>
      </c>
      <c r="H155" s="138">
        <v>59</v>
      </c>
      <c r="I155" s="83">
        <f t="shared" si="29"/>
        <v>0.18499927520746695</v>
      </c>
      <c r="J155" s="83">
        <f t="shared" si="30"/>
        <v>-7.6293950002082056E-7</v>
      </c>
      <c r="K155" s="298" t="s">
        <v>108</v>
      </c>
      <c r="L155" s="142">
        <v>45796</v>
      </c>
      <c r="M155" s="142">
        <v>45785</v>
      </c>
      <c r="N155" s="142">
        <f t="shared" si="31"/>
        <v>45787</v>
      </c>
      <c r="O155" s="143">
        <f t="shared" ca="1" si="32"/>
        <v>11</v>
      </c>
      <c r="P155" s="142">
        <f t="shared" si="33"/>
        <v>45808</v>
      </c>
      <c r="Q155" s="142">
        <v>45807</v>
      </c>
      <c r="R155" s="143">
        <f t="shared" ca="1" si="34"/>
        <v>1</v>
      </c>
      <c r="S155" s="84">
        <v>45800</v>
      </c>
      <c r="T155" s="158"/>
    </row>
    <row r="156" spans="1:20" hidden="1">
      <c r="A156" s="19" t="s">
        <v>188</v>
      </c>
      <c r="B156" s="291">
        <v>114</v>
      </c>
      <c r="C156" s="12" t="s">
        <v>77</v>
      </c>
      <c r="D156" s="323" t="s">
        <v>149</v>
      </c>
      <c r="E156" s="140">
        <v>45863</v>
      </c>
      <c r="F156" s="138">
        <v>228.5</v>
      </c>
      <c r="G156" s="138">
        <v>228.5</v>
      </c>
      <c r="H156" s="138">
        <v>217</v>
      </c>
      <c r="I156" s="83">
        <f t="shared" si="29"/>
        <v>7.4999999999988631E-2</v>
      </c>
      <c r="J156" s="83">
        <f t="shared" si="30"/>
        <v>0</v>
      </c>
      <c r="K156" s="298" t="s">
        <v>890</v>
      </c>
      <c r="L156" s="142">
        <v>45784</v>
      </c>
      <c r="M156" s="142">
        <v>45784</v>
      </c>
      <c r="N156" s="142">
        <f t="shared" si="31"/>
        <v>45786</v>
      </c>
      <c r="O156" s="143">
        <f t="shared" ca="1" si="32"/>
        <v>0</v>
      </c>
      <c r="P156" s="142">
        <f t="shared" si="33"/>
        <v>45796</v>
      </c>
      <c r="Q156" s="142">
        <v>45798</v>
      </c>
      <c r="R156" s="143">
        <f t="shared" ca="1" si="34"/>
        <v>-2</v>
      </c>
      <c r="S156" s="84">
        <v>45797</v>
      </c>
      <c r="T156" s="158"/>
    </row>
    <row r="157" spans="1:20" hidden="1">
      <c r="A157" s="19" t="s">
        <v>188</v>
      </c>
      <c r="B157" s="291">
        <v>114</v>
      </c>
      <c r="C157" s="12" t="s">
        <v>77</v>
      </c>
      <c r="D157" s="323" t="s">
        <v>150</v>
      </c>
      <c r="E157" s="140">
        <v>45863</v>
      </c>
      <c r="F157" s="138">
        <v>228.5</v>
      </c>
      <c r="G157" s="138">
        <v>228.5</v>
      </c>
      <c r="H157" s="138">
        <v>217</v>
      </c>
      <c r="I157" s="83">
        <f t="shared" si="29"/>
        <v>7.4999999999988631E-2</v>
      </c>
      <c r="J157" s="83">
        <f t="shared" si="30"/>
        <v>0</v>
      </c>
      <c r="K157" s="298" t="s">
        <v>890</v>
      </c>
      <c r="L157" s="142">
        <v>45784</v>
      </c>
      <c r="M157" s="142">
        <v>45784</v>
      </c>
      <c r="N157" s="142">
        <f t="shared" si="31"/>
        <v>45786</v>
      </c>
      <c r="O157" s="143">
        <f t="shared" ca="1" si="32"/>
        <v>0</v>
      </c>
      <c r="P157" s="142">
        <f t="shared" si="33"/>
        <v>45796</v>
      </c>
      <c r="Q157" s="142">
        <v>45798</v>
      </c>
      <c r="R157" s="143">
        <f t="shared" ca="1" si="34"/>
        <v>-2</v>
      </c>
      <c r="S157" s="84">
        <v>45797</v>
      </c>
      <c r="T157" s="158"/>
    </row>
    <row r="158" spans="1:20" hidden="1">
      <c r="A158" s="19" t="s">
        <v>188</v>
      </c>
      <c r="B158" s="291">
        <v>114</v>
      </c>
      <c r="C158" s="12" t="s">
        <v>77</v>
      </c>
      <c r="D158" s="323" t="s">
        <v>151</v>
      </c>
      <c r="E158" s="140">
        <v>45863</v>
      </c>
      <c r="F158" s="138">
        <v>80.699996948242202</v>
      </c>
      <c r="G158" s="138">
        <v>80.7</v>
      </c>
      <c r="H158" s="138">
        <v>77</v>
      </c>
      <c r="I158" s="83">
        <f t="shared" si="29"/>
        <v>-0.33500289916990766</v>
      </c>
      <c r="J158" s="83">
        <f t="shared" si="30"/>
        <v>-3.0517578011313162E-6</v>
      </c>
      <c r="K158" s="298" t="s">
        <v>890</v>
      </c>
      <c r="L158" s="142">
        <v>45784</v>
      </c>
      <c r="M158" s="142">
        <v>45784</v>
      </c>
      <c r="N158" s="142">
        <f t="shared" si="31"/>
        <v>45786</v>
      </c>
      <c r="O158" s="143">
        <f t="shared" ca="1" si="32"/>
        <v>0</v>
      </c>
      <c r="P158" s="142">
        <f t="shared" si="33"/>
        <v>45796</v>
      </c>
      <c r="Q158" s="142">
        <v>45798</v>
      </c>
      <c r="R158" s="143">
        <f t="shared" ca="1" si="34"/>
        <v>-2</v>
      </c>
      <c r="S158" s="84">
        <v>45797</v>
      </c>
      <c r="T158" s="158"/>
    </row>
    <row r="159" spans="1:20" hidden="1">
      <c r="A159" s="19" t="s">
        <v>188</v>
      </c>
      <c r="B159" s="291">
        <v>114</v>
      </c>
      <c r="C159" s="12" t="s">
        <v>77</v>
      </c>
      <c r="D159" s="323" t="s">
        <v>152</v>
      </c>
      <c r="E159" s="140">
        <v>45863</v>
      </c>
      <c r="F159" s="138">
        <v>40.400001525878899</v>
      </c>
      <c r="G159" s="138">
        <v>40.4</v>
      </c>
      <c r="H159" s="138">
        <v>38</v>
      </c>
      <c r="I159" s="83">
        <f t="shared" si="29"/>
        <v>0.38000144958495241</v>
      </c>
      <c r="J159" s="83">
        <f t="shared" si="30"/>
        <v>1.5258789005656581E-6</v>
      </c>
      <c r="K159" s="298" t="s">
        <v>890</v>
      </c>
      <c r="L159" s="142">
        <v>45784</v>
      </c>
      <c r="M159" s="142">
        <v>45784</v>
      </c>
      <c r="N159" s="142">
        <f t="shared" si="31"/>
        <v>45786</v>
      </c>
      <c r="O159" s="143">
        <f t="shared" ca="1" si="32"/>
        <v>0</v>
      </c>
      <c r="P159" s="142">
        <f t="shared" si="33"/>
        <v>45796</v>
      </c>
      <c r="Q159" s="142">
        <v>45798</v>
      </c>
      <c r="R159" s="143">
        <f t="shared" ca="1" si="34"/>
        <v>-2</v>
      </c>
      <c r="S159" s="84">
        <v>45797</v>
      </c>
      <c r="T159" s="158"/>
    </row>
    <row r="160" spans="1:20" hidden="1">
      <c r="A160" s="19" t="s">
        <v>188</v>
      </c>
      <c r="B160" s="291">
        <v>114</v>
      </c>
      <c r="C160" s="12" t="s">
        <v>77</v>
      </c>
      <c r="D160" s="323" t="s">
        <v>153</v>
      </c>
      <c r="E160" s="140">
        <v>45863</v>
      </c>
      <c r="F160" s="138">
        <v>228.5</v>
      </c>
      <c r="G160" s="138">
        <v>228.5</v>
      </c>
      <c r="H160" s="138">
        <v>217</v>
      </c>
      <c r="I160" s="83">
        <f t="shared" si="29"/>
        <v>7.4999999999988631E-2</v>
      </c>
      <c r="J160" s="83">
        <f t="shared" si="30"/>
        <v>0</v>
      </c>
      <c r="K160" s="298" t="s">
        <v>890</v>
      </c>
      <c r="L160" s="142">
        <v>45784</v>
      </c>
      <c r="M160" s="142">
        <v>45784</v>
      </c>
      <c r="N160" s="142">
        <f t="shared" si="31"/>
        <v>45786</v>
      </c>
      <c r="O160" s="143">
        <f t="shared" ca="1" si="32"/>
        <v>0</v>
      </c>
      <c r="P160" s="142">
        <f t="shared" si="33"/>
        <v>45796</v>
      </c>
      <c r="Q160" s="142">
        <v>45798</v>
      </c>
      <c r="R160" s="143">
        <f t="shared" ca="1" si="34"/>
        <v>-2</v>
      </c>
      <c r="S160" s="84">
        <v>45797</v>
      </c>
      <c r="T160" s="158"/>
    </row>
    <row r="161" spans="1:20" hidden="1">
      <c r="A161" s="19" t="s">
        <v>188</v>
      </c>
      <c r="B161" s="291">
        <v>114</v>
      </c>
      <c r="C161" s="12" t="s">
        <v>78</v>
      </c>
      <c r="D161" s="323" t="s">
        <v>149</v>
      </c>
      <c r="E161" s="140">
        <v>45863</v>
      </c>
      <c r="F161" s="138">
        <v>1.29999995231628</v>
      </c>
      <c r="G161" s="138">
        <v>1.3</v>
      </c>
      <c r="H161" s="138">
        <v>1</v>
      </c>
      <c r="I161" s="83">
        <f t="shared" si="29"/>
        <v>0.23499995470046597</v>
      </c>
      <c r="J161" s="83">
        <f t="shared" si="30"/>
        <v>-4.7683720083568915E-8</v>
      </c>
      <c r="K161" s="298" t="s">
        <v>890</v>
      </c>
      <c r="L161" s="142">
        <v>45784</v>
      </c>
      <c r="M161" s="142">
        <v>45784</v>
      </c>
      <c r="N161" s="142">
        <f t="shared" si="31"/>
        <v>45786</v>
      </c>
      <c r="O161" s="143">
        <f t="shared" ca="1" si="32"/>
        <v>0</v>
      </c>
      <c r="P161" s="142">
        <f t="shared" si="33"/>
        <v>45796</v>
      </c>
      <c r="Q161" s="142">
        <v>45798</v>
      </c>
      <c r="R161" s="143">
        <f t="shared" ca="1" si="34"/>
        <v>-2</v>
      </c>
      <c r="S161" s="84">
        <v>45797</v>
      </c>
      <c r="T161" s="158"/>
    </row>
    <row r="162" spans="1:20" hidden="1">
      <c r="A162" s="19" t="s">
        <v>188</v>
      </c>
      <c r="B162" s="291">
        <v>114</v>
      </c>
      <c r="C162" s="12" t="s">
        <v>78</v>
      </c>
      <c r="D162" s="323" t="s">
        <v>150</v>
      </c>
      <c r="E162" s="140">
        <v>45863</v>
      </c>
      <c r="F162" s="138">
        <v>1.29999995231628</v>
      </c>
      <c r="G162" s="138">
        <v>1.3</v>
      </c>
      <c r="H162" s="138">
        <v>1</v>
      </c>
      <c r="I162" s="83">
        <f t="shared" si="29"/>
        <v>0.23499995470046597</v>
      </c>
      <c r="J162" s="83">
        <f t="shared" si="30"/>
        <v>-4.7683720083568915E-8</v>
      </c>
      <c r="K162" s="298" t="s">
        <v>890</v>
      </c>
      <c r="L162" s="142">
        <v>45784</v>
      </c>
      <c r="M162" s="142">
        <v>45784</v>
      </c>
      <c r="N162" s="142">
        <f t="shared" si="31"/>
        <v>45786</v>
      </c>
      <c r="O162" s="143">
        <f t="shared" ca="1" si="32"/>
        <v>0</v>
      </c>
      <c r="P162" s="142">
        <f t="shared" si="33"/>
        <v>45796</v>
      </c>
      <c r="Q162" s="142">
        <v>45798</v>
      </c>
      <c r="R162" s="143">
        <f t="shared" ca="1" si="34"/>
        <v>-2</v>
      </c>
      <c r="S162" s="84">
        <v>45797</v>
      </c>
      <c r="T162" s="158"/>
    </row>
    <row r="163" spans="1:20" hidden="1">
      <c r="A163" s="19" t="s">
        <v>188</v>
      </c>
      <c r="B163" s="291">
        <v>114</v>
      </c>
      <c r="C163" s="12" t="s">
        <v>78</v>
      </c>
      <c r="D163" s="323" t="s">
        <v>153</v>
      </c>
      <c r="E163" s="140">
        <v>45863</v>
      </c>
      <c r="F163" s="138">
        <v>1.29999995231628</v>
      </c>
      <c r="G163" s="138">
        <v>1.3</v>
      </c>
      <c r="H163" s="138">
        <v>1</v>
      </c>
      <c r="I163" s="83">
        <f t="shared" si="29"/>
        <v>0.23499995470046597</v>
      </c>
      <c r="J163" s="83">
        <f t="shared" si="30"/>
        <v>-4.7683720083568915E-8</v>
      </c>
      <c r="K163" s="298" t="s">
        <v>890</v>
      </c>
      <c r="L163" s="142">
        <v>45784</v>
      </c>
      <c r="M163" s="142">
        <v>45784</v>
      </c>
      <c r="N163" s="142">
        <f t="shared" si="31"/>
        <v>45786</v>
      </c>
      <c r="O163" s="143">
        <f t="shared" ca="1" si="32"/>
        <v>0</v>
      </c>
      <c r="P163" s="142">
        <f t="shared" si="33"/>
        <v>45796</v>
      </c>
      <c r="Q163" s="142">
        <v>45798</v>
      </c>
      <c r="R163" s="143">
        <f t="shared" ca="1" si="34"/>
        <v>-2</v>
      </c>
      <c r="S163" s="84">
        <v>45797</v>
      </c>
      <c r="T163" s="158"/>
    </row>
    <row r="164" spans="1:20" hidden="1">
      <c r="A164" s="19" t="s">
        <v>188</v>
      </c>
      <c r="B164" s="291">
        <v>110</v>
      </c>
      <c r="C164" s="322" t="s">
        <v>75</v>
      </c>
      <c r="D164" s="323" t="s">
        <v>841</v>
      </c>
      <c r="E164" s="140">
        <v>45842</v>
      </c>
      <c r="F164" s="138">
        <v>71.400001525878906</v>
      </c>
      <c r="G164" s="138">
        <v>71.400000000000006</v>
      </c>
      <c r="H164" s="138">
        <v>68</v>
      </c>
      <c r="I164" s="83">
        <f t="shared" ref="I164:I193" si="35">F164*95%-H164</f>
        <v>-0.16999855041504475</v>
      </c>
      <c r="J164" s="83">
        <f t="shared" ref="J164:J193" si="36">F164-G164</f>
        <v>1.5258789005656581E-6</v>
      </c>
      <c r="K164" s="298" t="s">
        <v>108</v>
      </c>
      <c r="L164" s="142">
        <v>45796</v>
      </c>
      <c r="M164" s="142">
        <v>45785</v>
      </c>
      <c r="N164" s="142">
        <f t="shared" ref="N164:N193" si="37">M164+2</f>
        <v>45787</v>
      </c>
      <c r="O164" s="143">
        <f t="shared" ref="O164:O193" ca="1" si="38">+IF(M164="",L164-TODAY(),L164-M164)</f>
        <v>11</v>
      </c>
      <c r="P164" s="142">
        <f t="shared" ref="P164:P194" si="39">L164+12</f>
        <v>45808</v>
      </c>
      <c r="Q164" s="142">
        <v>45807</v>
      </c>
      <c r="R164" s="143">
        <f t="shared" ref="R164:R193" ca="1" si="40">+IF(Q164="",P164-TODAY(),P164-Q164)</f>
        <v>1</v>
      </c>
      <c r="S164" s="84">
        <v>45800</v>
      </c>
      <c r="T164" s="158"/>
    </row>
    <row r="165" spans="1:20" hidden="1">
      <c r="A165" s="19" t="s">
        <v>188</v>
      </c>
      <c r="B165" s="291">
        <v>110</v>
      </c>
      <c r="C165" s="322" t="s">
        <v>75</v>
      </c>
      <c r="D165" s="323" t="s">
        <v>840</v>
      </c>
      <c r="E165" s="140">
        <v>45842</v>
      </c>
      <c r="F165" s="138">
        <v>66.800003051757798</v>
      </c>
      <c r="G165" s="138">
        <v>66.8</v>
      </c>
      <c r="H165" s="138">
        <v>63</v>
      </c>
      <c r="I165" s="83">
        <f t="shared" si="35"/>
        <v>0.46000289916990766</v>
      </c>
      <c r="J165" s="83">
        <f t="shared" si="36"/>
        <v>3.0517578011313162E-6</v>
      </c>
      <c r="K165" s="298" t="s">
        <v>108</v>
      </c>
      <c r="L165" s="142">
        <v>45796</v>
      </c>
      <c r="M165" s="142">
        <v>45785</v>
      </c>
      <c r="N165" s="142">
        <f t="shared" si="37"/>
        <v>45787</v>
      </c>
      <c r="O165" s="143">
        <f t="shared" ca="1" si="38"/>
        <v>11</v>
      </c>
      <c r="P165" s="142">
        <f t="shared" si="39"/>
        <v>45808</v>
      </c>
      <c r="Q165" s="142">
        <v>45807</v>
      </c>
      <c r="R165" s="143">
        <f t="shared" ca="1" si="40"/>
        <v>1</v>
      </c>
      <c r="S165" s="84">
        <v>45800</v>
      </c>
      <c r="T165" s="158"/>
    </row>
    <row r="166" spans="1:20" hidden="1">
      <c r="A166" s="19" t="s">
        <v>188</v>
      </c>
      <c r="B166" s="291">
        <v>110</v>
      </c>
      <c r="C166" s="322" t="s">
        <v>857</v>
      </c>
      <c r="D166" s="323" t="s">
        <v>841</v>
      </c>
      <c r="E166" s="140">
        <v>45842</v>
      </c>
      <c r="F166" s="138">
        <v>81.800003051757798</v>
      </c>
      <c r="G166" s="138">
        <v>81.8</v>
      </c>
      <c r="H166" s="138">
        <v>78</v>
      </c>
      <c r="I166" s="83">
        <f t="shared" si="35"/>
        <v>-0.28999710083009234</v>
      </c>
      <c r="J166" s="83">
        <f t="shared" si="36"/>
        <v>3.0517578011313162E-6</v>
      </c>
      <c r="K166" s="298" t="s">
        <v>108</v>
      </c>
      <c r="L166" s="142">
        <v>45796</v>
      </c>
      <c r="M166" s="142">
        <v>45785</v>
      </c>
      <c r="N166" s="142">
        <f t="shared" si="37"/>
        <v>45787</v>
      </c>
      <c r="O166" s="143">
        <f t="shared" ca="1" si="38"/>
        <v>11</v>
      </c>
      <c r="P166" s="142">
        <f t="shared" si="39"/>
        <v>45808</v>
      </c>
      <c r="Q166" s="142">
        <v>45807</v>
      </c>
      <c r="R166" s="143">
        <f t="shared" ca="1" si="40"/>
        <v>1</v>
      </c>
      <c r="S166" s="84">
        <v>45800</v>
      </c>
      <c r="T166" s="158"/>
    </row>
    <row r="167" spans="1:20" hidden="1">
      <c r="A167" s="19" t="s">
        <v>188</v>
      </c>
      <c r="B167" s="291">
        <v>110</v>
      </c>
      <c r="C167" s="322" t="s">
        <v>857</v>
      </c>
      <c r="D167" s="323" t="s">
        <v>840</v>
      </c>
      <c r="E167" s="140">
        <v>45842</v>
      </c>
      <c r="F167" s="138">
        <v>76.599998474121094</v>
      </c>
      <c r="G167" s="138">
        <v>76.599999999999994</v>
      </c>
      <c r="H167" s="138">
        <v>73</v>
      </c>
      <c r="I167" s="83">
        <f t="shared" si="35"/>
        <v>-0.23000144958496094</v>
      </c>
      <c r="J167" s="83">
        <f t="shared" si="36"/>
        <v>-1.5258789005656581E-6</v>
      </c>
      <c r="K167" s="298" t="s">
        <v>108</v>
      </c>
      <c r="L167" s="142">
        <v>45796</v>
      </c>
      <c r="M167" s="142">
        <v>45785</v>
      </c>
      <c r="N167" s="142">
        <f t="shared" si="37"/>
        <v>45787</v>
      </c>
      <c r="O167" s="143">
        <f t="shared" ca="1" si="38"/>
        <v>11</v>
      </c>
      <c r="P167" s="142">
        <f t="shared" si="39"/>
        <v>45808</v>
      </c>
      <c r="Q167" s="142">
        <v>45807</v>
      </c>
      <c r="R167" s="143">
        <f t="shared" ca="1" si="40"/>
        <v>1</v>
      </c>
      <c r="S167" s="84">
        <v>45800</v>
      </c>
      <c r="T167" s="158"/>
    </row>
    <row r="168" spans="1:20" hidden="1">
      <c r="A168" s="19" t="s">
        <v>188</v>
      </c>
      <c r="B168" s="291">
        <v>111</v>
      </c>
      <c r="C168" s="12" t="s">
        <v>79</v>
      </c>
      <c r="D168" s="313" t="s">
        <v>138</v>
      </c>
      <c r="E168" s="140">
        <v>45849</v>
      </c>
      <c r="F168" s="138">
        <v>122.699996948242</v>
      </c>
      <c r="G168" s="138">
        <v>122.7</v>
      </c>
      <c r="H168" s="138">
        <v>117</v>
      </c>
      <c r="I168" s="83">
        <f t="shared" si="35"/>
        <v>-0.43500289917010093</v>
      </c>
      <c r="J168" s="83">
        <f t="shared" si="36"/>
        <v>-3.0517580000832822E-6</v>
      </c>
      <c r="K168" s="298" t="s">
        <v>108</v>
      </c>
      <c r="L168" s="142">
        <v>45784</v>
      </c>
      <c r="M168" s="142">
        <v>45785</v>
      </c>
      <c r="N168" s="142">
        <f t="shared" si="37"/>
        <v>45787</v>
      </c>
      <c r="O168" s="143">
        <f t="shared" ca="1" si="38"/>
        <v>-1</v>
      </c>
      <c r="P168" s="142">
        <f t="shared" si="39"/>
        <v>45796</v>
      </c>
      <c r="Q168" s="142">
        <v>45815</v>
      </c>
      <c r="R168" s="143">
        <f t="shared" ca="1" si="40"/>
        <v>-19</v>
      </c>
      <c r="S168" s="84">
        <v>45796</v>
      </c>
      <c r="T168" s="158"/>
    </row>
    <row r="169" spans="1:20" hidden="1">
      <c r="A169" s="19" t="s">
        <v>188</v>
      </c>
      <c r="B169" s="291">
        <v>112</v>
      </c>
      <c r="C169" s="12" t="s">
        <v>82</v>
      </c>
      <c r="D169" s="323" t="s">
        <v>141</v>
      </c>
      <c r="E169" s="140">
        <v>45856</v>
      </c>
      <c r="F169" s="138">
        <v>68.699996948242202</v>
      </c>
      <c r="G169" s="138">
        <v>68.7</v>
      </c>
      <c r="H169" s="138">
        <v>65</v>
      </c>
      <c r="I169" s="83">
        <f t="shared" si="35"/>
        <v>0.26499710083008665</v>
      </c>
      <c r="J169" s="83">
        <f t="shared" si="36"/>
        <v>-3.0517578011313162E-6</v>
      </c>
      <c r="K169" s="298" t="s">
        <v>890</v>
      </c>
      <c r="L169" s="142">
        <v>45784</v>
      </c>
      <c r="M169" s="142">
        <v>45789</v>
      </c>
      <c r="N169" s="142">
        <f t="shared" si="37"/>
        <v>45791</v>
      </c>
      <c r="O169" s="143">
        <f t="shared" ca="1" si="38"/>
        <v>-5</v>
      </c>
      <c r="P169" s="142">
        <f t="shared" si="39"/>
        <v>45796</v>
      </c>
      <c r="Q169" s="142">
        <v>45800</v>
      </c>
      <c r="R169" s="143">
        <f t="shared" ca="1" si="40"/>
        <v>-4</v>
      </c>
      <c r="S169" s="84">
        <v>45800</v>
      </c>
      <c r="T169" s="158"/>
    </row>
    <row r="170" spans="1:20" hidden="1">
      <c r="A170" s="19" t="s">
        <v>188</v>
      </c>
      <c r="B170" s="291">
        <v>112</v>
      </c>
      <c r="C170" s="12" t="s">
        <v>82</v>
      </c>
      <c r="D170" s="323" t="s">
        <v>143</v>
      </c>
      <c r="E170" s="140">
        <v>45856</v>
      </c>
      <c r="F170" s="138">
        <v>68.699996948242202</v>
      </c>
      <c r="G170" s="138">
        <v>68.7</v>
      </c>
      <c r="H170" s="138">
        <v>65</v>
      </c>
      <c r="I170" s="83">
        <f t="shared" si="35"/>
        <v>0.26499710083008665</v>
      </c>
      <c r="J170" s="83">
        <f t="shared" si="36"/>
        <v>-3.0517578011313162E-6</v>
      </c>
      <c r="K170" s="298" t="s">
        <v>890</v>
      </c>
      <c r="L170" s="142">
        <v>45784</v>
      </c>
      <c r="M170" s="142">
        <v>45789</v>
      </c>
      <c r="N170" s="142">
        <f t="shared" si="37"/>
        <v>45791</v>
      </c>
      <c r="O170" s="143">
        <f t="shared" ca="1" si="38"/>
        <v>-5</v>
      </c>
      <c r="P170" s="142">
        <f t="shared" si="39"/>
        <v>45796</v>
      </c>
      <c r="Q170" s="142">
        <v>45800</v>
      </c>
      <c r="R170" s="143">
        <f t="shared" ca="1" si="40"/>
        <v>-4</v>
      </c>
      <c r="S170" s="84">
        <v>45800</v>
      </c>
      <c r="T170" s="158"/>
    </row>
    <row r="171" spans="1:20" hidden="1">
      <c r="A171" s="19" t="s">
        <v>188</v>
      </c>
      <c r="B171" s="291">
        <v>112</v>
      </c>
      <c r="C171" s="12" t="s">
        <v>82</v>
      </c>
      <c r="D171" s="323" t="s">
        <v>144</v>
      </c>
      <c r="E171" s="140">
        <v>45856</v>
      </c>
      <c r="F171" s="138">
        <v>68.699996948242202</v>
      </c>
      <c r="G171" s="138">
        <v>68.7</v>
      </c>
      <c r="H171" s="138">
        <v>65</v>
      </c>
      <c r="I171" s="83">
        <f t="shared" si="35"/>
        <v>0.26499710083008665</v>
      </c>
      <c r="J171" s="83">
        <f t="shared" si="36"/>
        <v>-3.0517578011313162E-6</v>
      </c>
      <c r="K171" s="298" t="s">
        <v>890</v>
      </c>
      <c r="L171" s="142">
        <v>45784</v>
      </c>
      <c r="M171" s="142">
        <v>45789</v>
      </c>
      <c r="N171" s="142">
        <f t="shared" si="37"/>
        <v>45791</v>
      </c>
      <c r="O171" s="143">
        <f t="shared" ca="1" si="38"/>
        <v>-5</v>
      </c>
      <c r="P171" s="142">
        <f t="shared" si="39"/>
        <v>45796</v>
      </c>
      <c r="Q171" s="142">
        <v>45800</v>
      </c>
      <c r="R171" s="143">
        <f t="shared" ca="1" si="40"/>
        <v>-4</v>
      </c>
      <c r="S171" s="84">
        <v>45800</v>
      </c>
      <c r="T171" s="158"/>
    </row>
    <row r="172" spans="1:20" hidden="1">
      <c r="A172" s="19" t="s">
        <v>188</v>
      </c>
      <c r="B172" s="291">
        <v>112</v>
      </c>
      <c r="C172" s="12" t="s">
        <v>78</v>
      </c>
      <c r="D172" s="313" t="s">
        <v>146</v>
      </c>
      <c r="E172" s="140">
        <v>45856</v>
      </c>
      <c r="F172" s="138">
        <v>5.3000001907348597</v>
      </c>
      <c r="G172" s="138">
        <v>5.3</v>
      </c>
      <c r="H172" s="138">
        <v>5</v>
      </c>
      <c r="I172" s="83">
        <f t="shared" si="35"/>
        <v>3.5000181198116209E-2</v>
      </c>
      <c r="J172" s="83">
        <f t="shared" si="36"/>
        <v>1.9073485990617201E-7</v>
      </c>
      <c r="K172" s="298" t="s">
        <v>108</v>
      </c>
      <c r="L172" s="142">
        <v>45784</v>
      </c>
      <c r="M172" s="142">
        <v>45785</v>
      </c>
      <c r="N172" s="142">
        <f t="shared" si="37"/>
        <v>45787</v>
      </c>
      <c r="O172" s="143">
        <f t="shared" ca="1" si="38"/>
        <v>-1</v>
      </c>
      <c r="P172" s="142">
        <f t="shared" si="39"/>
        <v>45796</v>
      </c>
      <c r="Q172" s="142">
        <v>45822</v>
      </c>
      <c r="R172" s="143">
        <f t="shared" ca="1" si="40"/>
        <v>-26</v>
      </c>
      <c r="S172" s="84">
        <v>45796</v>
      </c>
      <c r="T172" s="158"/>
    </row>
    <row r="173" spans="1:20" hidden="1">
      <c r="A173" s="19" t="s">
        <v>188</v>
      </c>
      <c r="B173" s="291">
        <v>112</v>
      </c>
      <c r="C173" s="12" t="s">
        <v>79</v>
      </c>
      <c r="D173" s="313" t="s">
        <v>138</v>
      </c>
      <c r="E173" s="140">
        <v>45856</v>
      </c>
      <c r="F173" s="138">
        <v>44.599998474121101</v>
      </c>
      <c r="G173" s="138">
        <v>44.6</v>
      </c>
      <c r="H173" s="138">
        <v>42</v>
      </c>
      <c r="I173" s="83">
        <f t="shared" si="35"/>
        <v>0.36999855041504048</v>
      </c>
      <c r="J173" s="83">
        <f t="shared" si="36"/>
        <v>-1.5258789005656581E-6</v>
      </c>
      <c r="K173" s="298" t="s">
        <v>108</v>
      </c>
      <c r="L173" s="142">
        <v>45784</v>
      </c>
      <c r="M173" s="142">
        <v>45785</v>
      </c>
      <c r="N173" s="142">
        <f t="shared" si="37"/>
        <v>45787</v>
      </c>
      <c r="O173" s="143">
        <f t="shared" ca="1" si="38"/>
        <v>-1</v>
      </c>
      <c r="P173" s="142">
        <f t="shared" si="39"/>
        <v>45796</v>
      </c>
      <c r="Q173" s="142">
        <v>45813</v>
      </c>
      <c r="R173" s="143">
        <f t="shared" ca="1" si="40"/>
        <v>-17</v>
      </c>
      <c r="S173" s="84">
        <v>45796</v>
      </c>
      <c r="T173" s="158"/>
    </row>
    <row r="174" spans="1:20" hidden="1">
      <c r="A174" s="19" t="s">
        <v>188</v>
      </c>
      <c r="B174" s="291">
        <v>112</v>
      </c>
      <c r="C174" s="12" t="s">
        <v>79</v>
      </c>
      <c r="D174" s="313" t="s">
        <v>145</v>
      </c>
      <c r="E174" s="140">
        <v>45856</v>
      </c>
      <c r="F174" s="138">
        <v>5.6999998092651403</v>
      </c>
      <c r="G174" s="138">
        <v>5.7</v>
      </c>
      <c r="H174" s="138">
        <v>5</v>
      </c>
      <c r="I174" s="83">
        <f t="shared" si="35"/>
        <v>0.41499981880188308</v>
      </c>
      <c r="J174" s="83">
        <f t="shared" si="36"/>
        <v>-1.9073485990617201E-7</v>
      </c>
      <c r="K174" s="298" t="s">
        <v>108</v>
      </c>
      <c r="L174" s="142">
        <v>45784</v>
      </c>
      <c r="M174" s="142">
        <v>45785</v>
      </c>
      <c r="N174" s="142">
        <f t="shared" si="37"/>
        <v>45787</v>
      </c>
      <c r="O174" s="143">
        <f t="shared" ca="1" si="38"/>
        <v>-1</v>
      </c>
      <c r="P174" s="142">
        <f t="shared" si="39"/>
        <v>45796</v>
      </c>
      <c r="Q174" s="142">
        <v>45822</v>
      </c>
      <c r="R174" s="143">
        <f t="shared" ca="1" si="40"/>
        <v>-26</v>
      </c>
      <c r="S174" s="84"/>
      <c r="T174" s="158"/>
    </row>
    <row r="175" spans="1:20" hidden="1">
      <c r="A175" s="19" t="s">
        <v>188</v>
      </c>
      <c r="B175" s="291">
        <v>112</v>
      </c>
      <c r="C175" s="12" t="s">
        <v>80</v>
      </c>
      <c r="D175" s="323" t="s">
        <v>146</v>
      </c>
      <c r="E175" s="140">
        <v>45856</v>
      </c>
      <c r="F175" s="138">
        <v>85.5</v>
      </c>
      <c r="G175" s="138">
        <v>85.5</v>
      </c>
      <c r="H175" s="138">
        <v>81</v>
      </c>
      <c r="I175" s="83">
        <f t="shared" si="35"/>
        <v>0.22499999999999432</v>
      </c>
      <c r="J175" s="83">
        <f t="shared" si="36"/>
        <v>0</v>
      </c>
      <c r="K175" s="140" t="s">
        <v>133</v>
      </c>
      <c r="L175" s="142">
        <v>45788</v>
      </c>
      <c r="M175" s="142">
        <v>45785</v>
      </c>
      <c r="N175" s="142">
        <f t="shared" si="37"/>
        <v>45787</v>
      </c>
      <c r="O175" s="143">
        <f t="shared" ca="1" si="38"/>
        <v>3</v>
      </c>
      <c r="P175" s="142">
        <f t="shared" si="39"/>
        <v>45800</v>
      </c>
      <c r="Q175" s="142">
        <v>45794</v>
      </c>
      <c r="R175" s="143">
        <f t="shared" ca="1" si="40"/>
        <v>6</v>
      </c>
      <c r="S175" s="84">
        <v>45797</v>
      </c>
      <c r="T175" s="158"/>
    </row>
    <row r="176" spans="1:20" hidden="1">
      <c r="A176" s="19" t="s">
        <v>188</v>
      </c>
      <c r="B176" s="291">
        <v>112</v>
      </c>
      <c r="C176" s="322" t="s">
        <v>75</v>
      </c>
      <c r="D176" s="323" t="s">
        <v>841</v>
      </c>
      <c r="E176" s="140">
        <v>45856</v>
      </c>
      <c r="F176" s="138">
        <v>70.5</v>
      </c>
      <c r="G176" s="138">
        <v>70.5</v>
      </c>
      <c r="H176" s="138">
        <v>67</v>
      </c>
      <c r="I176" s="83">
        <f t="shared" si="35"/>
        <v>-2.5000000000005684E-2</v>
      </c>
      <c r="J176" s="83">
        <f t="shared" si="36"/>
        <v>0</v>
      </c>
      <c r="K176" s="298" t="s">
        <v>108</v>
      </c>
      <c r="L176" s="142">
        <v>45796</v>
      </c>
      <c r="M176" s="142">
        <v>45785</v>
      </c>
      <c r="N176" s="142">
        <f t="shared" si="37"/>
        <v>45787</v>
      </c>
      <c r="O176" s="143">
        <f t="shared" ca="1" si="38"/>
        <v>11</v>
      </c>
      <c r="P176" s="142">
        <f t="shared" si="39"/>
        <v>45808</v>
      </c>
      <c r="Q176" s="142">
        <v>45807</v>
      </c>
      <c r="R176" s="143">
        <f t="shared" ca="1" si="40"/>
        <v>1</v>
      </c>
      <c r="S176" s="84">
        <v>45800</v>
      </c>
      <c r="T176" s="158"/>
    </row>
    <row r="177" spans="1:20" hidden="1">
      <c r="A177" s="19" t="s">
        <v>188</v>
      </c>
      <c r="B177" s="291">
        <v>112</v>
      </c>
      <c r="C177" s="322" t="s">
        <v>75</v>
      </c>
      <c r="D177" s="323" t="s">
        <v>840</v>
      </c>
      <c r="E177" s="140">
        <v>45856</v>
      </c>
      <c r="F177" s="138">
        <v>66</v>
      </c>
      <c r="G177" s="138">
        <v>66</v>
      </c>
      <c r="H177" s="138">
        <v>63</v>
      </c>
      <c r="I177" s="83">
        <f t="shared" si="35"/>
        <v>-0.30000000000000426</v>
      </c>
      <c r="J177" s="83">
        <f t="shared" si="36"/>
        <v>0</v>
      </c>
      <c r="K177" s="298" t="s">
        <v>108</v>
      </c>
      <c r="L177" s="142">
        <v>45796</v>
      </c>
      <c r="M177" s="142">
        <v>45785</v>
      </c>
      <c r="N177" s="142">
        <f t="shared" si="37"/>
        <v>45787</v>
      </c>
      <c r="O177" s="143">
        <f t="shared" ca="1" si="38"/>
        <v>11</v>
      </c>
      <c r="P177" s="142">
        <f t="shared" si="39"/>
        <v>45808</v>
      </c>
      <c r="Q177" s="142">
        <v>45807</v>
      </c>
      <c r="R177" s="143">
        <f t="shared" ca="1" si="40"/>
        <v>1</v>
      </c>
      <c r="S177" s="84">
        <v>45800</v>
      </c>
      <c r="T177" s="158"/>
    </row>
    <row r="178" spans="1:20" hidden="1">
      <c r="A178" s="19" t="s">
        <v>188</v>
      </c>
      <c r="B178" s="291">
        <v>112</v>
      </c>
      <c r="C178" s="322" t="s">
        <v>857</v>
      </c>
      <c r="D178" s="323" t="s">
        <v>841</v>
      </c>
      <c r="E178" s="140">
        <v>45856</v>
      </c>
      <c r="F178" s="138">
        <v>80.900001525878906</v>
      </c>
      <c r="G178" s="138">
        <v>80.900000000000006</v>
      </c>
      <c r="H178" s="138">
        <v>77</v>
      </c>
      <c r="I178" s="83">
        <f t="shared" si="35"/>
        <v>-0.14499855041503906</v>
      </c>
      <c r="J178" s="83">
        <f t="shared" si="36"/>
        <v>1.5258789005656581E-6</v>
      </c>
      <c r="K178" s="298" t="s">
        <v>108</v>
      </c>
      <c r="L178" s="142">
        <v>45796</v>
      </c>
      <c r="M178" s="142">
        <v>45785</v>
      </c>
      <c r="N178" s="142">
        <f t="shared" si="37"/>
        <v>45787</v>
      </c>
      <c r="O178" s="143">
        <f t="shared" ca="1" si="38"/>
        <v>11</v>
      </c>
      <c r="P178" s="142">
        <f t="shared" si="39"/>
        <v>45808</v>
      </c>
      <c r="Q178" s="142">
        <v>45807</v>
      </c>
      <c r="R178" s="143">
        <f t="shared" ca="1" si="40"/>
        <v>1</v>
      </c>
      <c r="S178" s="84">
        <v>45800</v>
      </c>
      <c r="T178" s="158"/>
    </row>
    <row r="179" spans="1:20" hidden="1">
      <c r="A179" s="19" t="s">
        <v>188</v>
      </c>
      <c r="B179" s="291">
        <v>112</v>
      </c>
      <c r="C179" s="322" t="s">
        <v>857</v>
      </c>
      <c r="D179" s="323" t="s">
        <v>840</v>
      </c>
      <c r="E179" s="140">
        <v>45856</v>
      </c>
      <c r="F179" s="138">
        <v>75.699996948242202</v>
      </c>
      <c r="G179" s="138">
        <v>75.7</v>
      </c>
      <c r="H179" s="138">
        <v>72</v>
      </c>
      <c r="I179" s="83">
        <f t="shared" si="35"/>
        <v>-8.5002899169907664E-2</v>
      </c>
      <c r="J179" s="83">
        <f t="shared" si="36"/>
        <v>-3.0517578011313162E-6</v>
      </c>
      <c r="K179" s="298" t="s">
        <v>108</v>
      </c>
      <c r="L179" s="142">
        <v>45796</v>
      </c>
      <c r="M179" s="142">
        <v>45785</v>
      </c>
      <c r="N179" s="142">
        <f t="shared" si="37"/>
        <v>45787</v>
      </c>
      <c r="O179" s="143">
        <f t="shared" ca="1" si="38"/>
        <v>11</v>
      </c>
      <c r="P179" s="142">
        <f t="shared" si="39"/>
        <v>45808</v>
      </c>
      <c r="Q179" s="142">
        <v>45807</v>
      </c>
      <c r="R179" s="143">
        <f t="shared" ca="1" si="40"/>
        <v>1</v>
      </c>
      <c r="S179" s="84">
        <v>45800</v>
      </c>
      <c r="T179" s="158"/>
    </row>
    <row r="180" spans="1:20" hidden="1">
      <c r="A180" s="19" t="s">
        <v>188</v>
      </c>
      <c r="B180" s="291">
        <v>113</v>
      </c>
      <c r="C180" s="12" t="s">
        <v>80</v>
      </c>
      <c r="D180" s="323" t="s">
        <v>146</v>
      </c>
      <c r="E180" s="140">
        <v>45856</v>
      </c>
      <c r="F180" s="138">
        <v>414</v>
      </c>
      <c r="G180" s="138">
        <v>414</v>
      </c>
      <c r="H180" s="138">
        <v>393</v>
      </c>
      <c r="I180" s="83">
        <f t="shared" si="35"/>
        <v>0.29999999999995453</v>
      </c>
      <c r="J180" s="83">
        <f t="shared" si="36"/>
        <v>0</v>
      </c>
      <c r="K180" s="140" t="s">
        <v>133</v>
      </c>
      <c r="L180" s="142">
        <v>45788</v>
      </c>
      <c r="M180" s="142">
        <v>45785</v>
      </c>
      <c r="N180" s="142">
        <f t="shared" si="37"/>
        <v>45787</v>
      </c>
      <c r="O180" s="143">
        <f t="shared" ca="1" si="38"/>
        <v>3</v>
      </c>
      <c r="P180" s="142">
        <f t="shared" si="39"/>
        <v>45800</v>
      </c>
      <c r="Q180" s="142">
        <v>45794</v>
      </c>
      <c r="R180" s="143">
        <f t="shared" ca="1" si="40"/>
        <v>6</v>
      </c>
      <c r="S180" s="84">
        <v>45797</v>
      </c>
      <c r="T180" s="158"/>
    </row>
    <row r="181" spans="1:20" hidden="1">
      <c r="A181" s="19" t="s">
        <v>188</v>
      </c>
      <c r="B181" s="291">
        <v>113</v>
      </c>
      <c r="C181" s="322" t="s">
        <v>75</v>
      </c>
      <c r="D181" s="323" t="s">
        <v>841</v>
      </c>
      <c r="E181" s="140">
        <v>45856</v>
      </c>
      <c r="F181" s="138">
        <v>70.5</v>
      </c>
      <c r="G181" s="138">
        <v>70.5</v>
      </c>
      <c r="H181" s="138">
        <v>67</v>
      </c>
      <c r="I181" s="83">
        <f t="shared" si="35"/>
        <v>-2.5000000000005684E-2</v>
      </c>
      <c r="J181" s="83">
        <f t="shared" si="36"/>
        <v>0</v>
      </c>
      <c r="K181" s="298" t="s">
        <v>108</v>
      </c>
      <c r="L181" s="142">
        <v>45796</v>
      </c>
      <c r="M181" s="142">
        <v>45785</v>
      </c>
      <c r="N181" s="142">
        <f t="shared" si="37"/>
        <v>45787</v>
      </c>
      <c r="O181" s="143">
        <f t="shared" ca="1" si="38"/>
        <v>11</v>
      </c>
      <c r="P181" s="142">
        <f t="shared" si="39"/>
        <v>45808</v>
      </c>
      <c r="Q181" s="142">
        <v>45807</v>
      </c>
      <c r="R181" s="143">
        <f t="shared" ca="1" si="40"/>
        <v>1</v>
      </c>
      <c r="S181" s="84">
        <v>45800</v>
      </c>
      <c r="T181" s="158"/>
    </row>
    <row r="182" spans="1:20" hidden="1">
      <c r="A182" s="19" t="s">
        <v>188</v>
      </c>
      <c r="B182" s="291">
        <v>113</v>
      </c>
      <c r="C182" s="322" t="s">
        <v>75</v>
      </c>
      <c r="D182" s="323" t="s">
        <v>840</v>
      </c>
      <c r="E182" s="140">
        <v>45856</v>
      </c>
      <c r="F182" s="138">
        <v>66</v>
      </c>
      <c r="G182" s="138">
        <v>66</v>
      </c>
      <c r="H182" s="138">
        <v>63</v>
      </c>
      <c r="I182" s="83">
        <f t="shared" si="35"/>
        <v>-0.30000000000000426</v>
      </c>
      <c r="J182" s="83">
        <f t="shared" si="36"/>
        <v>0</v>
      </c>
      <c r="K182" s="298" t="s">
        <v>108</v>
      </c>
      <c r="L182" s="142">
        <v>45796</v>
      </c>
      <c r="M182" s="142">
        <v>45785</v>
      </c>
      <c r="N182" s="142">
        <f t="shared" si="37"/>
        <v>45787</v>
      </c>
      <c r="O182" s="143">
        <f t="shared" ca="1" si="38"/>
        <v>11</v>
      </c>
      <c r="P182" s="142">
        <f t="shared" si="39"/>
        <v>45808</v>
      </c>
      <c r="Q182" s="142">
        <v>45807</v>
      </c>
      <c r="R182" s="143">
        <f t="shared" ca="1" si="40"/>
        <v>1</v>
      </c>
      <c r="S182" s="84">
        <v>45800</v>
      </c>
      <c r="T182" s="158"/>
    </row>
    <row r="183" spans="1:20" hidden="1">
      <c r="A183" s="19" t="s">
        <v>188</v>
      </c>
      <c r="B183" s="291">
        <v>113</v>
      </c>
      <c r="C183" s="322" t="s">
        <v>857</v>
      </c>
      <c r="D183" s="323" t="s">
        <v>841</v>
      </c>
      <c r="E183" s="140">
        <v>45856</v>
      </c>
      <c r="F183" s="138">
        <v>80.900001525878906</v>
      </c>
      <c r="G183" s="138">
        <v>80.900000000000006</v>
      </c>
      <c r="H183" s="138">
        <v>77</v>
      </c>
      <c r="I183" s="83">
        <f t="shared" si="35"/>
        <v>-0.14499855041503906</v>
      </c>
      <c r="J183" s="83">
        <f t="shared" si="36"/>
        <v>1.5258789005656581E-6</v>
      </c>
      <c r="K183" s="298" t="s">
        <v>108</v>
      </c>
      <c r="L183" s="142">
        <v>45796</v>
      </c>
      <c r="M183" s="142">
        <v>45785</v>
      </c>
      <c r="N183" s="142">
        <f t="shared" si="37"/>
        <v>45787</v>
      </c>
      <c r="O183" s="143">
        <f t="shared" ca="1" si="38"/>
        <v>11</v>
      </c>
      <c r="P183" s="142">
        <f t="shared" si="39"/>
        <v>45808</v>
      </c>
      <c r="Q183" s="142">
        <v>45807</v>
      </c>
      <c r="R183" s="143">
        <f t="shared" ca="1" si="40"/>
        <v>1</v>
      </c>
      <c r="S183" s="84">
        <v>45800</v>
      </c>
      <c r="T183" s="158"/>
    </row>
    <row r="184" spans="1:20" hidden="1">
      <c r="A184" s="19" t="s">
        <v>188</v>
      </c>
      <c r="B184" s="291">
        <v>113</v>
      </c>
      <c r="C184" s="322" t="s">
        <v>857</v>
      </c>
      <c r="D184" s="323" t="s">
        <v>840</v>
      </c>
      <c r="E184" s="140">
        <v>45856</v>
      </c>
      <c r="F184" s="138">
        <v>75.699996948242202</v>
      </c>
      <c r="G184" s="138">
        <v>75.7</v>
      </c>
      <c r="H184" s="138">
        <v>72</v>
      </c>
      <c r="I184" s="83">
        <f t="shared" si="35"/>
        <v>-8.5002899169907664E-2</v>
      </c>
      <c r="J184" s="83">
        <f t="shared" si="36"/>
        <v>-3.0517578011313162E-6</v>
      </c>
      <c r="K184" s="298" t="s">
        <v>108</v>
      </c>
      <c r="L184" s="142">
        <v>45796</v>
      </c>
      <c r="M184" s="142">
        <v>45785</v>
      </c>
      <c r="N184" s="142">
        <f t="shared" si="37"/>
        <v>45787</v>
      </c>
      <c r="O184" s="143">
        <f t="shared" ca="1" si="38"/>
        <v>11</v>
      </c>
      <c r="P184" s="142">
        <f t="shared" si="39"/>
        <v>45808</v>
      </c>
      <c r="Q184" s="142">
        <v>45807</v>
      </c>
      <c r="R184" s="143">
        <f t="shared" ca="1" si="40"/>
        <v>1</v>
      </c>
      <c r="S184" s="84">
        <v>45800</v>
      </c>
      <c r="T184" s="158"/>
    </row>
    <row r="185" spans="1:20" hidden="1">
      <c r="A185" s="19" t="s">
        <v>188</v>
      </c>
      <c r="B185" s="291">
        <v>84</v>
      </c>
      <c r="C185" s="12" t="s">
        <v>77</v>
      </c>
      <c r="D185" s="323" t="s">
        <v>149</v>
      </c>
      <c r="E185" s="140">
        <v>45865</v>
      </c>
      <c r="F185" s="138">
        <v>94.300003051757798</v>
      </c>
      <c r="G185" s="138">
        <v>94.3</v>
      </c>
      <c r="H185" s="138">
        <v>90</v>
      </c>
      <c r="I185" s="83">
        <f t="shared" si="35"/>
        <v>-0.41499710083009234</v>
      </c>
      <c r="J185" s="83">
        <f t="shared" si="36"/>
        <v>3.0517578011313162E-6</v>
      </c>
      <c r="K185" s="298" t="s">
        <v>890</v>
      </c>
      <c r="L185" s="142">
        <v>45784</v>
      </c>
      <c r="M185" s="142">
        <v>45784</v>
      </c>
      <c r="N185" s="142">
        <f t="shared" si="37"/>
        <v>45786</v>
      </c>
      <c r="O185" s="143">
        <f t="shared" ca="1" si="38"/>
        <v>0</v>
      </c>
      <c r="P185" s="142">
        <f t="shared" si="39"/>
        <v>45796</v>
      </c>
      <c r="Q185" s="142">
        <v>45798</v>
      </c>
      <c r="R185" s="143">
        <f t="shared" ca="1" si="40"/>
        <v>-2</v>
      </c>
      <c r="S185" s="84">
        <v>45797</v>
      </c>
      <c r="T185" s="158"/>
    </row>
    <row r="186" spans="1:20" hidden="1">
      <c r="A186" s="19" t="s">
        <v>188</v>
      </c>
      <c r="B186" s="291">
        <v>84</v>
      </c>
      <c r="C186" s="12" t="s">
        <v>77</v>
      </c>
      <c r="D186" s="323" t="s">
        <v>150</v>
      </c>
      <c r="E186" s="140">
        <v>45865</v>
      </c>
      <c r="F186" s="138">
        <v>94.300003051757798</v>
      </c>
      <c r="G186" s="138">
        <v>94</v>
      </c>
      <c r="H186" s="138">
        <v>90</v>
      </c>
      <c r="I186" s="83">
        <f t="shared" si="35"/>
        <v>-0.41499710083009234</v>
      </c>
      <c r="J186" s="83">
        <f t="shared" si="36"/>
        <v>0.30000305175779829</v>
      </c>
      <c r="K186" s="298" t="s">
        <v>890</v>
      </c>
      <c r="L186" s="142">
        <v>45784</v>
      </c>
      <c r="M186" s="142">
        <v>45784</v>
      </c>
      <c r="N186" s="142">
        <f t="shared" si="37"/>
        <v>45786</v>
      </c>
      <c r="O186" s="143">
        <f t="shared" ca="1" si="38"/>
        <v>0</v>
      </c>
      <c r="P186" s="142">
        <f t="shared" si="39"/>
        <v>45796</v>
      </c>
      <c r="Q186" s="142">
        <v>45798</v>
      </c>
      <c r="R186" s="143">
        <f t="shared" ca="1" si="40"/>
        <v>-2</v>
      </c>
      <c r="S186" s="84">
        <v>45797</v>
      </c>
      <c r="T186" s="158"/>
    </row>
    <row r="187" spans="1:20" hidden="1">
      <c r="A187" s="19" t="s">
        <v>188</v>
      </c>
      <c r="B187" s="291">
        <v>84</v>
      </c>
      <c r="C187" s="12" t="s">
        <v>77</v>
      </c>
      <c r="D187" s="323" t="s">
        <v>151</v>
      </c>
      <c r="E187" s="140">
        <v>45865</v>
      </c>
      <c r="F187" s="138">
        <v>33.299999237060497</v>
      </c>
      <c r="G187" s="138">
        <v>33</v>
      </c>
      <c r="H187" s="138">
        <v>32</v>
      </c>
      <c r="I187" s="83">
        <f t="shared" si="35"/>
        <v>-0.36500072479253021</v>
      </c>
      <c r="J187" s="83">
        <f t="shared" si="36"/>
        <v>0.29999923706049714</v>
      </c>
      <c r="K187" s="298" t="s">
        <v>890</v>
      </c>
      <c r="L187" s="142">
        <v>45784</v>
      </c>
      <c r="M187" s="142">
        <v>45784</v>
      </c>
      <c r="N187" s="142">
        <f t="shared" si="37"/>
        <v>45786</v>
      </c>
      <c r="O187" s="143">
        <f t="shared" ca="1" si="38"/>
        <v>0</v>
      </c>
      <c r="P187" s="142">
        <f t="shared" si="39"/>
        <v>45796</v>
      </c>
      <c r="Q187" s="142">
        <v>45798</v>
      </c>
      <c r="R187" s="143">
        <f t="shared" ca="1" si="40"/>
        <v>-2</v>
      </c>
      <c r="S187" s="84">
        <v>45797</v>
      </c>
      <c r="T187" s="158"/>
    </row>
    <row r="188" spans="1:20" hidden="1">
      <c r="A188" s="19" t="s">
        <v>188</v>
      </c>
      <c r="B188" s="291">
        <v>84</v>
      </c>
      <c r="C188" s="12" t="s">
        <v>77</v>
      </c>
      <c r="D188" s="323" t="s">
        <v>152</v>
      </c>
      <c r="E188" s="140">
        <v>45865</v>
      </c>
      <c r="F188" s="138">
        <v>16.700000762939499</v>
      </c>
      <c r="G188" s="138">
        <v>16.7</v>
      </c>
      <c r="H188" s="138">
        <v>16</v>
      </c>
      <c r="I188" s="83">
        <f t="shared" si="35"/>
        <v>-0.1349992752074769</v>
      </c>
      <c r="J188" s="83">
        <f t="shared" si="36"/>
        <v>7.6293950002082056E-7</v>
      </c>
      <c r="K188" s="298" t="s">
        <v>890</v>
      </c>
      <c r="L188" s="142">
        <v>45784</v>
      </c>
      <c r="M188" s="142">
        <v>45784</v>
      </c>
      <c r="N188" s="142">
        <f t="shared" si="37"/>
        <v>45786</v>
      </c>
      <c r="O188" s="143">
        <f t="shared" ca="1" si="38"/>
        <v>0</v>
      </c>
      <c r="P188" s="142">
        <f t="shared" si="39"/>
        <v>45796</v>
      </c>
      <c r="Q188" s="142">
        <v>45798</v>
      </c>
      <c r="R188" s="143">
        <f t="shared" ca="1" si="40"/>
        <v>-2</v>
      </c>
      <c r="S188" s="84">
        <v>45797</v>
      </c>
      <c r="T188" s="158"/>
    </row>
    <row r="189" spans="1:20" hidden="1">
      <c r="A189" s="19" t="s">
        <v>188</v>
      </c>
      <c r="B189" s="291">
        <v>84</v>
      </c>
      <c r="C189" s="12" t="s">
        <v>77</v>
      </c>
      <c r="D189" s="323" t="s">
        <v>153</v>
      </c>
      <c r="E189" s="140">
        <v>45865</v>
      </c>
      <c r="F189" s="138">
        <v>94.300003051757798</v>
      </c>
      <c r="G189" s="138">
        <v>94</v>
      </c>
      <c r="H189" s="138">
        <v>90</v>
      </c>
      <c r="I189" s="83">
        <f t="shared" si="35"/>
        <v>-0.41499710083009234</v>
      </c>
      <c r="J189" s="83">
        <f t="shared" si="36"/>
        <v>0.30000305175779829</v>
      </c>
      <c r="K189" s="298" t="s">
        <v>890</v>
      </c>
      <c r="L189" s="142">
        <v>45784</v>
      </c>
      <c r="M189" s="142">
        <v>45784</v>
      </c>
      <c r="N189" s="142">
        <f t="shared" si="37"/>
        <v>45786</v>
      </c>
      <c r="O189" s="143">
        <f t="shared" ca="1" si="38"/>
        <v>0</v>
      </c>
      <c r="P189" s="142">
        <f t="shared" si="39"/>
        <v>45796</v>
      </c>
      <c r="Q189" s="142">
        <v>45798</v>
      </c>
      <c r="R189" s="143">
        <f t="shared" ca="1" si="40"/>
        <v>-2</v>
      </c>
      <c r="S189" s="84">
        <v>45797</v>
      </c>
      <c r="T189" s="158"/>
    </row>
    <row r="190" spans="1:20" hidden="1">
      <c r="A190" s="19" t="s">
        <v>188</v>
      </c>
      <c r="B190" s="291">
        <v>114</v>
      </c>
      <c r="C190" s="12" t="s">
        <v>78</v>
      </c>
      <c r="D190" s="313" t="s">
        <v>146</v>
      </c>
      <c r="E190" s="140">
        <v>45863</v>
      </c>
      <c r="F190" s="138">
        <v>5.5</v>
      </c>
      <c r="G190" s="138">
        <v>5.5</v>
      </c>
      <c r="H190" s="138">
        <v>5</v>
      </c>
      <c r="I190" s="83">
        <f t="shared" si="35"/>
        <v>0.22499999999999964</v>
      </c>
      <c r="J190" s="83">
        <f t="shared" si="36"/>
        <v>0</v>
      </c>
      <c r="K190" s="298" t="s">
        <v>108</v>
      </c>
      <c r="L190" s="142">
        <v>45784</v>
      </c>
      <c r="M190" s="142">
        <v>45785</v>
      </c>
      <c r="N190" s="142">
        <f t="shared" si="37"/>
        <v>45787</v>
      </c>
      <c r="O190" s="143">
        <f t="shared" ca="1" si="38"/>
        <v>-1</v>
      </c>
      <c r="P190" s="142">
        <f t="shared" si="39"/>
        <v>45796</v>
      </c>
      <c r="Q190" s="142">
        <v>45822</v>
      </c>
      <c r="R190" s="143">
        <f t="shared" ca="1" si="40"/>
        <v>-26</v>
      </c>
      <c r="S190" s="84">
        <v>45796</v>
      </c>
      <c r="T190" s="158"/>
    </row>
    <row r="191" spans="1:20" hidden="1">
      <c r="A191" s="19" t="s">
        <v>188</v>
      </c>
      <c r="B191" s="291">
        <v>84</v>
      </c>
      <c r="C191" s="12" t="s">
        <v>78</v>
      </c>
      <c r="D191" s="323" t="s">
        <v>149</v>
      </c>
      <c r="E191" s="140">
        <v>45865</v>
      </c>
      <c r="F191" s="138">
        <v>0.60000002384185802</v>
      </c>
      <c r="G191" s="138">
        <v>0.6</v>
      </c>
      <c r="H191" s="138">
        <v>1</v>
      </c>
      <c r="I191" s="83">
        <f t="shared" si="35"/>
        <v>-0.42999997735023487</v>
      </c>
      <c r="J191" s="83">
        <f t="shared" si="36"/>
        <v>2.3841858043383013E-8</v>
      </c>
      <c r="K191" s="298" t="s">
        <v>890</v>
      </c>
      <c r="L191" s="142">
        <v>45784</v>
      </c>
      <c r="M191" s="142">
        <v>45784</v>
      </c>
      <c r="N191" s="142">
        <f t="shared" si="37"/>
        <v>45786</v>
      </c>
      <c r="O191" s="143">
        <f t="shared" ca="1" si="38"/>
        <v>0</v>
      </c>
      <c r="P191" s="142">
        <f t="shared" si="39"/>
        <v>45796</v>
      </c>
      <c r="Q191" s="142">
        <v>45798</v>
      </c>
      <c r="R191" s="143">
        <f t="shared" ca="1" si="40"/>
        <v>-2</v>
      </c>
      <c r="S191" s="84">
        <v>45797</v>
      </c>
      <c r="T191" s="158"/>
    </row>
    <row r="192" spans="1:20" hidden="1">
      <c r="A192" s="19" t="s">
        <v>188</v>
      </c>
      <c r="B192" s="291">
        <v>84</v>
      </c>
      <c r="C192" s="12" t="s">
        <v>78</v>
      </c>
      <c r="D192" s="323" t="s">
        <v>150</v>
      </c>
      <c r="E192" s="140">
        <v>45865</v>
      </c>
      <c r="F192" s="138">
        <v>0.60000002384185802</v>
      </c>
      <c r="G192" s="138">
        <v>0.6</v>
      </c>
      <c r="H192" s="138">
        <v>1</v>
      </c>
      <c r="I192" s="83">
        <f t="shared" si="35"/>
        <v>-0.42999997735023487</v>
      </c>
      <c r="J192" s="83">
        <f t="shared" si="36"/>
        <v>2.3841858043383013E-8</v>
      </c>
      <c r="K192" s="298" t="s">
        <v>890</v>
      </c>
      <c r="L192" s="142">
        <v>45784</v>
      </c>
      <c r="M192" s="142">
        <v>45784</v>
      </c>
      <c r="N192" s="142">
        <f t="shared" si="37"/>
        <v>45786</v>
      </c>
      <c r="O192" s="143">
        <f t="shared" ca="1" si="38"/>
        <v>0</v>
      </c>
      <c r="P192" s="142">
        <f t="shared" si="39"/>
        <v>45796</v>
      </c>
      <c r="Q192" s="142">
        <v>45798</v>
      </c>
      <c r="R192" s="143">
        <f t="shared" ca="1" si="40"/>
        <v>-2</v>
      </c>
      <c r="S192" s="84">
        <v>45797</v>
      </c>
      <c r="T192" s="158"/>
    </row>
    <row r="193" spans="1:20" hidden="1">
      <c r="A193" s="19" t="s">
        <v>188</v>
      </c>
      <c r="B193" s="291">
        <v>84</v>
      </c>
      <c r="C193" s="12" t="s">
        <v>78</v>
      </c>
      <c r="D193" s="323" t="s">
        <v>153</v>
      </c>
      <c r="E193" s="140">
        <v>45865</v>
      </c>
      <c r="F193" s="138">
        <v>0.60000002384185802</v>
      </c>
      <c r="G193" s="138">
        <v>0.6</v>
      </c>
      <c r="H193" s="138">
        <v>1</v>
      </c>
      <c r="I193" s="83">
        <f t="shared" si="35"/>
        <v>-0.42999997735023487</v>
      </c>
      <c r="J193" s="83">
        <f t="shared" si="36"/>
        <v>2.3841858043383013E-8</v>
      </c>
      <c r="K193" s="298" t="s">
        <v>890</v>
      </c>
      <c r="L193" s="142">
        <v>45784</v>
      </c>
      <c r="M193" s="142">
        <v>45784</v>
      </c>
      <c r="N193" s="142">
        <f t="shared" si="37"/>
        <v>45786</v>
      </c>
      <c r="O193" s="143">
        <f t="shared" ca="1" si="38"/>
        <v>0</v>
      </c>
      <c r="P193" s="142">
        <f t="shared" si="39"/>
        <v>45796</v>
      </c>
      <c r="Q193" s="142">
        <v>45798</v>
      </c>
      <c r="R193" s="143">
        <f t="shared" ca="1" si="40"/>
        <v>-2</v>
      </c>
      <c r="S193" s="84">
        <v>45797</v>
      </c>
      <c r="T193" s="158"/>
    </row>
    <row r="194" spans="1:20" hidden="1">
      <c r="A194" s="19" t="s">
        <v>188</v>
      </c>
      <c r="B194" s="291">
        <v>114</v>
      </c>
      <c r="C194" s="12" t="s">
        <v>80</v>
      </c>
      <c r="D194" s="323" t="s">
        <v>146</v>
      </c>
      <c r="E194" s="140">
        <v>45863</v>
      </c>
      <c r="F194" s="138">
        <v>582</v>
      </c>
      <c r="G194" s="138">
        <v>582</v>
      </c>
      <c r="H194" s="138">
        <v>553</v>
      </c>
      <c r="I194" s="83">
        <f t="shared" ref="I194:I199" si="41">F194*95%-H194</f>
        <v>-0.10000000000002274</v>
      </c>
      <c r="J194" s="83">
        <f t="shared" ref="J194:J199" si="42">F194-G194</f>
        <v>0</v>
      </c>
      <c r="K194" s="140" t="s">
        <v>133</v>
      </c>
      <c r="L194" s="142">
        <v>45788</v>
      </c>
      <c r="M194" s="142">
        <v>45785</v>
      </c>
      <c r="N194" s="142">
        <f t="shared" ref="N194:N200" si="43">M194+2</f>
        <v>45787</v>
      </c>
      <c r="O194" s="143">
        <f t="shared" ref="O194:O200" ca="1" si="44">+IF(M194="",L194-TODAY(),L194-M194)</f>
        <v>3</v>
      </c>
      <c r="P194" s="142">
        <f t="shared" si="39"/>
        <v>45800</v>
      </c>
      <c r="Q194" s="142">
        <v>45794</v>
      </c>
      <c r="R194" s="143">
        <f t="shared" ref="R194:R200" ca="1" si="45">+IF(Q194="",P194-TODAY(),P194-Q194)</f>
        <v>6</v>
      </c>
      <c r="S194" s="84">
        <v>45797</v>
      </c>
      <c r="T194" s="158"/>
    </row>
    <row r="195" spans="1:20" hidden="1">
      <c r="A195" s="19" t="s">
        <v>188</v>
      </c>
      <c r="B195" s="291">
        <v>114</v>
      </c>
      <c r="C195" s="322" t="s">
        <v>75</v>
      </c>
      <c r="D195" s="323" t="s">
        <v>841</v>
      </c>
      <c r="E195" s="140">
        <v>45863</v>
      </c>
      <c r="F195" s="138">
        <v>63.5</v>
      </c>
      <c r="G195" s="138">
        <v>63.5</v>
      </c>
      <c r="H195" s="138">
        <v>60</v>
      </c>
      <c r="I195" s="83">
        <f t="shared" si="41"/>
        <v>0.32499999999999574</v>
      </c>
      <c r="J195" s="83">
        <f t="shared" si="42"/>
        <v>0</v>
      </c>
      <c r="K195" s="298" t="s">
        <v>108</v>
      </c>
      <c r="L195" s="142">
        <v>45796</v>
      </c>
      <c r="M195" s="142">
        <v>45785</v>
      </c>
      <c r="N195" s="142">
        <f t="shared" si="43"/>
        <v>45787</v>
      </c>
      <c r="O195" s="143">
        <f t="shared" ca="1" si="44"/>
        <v>11</v>
      </c>
      <c r="P195" s="142">
        <f t="shared" ref="P195:P204" si="46">L195+12</f>
        <v>45808</v>
      </c>
      <c r="Q195" s="142">
        <v>45807</v>
      </c>
      <c r="R195" s="143">
        <f t="shared" ca="1" si="45"/>
        <v>1</v>
      </c>
      <c r="S195" s="84">
        <v>45800</v>
      </c>
      <c r="T195" s="158"/>
    </row>
    <row r="196" spans="1:20" hidden="1">
      <c r="A196" s="19" t="s">
        <v>188</v>
      </c>
      <c r="B196" s="291">
        <v>114</v>
      </c>
      <c r="C196" s="322" t="s">
        <v>75</v>
      </c>
      <c r="D196" s="323" t="s">
        <v>858</v>
      </c>
      <c r="E196" s="140">
        <v>45863</v>
      </c>
      <c r="F196" s="138">
        <v>86.099998474121094</v>
      </c>
      <c r="G196" s="138">
        <v>86.1</v>
      </c>
      <c r="H196" s="138">
        <v>82</v>
      </c>
      <c r="I196" s="83">
        <f t="shared" si="41"/>
        <v>-0.20500144958496946</v>
      </c>
      <c r="J196" s="83">
        <f t="shared" si="42"/>
        <v>-1.5258789005656581E-6</v>
      </c>
      <c r="K196" s="298" t="s">
        <v>108</v>
      </c>
      <c r="L196" s="142">
        <v>45796</v>
      </c>
      <c r="M196" s="142">
        <v>45785</v>
      </c>
      <c r="N196" s="142">
        <f t="shared" si="43"/>
        <v>45787</v>
      </c>
      <c r="O196" s="143">
        <f t="shared" ca="1" si="44"/>
        <v>11</v>
      </c>
      <c r="P196" s="142">
        <f t="shared" si="46"/>
        <v>45808</v>
      </c>
      <c r="Q196" s="142">
        <v>45807</v>
      </c>
      <c r="R196" s="143">
        <f t="shared" ca="1" si="45"/>
        <v>1</v>
      </c>
      <c r="S196" s="84">
        <v>45800</v>
      </c>
      <c r="T196" s="158"/>
    </row>
    <row r="197" spans="1:20" hidden="1">
      <c r="A197" s="19" t="s">
        <v>188</v>
      </c>
      <c r="B197" s="291">
        <v>114</v>
      </c>
      <c r="C197" s="322" t="s">
        <v>75</v>
      </c>
      <c r="D197" s="323" t="s">
        <v>840</v>
      </c>
      <c r="E197" s="140">
        <v>45863</v>
      </c>
      <c r="F197" s="138">
        <v>59.400001525878899</v>
      </c>
      <c r="G197" s="138">
        <v>59.4</v>
      </c>
      <c r="H197" s="138">
        <v>56</v>
      </c>
      <c r="I197" s="83">
        <f t="shared" si="41"/>
        <v>0.43000144958494957</v>
      </c>
      <c r="J197" s="83">
        <f t="shared" si="42"/>
        <v>1.5258789005656581E-6</v>
      </c>
      <c r="K197" s="298" t="s">
        <v>108</v>
      </c>
      <c r="L197" s="142">
        <v>45796</v>
      </c>
      <c r="M197" s="142">
        <v>45785</v>
      </c>
      <c r="N197" s="142">
        <f t="shared" si="43"/>
        <v>45787</v>
      </c>
      <c r="O197" s="143">
        <f t="shared" ca="1" si="44"/>
        <v>11</v>
      </c>
      <c r="P197" s="142">
        <f t="shared" si="46"/>
        <v>45808</v>
      </c>
      <c r="Q197" s="142">
        <v>45807</v>
      </c>
      <c r="R197" s="143">
        <f t="shared" ca="1" si="45"/>
        <v>1</v>
      </c>
      <c r="S197" s="84">
        <v>45800</v>
      </c>
      <c r="T197" s="158"/>
    </row>
    <row r="198" spans="1:20" hidden="1">
      <c r="A198" s="19" t="s">
        <v>188</v>
      </c>
      <c r="B198" s="291">
        <v>114</v>
      </c>
      <c r="C198" s="322" t="s">
        <v>75</v>
      </c>
      <c r="D198" s="323" t="s">
        <v>859</v>
      </c>
      <c r="E198" s="140">
        <v>45863</v>
      </c>
      <c r="F198" s="138">
        <v>52.799999237060497</v>
      </c>
      <c r="G198" s="138">
        <v>52.8</v>
      </c>
      <c r="H198" s="138">
        <v>50</v>
      </c>
      <c r="I198" s="83">
        <f t="shared" si="41"/>
        <v>0.15999927520746837</v>
      </c>
      <c r="J198" s="83">
        <f t="shared" si="42"/>
        <v>-7.6293950002082056E-7</v>
      </c>
      <c r="K198" s="298" t="s">
        <v>108</v>
      </c>
      <c r="L198" s="142">
        <v>45796</v>
      </c>
      <c r="M198" s="142">
        <v>45785</v>
      </c>
      <c r="N198" s="142">
        <f t="shared" si="43"/>
        <v>45787</v>
      </c>
      <c r="O198" s="143">
        <f t="shared" ca="1" si="44"/>
        <v>11</v>
      </c>
      <c r="P198" s="142">
        <f t="shared" si="46"/>
        <v>45808</v>
      </c>
      <c r="Q198" s="142">
        <v>45807</v>
      </c>
      <c r="R198" s="143">
        <f t="shared" ca="1" si="45"/>
        <v>1</v>
      </c>
      <c r="S198" s="84">
        <v>45800</v>
      </c>
      <c r="T198" s="158"/>
    </row>
    <row r="199" spans="1:20" hidden="1">
      <c r="A199" s="19" t="s">
        <v>188</v>
      </c>
      <c r="B199" s="291">
        <v>114</v>
      </c>
      <c r="C199" s="322" t="s">
        <v>857</v>
      </c>
      <c r="D199" s="323" t="s">
        <v>841</v>
      </c>
      <c r="E199" s="140">
        <v>45863</v>
      </c>
      <c r="F199" s="138">
        <v>72.800003051757798</v>
      </c>
      <c r="G199" s="138">
        <v>72.8</v>
      </c>
      <c r="H199" s="138">
        <v>69</v>
      </c>
      <c r="I199" s="83">
        <f t="shared" si="41"/>
        <v>0.16000289916991051</v>
      </c>
      <c r="J199" s="83">
        <f t="shared" si="42"/>
        <v>3.0517578011313162E-6</v>
      </c>
      <c r="K199" s="298" t="s">
        <v>108</v>
      </c>
      <c r="L199" s="142">
        <v>45796</v>
      </c>
      <c r="M199" s="142">
        <v>45785</v>
      </c>
      <c r="N199" s="142">
        <f t="shared" si="43"/>
        <v>45787</v>
      </c>
      <c r="O199" s="143">
        <f t="shared" ca="1" si="44"/>
        <v>11</v>
      </c>
      <c r="P199" s="142">
        <f t="shared" si="46"/>
        <v>45808</v>
      </c>
      <c r="Q199" s="142">
        <v>45807</v>
      </c>
      <c r="R199" s="143">
        <f t="shared" ca="1" si="45"/>
        <v>1</v>
      </c>
      <c r="S199" s="84">
        <v>45800</v>
      </c>
      <c r="T199" s="158"/>
    </row>
    <row r="200" spans="1:20" hidden="1">
      <c r="A200" s="19" t="s">
        <v>188</v>
      </c>
      <c r="B200" s="291">
        <v>114</v>
      </c>
      <c r="C200" s="322" t="s">
        <v>857</v>
      </c>
      <c r="D200" s="323" t="s">
        <v>858</v>
      </c>
      <c r="E200" s="140">
        <v>45863</v>
      </c>
      <c r="F200" s="138">
        <v>98.699996948242202</v>
      </c>
      <c r="G200" s="138">
        <v>98.7</v>
      </c>
      <c r="H200" s="138">
        <v>94</v>
      </c>
      <c r="I200" s="83">
        <f t="shared" ref="I200:I210" si="47">F200*95%-H200</f>
        <v>-0.23500289916991335</v>
      </c>
      <c r="J200" s="83">
        <f t="shared" ref="J200:J210" si="48">F200-G200</f>
        <v>-3.0517578011313162E-6</v>
      </c>
      <c r="K200" s="298" t="s">
        <v>108</v>
      </c>
      <c r="L200" s="142">
        <v>45796</v>
      </c>
      <c r="M200" s="142">
        <v>45785</v>
      </c>
      <c r="N200" s="142">
        <f t="shared" si="43"/>
        <v>45787</v>
      </c>
      <c r="O200" s="143">
        <f t="shared" ca="1" si="44"/>
        <v>11</v>
      </c>
      <c r="P200" s="142">
        <f t="shared" si="46"/>
        <v>45808</v>
      </c>
      <c r="Q200" s="142">
        <v>45807</v>
      </c>
      <c r="R200" s="143">
        <f t="shared" ca="1" si="45"/>
        <v>1</v>
      </c>
      <c r="S200" s="84">
        <v>45800</v>
      </c>
      <c r="T200" s="158"/>
    </row>
    <row r="201" spans="1:20" hidden="1">
      <c r="A201" s="19" t="s">
        <v>188</v>
      </c>
      <c r="B201" s="291">
        <v>114</v>
      </c>
      <c r="C201" s="322" t="s">
        <v>857</v>
      </c>
      <c r="D201" s="323" t="s">
        <v>840</v>
      </c>
      <c r="E201" s="140">
        <v>45863</v>
      </c>
      <c r="F201" s="138">
        <v>68.099998474121094</v>
      </c>
      <c r="G201" s="138">
        <v>68.099999999999994</v>
      </c>
      <c r="H201" s="138">
        <v>65</v>
      </c>
      <c r="I201" s="83">
        <f t="shared" si="47"/>
        <v>-0.30500144958496378</v>
      </c>
      <c r="J201" s="83">
        <f t="shared" si="48"/>
        <v>-1.5258789005656581E-6</v>
      </c>
      <c r="K201" s="298" t="s">
        <v>108</v>
      </c>
      <c r="L201" s="142">
        <v>45796</v>
      </c>
      <c r="M201" s="142">
        <v>45785</v>
      </c>
      <c r="N201" s="142">
        <f t="shared" ref="N201:N264" si="49">M201+2</f>
        <v>45787</v>
      </c>
      <c r="O201" s="143">
        <f t="shared" ref="O201:O210" ca="1" si="50">+IF(M201="",L201-TODAY(),L201-M201)</f>
        <v>11</v>
      </c>
      <c r="P201" s="142">
        <f t="shared" si="46"/>
        <v>45808</v>
      </c>
      <c r="Q201" s="142">
        <v>45807</v>
      </c>
      <c r="R201" s="143">
        <f t="shared" ref="R201:R210" ca="1" si="51">+IF(Q201="",P201-TODAY(),P201-Q201)</f>
        <v>1</v>
      </c>
      <c r="S201" s="84">
        <v>45800</v>
      </c>
      <c r="T201" s="158"/>
    </row>
    <row r="202" spans="1:20" hidden="1">
      <c r="A202" s="19" t="s">
        <v>188</v>
      </c>
      <c r="B202" s="291">
        <v>114</v>
      </c>
      <c r="C202" s="322" t="s">
        <v>857</v>
      </c>
      <c r="D202" s="323" t="s">
        <v>859</v>
      </c>
      <c r="E202" s="140">
        <v>45863</v>
      </c>
      <c r="F202" s="138">
        <v>60.5</v>
      </c>
      <c r="G202" s="138">
        <v>60.5</v>
      </c>
      <c r="H202" s="138">
        <v>57</v>
      </c>
      <c r="I202" s="83">
        <f t="shared" si="47"/>
        <v>0.47499999999999432</v>
      </c>
      <c r="J202" s="83">
        <f t="shared" si="48"/>
        <v>0</v>
      </c>
      <c r="K202" s="298" t="s">
        <v>108</v>
      </c>
      <c r="L202" s="142">
        <v>45796</v>
      </c>
      <c r="M202" s="142">
        <v>45785</v>
      </c>
      <c r="N202" s="142">
        <f t="shared" si="49"/>
        <v>45787</v>
      </c>
      <c r="O202" s="143">
        <f t="shared" ca="1" si="50"/>
        <v>11</v>
      </c>
      <c r="P202" s="142">
        <f t="shared" si="46"/>
        <v>45808</v>
      </c>
      <c r="Q202" s="142">
        <v>45807</v>
      </c>
      <c r="R202" s="143">
        <f t="shared" ca="1" si="51"/>
        <v>1</v>
      </c>
      <c r="S202" s="84">
        <v>45800</v>
      </c>
      <c r="T202" s="158"/>
    </row>
    <row r="203" spans="1:20" hidden="1">
      <c r="A203" s="19" t="s">
        <v>188</v>
      </c>
      <c r="B203" s="291">
        <v>114</v>
      </c>
      <c r="C203" s="12" t="s">
        <v>93</v>
      </c>
      <c r="D203" s="313" t="s">
        <v>844</v>
      </c>
      <c r="E203" s="140">
        <v>45863</v>
      </c>
      <c r="F203" s="138">
        <v>165.60000610351599</v>
      </c>
      <c r="G203" s="138">
        <v>165.6</v>
      </c>
      <c r="H203" s="138">
        <v>157</v>
      </c>
      <c r="I203" s="83">
        <f t="shared" si="47"/>
        <v>0.32000579834019049</v>
      </c>
      <c r="J203" s="83">
        <f t="shared" si="48"/>
        <v>6.1035160001665645E-6</v>
      </c>
      <c r="K203" s="298" t="s">
        <v>142</v>
      </c>
      <c r="L203" s="142">
        <v>45796</v>
      </c>
      <c r="M203" s="142">
        <v>45798</v>
      </c>
      <c r="N203" s="142">
        <f t="shared" si="49"/>
        <v>45800</v>
      </c>
      <c r="O203" s="143">
        <f t="shared" ca="1" si="50"/>
        <v>-2</v>
      </c>
      <c r="P203" s="142">
        <f t="shared" si="46"/>
        <v>45808</v>
      </c>
      <c r="Q203" s="142">
        <v>45819</v>
      </c>
      <c r="R203" s="143">
        <f t="shared" ca="1" si="51"/>
        <v>-11</v>
      </c>
      <c r="S203" s="327">
        <v>45810</v>
      </c>
      <c r="T203" s="158" t="s">
        <v>906</v>
      </c>
    </row>
    <row r="204" spans="1:20" hidden="1">
      <c r="A204" s="19" t="s">
        <v>188</v>
      </c>
      <c r="B204" s="291">
        <v>114</v>
      </c>
      <c r="C204" s="12" t="s">
        <v>93</v>
      </c>
      <c r="D204" s="313" t="s">
        <v>843</v>
      </c>
      <c r="E204" s="140">
        <v>45863</v>
      </c>
      <c r="F204" s="138">
        <v>198.69999694824199</v>
      </c>
      <c r="G204" s="138">
        <v>198.7</v>
      </c>
      <c r="H204" s="138">
        <v>189</v>
      </c>
      <c r="I204" s="83">
        <f t="shared" si="47"/>
        <v>-0.23500289917012651</v>
      </c>
      <c r="J204" s="83">
        <f t="shared" si="48"/>
        <v>-3.0517580000832822E-6</v>
      </c>
      <c r="K204" s="298" t="s">
        <v>142</v>
      </c>
      <c r="L204" s="142">
        <v>45796</v>
      </c>
      <c r="M204" s="142">
        <v>45798</v>
      </c>
      <c r="N204" s="142">
        <f t="shared" si="49"/>
        <v>45800</v>
      </c>
      <c r="O204" s="143">
        <f t="shared" ca="1" si="50"/>
        <v>-2</v>
      </c>
      <c r="P204" s="142">
        <f t="shared" si="46"/>
        <v>45808</v>
      </c>
      <c r="Q204" s="142">
        <v>45819</v>
      </c>
      <c r="R204" s="143">
        <f t="shared" ca="1" si="51"/>
        <v>-11</v>
      </c>
      <c r="S204" s="84">
        <v>45813</v>
      </c>
      <c r="T204" s="158" t="s">
        <v>906</v>
      </c>
    </row>
    <row r="205" spans="1:20" hidden="1">
      <c r="A205" s="296" t="s">
        <v>89</v>
      </c>
      <c r="B205" s="291">
        <v>118</v>
      </c>
      <c r="C205" s="12" t="s">
        <v>860</v>
      </c>
      <c r="D205" s="323" t="s">
        <v>861</v>
      </c>
      <c r="E205" s="140">
        <v>45865</v>
      </c>
      <c r="F205" s="138">
        <v>188</v>
      </c>
      <c r="G205" s="138">
        <v>188</v>
      </c>
      <c r="H205" s="138">
        <v>179</v>
      </c>
      <c r="I205" s="83">
        <f t="shared" si="47"/>
        <v>-0.40000000000000568</v>
      </c>
      <c r="J205" s="83">
        <f t="shared" si="48"/>
        <v>0</v>
      </c>
      <c r="K205" s="140" t="s">
        <v>133</v>
      </c>
      <c r="L205" s="142">
        <v>45784</v>
      </c>
      <c r="M205" s="142">
        <v>45785</v>
      </c>
      <c r="N205" s="142">
        <f t="shared" si="49"/>
        <v>45787</v>
      </c>
      <c r="O205" s="143">
        <f t="shared" ca="1" si="50"/>
        <v>-1</v>
      </c>
      <c r="P205" s="142">
        <f t="shared" ref="P205:P210" si="52">L205+12</f>
        <v>45796</v>
      </c>
      <c r="Q205" s="142">
        <v>45801</v>
      </c>
      <c r="R205" s="143">
        <f t="shared" ca="1" si="51"/>
        <v>-5</v>
      </c>
      <c r="S205" s="84">
        <v>45797</v>
      </c>
      <c r="T205" s="158"/>
    </row>
    <row r="206" spans="1:20" hidden="1">
      <c r="A206" s="296" t="s">
        <v>89</v>
      </c>
      <c r="B206" s="291">
        <v>118</v>
      </c>
      <c r="C206" s="12" t="s">
        <v>860</v>
      </c>
      <c r="D206" s="323" t="s">
        <v>862</v>
      </c>
      <c r="E206" s="140">
        <v>45865</v>
      </c>
      <c r="F206" s="138">
        <v>33</v>
      </c>
      <c r="G206" s="138">
        <v>33</v>
      </c>
      <c r="H206" s="138">
        <v>31</v>
      </c>
      <c r="I206" s="83">
        <f t="shared" si="47"/>
        <v>0.34999999999999787</v>
      </c>
      <c r="J206" s="83">
        <f t="shared" si="48"/>
        <v>0</v>
      </c>
      <c r="K206" s="140" t="s">
        <v>133</v>
      </c>
      <c r="L206" s="142">
        <v>45784</v>
      </c>
      <c r="M206" s="142">
        <v>45785</v>
      </c>
      <c r="N206" s="142">
        <f t="shared" si="49"/>
        <v>45787</v>
      </c>
      <c r="O206" s="143">
        <f t="shared" ca="1" si="50"/>
        <v>-1</v>
      </c>
      <c r="P206" s="142">
        <f t="shared" si="52"/>
        <v>45796</v>
      </c>
      <c r="Q206" s="142">
        <v>45793</v>
      </c>
      <c r="R206" s="143">
        <f t="shared" ca="1" si="51"/>
        <v>3</v>
      </c>
      <c r="S206" s="84">
        <v>45797</v>
      </c>
      <c r="T206" s="158"/>
    </row>
    <row r="207" spans="1:20" hidden="1">
      <c r="A207" s="296" t="s">
        <v>89</v>
      </c>
      <c r="B207" s="291">
        <v>118</v>
      </c>
      <c r="C207" s="12" t="s">
        <v>860</v>
      </c>
      <c r="D207" s="323" t="s">
        <v>863</v>
      </c>
      <c r="E207" s="140">
        <v>45865</v>
      </c>
      <c r="F207" s="138">
        <v>251</v>
      </c>
      <c r="G207" s="138">
        <v>251</v>
      </c>
      <c r="H207" s="138">
        <v>238</v>
      </c>
      <c r="I207" s="83">
        <f t="shared" si="47"/>
        <v>0.44999999999998863</v>
      </c>
      <c r="J207" s="83">
        <f t="shared" si="48"/>
        <v>0</v>
      </c>
      <c r="K207" s="140" t="s">
        <v>133</v>
      </c>
      <c r="L207" s="142">
        <v>45784</v>
      </c>
      <c r="M207" s="142">
        <v>45785</v>
      </c>
      <c r="N207" s="142">
        <f t="shared" si="49"/>
        <v>45787</v>
      </c>
      <c r="O207" s="143">
        <f t="shared" ca="1" si="50"/>
        <v>-1</v>
      </c>
      <c r="P207" s="142">
        <f t="shared" si="52"/>
        <v>45796</v>
      </c>
      <c r="Q207" s="142">
        <v>45798</v>
      </c>
      <c r="R207" s="143">
        <f t="shared" ca="1" si="51"/>
        <v>-2</v>
      </c>
      <c r="S207" s="84">
        <v>45797</v>
      </c>
      <c r="T207" s="158"/>
    </row>
    <row r="208" spans="1:20" hidden="1">
      <c r="A208" s="296" t="s">
        <v>89</v>
      </c>
      <c r="B208" s="291">
        <v>118</v>
      </c>
      <c r="C208" s="12" t="s">
        <v>78</v>
      </c>
      <c r="D208" s="323" t="s">
        <v>861</v>
      </c>
      <c r="E208" s="140">
        <v>45865</v>
      </c>
      <c r="F208" s="138">
        <v>201</v>
      </c>
      <c r="G208" s="138">
        <v>201</v>
      </c>
      <c r="H208" s="138">
        <v>191</v>
      </c>
      <c r="I208" s="83">
        <f t="shared" si="47"/>
        <v>-5.0000000000011369E-2</v>
      </c>
      <c r="J208" s="83">
        <f t="shared" si="48"/>
        <v>0</v>
      </c>
      <c r="K208" s="140" t="s">
        <v>133</v>
      </c>
      <c r="L208" s="142">
        <v>45784</v>
      </c>
      <c r="M208" s="142">
        <v>45785</v>
      </c>
      <c r="N208" s="142">
        <f t="shared" si="49"/>
        <v>45787</v>
      </c>
      <c r="O208" s="143">
        <f t="shared" ca="1" si="50"/>
        <v>-1</v>
      </c>
      <c r="P208" s="142">
        <f t="shared" si="52"/>
        <v>45796</v>
      </c>
      <c r="Q208" s="142">
        <v>45801</v>
      </c>
      <c r="R208" s="143">
        <f t="shared" ca="1" si="51"/>
        <v>-5</v>
      </c>
      <c r="S208" s="84">
        <v>45797</v>
      </c>
      <c r="T208" s="158"/>
    </row>
    <row r="209" spans="1:20" hidden="1">
      <c r="A209" s="296" t="s">
        <v>89</v>
      </c>
      <c r="B209" s="291">
        <v>118</v>
      </c>
      <c r="C209" s="12" t="s">
        <v>78</v>
      </c>
      <c r="D209" s="323" t="s">
        <v>862</v>
      </c>
      <c r="E209" s="140">
        <v>45865</v>
      </c>
      <c r="F209" s="138">
        <v>33</v>
      </c>
      <c r="G209" s="138">
        <v>33</v>
      </c>
      <c r="H209" s="138">
        <v>31</v>
      </c>
      <c r="I209" s="83">
        <f t="shared" si="47"/>
        <v>0.34999999999999787</v>
      </c>
      <c r="J209" s="83">
        <f t="shared" si="48"/>
        <v>0</v>
      </c>
      <c r="K209" s="140" t="s">
        <v>133</v>
      </c>
      <c r="L209" s="142">
        <v>45784</v>
      </c>
      <c r="M209" s="142">
        <v>45785</v>
      </c>
      <c r="N209" s="142">
        <f t="shared" si="49"/>
        <v>45787</v>
      </c>
      <c r="O209" s="143">
        <f t="shared" ca="1" si="50"/>
        <v>-1</v>
      </c>
      <c r="P209" s="142">
        <f t="shared" si="52"/>
        <v>45796</v>
      </c>
      <c r="Q209" s="142">
        <v>45793</v>
      </c>
      <c r="R209" s="143">
        <f t="shared" ca="1" si="51"/>
        <v>3</v>
      </c>
      <c r="S209" s="84">
        <v>45797</v>
      </c>
      <c r="T209" s="158"/>
    </row>
    <row r="210" spans="1:20" hidden="1">
      <c r="A210" s="296" t="s">
        <v>89</v>
      </c>
      <c r="B210" s="291">
        <v>118</v>
      </c>
      <c r="C210" s="12" t="s">
        <v>78</v>
      </c>
      <c r="D210" s="323" t="s">
        <v>863</v>
      </c>
      <c r="E210" s="140">
        <v>45865</v>
      </c>
      <c r="F210" s="138">
        <v>301</v>
      </c>
      <c r="G210" s="138">
        <v>301</v>
      </c>
      <c r="H210" s="138">
        <v>286</v>
      </c>
      <c r="I210" s="83">
        <f t="shared" si="47"/>
        <v>-5.0000000000011369E-2</v>
      </c>
      <c r="J210" s="83">
        <f t="shared" si="48"/>
        <v>0</v>
      </c>
      <c r="K210" s="140" t="s">
        <v>133</v>
      </c>
      <c r="L210" s="142">
        <v>45784</v>
      </c>
      <c r="M210" s="142">
        <v>45785</v>
      </c>
      <c r="N210" s="142">
        <f t="shared" si="49"/>
        <v>45787</v>
      </c>
      <c r="O210" s="143">
        <f t="shared" ca="1" si="50"/>
        <v>-1</v>
      </c>
      <c r="P210" s="142">
        <f t="shared" si="52"/>
        <v>45796</v>
      </c>
      <c r="Q210" s="142">
        <v>45798</v>
      </c>
      <c r="R210" s="143">
        <f t="shared" ca="1" si="51"/>
        <v>-2</v>
      </c>
      <c r="S210" s="84">
        <v>45797</v>
      </c>
      <c r="T210" s="158"/>
    </row>
    <row r="211" spans="1:20" hidden="1">
      <c r="A211" s="19" t="s">
        <v>188</v>
      </c>
      <c r="B211" s="291">
        <v>123</v>
      </c>
      <c r="C211" s="12" t="s">
        <v>80</v>
      </c>
      <c r="D211" s="323" t="s">
        <v>146</v>
      </c>
      <c r="E211" s="140">
        <v>45870</v>
      </c>
      <c r="F211" s="138">
        <v>293</v>
      </c>
      <c r="G211" s="138">
        <v>293</v>
      </c>
      <c r="H211" s="138">
        <v>278</v>
      </c>
      <c r="I211" s="83">
        <f t="shared" ref="I211:I274" si="53">F211*95%-H211</f>
        <v>0.34999999999996589</v>
      </c>
      <c r="J211" s="83">
        <f t="shared" ref="J211:J274" si="54">F211-G211</f>
        <v>0</v>
      </c>
      <c r="K211" s="140" t="s">
        <v>133</v>
      </c>
      <c r="L211" s="142">
        <v>45793</v>
      </c>
      <c r="M211" s="142">
        <v>45785</v>
      </c>
      <c r="N211" s="142">
        <f t="shared" si="49"/>
        <v>45787</v>
      </c>
      <c r="O211" s="143">
        <f t="shared" ref="O211:O274" ca="1" si="55">+IF(M211="",L211-TODAY(),L211-M211)</f>
        <v>8</v>
      </c>
      <c r="P211" s="142">
        <f>L211+8</f>
        <v>45801</v>
      </c>
      <c r="Q211" s="142">
        <v>45798</v>
      </c>
      <c r="R211" s="143">
        <f t="shared" ref="R211:R274" ca="1" si="56">+IF(Q211="",P211-TODAY(),P211-Q211)</f>
        <v>3</v>
      </c>
      <c r="S211" s="84">
        <v>45797</v>
      </c>
      <c r="T211" s="138"/>
    </row>
    <row r="212" spans="1:20" hidden="1">
      <c r="A212" s="19" t="s">
        <v>188</v>
      </c>
      <c r="B212" s="291">
        <v>124</v>
      </c>
      <c r="C212" s="12" t="s">
        <v>80</v>
      </c>
      <c r="D212" s="323" t="s">
        <v>146</v>
      </c>
      <c r="E212" s="140">
        <v>45877</v>
      </c>
      <c r="F212" s="138">
        <v>465</v>
      </c>
      <c r="G212" s="138">
        <v>465</v>
      </c>
      <c r="H212" s="138">
        <v>442</v>
      </c>
      <c r="I212" s="83">
        <f t="shared" si="53"/>
        <v>-0.25</v>
      </c>
      <c r="J212" s="83">
        <f t="shared" si="54"/>
        <v>0</v>
      </c>
      <c r="K212" s="140" t="s">
        <v>133</v>
      </c>
      <c r="L212" s="142">
        <v>45793</v>
      </c>
      <c r="M212" s="142">
        <v>45785</v>
      </c>
      <c r="N212" s="142">
        <f t="shared" si="49"/>
        <v>45787</v>
      </c>
      <c r="O212" s="143">
        <f t="shared" ca="1" si="55"/>
        <v>8</v>
      </c>
      <c r="P212" s="142">
        <f t="shared" ref="P212:P220" si="57">L212+8</f>
        <v>45801</v>
      </c>
      <c r="Q212" s="142">
        <v>45798</v>
      </c>
      <c r="R212" s="143">
        <f t="shared" ca="1" si="56"/>
        <v>3</v>
      </c>
      <c r="S212" s="84">
        <v>45797</v>
      </c>
      <c r="T212" s="138"/>
    </row>
    <row r="213" spans="1:20" hidden="1">
      <c r="A213" s="19" t="s">
        <v>188</v>
      </c>
      <c r="B213" s="291">
        <v>140</v>
      </c>
      <c r="C213" s="12" t="s">
        <v>80</v>
      </c>
      <c r="D213" s="323" t="s">
        <v>146</v>
      </c>
      <c r="E213" s="145">
        <v>45870</v>
      </c>
      <c r="F213" s="138">
        <v>106.59999847412099</v>
      </c>
      <c r="G213" s="138">
        <v>106.6</v>
      </c>
      <c r="H213" s="138">
        <v>101</v>
      </c>
      <c r="I213" s="83">
        <f t="shared" si="53"/>
        <v>0.26999855041493959</v>
      </c>
      <c r="J213" s="83">
        <f t="shared" si="54"/>
        <v>-1.5258790000416411E-6</v>
      </c>
      <c r="K213" s="140" t="s">
        <v>133</v>
      </c>
      <c r="L213" s="142">
        <v>45793</v>
      </c>
      <c r="M213" s="142">
        <v>45785</v>
      </c>
      <c r="N213" s="142">
        <f t="shared" si="49"/>
        <v>45787</v>
      </c>
      <c r="O213" s="143">
        <f t="shared" ca="1" si="55"/>
        <v>8</v>
      </c>
      <c r="P213" s="142">
        <f t="shared" si="57"/>
        <v>45801</v>
      </c>
      <c r="Q213" s="142">
        <v>45798</v>
      </c>
      <c r="R213" s="143">
        <f t="shared" ca="1" si="56"/>
        <v>3</v>
      </c>
      <c r="S213" s="84">
        <v>45797</v>
      </c>
      <c r="T213" s="138"/>
    </row>
    <row r="214" spans="1:20" hidden="1">
      <c r="A214" s="19" t="s">
        <v>188</v>
      </c>
      <c r="B214" s="291">
        <v>142</v>
      </c>
      <c r="C214" s="12" t="s">
        <v>80</v>
      </c>
      <c r="D214" s="323" t="s">
        <v>146</v>
      </c>
      <c r="E214" s="140">
        <v>45877</v>
      </c>
      <c r="F214" s="138">
        <v>105.90000152587901</v>
      </c>
      <c r="G214" s="138">
        <v>105.9</v>
      </c>
      <c r="H214" s="138">
        <v>101</v>
      </c>
      <c r="I214" s="83">
        <f t="shared" si="53"/>
        <v>-0.3949985504149538</v>
      </c>
      <c r="J214" s="83">
        <f t="shared" si="54"/>
        <v>1.5258790000416411E-6</v>
      </c>
      <c r="K214" s="140" t="s">
        <v>133</v>
      </c>
      <c r="L214" s="142">
        <v>45793</v>
      </c>
      <c r="M214" s="142">
        <v>45785</v>
      </c>
      <c r="N214" s="142">
        <f t="shared" si="49"/>
        <v>45787</v>
      </c>
      <c r="O214" s="143">
        <f t="shared" ca="1" si="55"/>
        <v>8</v>
      </c>
      <c r="P214" s="142">
        <f t="shared" si="57"/>
        <v>45801</v>
      </c>
      <c r="Q214" s="142">
        <v>45798</v>
      </c>
      <c r="R214" s="143">
        <f t="shared" ca="1" si="56"/>
        <v>3</v>
      </c>
      <c r="S214" s="84">
        <v>45797</v>
      </c>
      <c r="T214" s="138"/>
    </row>
    <row r="215" spans="1:20" hidden="1">
      <c r="A215" s="19" t="s">
        <v>188</v>
      </c>
      <c r="B215" s="291">
        <v>143</v>
      </c>
      <c r="C215" s="12" t="s">
        <v>80</v>
      </c>
      <c r="D215" s="323" t="s">
        <v>146</v>
      </c>
      <c r="E215" s="140">
        <v>45877</v>
      </c>
      <c r="F215" s="138">
        <v>105.90000152587901</v>
      </c>
      <c r="G215" s="138">
        <v>105.9</v>
      </c>
      <c r="H215" s="138">
        <v>101</v>
      </c>
      <c r="I215" s="83">
        <f t="shared" si="53"/>
        <v>-0.3949985504149538</v>
      </c>
      <c r="J215" s="83">
        <f t="shared" si="54"/>
        <v>1.5258790000416411E-6</v>
      </c>
      <c r="K215" s="140" t="s">
        <v>133</v>
      </c>
      <c r="L215" s="142">
        <v>45793</v>
      </c>
      <c r="M215" s="142">
        <v>45785</v>
      </c>
      <c r="N215" s="142">
        <f t="shared" si="49"/>
        <v>45787</v>
      </c>
      <c r="O215" s="143">
        <f t="shared" ca="1" si="55"/>
        <v>8</v>
      </c>
      <c r="P215" s="142">
        <f t="shared" si="57"/>
        <v>45801</v>
      </c>
      <c r="Q215" s="142">
        <v>45798</v>
      </c>
      <c r="R215" s="143">
        <f t="shared" ca="1" si="56"/>
        <v>3</v>
      </c>
      <c r="S215" s="84">
        <v>45797</v>
      </c>
      <c r="T215" s="138"/>
    </row>
    <row r="216" spans="1:20" hidden="1">
      <c r="A216" s="19" t="s">
        <v>188</v>
      </c>
      <c r="B216" s="291">
        <v>144</v>
      </c>
      <c r="C216" s="12" t="s">
        <v>80</v>
      </c>
      <c r="D216" s="313" t="s">
        <v>146</v>
      </c>
      <c r="E216" s="240">
        <v>45877</v>
      </c>
      <c r="F216" s="138">
        <v>437</v>
      </c>
      <c r="G216" s="138">
        <v>437</v>
      </c>
      <c r="H216" s="138">
        <v>415</v>
      </c>
      <c r="I216" s="83">
        <f t="shared" si="53"/>
        <v>0.14999999999997726</v>
      </c>
      <c r="J216" s="83">
        <f t="shared" si="54"/>
        <v>0</v>
      </c>
      <c r="K216" s="140" t="s">
        <v>133</v>
      </c>
      <c r="L216" s="142">
        <v>45793</v>
      </c>
      <c r="M216" s="142">
        <v>45785</v>
      </c>
      <c r="N216" s="142">
        <f t="shared" si="49"/>
        <v>45787</v>
      </c>
      <c r="O216" s="143">
        <f t="shared" ca="1" si="55"/>
        <v>8</v>
      </c>
      <c r="P216" s="142">
        <f t="shared" si="57"/>
        <v>45801</v>
      </c>
      <c r="Q216" s="142">
        <v>45801</v>
      </c>
      <c r="R216" s="143">
        <f t="shared" ca="1" si="56"/>
        <v>0</v>
      </c>
      <c r="S216" s="84">
        <v>45797</v>
      </c>
      <c r="T216" s="138"/>
    </row>
    <row r="217" spans="1:20" hidden="1">
      <c r="A217" s="19" t="s">
        <v>188</v>
      </c>
      <c r="B217" s="291">
        <v>145</v>
      </c>
      <c r="C217" s="12" t="s">
        <v>80</v>
      </c>
      <c r="D217" s="313" t="s">
        <v>146</v>
      </c>
      <c r="E217" s="240">
        <v>45877</v>
      </c>
      <c r="F217" s="138">
        <v>603.79998779296898</v>
      </c>
      <c r="G217" s="138">
        <v>603.79999999999995</v>
      </c>
      <c r="H217" s="138">
        <v>574</v>
      </c>
      <c r="I217" s="83">
        <f t="shared" si="53"/>
        <v>-0.39001159667952834</v>
      </c>
      <c r="J217" s="83">
        <f t="shared" si="54"/>
        <v>-1.2207030977151589E-5</v>
      </c>
      <c r="K217" s="140" t="s">
        <v>133</v>
      </c>
      <c r="L217" s="142">
        <v>45793</v>
      </c>
      <c r="M217" s="142">
        <v>45785</v>
      </c>
      <c r="N217" s="142">
        <f t="shared" si="49"/>
        <v>45787</v>
      </c>
      <c r="O217" s="143">
        <f t="shared" ca="1" si="55"/>
        <v>8</v>
      </c>
      <c r="P217" s="142">
        <f t="shared" si="57"/>
        <v>45801</v>
      </c>
      <c r="Q217" s="142">
        <v>45801</v>
      </c>
      <c r="R217" s="143">
        <f t="shared" ca="1" si="56"/>
        <v>0</v>
      </c>
      <c r="S217" s="84">
        <v>45797</v>
      </c>
      <c r="T217" s="138"/>
    </row>
    <row r="218" spans="1:20" hidden="1">
      <c r="A218" s="19" t="s">
        <v>188</v>
      </c>
      <c r="B218" s="291">
        <v>146</v>
      </c>
      <c r="C218" s="12" t="s">
        <v>80</v>
      </c>
      <c r="D218" s="313" t="s">
        <v>146</v>
      </c>
      <c r="E218" s="140">
        <v>45877</v>
      </c>
      <c r="F218" s="138">
        <v>42</v>
      </c>
      <c r="G218" s="138">
        <v>42</v>
      </c>
      <c r="H218" s="138">
        <v>40</v>
      </c>
      <c r="I218" s="83">
        <f t="shared" si="53"/>
        <v>-0.10000000000000142</v>
      </c>
      <c r="J218" s="83">
        <f t="shared" si="54"/>
        <v>0</v>
      </c>
      <c r="K218" s="140" t="s">
        <v>133</v>
      </c>
      <c r="L218" s="142">
        <v>45793</v>
      </c>
      <c r="M218" s="142">
        <v>45785</v>
      </c>
      <c r="N218" s="142">
        <f t="shared" si="49"/>
        <v>45787</v>
      </c>
      <c r="O218" s="143">
        <f t="shared" ca="1" si="55"/>
        <v>8</v>
      </c>
      <c r="P218" s="142">
        <f t="shared" si="57"/>
        <v>45801</v>
      </c>
      <c r="Q218" s="142">
        <v>45801</v>
      </c>
      <c r="R218" s="143">
        <f t="shared" ca="1" si="56"/>
        <v>0</v>
      </c>
      <c r="S218" s="84">
        <v>45797</v>
      </c>
      <c r="T218" s="138"/>
    </row>
    <row r="219" spans="1:20" hidden="1">
      <c r="A219" s="19" t="s">
        <v>188</v>
      </c>
      <c r="B219" s="291">
        <v>147</v>
      </c>
      <c r="C219" s="12" t="s">
        <v>80</v>
      </c>
      <c r="D219" s="323" t="s">
        <v>146</v>
      </c>
      <c r="E219" s="145">
        <v>45877</v>
      </c>
      <c r="F219" s="138">
        <v>371</v>
      </c>
      <c r="G219" s="138">
        <v>371</v>
      </c>
      <c r="H219" s="138">
        <v>352</v>
      </c>
      <c r="I219" s="83">
        <f t="shared" si="53"/>
        <v>0.44999999999998863</v>
      </c>
      <c r="J219" s="83">
        <f t="shared" si="54"/>
        <v>0</v>
      </c>
      <c r="K219" s="140" t="s">
        <v>133</v>
      </c>
      <c r="L219" s="142">
        <v>45793</v>
      </c>
      <c r="M219" s="142">
        <v>45785</v>
      </c>
      <c r="N219" s="142">
        <f t="shared" si="49"/>
        <v>45787</v>
      </c>
      <c r="O219" s="143">
        <f t="shared" ca="1" si="55"/>
        <v>8</v>
      </c>
      <c r="P219" s="142">
        <f t="shared" si="57"/>
        <v>45801</v>
      </c>
      <c r="Q219" s="142">
        <v>45798</v>
      </c>
      <c r="R219" s="143">
        <f t="shared" ca="1" si="56"/>
        <v>3</v>
      </c>
      <c r="S219" s="84">
        <v>45797</v>
      </c>
      <c r="T219" s="138"/>
    </row>
    <row r="220" spans="1:20" hidden="1">
      <c r="A220" s="19" t="s">
        <v>188</v>
      </c>
      <c r="B220" s="291">
        <v>149</v>
      </c>
      <c r="C220" s="12" t="s">
        <v>80</v>
      </c>
      <c r="D220" s="323" t="s">
        <v>146</v>
      </c>
      <c r="E220" s="240">
        <v>45885</v>
      </c>
      <c r="F220" s="138">
        <v>313</v>
      </c>
      <c r="G220" s="138">
        <v>313</v>
      </c>
      <c r="H220" s="138">
        <v>297</v>
      </c>
      <c r="I220" s="83">
        <f t="shared" si="53"/>
        <v>0.34999999999996589</v>
      </c>
      <c r="J220" s="83">
        <f t="shared" si="54"/>
        <v>0</v>
      </c>
      <c r="K220" s="140" t="s">
        <v>133</v>
      </c>
      <c r="L220" s="142">
        <v>45793</v>
      </c>
      <c r="M220" s="142">
        <v>45785</v>
      </c>
      <c r="N220" s="142">
        <f t="shared" si="49"/>
        <v>45787</v>
      </c>
      <c r="O220" s="143">
        <f t="shared" ca="1" si="55"/>
        <v>8</v>
      </c>
      <c r="P220" s="142">
        <f t="shared" si="57"/>
        <v>45801</v>
      </c>
      <c r="Q220" s="142">
        <v>45798</v>
      </c>
      <c r="R220" s="143">
        <f t="shared" ca="1" si="56"/>
        <v>3</v>
      </c>
      <c r="S220" s="84">
        <v>45797</v>
      </c>
      <c r="T220" s="138"/>
    </row>
    <row r="221" spans="1:20" hidden="1">
      <c r="A221" s="19" t="s">
        <v>188</v>
      </c>
      <c r="B221" s="291">
        <v>119</v>
      </c>
      <c r="C221" s="12" t="s">
        <v>75</v>
      </c>
      <c r="D221" s="314" t="s">
        <v>841</v>
      </c>
      <c r="E221" s="140">
        <v>45849</v>
      </c>
      <c r="F221" s="138">
        <v>128.10000610351599</v>
      </c>
      <c r="G221" s="138">
        <v>128.1</v>
      </c>
      <c r="H221" s="138">
        <v>122</v>
      </c>
      <c r="I221" s="83">
        <f t="shared" si="53"/>
        <v>-0.30499420165980951</v>
      </c>
      <c r="J221" s="83">
        <f t="shared" si="54"/>
        <v>6.1035160001665645E-6</v>
      </c>
      <c r="K221" s="298" t="s">
        <v>108</v>
      </c>
      <c r="L221" s="142">
        <v>45809</v>
      </c>
      <c r="M221" s="142">
        <v>45798</v>
      </c>
      <c r="N221" s="142">
        <f t="shared" si="49"/>
        <v>45800</v>
      </c>
      <c r="O221" s="143">
        <f t="shared" ca="1" si="55"/>
        <v>11</v>
      </c>
      <c r="P221" s="142">
        <f>L221+8</f>
        <v>45817</v>
      </c>
      <c r="Q221" s="142">
        <v>45819</v>
      </c>
      <c r="R221" s="143">
        <f t="shared" ca="1" si="56"/>
        <v>-2</v>
      </c>
      <c r="S221" s="327">
        <v>45815</v>
      </c>
      <c r="T221" s="138"/>
    </row>
    <row r="222" spans="1:20" hidden="1">
      <c r="A222" s="19" t="s">
        <v>188</v>
      </c>
      <c r="B222" s="291">
        <v>119</v>
      </c>
      <c r="C222" s="12" t="s">
        <v>75</v>
      </c>
      <c r="D222" s="314" t="s">
        <v>840</v>
      </c>
      <c r="E222" s="140">
        <v>45849</v>
      </c>
      <c r="F222" s="138">
        <v>119.90000152587901</v>
      </c>
      <c r="G222" s="138">
        <v>119.9</v>
      </c>
      <c r="H222" s="138">
        <v>114</v>
      </c>
      <c r="I222" s="83">
        <f t="shared" si="53"/>
        <v>-9.499855041495664E-2</v>
      </c>
      <c r="J222" s="83">
        <f t="shared" si="54"/>
        <v>1.5258790000416411E-6</v>
      </c>
      <c r="K222" s="298" t="s">
        <v>108</v>
      </c>
      <c r="L222" s="142">
        <v>45809</v>
      </c>
      <c r="M222" s="142">
        <v>45798</v>
      </c>
      <c r="N222" s="142">
        <f t="shared" si="49"/>
        <v>45800</v>
      </c>
      <c r="O222" s="143">
        <f t="shared" ca="1" si="55"/>
        <v>11</v>
      </c>
      <c r="P222" s="142">
        <f>L222+8</f>
        <v>45817</v>
      </c>
      <c r="Q222" s="142">
        <v>45819</v>
      </c>
      <c r="R222" s="143">
        <f t="shared" ca="1" si="56"/>
        <v>-2</v>
      </c>
      <c r="S222" s="327">
        <v>45815</v>
      </c>
      <c r="T222" s="138"/>
    </row>
    <row r="223" spans="1:20" hidden="1">
      <c r="A223" s="19" t="s">
        <v>188</v>
      </c>
      <c r="B223" s="291">
        <v>119</v>
      </c>
      <c r="C223" s="12" t="s">
        <v>857</v>
      </c>
      <c r="D223" s="314" t="s">
        <v>841</v>
      </c>
      <c r="E223" s="140">
        <v>45849</v>
      </c>
      <c r="F223" s="138">
        <v>146.89999389648401</v>
      </c>
      <c r="G223" s="138">
        <v>146.9</v>
      </c>
      <c r="H223" s="138">
        <v>140</v>
      </c>
      <c r="I223" s="83">
        <f t="shared" si="53"/>
        <v>-0.44500579834019049</v>
      </c>
      <c r="J223" s="83">
        <f t="shared" si="54"/>
        <v>-6.1035160001665645E-6</v>
      </c>
      <c r="K223" s="298" t="s">
        <v>108</v>
      </c>
      <c r="L223" s="142">
        <v>45809</v>
      </c>
      <c r="M223" s="142">
        <v>45798</v>
      </c>
      <c r="N223" s="142">
        <f t="shared" si="49"/>
        <v>45800</v>
      </c>
      <c r="O223" s="143">
        <f t="shared" ca="1" si="55"/>
        <v>11</v>
      </c>
      <c r="P223" s="142">
        <f>L223+8</f>
        <v>45817</v>
      </c>
      <c r="Q223" s="142">
        <v>45819</v>
      </c>
      <c r="R223" s="143">
        <f t="shared" ca="1" si="56"/>
        <v>-2</v>
      </c>
      <c r="S223" s="327">
        <v>45815</v>
      </c>
      <c r="T223" s="138"/>
    </row>
    <row r="224" spans="1:20" hidden="1">
      <c r="A224" s="19" t="s">
        <v>188</v>
      </c>
      <c r="B224" s="291">
        <v>119</v>
      </c>
      <c r="C224" s="12" t="s">
        <v>857</v>
      </c>
      <c r="D224" s="314" t="s">
        <v>840</v>
      </c>
      <c r="E224" s="140">
        <v>45849</v>
      </c>
      <c r="F224" s="138">
        <v>137.5</v>
      </c>
      <c r="G224" s="138">
        <v>137.5</v>
      </c>
      <c r="H224" s="138">
        <v>131</v>
      </c>
      <c r="I224" s="83">
        <f t="shared" si="53"/>
        <v>-0.375</v>
      </c>
      <c r="J224" s="83">
        <f t="shared" si="54"/>
        <v>0</v>
      </c>
      <c r="K224" s="298" t="s">
        <v>108</v>
      </c>
      <c r="L224" s="142">
        <v>45809</v>
      </c>
      <c r="M224" s="142">
        <v>45798</v>
      </c>
      <c r="N224" s="142">
        <f t="shared" si="49"/>
        <v>45800</v>
      </c>
      <c r="O224" s="143">
        <f t="shared" ca="1" si="55"/>
        <v>11</v>
      </c>
      <c r="P224" s="142">
        <f>L224+8</f>
        <v>45817</v>
      </c>
      <c r="Q224" s="142">
        <v>45819</v>
      </c>
      <c r="R224" s="143">
        <f t="shared" ca="1" si="56"/>
        <v>-2</v>
      </c>
      <c r="S224" s="327">
        <v>45815</v>
      </c>
      <c r="T224" s="138"/>
    </row>
    <row r="225" spans="1:20" hidden="1">
      <c r="A225" s="19" t="s">
        <v>188</v>
      </c>
      <c r="B225" s="291">
        <v>121</v>
      </c>
      <c r="C225" s="12" t="s">
        <v>77</v>
      </c>
      <c r="D225" s="313" t="s">
        <v>137</v>
      </c>
      <c r="E225" s="145">
        <v>45849</v>
      </c>
      <c r="F225" s="138">
        <v>104</v>
      </c>
      <c r="G225" s="138">
        <v>104</v>
      </c>
      <c r="H225" s="138">
        <v>99</v>
      </c>
      <c r="I225" s="83">
        <f t="shared" si="53"/>
        <v>-0.20000000000000284</v>
      </c>
      <c r="J225" s="83">
        <f t="shared" si="54"/>
        <v>0</v>
      </c>
      <c r="K225" s="298" t="s">
        <v>108</v>
      </c>
      <c r="L225" s="142">
        <v>45790</v>
      </c>
      <c r="M225" s="142">
        <v>45798</v>
      </c>
      <c r="N225" s="142">
        <f t="shared" si="49"/>
        <v>45800</v>
      </c>
      <c r="O225" s="143">
        <f t="shared" ca="1" si="55"/>
        <v>-8</v>
      </c>
      <c r="P225" s="142">
        <f t="shared" ref="P225:P274" si="58">L225+12</f>
        <v>45802</v>
      </c>
      <c r="Q225" s="142">
        <v>45815</v>
      </c>
      <c r="R225" s="143">
        <f t="shared" ca="1" si="56"/>
        <v>-13</v>
      </c>
      <c r="S225" s="138"/>
      <c r="T225" s="138"/>
    </row>
    <row r="226" spans="1:20" hidden="1">
      <c r="A226" s="19" t="s">
        <v>188</v>
      </c>
      <c r="B226" s="291">
        <v>150</v>
      </c>
      <c r="C226" s="12" t="s">
        <v>80</v>
      </c>
      <c r="D226" s="313" t="s">
        <v>146</v>
      </c>
      <c r="E226" s="240">
        <v>45891</v>
      </c>
      <c r="F226" s="138">
        <v>46.599998474121101</v>
      </c>
      <c r="G226" s="138">
        <v>46.6</v>
      </c>
      <c r="H226" s="138">
        <v>44</v>
      </c>
      <c r="I226" s="83">
        <f t="shared" si="53"/>
        <v>0.26999855041504617</v>
      </c>
      <c r="J226" s="83">
        <f t="shared" si="54"/>
        <v>-1.5258789005656581E-6</v>
      </c>
      <c r="K226" s="140" t="s">
        <v>133</v>
      </c>
      <c r="L226" s="142">
        <v>45793</v>
      </c>
      <c r="M226" s="142">
        <v>45785</v>
      </c>
      <c r="N226" s="142">
        <f t="shared" si="49"/>
        <v>45787</v>
      </c>
      <c r="O226" s="143">
        <f t="shared" ca="1" si="55"/>
        <v>8</v>
      </c>
      <c r="P226" s="142">
        <f>L226+8</f>
        <v>45801</v>
      </c>
      <c r="Q226" s="142">
        <v>45801</v>
      </c>
      <c r="R226" s="143">
        <f t="shared" ca="1" si="56"/>
        <v>0</v>
      </c>
      <c r="S226" s="84">
        <v>45797</v>
      </c>
      <c r="T226" s="138"/>
    </row>
    <row r="227" spans="1:20" hidden="1">
      <c r="A227" s="19" t="s">
        <v>188</v>
      </c>
      <c r="B227" s="291">
        <v>121</v>
      </c>
      <c r="C227" s="12" t="s">
        <v>75</v>
      </c>
      <c r="D227" s="314" t="s">
        <v>841</v>
      </c>
      <c r="E227" s="145">
        <v>45849</v>
      </c>
      <c r="F227" s="138">
        <v>72.199996948242202</v>
      </c>
      <c r="G227" s="138">
        <v>72.2</v>
      </c>
      <c r="H227" s="138">
        <v>69</v>
      </c>
      <c r="I227" s="83">
        <f t="shared" si="53"/>
        <v>-0.41000289916991051</v>
      </c>
      <c r="J227" s="83">
        <f t="shared" si="54"/>
        <v>-3.0517578011313162E-6</v>
      </c>
      <c r="K227" s="298" t="s">
        <v>108</v>
      </c>
      <c r="L227" s="142">
        <v>45809</v>
      </c>
      <c r="M227" s="142">
        <v>45798</v>
      </c>
      <c r="N227" s="142">
        <f t="shared" si="49"/>
        <v>45800</v>
      </c>
      <c r="O227" s="143">
        <f t="shared" ca="1" si="55"/>
        <v>11</v>
      </c>
      <c r="P227" s="142">
        <f>L227+8</f>
        <v>45817</v>
      </c>
      <c r="Q227" s="142">
        <v>45819</v>
      </c>
      <c r="R227" s="143">
        <f t="shared" ca="1" si="56"/>
        <v>-2</v>
      </c>
      <c r="S227" s="327">
        <v>45815</v>
      </c>
      <c r="T227" s="138"/>
    </row>
    <row r="228" spans="1:20" hidden="1">
      <c r="A228" s="19" t="s">
        <v>188</v>
      </c>
      <c r="B228" s="291">
        <v>121</v>
      </c>
      <c r="C228" s="12" t="s">
        <v>75</v>
      </c>
      <c r="D228" s="314" t="s">
        <v>840</v>
      </c>
      <c r="E228" s="145">
        <v>45849</v>
      </c>
      <c r="F228" s="138">
        <v>67.599998474121094</v>
      </c>
      <c r="G228" s="138">
        <v>67.599999999999994</v>
      </c>
      <c r="H228" s="138">
        <v>64</v>
      </c>
      <c r="I228" s="83">
        <f t="shared" si="53"/>
        <v>0.2199985504150419</v>
      </c>
      <c r="J228" s="83">
        <f t="shared" si="54"/>
        <v>-1.5258789005656581E-6</v>
      </c>
      <c r="K228" s="298" t="s">
        <v>108</v>
      </c>
      <c r="L228" s="142">
        <v>45809</v>
      </c>
      <c r="M228" s="142">
        <v>45798</v>
      </c>
      <c r="N228" s="142">
        <f t="shared" si="49"/>
        <v>45800</v>
      </c>
      <c r="O228" s="143">
        <f t="shared" ca="1" si="55"/>
        <v>11</v>
      </c>
      <c r="P228" s="142">
        <f>L228+8</f>
        <v>45817</v>
      </c>
      <c r="Q228" s="142">
        <v>45819</v>
      </c>
      <c r="R228" s="143">
        <f t="shared" ca="1" si="56"/>
        <v>-2</v>
      </c>
      <c r="S228" s="327">
        <v>45815</v>
      </c>
      <c r="T228" s="138"/>
    </row>
    <row r="229" spans="1:20" hidden="1">
      <c r="A229" s="19" t="s">
        <v>188</v>
      </c>
      <c r="B229" s="291">
        <v>121</v>
      </c>
      <c r="C229" s="12" t="s">
        <v>857</v>
      </c>
      <c r="D229" s="314" t="s">
        <v>841</v>
      </c>
      <c r="E229" s="145">
        <v>45849</v>
      </c>
      <c r="F229" s="138">
        <v>82.800003051757798</v>
      </c>
      <c r="G229" s="138">
        <v>82.8</v>
      </c>
      <c r="H229" s="138">
        <v>79</v>
      </c>
      <c r="I229" s="83">
        <f t="shared" si="53"/>
        <v>-0.33999710083008949</v>
      </c>
      <c r="J229" s="83">
        <f t="shared" si="54"/>
        <v>3.0517578011313162E-6</v>
      </c>
      <c r="K229" s="298" t="s">
        <v>108</v>
      </c>
      <c r="L229" s="142">
        <v>45809</v>
      </c>
      <c r="M229" s="142">
        <v>45798</v>
      </c>
      <c r="N229" s="142">
        <f t="shared" si="49"/>
        <v>45800</v>
      </c>
      <c r="O229" s="143">
        <f t="shared" ca="1" si="55"/>
        <v>11</v>
      </c>
      <c r="P229" s="142">
        <f>L229+8</f>
        <v>45817</v>
      </c>
      <c r="Q229" s="142">
        <v>45819</v>
      </c>
      <c r="R229" s="143">
        <f t="shared" ca="1" si="56"/>
        <v>-2</v>
      </c>
      <c r="S229" s="327">
        <v>45815</v>
      </c>
      <c r="T229" s="138"/>
    </row>
    <row r="230" spans="1:20" hidden="1">
      <c r="A230" s="19" t="s">
        <v>188</v>
      </c>
      <c r="B230" s="291">
        <v>121</v>
      </c>
      <c r="C230" s="12" t="s">
        <v>857</v>
      </c>
      <c r="D230" s="314" t="s">
        <v>840</v>
      </c>
      <c r="E230" s="145">
        <v>45849</v>
      </c>
      <c r="F230" s="138">
        <v>77.5</v>
      </c>
      <c r="G230" s="138">
        <v>77.5</v>
      </c>
      <c r="H230" s="138">
        <v>74</v>
      </c>
      <c r="I230" s="83">
        <f t="shared" si="53"/>
        <v>-0.375</v>
      </c>
      <c r="J230" s="83">
        <f t="shared" si="54"/>
        <v>0</v>
      </c>
      <c r="K230" s="298" t="s">
        <v>108</v>
      </c>
      <c r="L230" s="142">
        <v>45809</v>
      </c>
      <c r="M230" s="142">
        <v>45798</v>
      </c>
      <c r="N230" s="142">
        <f t="shared" si="49"/>
        <v>45800</v>
      </c>
      <c r="O230" s="143">
        <f t="shared" ca="1" si="55"/>
        <v>11</v>
      </c>
      <c r="P230" s="142">
        <f>L230+8</f>
        <v>45817</v>
      </c>
      <c r="Q230" s="142">
        <v>45819</v>
      </c>
      <c r="R230" s="143">
        <f t="shared" ca="1" si="56"/>
        <v>-2</v>
      </c>
      <c r="S230" s="327">
        <v>45815</v>
      </c>
      <c r="T230" s="138"/>
    </row>
    <row r="231" spans="1:20" hidden="1">
      <c r="A231" s="19" t="s">
        <v>188</v>
      </c>
      <c r="B231" s="291">
        <v>121</v>
      </c>
      <c r="C231" s="12" t="s">
        <v>93</v>
      </c>
      <c r="D231" s="313" t="s">
        <v>844</v>
      </c>
      <c r="E231" s="145">
        <v>45849</v>
      </c>
      <c r="F231" s="138">
        <v>188.69999694824199</v>
      </c>
      <c r="G231" s="138">
        <v>188.7</v>
      </c>
      <c r="H231" s="138">
        <v>179</v>
      </c>
      <c r="I231" s="83">
        <f t="shared" si="53"/>
        <v>0.26499710082987349</v>
      </c>
      <c r="J231" s="83">
        <f t="shared" si="54"/>
        <v>-3.0517580000832822E-6</v>
      </c>
      <c r="K231" s="298" t="s">
        <v>142</v>
      </c>
      <c r="L231" s="142">
        <v>45794</v>
      </c>
      <c r="M231" s="142">
        <v>45798</v>
      </c>
      <c r="N231" s="142">
        <f t="shared" si="49"/>
        <v>45800</v>
      </c>
      <c r="O231" s="143">
        <f t="shared" ca="1" si="55"/>
        <v>-4</v>
      </c>
      <c r="P231" s="142">
        <f t="shared" si="58"/>
        <v>45806</v>
      </c>
      <c r="Q231" s="142">
        <v>45819</v>
      </c>
      <c r="R231" s="143">
        <f t="shared" ca="1" si="56"/>
        <v>-13</v>
      </c>
      <c r="S231" s="327">
        <v>45810</v>
      </c>
      <c r="T231" s="158" t="s">
        <v>906</v>
      </c>
    </row>
    <row r="232" spans="1:20" hidden="1">
      <c r="A232" s="19" t="s">
        <v>188</v>
      </c>
      <c r="B232" s="291">
        <v>121</v>
      </c>
      <c r="C232" s="12" t="s">
        <v>93</v>
      </c>
      <c r="D232" s="313" t="s">
        <v>843</v>
      </c>
      <c r="E232" s="145">
        <v>45849</v>
      </c>
      <c r="F232" s="138">
        <v>226.39999389648401</v>
      </c>
      <c r="G232" s="138">
        <v>226.4</v>
      </c>
      <c r="H232" s="138">
        <v>215</v>
      </c>
      <c r="I232" s="83">
        <f t="shared" si="53"/>
        <v>7.9994201659786768E-2</v>
      </c>
      <c r="J232" s="83">
        <f t="shared" si="54"/>
        <v>-6.1035160001665645E-6</v>
      </c>
      <c r="K232" s="298" t="s">
        <v>142</v>
      </c>
      <c r="L232" s="142">
        <v>45794</v>
      </c>
      <c r="M232" s="142">
        <v>45798</v>
      </c>
      <c r="N232" s="142">
        <f t="shared" si="49"/>
        <v>45800</v>
      </c>
      <c r="O232" s="143">
        <f t="shared" ca="1" si="55"/>
        <v>-4</v>
      </c>
      <c r="P232" s="142">
        <f t="shared" si="58"/>
        <v>45806</v>
      </c>
      <c r="Q232" s="142">
        <v>45819</v>
      </c>
      <c r="R232" s="143">
        <f t="shared" ca="1" si="56"/>
        <v>-13</v>
      </c>
      <c r="S232" s="84">
        <v>45813</v>
      </c>
      <c r="T232" s="158" t="s">
        <v>906</v>
      </c>
    </row>
    <row r="233" spans="1:20" hidden="1">
      <c r="A233" s="19" t="s">
        <v>188</v>
      </c>
      <c r="B233" s="291">
        <v>122</v>
      </c>
      <c r="C233" s="12" t="s">
        <v>77</v>
      </c>
      <c r="D233" s="313" t="s">
        <v>137</v>
      </c>
      <c r="E233" s="140">
        <v>45863</v>
      </c>
      <c r="F233" s="138">
        <v>136.5</v>
      </c>
      <c r="G233" s="138">
        <v>136</v>
      </c>
      <c r="H233" s="138">
        <v>130</v>
      </c>
      <c r="I233" s="83">
        <f t="shared" si="53"/>
        <v>-0.32500000000001705</v>
      </c>
      <c r="J233" s="83">
        <f t="shared" si="54"/>
        <v>0.5</v>
      </c>
      <c r="K233" s="298" t="s">
        <v>108</v>
      </c>
      <c r="L233" s="142">
        <v>45790</v>
      </c>
      <c r="M233" s="142">
        <v>45798</v>
      </c>
      <c r="N233" s="142">
        <f t="shared" si="49"/>
        <v>45800</v>
      </c>
      <c r="O233" s="143">
        <f t="shared" ca="1" si="55"/>
        <v>-8</v>
      </c>
      <c r="P233" s="142">
        <f t="shared" si="58"/>
        <v>45802</v>
      </c>
      <c r="Q233" s="142">
        <v>45815</v>
      </c>
      <c r="R233" s="143">
        <f t="shared" ca="1" si="56"/>
        <v>-13</v>
      </c>
      <c r="S233" s="138"/>
      <c r="T233" s="138"/>
    </row>
    <row r="234" spans="1:20" hidden="1">
      <c r="A234" s="19" t="s">
        <v>188</v>
      </c>
      <c r="B234" s="291">
        <v>152</v>
      </c>
      <c r="C234" s="12" t="s">
        <v>80</v>
      </c>
      <c r="D234" s="323" t="s">
        <v>146</v>
      </c>
      <c r="E234" s="145">
        <v>45891</v>
      </c>
      <c r="F234" s="138">
        <v>941.29998779296898</v>
      </c>
      <c r="G234" s="138">
        <v>941.3</v>
      </c>
      <c r="H234" s="138">
        <v>894</v>
      </c>
      <c r="I234" s="83">
        <f t="shared" si="53"/>
        <v>0.23498840332047166</v>
      </c>
      <c r="J234" s="83">
        <f t="shared" si="54"/>
        <v>-1.2207030977151589E-5</v>
      </c>
      <c r="K234" s="140" t="s">
        <v>133</v>
      </c>
      <c r="L234" s="142">
        <v>45793</v>
      </c>
      <c r="M234" s="142">
        <v>45785</v>
      </c>
      <c r="N234" s="142">
        <f t="shared" si="49"/>
        <v>45787</v>
      </c>
      <c r="O234" s="143">
        <f t="shared" ca="1" si="55"/>
        <v>8</v>
      </c>
      <c r="P234" s="142">
        <f>L234+8</f>
        <v>45801</v>
      </c>
      <c r="Q234" s="142">
        <v>45798</v>
      </c>
      <c r="R234" s="143">
        <f t="shared" ca="1" si="56"/>
        <v>3</v>
      </c>
      <c r="S234" s="84">
        <v>45797</v>
      </c>
      <c r="T234" s="138"/>
    </row>
    <row r="235" spans="1:20" hidden="1">
      <c r="A235" s="19" t="s">
        <v>188</v>
      </c>
      <c r="B235" s="291">
        <v>122</v>
      </c>
      <c r="C235" s="12" t="s">
        <v>75</v>
      </c>
      <c r="D235" s="314" t="s">
        <v>858</v>
      </c>
      <c r="E235" s="140">
        <v>45863</v>
      </c>
      <c r="F235" s="138">
        <v>46</v>
      </c>
      <c r="G235" s="138">
        <v>46</v>
      </c>
      <c r="H235" s="138">
        <v>44</v>
      </c>
      <c r="I235" s="83">
        <f t="shared" si="53"/>
        <v>-0.30000000000000426</v>
      </c>
      <c r="J235" s="83">
        <f t="shared" si="54"/>
        <v>0</v>
      </c>
      <c r="K235" s="298" t="s">
        <v>108</v>
      </c>
      <c r="L235" s="142">
        <v>45809</v>
      </c>
      <c r="M235" s="142">
        <v>45798</v>
      </c>
      <c r="N235" s="142">
        <f t="shared" si="49"/>
        <v>45800</v>
      </c>
      <c r="O235" s="143">
        <f t="shared" ca="1" si="55"/>
        <v>11</v>
      </c>
      <c r="P235" s="142">
        <f t="shared" si="58"/>
        <v>45821</v>
      </c>
      <c r="Q235" s="142">
        <v>45810</v>
      </c>
      <c r="R235" s="143">
        <f t="shared" ca="1" si="56"/>
        <v>11</v>
      </c>
      <c r="S235" s="327">
        <v>45815</v>
      </c>
      <c r="T235" s="138"/>
    </row>
    <row r="236" spans="1:20" hidden="1">
      <c r="A236" s="19" t="s">
        <v>188</v>
      </c>
      <c r="B236" s="291">
        <v>122</v>
      </c>
      <c r="C236" s="12" t="s">
        <v>75</v>
      </c>
      <c r="D236" s="314" t="s">
        <v>859</v>
      </c>
      <c r="E236" s="140">
        <v>45863</v>
      </c>
      <c r="F236" s="138">
        <v>28.200000762939499</v>
      </c>
      <c r="G236" s="138">
        <v>28.2</v>
      </c>
      <c r="H236" s="138">
        <v>27</v>
      </c>
      <c r="I236" s="83">
        <f t="shared" si="53"/>
        <v>-0.20999927520747619</v>
      </c>
      <c r="J236" s="83">
        <f t="shared" si="54"/>
        <v>7.6293950002082056E-7</v>
      </c>
      <c r="K236" s="298" t="s">
        <v>108</v>
      </c>
      <c r="L236" s="142">
        <v>45809</v>
      </c>
      <c r="M236" s="142">
        <v>45798</v>
      </c>
      <c r="N236" s="142">
        <f t="shared" si="49"/>
        <v>45800</v>
      </c>
      <c r="O236" s="143">
        <f t="shared" ca="1" si="55"/>
        <v>11</v>
      </c>
      <c r="P236" s="142">
        <f t="shared" si="58"/>
        <v>45821</v>
      </c>
      <c r="Q236" s="142">
        <v>45810</v>
      </c>
      <c r="R236" s="143">
        <f t="shared" ca="1" si="56"/>
        <v>11</v>
      </c>
      <c r="S236" s="327">
        <v>45815</v>
      </c>
      <c r="T236" s="138"/>
    </row>
    <row r="237" spans="1:20" hidden="1">
      <c r="A237" s="19" t="s">
        <v>188</v>
      </c>
      <c r="B237" s="291">
        <v>122</v>
      </c>
      <c r="C237" s="12" t="s">
        <v>857</v>
      </c>
      <c r="D237" s="314" t="s">
        <v>858</v>
      </c>
      <c r="E237" s="140">
        <v>45863</v>
      </c>
      <c r="F237" s="138">
        <v>52.700000762939503</v>
      </c>
      <c r="G237" s="138">
        <v>52.7</v>
      </c>
      <c r="H237" s="138">
        <v>50</v>
      </c>
      <c r="I237" s="83">
        <f t="shared" si="53"/>
        <v>6.5000724792525943E-2</v>
      </c>
      <c r="J237" s="83">
        <f t="shared" si="54"/>
        <v>7.6293950002082056E-7</v>
      </c>
      <c r="K237" s="298" t="s">
        <v>108</v>
      </c>
      <c r="L237" s="142">
        <v>45809</v>
      </c>
      <c r="M237" s="142">
        <v>45798</v>
      </c>
      <c r="N237" s="142">
        <f t="shared" si="49"/>
        <v>45800</v>
      </c>
      <c r="O237" s="143">
        <f t="shared" ca="1" si="55"/>
        <v>11</v>
      </c>
      <c r="P237" s="142">
        <f t="shared" si="58"/>
        <v>45821</v>
      </c>
      <c r="Q237" s="142">
        <v>45810</v>
      </c>
      <c r="R237" s="143">
        <f t="shared" ca="1" si="56"/>
        <v>11</v>
      </c>
      <c r="S237" s="327">
        <v>45815</v>
      </c>
      <c r="T237" s="138"/>
    </row>
    <row r="238" spans="1:20" hidden="1">
      <c r="A238" s="19" t="s">
        <v>188</v>
      </c>
      <c r="B238" s="291">
        <v>122</v>
      </c>
      <c r="C238" s="12" t="s">
        <v>857</v>
      </c>
      <c r="D238" s="314" t="s">
        <v>859</v>
      </c>
      <c r="E238" s="140">
        <v>45863</v>
      </c>
      <c r="F238" s="138">
        <v>32.299999237060497</v>
      </c>
      <c r="G238" s="138">
        <v>32.299999999999997</v>
      </c>
      <c r="H238" s="138">
        <v>31</v>
      </c>
      <c r="I238" s="83">
        <f t="shared" si="53"/>
        <v>-0.3150007247925295</v>
      </c>
      <c r="J238" s="83">
        <f t="shared" si="54"/>
        <v>-7.6293950002082056E-7</v>
      </c>
      <c r="K238" s="298" t="s">
        <v>108</v>
      </c>
      <c r="L238" s="142">
        <v>45809</v>
      </c>
      <c r="M238" s="142">
        <v>45798</v>
      </c>
      <c r="N238" s="142">
        <f t="shared" si="49"/>
        <v>45800</v>
      </c>
      <c r="O238" s="143">
        <f t="shared" ca="1" si="55"/>
        <v>11</v>
      </c>
      <c r="P238" s="142">
        <f t="shared" si="58"/>
        <v>45821</v>
      </c>
      <c r="Q238" s="142">
        <v>45810</v>
      </c>
      <c r="R238" s="143">
        <f t="shared" ca="1" si="56"/>
        <v>11</v>
      </c>
      <c r="S238" s="327">
        <v>45815</v>
      </c>
      <c r="T238" s="138"/>
    </row>
    <row r="239" spans="1:20" hidden="1">
      <c r="A239" s="19" t="s">
        <v>188</v>
      </c>
      <c r="B239" s="291">
        <v>123</v>
      </c>
      <c r="C239" s="12" t="s">
        <v>77</v>
      </c>
      <c r="D239" s="313" t="s">
        <v>137</v>
      </c>
      <c r="E239" s="140">
        <v>45870</v>
      </c>
      <c r="F239" s="138">
        <v>144</v>
      </c>
      <c r="G239" s="138">
        <v>144</v>
      </c>
      <c r="H239" s="138">
        <v>137</v>
      </c>
      <c r="I239" s="83">
        <f t="shared" si="53"/>
        <v>-0.20000000000001705</v>
      </c>
      <c r="J239" s="83">
        <f t="shared" si="54"/>
        <v>0</v>
      </c>
      <c r="K239" s="298" t="s">
        <v>108</v>
      </c>
      <c r="L239" s="142">
        <v>45790</v>
      </c>
      <c r="M239" s="142">
        <v>45798</v>
      </c>
      <c r="N239" s="142">
        <f t="shared" si="49"/>
        <v>45800</v>
      </c>
      <c r="O239" s="143">
        <f t="shared" ca="1" si="55"/>
        <v>-8</v>
      </c>
      <c r="P239" s="142">
        <f t="shared" si="58"/>
        <v>45802</v>
      </c>
      <c r="Q239" s="142">
        <v>45815</v>
      </c>
      <c r="R239" s="143">
        <f t="shared" ca="1" si="56"/>
        <v>-13</v>
      </c>
      <c r="S239" s="138"/>
      <c r="T239" s="138"/>
    </row>
    <row r="240" spans="1:20" hidden="1">
      <c r="A240" s="19" t="s">
        <v>188</v>
      </c>
      <c r="B240" s="291">
        <v>124</v>
      </c>
      <c r="C240" s="12" t="s">
        <v>75</v>
      </c>
      <c r="D240" s="314" t="s">
        <v>858</v>
      </c>
      <c r="E240" s="140">
        <v>45877</v>
      </c>
      <c r="F240" s="138">
        <v>49.099998474121101</v>
      </c>
      <c r="G240" s="138">
        <v>49.1</v>
      </c>
      <c r="H240" s="138">
        <v>47</v>
      </c>
      <c r="I240" s="83">
        <f t="shared" si="53"/>
        <v>-0.35500144958495383</v>
      </c>
      <c r="J240" s="83">
        <f t="shared" si="54"/>
        <v>-1.5258789005656581E-6</v>
      </c>
      <c r="K240" s="298" t="s">
        <v>108</v>
      </c>
      <c r="L240" s="142">
        <v>45809</v>
      </c>
      <c r="M240" s="142">
        <v>45798</v>
      </c>
      <c r="N240" s="142">
        <f t="shared" si="49"/>
        <v>45800</v>
      </c>
      <c r="O240" s="143">
        <f t="shared" ca="1" si="55"/>
        <v>11</v>
      </c>
      <c r="P240" s="142">
        <f t="shared" si="58"/>
        <v>45821</v>
      </c>
      <c r="Q240" s="142">
        <v>45810</v>
      </c>
      <c r="R240" s="143">
        <f t="shared" ca="1" si="56"/>
        <v>11</v>
      </c>
      <c r="S240" s="327">
        <v>45815</v>
      </c>
      <c r="T240" s="138"/>
    </row>
    <row r="241" spans="1:20" hidden="1">
      <c r="A241" s="19" t="s">
        <v>188</v>
      </c>
      <c r="B241" s="291">
        <v>124</v>
      </c>
      <c r="C241" s="12" t="s">
        <v>75</v>
      </c>
      <c r="D241" s="314" t="s">
        <v>139</v>
      </c>
      <c r="E241" s="140">
        <v>45877</v>
      </c>
      <c r="F241" s="138">
        <v>58.200000762939503</v>
      </c>
      <c r="G241" s="138">
        <v>58.2</v>
      </c>
      <c r="H241" s="138">
        <v>55</v>
      </c>
      <c r="I241" s="83">
        <f t="shared" si="53"/>
        <v>0.29000072479252736</v>
      </c>
      <c r="J241" s="83">
        <f t="shared" si="54"/>
        <v>7.6293950002082056E-7</v>
      </c>
      <c r="K241" s="298" t="s">
        <v>108</v>
      </c>
      <c r="L241" s="142">
        <v>45809</v>
      </c>
      <c r="M241" s="142">
        <v>45798</v>
      </c>
      <c r="N241" s="142">
        <f t="shared" si="49"/>
        <v>45800</v>
      </c>
      <c r="O241" s="143">
        <f t="shared" ca="1" si="55"/>
        <v>11</v>
      </c>
      <c r="P241" s="142">
        <f t="shared" si="58"/>
        <v>45821</v>
      </c>
      <c r="Q241" s="142">
        <v>45821</v>
      </c>
      <c r="R241" s="143">
        <f t="shared" ca="1" si="56"/>
        <v>0</v>
      </c>
      <c r="S241" s="327">
        <v>45815</v>
      </c>
      <c r="T241" s="138"/>
    </row>
    <row r="242" spans="1:20" hidden="1">
      <c r="A242" s="19" t="s">
        <v>188</v>
      </c>
      <c r="B242" s="291">
        <v>124</v>
      </c>
      <c r="C242" s="12" t="s">
        <v>75</v>
      </c>
      <c r="D242" s="314" t="s">
        <v>859</v>
      </c>
      <c r="E242" s="140">
        <v>45877</v>
      </c>
      <c r="F242" s="138">
        <v>30.100000381469702</v>
      </c>
      <c r="G242" s="138">
        <v>30.1</v>
      </c>
      <c r="H242" s="138">
        <v>29</v>
      </c>
      <c r="I242" s="83">
        <f t="shared" si="53"/>
        <v>-0.40499963760378321</v>
      </c>
      <c r="J242" s="83">
        <f t="shared" si="54"/>
        <v>3.8146970027241878E-7</v>
      </c>
      <c r="K242" s="298" t="s">
        <v>108</v>
      </c>
      <c r="L242" s="142">
        <v>45809</v>
      </c>
      <c r="M242" s="142">
        <v>45798</v>
      </c>
      <c r="N242" s="142">
        <f t="shared" si="49"/>
        <v>45800</v>
      </c>
      <c r="O242" s="143">
        <f t="shared" ca="1" si="55"/>
        <v>11</v>
      </c>
      <c r="P242" s="142">
        <f t="shared" si="58"/>
        <v>45821</v>
      </c>
      <c r="Q242" s="142">
        <v>45810</v>
      </c>
      <c r="R242" s="143">
        <f t="shared" ca="1" si="56"/>
        <v>11</v>
      </c>
      <c r="S242" s="327">
        <v>45815</v>
      </c>
      <c r="T242" s="138"/>
    </row>
    <row r="243" spans="1:20" hidden="1">
      <c r="A243" s="19" t="s">
        <v>188</v>
      </c>
      <c r="B243" s="291">
        <v>124</v>
      </c>
      <c r="C243" s="12" t="s">
        <v>75</v>
      </c>
      <c r="D243" s="314" t="s">
        <v>140</v>
      </c>
      <c r="E243" s="140">
        <v>45877</v>
      </c>
      <c r="F243" s="138">
        <v>37.700000762939503</v>
      </c>
      <c r="G243" s="138">
        <v>37.700000000000003</v>
      </c>
      <c r="H243" s="138">
        <v>36</v>
      </c>
      <c r="I243" s="83">
        <f t="shared" si="53"/>
        <v>-0.18499927520747406</v>
      </c>
      <c r="J243" s="83">
        <f t="shared" si="54"/>
        <v>7.6293950002082056E-7</v>
      </c>
      <c r="K243" s="298" t="s">
        <v>108</v>
      </c>
      <c r="L243" s="142">
        <v>45809</v>
      </c>
      <c r="M243" s="142">
        <v>45798</v>
      </c>
      <c r="N243" s="142">
        <f t="shared" si="49"/>
        <v>45800</v>
      </c>
      <c r="O243" s="143">
        <f t="shared" ca="1" si="55"/>
        <v>11</v>
      </c>
      <c r="P243" s="142">
        <f t="shared" si="58"/>
        <v>45821</v>
      </c>
      <c r="Q243" s="142">
        <v>45821</v>
      </c>
      <c r="R243" s="143">
        <f t="shared" ca="1" si="56"/>
        <v>0</v>
      </c>
      <c r="S243" s="327">
        <v>45815</v>
      </c>
      <c r="T243" s="138"/>
    </row>
    <row r="244" spans="1:20" hidden="1">
      <c r="A244" s="19" t="s">
        <v>188</v>
      </c>
      <c r="B244" s="291">
        <v>124</v>
      </c>
      <c r="C244" s="12" t="s">
        <v>857</v>
      </c>
      <c r="D244" s="314" t="s">
        <v>858</v>
      </c>
      <c r="E244" s="140">
        <v>45877</v>
      </c>
      <c r="F244" s="138">
        <v>56.200000762939503</v>
      </c>
      <c r="G244" s="138">
        <v>56.2</v>
      </c>
      <c r="H244" s="138">
        <v>53</v>
      </c>
      <c r="I244" s="83">
        <f t="shared" si="53"/>
        <v>0.39000072479252168</v>
      </c>
      <c r="J244" s="83">
        <f t="shared" si="54"/>
        <v>7.6293950002082056E-7</v>
      </c>
      <c r="K244" s="298" t="s">
        <v>108</v>
      </c>
      <c r="L244" s="142">
        <v>45809</v>
      </c>
      <c r="M244" s="142">
        <v>45798</v>
      </c>
      <c r="N244" s="142">
        <f t="shared" si="49"/>
        <v>45800</v>
      </c>
      <c r="O244" s="143">
        <f t="shared" ca="1" si="55"/>
        <v>11</v>
      </c>
      <c r="P244" s="142">
        <f t="shared" si="58"/>
        <v>45821</v>
      </c>
      <c r="Q244" s="142">
        <v>45810</v>
      </c>
      <c r="R244" s="143">
        <f t="shared" ca="1" si="56"/>
        <v>11</v>
      </c>
      <c r="S244" s="327">
        <v>45815</v>
      </c>
      <c r="T244" s="138"/>
    </row>
    <row r="245" spans="1:20" hidden="1">
      <c r="A245" s="19" t="s">
        <v>188</v>
      </c>
      <c r="B245" s="291">
        <v>124</v>
      </c>
      <c r="C245" s="12" t="s">
        <v>857</v>
      </c>
      <c r="D245" s="314" t="s">
        <v>139</v>
      </c>
      <c r="E245" s="140">
        <v>45877</v>
      </c>
      <c r="F245" s="138">
        <v>66.5</v>
      </c>
      <c r="G245" s="138">
        <v>66.5</v>
      </c>
      <c r="H245" s="138">
        <v>63</v>
      </c>
      <c r="I245" s="83">
        <f t="shared" si="53"/>
        <v>0.17499999999999716</v>
      </c>
      <c r="J245" s="83">
        <f t="shared" si="54"/>
        <v>0</v>
      </c>
      <c r="K245" s="298" t="s">
        <v>108</v>
      </c>
      <c r="L245" s="142">
        <v>45809</v>
      </c>
      <c r="M245" s="142">
        <v>45798</v>
      </c>
      <c r="N245" s="142">
        <f t="shared" si="49"/>
        <v>45800</v>
      </c>
      <c r="O245" s="143">
        <f t="shared" ca="1" si="55"/>
        <v>11</v>
      </c>
      <c r="P245" s="142">
        <f t="shared" si="58"/>
        <v>45821</v>
      </c>
      <c r="Q245" s="142">
        <v>45821</v>
      </c>
      <c r="R245" s="143">
        <f t="shared" ca="1" si="56"/>
        <v>0</v>
      </c>
      <c r="S245" s="327">
        <v>45815</v>
      </c>
      <c r="T245" s="138"/>
    </row>
    <row r="246" spans="1:20" hidden="1">
      <c r="A246" s="19" t="s">
        <v>188</v>
      </c>
      <c r="B246" s="291">
        <v>124</v>
      </c>
      <c r="C246" s="12" t="s">
        <v>857</v>
      </c>
      <c r="D246" s="314" t="s">
        <v>859</v>
      </c>
      <c r="E246" s="140">
        <v>45877</v>
      </c>
      <c r="F246" s="138">
        <v>34.5</v>
      </c>
      <c r="G246" s="138">
        <v>34.5</v>
      </c>
      <c r="H246" s="138">
        <v>33</v>
      </c>
      <c r="I246" s="83">
        <f t="shared" si="53"/>
        <v>-0.22500000000000142</v>
      </c>
      <c r="J246" s="83">
        <f t="shared" si="54"/>
        <v>0</v>
      </c>
      <c r="K246" s="298" t="s">
        <v>108</v>
      </c>
      <c r="L246" s="142">
        <v>45809</v>
      </c>
      <c r="M246" s="142">
        <v>45798</v>
      </c>
      <c r="N246" s="142">
        <f t="shared" si="49"/>
        <v>45800</v>
      </c>
      <c r="O246" s="143">
        <f t="shared" ca="1" si="55"/>
        <v>11</v>
      </c>
      <c r="P246" s="142">
        <f t="shared" si="58"/>
        <v>45821</v>
      </c>
      <c r="Q246" s="142">
        <v>45810</v>
      </c>
      <c r="R246" s="143">
        <f t="shared" ca="1" si="56"/>
        <v>11</v>
      </c>
      <c r="S246" s="327">
        <v>45815</v>
      </c>
      <c r="T246" s="138"/>
    </row>
    <row r="247" spans="1:20" hidden="1">
      <c r="A247" s="19" t="s">
        <v>188</v>
      </c>
      <c r="B247" s="291">
        <v>124</v>
      </c>
      <c r="C247" s="12" t="s">
        <v>857</v>
      </c>
      <c r="D247" s="314" t="s">
        <v>140</v>
      </c>
      <c r="E247" s="140">
        <v>45877</v>
      </c>
      <c r="F247" s="138">
        <v>43.099998474121101</v>
      </c>
      <c r="G247" s="138">
        <v>43.1</v>
      </c>
      <c r="H247" s="138">
        <v>41</v>
      </c>
      <c r="I247" s="83">
        <f t="shared" si="53"/>
        <v>-5.5001449584956674E-2</v>
      </c>
      <c r="J247" s="83">
        <f t="shared" si="54"/>
        <v>-1.5258789005656581E-6</v>
      </c>
      <c r="K247" s="298" t="s">
        <v>108</v>
      </c>
      <c r="L247" s="142">
        <v>45809</v>
      </c>
      <c r="M247" s="142">
        <v>45798</v>
      </c>
      <c r="N247" s="142">
        <f t="shared" si="49"/>
        <v>45800</v>
      </c>
      <c r="O247" s="143">
        <f t="shared" ca="1" si="55"/>
        <v>11</v>
      </c>
      <c r="P247" s="142">
        <f t="shared" si="58"/>
        <v>45821</v>
      </c>
      <c r="Q247" s="142">
        <v>45821</v>
      </c>
      <c r="R247" s="143">
        <f t="shared" ca="1" si="56"/>
        <v>0</v>
      </c>
      <c r="S247" s="327">
        <v>45815</v>
      </c>
      <c r="T247" s="138"/>
    </row>
    <row r="248" spans="1:20" hidden="1">
      <c r="A248" s="19" t="s">
        <v>188</v>
      </c>
      <c r="B248" s="291">
        <v>124</v>
      </c>
      <c r="C248" s="12" t="s">
        <v>93</v>
      </c>
      <c r="D248" s="313" t="s">
        <v>844</v>
      </c>
      <c r="E248" s="140">
        <v>45877</v>
      </c>
      <c r="F248" s="138">
        <v>189.80000305175801</v>
      </c>
      <c r="G248" s="138">
        <v>189.8</v>
      </c>
      <c r="H248" s="138">
        <v>180</v>
      </c>
      <c r="I248" s="83">
        <f t="shared" si="53"/>
        <v>0.31000289917011514</v>
      </c>
      <c r="J248" s="83">
        <f t="shared" si="54"/>
        <v>3.0517580000832822E-6</v>
      </c>
      <c r="K248" s="298" t="s">
        <v>142</v>
      </c>
      <c r="L248" s="142">
        <v>45794</v>
      </c>
      <c r="M248" s="142">
        <v>45798</v>
      </c>
      <c r="N248" s="142">
        <f t="shared" si="49"/>
        <v>45800</v>
      </c>
      <c r="O248" s="143">
        <f t="shared" ca="1" si="55"/>
        <v>-4</v>
      </c>
      <c r="P248" s="142">
        <f t="shared" si="58"/>
        <v>45806</v>
      </c>
      <c r="Q248" s="142">
        <v>45813</v>
      </c>
      <c r="R248" s="143">
        <f t="shared" ca="1" si="56"/>
        <v>-7</v>
      </c>
      <c r="S248" s="327">
        <v>45810</v>
      </c>
      <c r="T248" s="158" t="s">
        <v>906</v>
      </c>
    </row>
    <row r="249" spans="1:20" hidden="1">
      <c r="A249" s="19" t="s">
        <v>188</v>
      </c>
      <c r="B249" s="291">
        <v>124</v>
      </c>
      <c r="C249" s="12" t="s">
        <v>93</v>
      </c>
      <c r="D249" s="313" t="s">
        <v>843</v>
      </c>
      <c r="E249" s="140">
        <v>45877</v>
      </c>
      <c r="F249" s="138">
        <v>227.69999694824199</v>
      </c>
      <c r="G249" s="138">
        <v>227.7</v>
      </c>
      <c r="H249" s="138">
        <v>216</v>
      </c>
      <c r="I249" s="83">
        <f t="shared" si="53"/>
        <v>0.31499710082988486</v>
      </c>
      <c r="J249" s="83">
        <f t="shared" si="54"/>
        <v>-3.0517580000832822E-6</v>
      </c>
      <c r="K249" s="298" t="s">
        <v>142</v>
      </c>
      <c r="L249" s="142">
        <v>45794</v>
      </c>
      <c r="M249" s="142">
        <v>45798</v>
      </c>
      <c r="N249" s="142">
        <f t="shared" si="49"/>
        <v>45800</v>
      </c>
      <c r="O249" s="143">
        <f t="shared" ca="1" si="55"/>
        <v>-4</v>
      </c>
      <c r="P249" s="142">
        <f t="shared" si="58"/>
        <v>45806</v>
      </c>
      <c r="Q249" s="142">
        <v>45819</v>
      </c>
      <c r="R249" s="143">
        <f t="shared" ca="1" si="56"/>
        <v>-13</v>
      </c>
      <c r="S249" s="138"/>
      <c r="T249" s="138"/>
    </row>
    <row r="250" spans="1:20" hidden="1">
      <c r="A250" s="19" t="s">
        <v>188</v>
      </c>
      <c r="B250" s="291">
        <v>131</v>
      </c>
      <c r="C250" s="12" t="s">
        <v>77</v>
      </c>
      <c r="D250" s="313" t="s">
        <v>137</v>
      </c>
      <c r="E250" s="140">
        <v>45856</v>
      </c>
      <c r="F250" s="138">
        <v>145</v>
      </c>
      <c r="G250" s="138">
        <v>145</v>
      </c>
      <c r="H250" s="138">
        <v>138</v>
      </c>
      <c r="I250" s="83">
        <f t="shared" si="53"/>
        <v>-0.25</v>
      </c>
      <c r="J250" s="83">
        <f t="shared" si="54"/>
        <v>0</v>
      </c>
      <c r="K250" s="298" t="s">
        <v>108</v>
      </c>
      <c r="L250" s="142">
        <v>45790</v>
      </c>
      <c r="M250" s="142">
        <v>45798</v>
      </c>
      <c r="N250" s="142">
        <f t="shared" si="49"/>
        <v>45800</v>
      </c>
      <c r="O250" s="143">
        <f t="shared" ca="1" si="55"/>
        <v>-8</v>
      </c>
      <c r="P250" s="142">
        <f t="shared" si="58"/>
        <v>45802</v>
      </c>
      <c r="Q250" s="142">
        <v>45815</v>
      </c>
      <c r="R250" s="143">
        <f t="shared" ca="1" si="56"/>
        <v>-13</v>
      </c>
      <c r="S250" s="138"/>
      <c r="T250" s="138"/>
    </row>
    <row r="251" spans="1:20" hidden="1">
      <c r="A251" s="19" t="s">
        <v>188</v>
      </c>
      <c r="B251" s="291">
        <v>131</v>
      </c>
      <c r="C251" s="12" t="s">
        <v>75</v>
      </c>
      <c r="D251" s="314" t="s">
        <v>841</v>
      </c>
      <c r="E251" s="140">
        <v>45856</v>
      </c>
      <c r="F251" s="138">
        <v>38.700000762939503</v>
      </c>
      <c r="G251" s="138">
        <v>38.700000000000003</v>
      </c>
      <c r="H251" s="138">
        <v>37</v>
      </c>
      <c r="I251" s="83">
        <f t="shared" si="53"/>
        <v>-0.23499927520747121</v>
      </c>
      <c r="J251" s="83">
        <f t="shared" si="54"/>
        <v>7.6293950002082056E-7</v>
      </c>
      <c r="K251" s="298" t="s">
        <v>108</v>
      </c>
      <c r="L251" s="142">
        <v>45809</v>
      </c>
      <c r="M251" s="142">
        <v>45798</v>
      </c>
      <c r="N251" s="142">
        <f t="shared" si="49"/>
        <v>45800</v>
      </c>
      <c r="O251" s="143">
        <f t="shared" ca="1" si="55"/>
        <v>11</v>
      </c>
      <c r="P251" s="142">
        <f t="shared" si="58"/>
        <v>45821</v>
      </c>
      <c r="Q251" s="142">
        <v>45819</v>
      </c>
      <c r="R251" s="143">
        <f t="shared" ca="1" si="56"/>
        <v>2</v>
      </c>
      <c r="S251" s="327">
        <v>45815</v>
      </c>
      <c r="T251" s="138"/>
    </row>
    <row r="252" spans="1:20" hidden="1">
      <c r="A252" s="19" t="s">
        <v>188</v>
      </c>
      <c r="B252" s="291">
        <v>131</v>
      </c>
      <c r="C252" s="12" t="s">
        <v>75</v>
      </c>
      <c r="D252" s="314" t="s">
        <v>840</v>
      </c>
      <c r="E252" s="140">
        <v>45856</v>
      </c>
      <c r="F252" s="138">
        <v>36</v>
      </c>
      <c r="G252" s="138">
        <v>36</v>
      </c>
      <c r="H252" s="138">
        <v>34</v>
      </c>
      <c r="I252" s="83">
        <f t="shared" si="53"/>
        <v>0.19999999999999574</v>
      </c>
      <c r="J252" s="83">
        <f t="shared" si="54"/>
        <v>0</v>
      </c>
      <c r="K252" s="298" t="s">
        <v>108</v>
      </c>
      <c r="L252" s="142">
        <v>45809</v>
      </c>
      <c r="M252" s="142">
        <v>45798</v>
      </c>
      <c r="N252" s="142">
        <f t="shared" si="49"/>
        <v>45800</v>
      </c>
      <c r="O252" s="143">
        <f t="shared" ca="1" si="55"/>
        <v>11</v>
      </c>
      <c r="P252" s="142">
        <f t="shared" si="58"/>
        <v>45821</v>
      </c>
      <c r="Q252" s="142">
        <v>45819</v>
      </c>
      <c r="R252" s="143">
        <f t="shared" ca="1" si="56"/>
        <v>2</v>
      </c>
      <c r="S252" s="327">
        <v>45815</v>
      </c>
      <c r="T252" s="138"/>
    </row>
    <row r="253" spans="1:20" hidden="1">
      <c r="A253" s="19" t="s">
        <v>188</v>
      </c>
      <c r="B253" s="291">
        <v>131</v>
      </c>
      <c r="C253" s="12" t="s">
        <v>857</v>
      </c>
      <c r="D253" s="314" t="s">
        <v>841</v>
      </c>
      <c r="E253" s="140">
        <v>45856</v>
      </c>
      <c r="F253" s="138">
        <v>44.299999237060497</v>
      </c>
      <c r="G253" s="138">
        <v>44.3</v>
      </c>
      <c r="H253" s="138">
        <v>42</v>
      </c>
      <c r="I253" s="83">
        <f t="shared" si="53"/>
        <v>8.4999275207472635E-2</v>
      </c>
      <c r="J253" s="83">
        <f t="shared" si="54"/>
        <v>-7.6293950002082056E-7</v>
      </c>
      <c r="K253" s="298" t="s">
        <v>108</v>
      </c>
      <c r="L253" s="142">
        <v>45809</v>
      </c>
      <c r="M253" s="142">
        <v>45798</v>
      </c>
      <c r="N253" s="142">
        <f t="shared" si="49"/>
        <v>45800</v>
      </c>
      <c r="O253" s="143">
        <f t="shared" ca="1" si="55"/>
        <v>11</v>
      </c>
      <c r="P253" s="142">
        <f t="shared" si="58"/>
        <v>45821</v>
      </c>
      <c r="Q253" s="142">
        <v>45819</v>
      </c>
      <c r="R253" s="143">
        <f t="shared" ca="1" si="56"/>
        <v>2</v>
      </c>
      <c r="S253" s="327">
        <v>45815</v>
      </c>
      <c r="T253" s="138"/>
    </row>
    <row r="254" spans="1:20" hidden="1">
      <c r="A254" s="19" t="s">
        <v>188</v>
      </c>
      <c r="B254" s="291">
        <v>131</v>
      </c>
      <c r="C254" s="12" t="s">
        <v>857</v>
      </c>
      <c r="D254" s="314" t="s">
        <v>840</v>
      </c>
      <c r="E254" s="140">
        <v>45856</v>
      </c>
      <c r="F254" s="138">
        <v>41.400001525878899</v>
      </c>
      <c r="G254" s="138">
        <v>41.4</v>
      </c>
      <c r="H254" s="138">
        <v>39</v>
      </c>
      <c r="I254" s="83">
        <f t="shared" si="53"/>
        <v>0.33000144958495525</v>
      </c>
      <c r="J254" s="83">
        <f t="shared" si="54"/>
        <v>1.5258789005656581E-6</v>
      </c>
      <c r="K254" s="298" t="s">
        <v>108</v>
      </c>
      <c r="L254" s="142">
        <v>45809</v>
      </c>
      <c r="M254" s="142">
        <v>45798</v>
      </c>
      <c r="N254" s="142">
        <f t="shared" si="49"/>
        <v>45800</v>
      </c>
      <c r="O254" s="143">
        <f t="shared" ca="1" si="55"/>
        <v>11</v>
      </c>
      <c r="P254" s="142">
        <f t="shared" si="58"/>
        <v>45821</v>
      </c>
      <c r="Q254" s="142">
        <v>45819</v>
      </c>
      <c r="R254" s="143">
        <f t="shared" ca="1" si="56"/>
        <v>2</v>
      </c>
      <c r="S254" s="327">
        <v>45815</v>
      </c>
      <c r="T254" s="138"/>
    </row>
    <row r="255" spans="1:20" hidden="1">
      <c r="A255" s="19" t="s">
        <v>188</v>
      </c>
      <c r="B255" s="291">
        <v>132</v>
      </c>
      <c r="C255" s="12" t="s">
        <v>75</v>
      </c>
      <c r="D255" s="314" t="s">
        <v>841</v>
      </c>
      <c r="E255" s="140">
        <v>45856</v>
      </c>
      <c r="F255" s="138">
        <v>203</v>
      </c>
      <c r="G255" s="138">
        <v>203</v>
      </c>
      <c r="H255" s="138">
        <v>193</v>
      </c>
      <c r="I255" s="83">
        <f t="shared" si="53"/>
        <v>-0.15000000000000568</v>
      </c>
      <c r="J255" s="83">
        <f t="shared" si="54"/>
        <v>0</v>
      </c>
      <c r="K255" s="298" t="s">
        <v>108</v>
      </c>
      <c r="L255" s="142">
        <v>45809</v>
      </c>
      <c r="M255" s="142">
        <v>45798</v>
      </c>
      <c r="N255" s="142">
        <f t="shared" si="49"/>
        <v>45800</v>
      </c>
      <c r="O255" s="143">
        <f t="shared" ca="1" si="55"/>
        <v>11</v>
      </c>
      <c r="P255" s="142">
        <f t="shared" si="58"/>
        <v>45821</v>
      </c>
      <c r="Q255" s="142">
        <v>45819</v>
      </c>
      <c r="R255" s="143">
        <f t="shared" ca="1" si="56"/>
        <v>2</v>
      </c>
      <c r="S255" s="327">
        <v>45815</v>
      </c>
      <c r="T255" s="138"/>
    </row>
    <row r="256" spans="1:20" hidden="1">
      <c r="A256" s="19" t="s">
        <v>188</v>
      </c>
      <c r="B256" s="291">
        <v>132</v>
      </c>
      <c r="C256" s="12" t="s">
        <v>75</v>
      </c>
      <c r="D256" s="314" t="s">
        <v>840</v>
      </c>
      <c r="E256" s="140">
        <v>45856</v>
      </c>
      <c r="F256" s="138">
        <v>189</v>
      </c>
      <c r="G256" s="138">
        <v>189</v>
      </c>
      <c r="H256" s="138">
        <v>180</v>
      </c>
      <c r="I256" s="83">
        <f t="shared" si="53"/>
        <v>-0.45000000000001705</v>
      </c>
      <c r="J256" s="83">
        <f t="shared" si="54"/>
        <v>0</v>
      </c>
      <c r="K256" s="298" t="s">
        <v>108</v>
      </c>
      <c r="L256" s="142">
        <v>45809</v>
      </c>
      <c r="M256" s="142">
        <v>45798</v>
      </c>
      <c r="N256" s="142">
        <f t="shared" si="49"/>
        <v>45800</v>
      </c>
      <c r="O256" s="143">
        <f t="shared" ca="1" si="55"/>
        <v>11</v>
      </c>
      <c r="P256" s="142">
        <f t="shared" si="58"/>
        <v>45821</v>
      </c>
      <c r="Q256" s="142">
        <v>45819</v>
      </c>
      <c r="R256" s="143">
        <f t="shared" ca="1" si="56"/>
        <v>2</v>
      </c>
      <c r="S256" s="327">
        <v>45815</v>
      </c>
      <c r="T256" s="138"/>
    </row>
    <row r="257" spans="1:20" hidden="1">
      <c r="A257" s="19" t="s">
        <v>188</v>
      </c>
      <c r="B257" s="291">
        <v>132</v>
      </c>
      <c r="C257" s="12" t="s">
        <v>857</v>
      </c>
      <c r="D257" s="314" t="s">
        <v>841</v>
      </c>
      <c r="E257" s="140">
        <v>45856</v>
      </c>
      <c r="F257" s="138">
        <v>232</v>
      </c>
      <c r="G257" s="138">
        <v>232</v>
      </c>
      <c r="H257" s="138">
        <v>220</v>
      </c>
      <c r="I257" s="83">
        <f t="shared" si="53"/>
        <v>0.39999999999997726</v>
      </c>
      <c r="J257" s="83">
        <f t="shared" si="54"/>
        <v>0</v>
      </c>
      <c r="K257" s="298" t="s">
        <v>108</v>
      </c>
      <c r="L257" s="142">
        <v>45809</v>
      </c>
      <c r="M257" s="142">
        <v>45798</v>
      </c>
      <c r="N257" s="142">
        <f t="shared" si="49"/>
        <v>45800</v>
      </c>
      <c r="O257" s="143">
        <f t="shared" ca="1" si="55"/>
        <v>11</v>
      </c>
      <c r="P257" s="142">
        <f t="shared" si="58"/>
        <v>45821</v>
      </c>
      <c r="Q257" s="142">
        <v>45819</v>
      </c>
      <c r="R257" s="143">
        <f t="shared" ca="1" si="56"/>
        <v>2</v>
      </c>
      <c r="S257" s="327">
        <v>45815</v>
      </c>
      <c r="T257" s="138"/>
    </row>
    <row r="258" spans="1:20" hidden="1">
      <c r="A258" s="19" t="s">
        <v>188</v>
      </c>
      <c r="B258" s="291">
        <v>132</v>
      </c>
      <c r="C258" s="12" t="s">
        <v>857</v>
      </c>
      <c r="D258" s="314" t="s">
        <v>840</v>
      </c>
      <c r="E258" s="140">
        <v>45856</v>
      </c>
      <c r="F258" s="138">
        <v>217</v>
      </c>
      <c r="G258" s="138">
        <v>217</v>
      </c>
      <c r="H258" s="138">
        <v>206</v>
      </c>
      <c r="I258" s="83">
        <f t="shared" si="53"/>
        <v>0.14999999999997726</v>
      </c>
      <c r="J258" s="83">
        <f t="shared" si="54"/>
        <v>0</v>
      </c>
      <c r="K258" s="298" t="s">
        <v>108</v>
      </c>
      <c r="L258" s="142">
        <v>45809</v>
      </c>
      <c r="M258" s="142">
        <v>45798</v>
      </c>
      <c r="N258" s="142">
        <f t="shared" si="49"/>
        <v>45800</v>
      </c>
      <c r="O258" s="143">
        <f t="shared" ca="1" si="55"/>
        <v>11</v>
      </c>
      <c r="P258" s="142">
        <f t="shared" si="58"/>
        <v>45821</v>
      </c>
      <c r="Q258" s="142">
        <v>45819</v>
      </c>
      <c r="R258" s="143">
        <f t="shared" ca="1" si="56"/>
        <v>2</v>
      </c>
      <c r="S258" s="327">
        <v>45815</v>
      </c>
      <c r="T258" s="138"/>
    </row>
    <row r="259" spans="1:20" hidden="1">
      <c r="A259" s="19" t="s">
        <v>188</v>
      </c>
      <c r="B259" s="291">
        <v>133</v>
      </c>
      <c r="C259" s="12" t="s">
        <v>77</v>
      </c>
      <c r="D259" s="313" t="s">
        <v>137</v>
      </c>
      <c r="E259" s="140">
        <v>45863</v>
      </c>
      <c r="F259" s="138">
        <v>137.10000610351599</v>
      </c>
      <c r="G259" s="138">
        <v>137.1</v>
      </c>
      <c r="H259" s="138">
        <v>130</v>
      </c>
      <c r="I259" s="83">
        <f t="shared" si="53"/>
        <v>0.24500579834020186</v>
      </c>
      <c r="J259" s="83">
        <f t="shared" si="54"/>
        <v>6.1035160001665645E-6</v>
      </c>
      <c r="K259" s="298" t="s">
        <v>108</v>
      </c>
      <c r="L259" s="142">
        <v>45790</v>
      </c>
      <c r="M259" s="142">
        <v>45798</v>
      </c>
      <c r="N259" s="142">
        <f t="shared" si="49"/>
        <v>45800</v>
      </c>
      <c r="O259" s="143">
        <f t="shared" ca="1" si="55"/>
        <v>-8</v>
      </c>
      <c r="P259" s="142">
        <f t="shared" si="58"/>
        <v>45802</v>
      </c>
      <c r="Q259" s="142">
        <v>45815</v>
      </c>
      <c r="R259" s="143">
        <f t="shared" ca="1" si="56"/>
        <v>-13</v>
      </c>
      <c r="S259" s="138"/>
      <c r="T259" s="138"/>
    </row>
    <row r="260" spans="1:20" hidden="1">
      <c r="A260" s="19" t="s">
        <v>188</v>
      </c>
      <c r="B260" s="291">
        <v>133</v>
      </c>
      <c r="C260" s="12" t="s">
        <v>79</v>
      </c>
      <c r="D260" s="313" t="s">
        <v>146</v>
      </c>
      <c r="E260" s="140">
        <v>45863</v>
      </c>
      <c r="F260" s="138">
        <v>6.8000001907348597</v>
      </c>
      <c r="G260" s="138">
        <v>6.8</v>
      </c>
      <c r="H260" s="138">
        <v>6</v>
      </c>
      <c r="I260" s="83">
        <f t="shared" si="53"/>
        <v>0.46000018119811603</v>
      </c>
      <c r="J260" s="83">
        <f t="shared" si="54"/>
        <v>1.9073485990617201E-7</v>
      </c>
      <c r="K260" s="298" t="s">
        <v>108</v>
      </c>
      <c r="L260" s="142">
        <v>45790</v>
      </c>
      <c r="M260" s="142">
        <v>45798</v>
      </c>
      <c r="N260" s="142">
        <f t="shared" si="49"/>
        <v>45800</v>
      </c>
      <c r="O260" s="143">
        <f t="shared" ca="1" si="55"/>
        <v>-8</v>
      </c>
      <c r="P260" s="142">
        <f t="shared" si="58"/>
        <v>45802</v>
      </c>
      <c r="Q260" s="142">
        <v>45822</v>
      </c>
      <c r="R260" s="143">
        <f t="shared" ca="1" si="56"/>
        <v>-20</v>
      </c>
      <c r="S260" s="138"/>
      <c r="T260" s="138"/>
    </row>
    <row r="261" spans="1:20" hidden="1">
      <c r="A261" s="19" t="s">
        <v>188</v>
      </c>
      <c r="B261" s="291">
        <v>133</v>
      </c>
      <c r="C261" s="12" t="s">
        <v>93</v>
      </c>
      <c r="D261" s="313" t="s">
        <v>844</v>
      </c>
      <c r="E261" s="140">
        <v>45863</v>
      </c>
      <c r="F261" s="138">
        <v>33.700000762939503</v>
      </c>
      <c r="G261" s="138">
        <v>33.700000000000003</v>
      </c>
      <c r="H261" s="138">
        <v>32</v>
      </c>
      <c r="I261" s="83">
        <f t="shared" si="53"/>
        <v>1.5000724792528786E-2</v>
      </c>
      <c r="J261" s="83">
        <f t="shared" si="54"/>
        <v>7.6293950002082056E-7</v>
      </c>
      <c r="K261" s="298" t="s">
        <v>142</v>
      </c>
      <c r="L261" s="142">
        <v>45794</v>
      </c>
      <c r="M261" s="142">
        <v>45798</v>
      </c>
      <c r="N261" s="142">
        <f t="shared" si="49"/>
        <v>45800</v>
      </c>
      <c r="O261" s="143">
        <f t="shared" ca="1" si="55"/>
        <v>-4</v>
      </c>
      <c r="P261" s="142">
        <f t="shared" si="58"/>
        <v>45806</v>
      </c>
      <c r="Q261" s="142">
        <v>45819</v>
      </c>
      <c r="R261" s="143">
        <f t="shared" ca="1" si="56"/>
        <v>-13</v>
      </c>
      <c r="S261" s="138"/>
      <c r="T261" s="138"/>
    </row>
    <row r="262" spans="1:20" hidden="1">
      <c r="A262" s="19" t="s">
        <v>188</v>
      </c>
      <c r="B262" s="291">
        <v>133</v>
      </c>
      <c r="C262" s="12" t="s">
        <v>93</v>
      </c>
      <c r="D262" s="313" t="s">
        <v>843</v>
      </c>
      <c r="E262" s="140">
        <v>45863</v>
      </c>
      <c r="F262" s="138">
        <v>40.299999237060497</v>
      </c>
      <c r="G262" s="138">
        <v>40.299999999999997</v>
      </c>
      <c r="H262" s="138">
        <v>38</v>
      </c>
      <c r="I262" s="83">
        <f t="shared" si="53"/>
        <v>0.28499927520746837</v>
      </c>
      <c r="J262" s="83">
        <f t="shared" si="54"/>
        <v>-7.6293950002082056E-7</v>
      </c>
      <c r="K262" s="298" t="s">
        <v>142</v>
      </c>
      <c r="L262" s="142">
        <v>45794</v>
      </c>
      <c r="M262" s="142">
        <v>45798</v>
      </c>
      <c r="N262" s="142">
        <f t="shared" si="49"/>
        <v>45800</v>
      </c>
      <c r="O262" s="143">
        <f t="shared" ca="1" si="55"/>
        <v>-4</v>
      </c>
      <c r="P262" s="142">
        <f t="shared" si="58"/>
        <v>45806</v>
      </c>
      <c r="Q262" s="142">
        <v>45819</v>
      </c>
      <c r="R262" s="143">
        <f t="shared" ca="1" si="56"/>
        <v>-13</v>
      </c>
      <c r="S262" s="138"/>
      <c r="T262" s="138"/>
    </row>
    <row r="263" spans="1:20" hidden="1">
      <c r="A263" s="19" t="s">
        <v>188</v>
      </c>
      <c r="B263" s="291">
        <v>134</v>
      </c>
      <c r="C263" s="12" t="s">
        <v>77</v>
      </c>
      <c r="D263" s="313" t="s">
        <v>137</v>
      </c>
      <c r="E263" s="240">
        <v>45863</v>
      </c>
      <c r="F263" s="138">
        <v>138.46000671386699</v>
      </c>
      <c r="G263" s="138">
        <v>138.46</v>
      </c>
      <c r="H263" s="138">
        <v>132</v>
      </c>
      <c r="I263" s="83">
        <f t="shared" si="53"/>
        <v>-0.46299362182637083</v>
      </c>
      <c r="J263" s="83">
        <f t="shared" si="54"/>
        <v>6.7138669805899553E-6</v>
      </c>
      <c r="K263" s="298" t="s">
        <v>108</v>
      </c>
      <c r="L263" s="142">
        <v>45790</v>
      </c>
      <c r="M263" s="142">
        <v>45798</v>
      </c>
      <c r="N263" s="142">
        <f t="shared" si="49"/>
        <v>45800</v>
      </c>
      <c r="O263" s="143">
        <f t="shared" ca="1" si="55"/>
        <v>-8</v>
      </c>
      <c r="P263" s="142">
        <f t="shared" si="58"/>
        <v>45802</v>
      </c>
      <c r="Q263" s="142">
        <v>45824</v>
      </c>
      <c r="R263" s="143">
        <f t="shared" ca="1" si="56"/>
        <v>-22</v>
      </c>
      <c r="S263" s="138"/>
      <c r="T263" s="138"/>
    </row>
    <row r="264" spans="1:20" hidden="1">
      <c r="A264" s="19" t="s">
        <v>188</v>
      </c>
      <c r="B264" s="291">
        <v>134</v>
      </c>
      <c r="C264" s="12" t="s">
        <v>75</v>
      </c>
      <c r="D264" s="314" t="s">
        <v>841</v>
      </c>
      <c r="E264" s="240">
        <v>45863</v>
      </c>
      <c r="F264" s="138">
        <v>56.700000762939503</v>
      </c>
      <c r="G264" s="138">
        <v>56.7</v>
      </c>
      <c r="H264" s="138">
        <v>54</v>
      </c>
      <c r="I264" s="83">
        <f t="shared" si="53"/>
        <v>-0.1349992752074769</v>
      </c>
      <c r="J264" s="83">
        <f t="shared" si="54"/>
        <v>7.6293950002082056E-7</v>
      </c>
      <c r="K264" s="298" t="s">
        <v>108</v>
      </c>
      <c r="L264" s="142">
        <v>45809</v>
      </c>
      <c r="M264" s="142">
        <v>45798</v>
      </c>
      <c r="N264" s="142">
        <f t="shared" si="49"/>
        <v>45800</v>
      </c>
      <c r="O264" s="143">
        <f t="shared" ca="1" si="55"/>
        <v>11</v>
      </c>
      <c r="P264" s="142">
        <f t="shared" si="58"/>
        <v>45821</v>
      </c>
      <c r="Q264" s="142">
        <v>45819</v>
      </c>
      <c r="R264" s="143">
        <f t="shared" ca="1" si="56"/>
        <v>2</v>
      </c>
      <c r="S264" s="327">
        <v>45815</v>
      </c>
      <c r="T264" s="138"/>
    </row>
    <row r="265" spans="1:20" hidden="1">
      <c r="A265" s="19" t="s">
        <v>188</v>
      </c>
      <c r="B265" s="291">
        <v>134</v>
      </c>
      <c r="C265" s="12" t="s">
        <v>75</v>
      </c>
      <c r="D265" s="314" t="s">
        <v>858</v>
      </c>
      <c r="E265" s="240">
        <v>45863</v>
      </c>
      <c r="F265" s="138">
        <v>85.400001525878906</v>
      </c>
      <c r="G265" s="138">
        <v>85.4</v>
      </c>
      <c r="H265" s="138">
        <v>81</v>
      </c>
      <c r="I265" s="83">
        <f t="shared" si="53"/>
        <v>0.13000144958495241</v>
      </c>
      <c r="J265" s="83">
        <f t="shared" si="54"/>
        <v>1.5258789005656581E-6</v>
      </c>
      <c r="K265" s="298" t="s">
        <v>108</v>
      </c>
      <c r="L265" s="142">
        <v>45809</v>
      </c>
      <c r="M265" s="142">
        <v>45798</v>
      </c>
      <c r="N265" s="142">
        <f t="shared" ref="N265:N328" si="59">M265+2</f>
        <v>45800</v>
      </c>
      <c r="O265" s="143">
        <f t="shared" ca="1" si="55"/>
        <v>11</v>
      </c>
      <c r="P265" s="142">
        <f t="shared" si="58"/>
        <v>45821</v>
      </c>
      <c r="Q265" s="142">
        <v>45810</v>
      </c>
      <c r="R265" s="143">
        <f t="shared" ca="1" si="56"/>
        <v>11</v>
      </c>
      <c r="S265" s="327">
        <v>45815</v>
      </c>
      <c r="T265" s="138"/>
    </row>
    <row r="266" spans="1:20" hidden="1">
      <c r="A266" s="19" t="s">
        <v>188</v>
      </c>
      <c r="B266" s="291">
        <v>134</v>
      </c>
      <c r="C266" s="12" t="s">
        <v>75</v>
      </c>
      <c r="D266" s="314" t="s">
        <v>840</v>
      </c>
      <c r="E266" s="240">
        <v>45863</v>
      </c>
      <c r="F266" s="138">
        <v>52.900001525878899</v>
      </c>
      <c r="G266" s="138">
        <v>52.9</v>
      </c>
      <c r="H266" s="138">
        <v>50</v>
      </c>
      <c r="I266" s="83">
        <f t="shared" si="53"/>
        <v>0.25500144958495241</v>
      </c>
      <c r="J266" s="83">
        <f t="shared" si="54"/>
        <v>1.5258789005656581E-6</v>
      </c>
      <c r="K266" s="298" t="s">
        <v>108</v>
      </c>
      <c r="L266" s="142">
        <v>45809</v>
      </c>
      <c r="M266" s="142">
        <v>45798</v>
      </c>
      <c r="N266" s="142">
        <f t="shared" si="59"/>
        <v>45800</v>
      </c>
      <c r="O266" s="143">
        <f t="shared" ca="1" si="55"/>
        <v>11</v>
      </c>
      <c r="P266" s="142">
        <f t="shared" si="58"/>
        <v>45821</v>
      </c>
      <c r="Q266" s="142">
        <v>45819</v>
      </c>
      <c r="R266" s="143">
        <f t="shared" ca="1" si="56"/>
        <v>2</v>
      </c>
      <c r="S266" s="327">
        <v>45815</v>
      </c>
      <c r="T266" s="138"/>
    </row>
    <row r="267" spans="1:20" hidden="1">
      <c r="A267" s="19" t="s">
        <v>188</v>
      </c>
      <c r="B267" s="291">
        <v>134</v>
      </c>
      <c r="C267" s="12" t="s">
        <v>75</v>
      </c>
      <c r="D267" s="314" t="s">
        <v>859</v>
      </c>
      <c r="E267" s="240">
        <v>45863</v>
      </c>
      <c r="F267" s="138">
        <v>52</v>
      </c>
      <c r="G267" s="138">
        <v>52</v>
      </c>
      <c r="H267" s="138">
        <v>49</v>
      </c>
      <c r="I267" s="83">
        <f t="shared" si="53"/>
        <v>0.39999999999999858</v>
      </c>
      <c r="J267" s="83">
        <f t="shared" si="54"/>
        <v>0</v>
      </c>
      <c r="K267" s="298" t="s">
        <v>108</v>
      </c>
      <c r="L267" s="142">
        <v>45809</v>
      </c>
      <c r="M267" s="142">
        <v>45798</v>
      </c>
      <c r="N267" s="142">
        <f t="shared" si="59"/>
        <v>45800</v>
      </c>
      <c r="O267" s="143">
        <f t="shared" ca="1" si="55"/>
        <v>11</v>
      </c>
      <c r="P267" s="142">
        <f t="shared" si="58"/>
        <v>45821</v>
      </c>
      <c r="Q267" s="142">
        <v>45810</v>
      </c>
      <c r="R267" s="143">
        <f t="shared" ca="1" si="56"/>
        <v>11</v>
      </c>
      <c r="S267" s="327">
        <v>45815</v>
      </c>
      <c r="T267" s="138"/>
    </row>
    <row r="268" spans="1:20" hidden="1">
      <c r="A268" s="19" t="s">
        <v>188</v>
      </c>
      <c r="B268" s="291">
        <v>134</v>
      </c>
      <c r="C268" s="12" t="s">
        <v>857</v>
      </c>
      <c r="D268" s="314" t="s">
        <v>841</v>
      </c>
      <c r="E268" s="240">
        <v>45863</v>
      </c>
      <c r="F268" s="138">
        <v>64.800003051757798</v>
      </c>
      <c r="G268" s="138">
        <v>64.8</v>
      </c>
      <c r="H268" s="138">
        <v>62</v>
      </c>
      <c r="I268" s="83">
        <f t="shared" si="53"/>
        <v>-0.43999710083009802</v>
      </c>
      <c r="J268" s="83">
        <f t="shared" si="54"/>
        <v>3.0517578011313162E-6</v>
      </c>
      <c r="K268" s="298" t="s">
        <v>108</v>
      </c>
      <c r="L268" s="142">
        <v>45809</v>
      </c>
      <c r="M268" s="142">
        <v>45798</v>
      </c>
      <c r="N268" s="142">
        <f t="shared" si="59"/>
        <v>45800</v>
      </c>
      <c r="O268" s="143">
        <f t="shared" ca="1" si="55"/>
        <v>11</v>
      </c>
      <c r="P268" s="142">
        <f t="shared" si="58"/>
        <v>45821</v>
      </c>
      <c r="Q268" s="142">
        <v>45819</v>
      </c>
      <c r="R268" s="143">
        <f t="shared" ca="1" si="56"/>
        <v>2</v>
      </c>
      <c r="S268" s="327">
        <v>45815</v>
      </c>
      <c r="T268" s="138"/>
    </row>
    <row r="269" spans="1:20" hidden="1">
      <c r="A269" s="19" t="s">
        <v>188</v>
      </c>
      <c r="B269" s="291">
        <v>134</v>
      </c>
      <c r="C269" s="12" t="s">
        <v>857</v>
      </c>
      <c r="D269" s="314" t="s">
        <v>858</v>
      </c>
      <c r="E269" s="240">
        <v>45863</v>
      </c>
      <c r="F269" s="138">
        <v>97.599998474121094</v>
      </c>
      <c r="G269" s="138">
        <v>97.6</v>
      </c>
      <c r="H269" s="138">
        <v>93</v>
      </c>
      <c r="I269" s="83">
        <f t="shared" si="53"/>
        <v>-0.28000144958497231</v>
      </c>
      <c r="J269" s="83">
        <f t="shared" si="54"/>
        <v>-1.5258789005656581E-6</v>
      </c>
      <c r="K269" s="298" t="s">
        <v>108</v>
      </c>
      <c r="L269" s="142">
        <v>45809</v>
      </c>
      <c r="M269" s="142">
        <v>45798</v>
      </c>
      <c r="N269" s="142">
        <f t="shared" si="59"/>
        <v>45800</v>
      </c>
      <c r="O269" s="143">
        <f t="shared" ca="1" si="55"/>
        <v>11</v>
      </c>
      <c r="P269" s="142">
        <f t="shared" si="58"/>
        <v>45821</v>
      </c>
      <c r="Q269" s="142">
        <v>45810</v>
      </c>
      <c r="R269" s="143">
        <f t="shared" ca="1" si="56"/>
        <v>11</v>
      </c>
      <c r="S269" s="327">
        <v>45815</v>
      </c>
      <c r="T269" s="138"/>
    </row>
    <row r="270" spans="1:20" hidden="1">
      <c r="A270" s="19" t="s">
        <v>188</v>
      </c>
      <c r="B270" s="291">
        <v>134</v>
      </c>
      <c r="C270" s="12" t="s">
        <v>857</v>
      </c>
      <c r="D270" s="314" t="s">
        <v>840</v>
      </c>
      <c r="E270" s="240">
        <v>45863</v>
      </c>
      <c r="F270" s="138">
        <v>60.200000762939503</v>
      </c>
      <c r="G270" s="138">
        <v>60.2</v>
      </c>
      <c r="H270" s="138">
        <v>57</v>
      </c>
      <c r="I270" s="83">
        <f t="shared" si="53"/>
        <v>0.19000072479252594</v>
      </c>
      <c r="J270" s="83">
        <f t="shared" si="54"/>
        <v>7.6293950002082056E-7</v>
      </c>
      <c r="K270" s="298" t="s">
        <v>108</v>
      </c>
      <c r="L270" s="142">
        <v>45809</v>
      </c>
      <c r="M270" s="142">
        <v>45798</v>
      </c>
      <c r="N270" s="142">
        <f t="shared" si="59"/>
        <v>45800</v>
      </c>
      <c r="O270" s="143">
        <f t="shared" ca="1" si="55"/>
        <v>11</v>
      </c>
      <c r="P270" s="142">
        <f t="shared" si="58"/>
        <v>45821</v>
      </c>
      <c r="Q270" s="142">
        <v>45819</v>
      </c>
      <c r="R270" s="143">
        <f t="shared" ca="1" si="56"/>
        <v>2</v>
      </c>
      <c r="S270" s="327">
        <v>45815</v>
      </c>
      <c r="T270" s="138"/>
    </row>
    <row r="271" spans="1:20" hidden="1">
      <c r="A271" s="19" t="s">
        <v>188</v>
      </c>
      <c r="B271" s="291">
        <v>134</v>
      </c>
      <c r="C271" s="12" t="s">
        <v>857</v>
      </c>
      <c r="D271" s="314" t="s">
        <v>859</v>
      </c>
      <c r="E271" s="240">
        <v>45863</v>
      </c>
      <c r="F271" s="138">
        <v>59.400001525878899</v>
      </c>
      <c r="G271" s="138">
        <v>59.4</v>
      </c>
      <c r="H271" s="138">
        <v>56</v>
      </c>
      <c r="I271" s="83">
        <f t="shared" si="53"/>
        <v>0.43000144958494957</v>
      </c>
      <c r="J271" s="83">
        <f t="shared" si="54"/>
        <v>1.5258789005656581E-6</v>
      </c>
      <c r="K271" s="298" t="s">
        <v>108</v>
      </c>
      <c r="L271" s="142">
        <v>45809</v>
      </c>
      <c r="M271" s="142">
        <v>45798</v>
      </c>
      <c r="N271" s="142">
        <f t="shared" si="59"/>
        <v>45800</v>
      </c>
      <c r="O271" s="143">
        <f t="shared" ca="1" si="55"/>
        <v>11</v>
      </c>
      <c r="P271" s="142">
        <f t="shared" si="58"/>
        <v>45821</v>
      </c>
      <c r="Q271" s="142">
        <v>45810</v>
      </c>
      <c r="R271" s="143">
        <f t="shared" ca="1" si="56"/>
        <v>11</v>
      </c>
      <c r="S271" s="327">
        <v>45815</v>
      </c>
      <c r="T271" s="138"/>
    </row>
    <row r="272" spans="1:20" hidden="1">
      <c r="A272" s="19" t="s">
        <v>188</v>
      </c>
      <c r="B272" s="291">
        <v>135</v>
      </c>
      <c r="C272" s="12" t="s">
        <v>77</v>
      </c>
      <c r="D272" s="313" t="s">
        <v>147</v>
      </c>
      <c r="E272" s="240">
        <v>45863</v>
      </c>
      <c r="F272" s="138">
        <v>498.20001220703102</v>
      </c>
      <c r="G272" s="138">
        <v>498.2</v>
      </c>
      <c r="H272" s="138">
        <v>473</v>
      </c>
      <c r="I272" s="83">
        <f t="shared" si="53"/>
        <v>0.29001159667944876</v>
      </c>
      <c r="J272" s="83">
        <f t="shared" si="54"/>
        <v>1.2207031033995008E-5</v>
      </c>
      <c r="K272" s="298" t="s">
        <v>890</v>
      </c>
      <c r="L272" s="142">
        <v>45790</v>
      </c>
      <c r="M272" s="142">
        <v>45792</v>
      </c>
      <c r="N272" s="142">
        <f t="shared" si="59"/>
        <v>45794</v>
      </c>
      <c r="O272" s="143">
        <f t="shared" ca="1" si="55"/>
        <v>-2</v>
      </c>
      <c r="P272" s="142">
        <f t="shared" si="58"/>
        <v>45802</v>
      </c>
      <c r="Q272" s="142">
        <v>45810</v>
      </c>
      <c r="R272" s="143">
        <f t="shared" ca="1" si="56"/>
        <v>-8</v>
      </c>
      <c r="S272" s="327">
        <v>45810</v>
      </c>
      <c r="T272" s="138"/>
    </row>
    <row r="273" spans="1:20" hidden="1">
      <c r="A273" s="19" t="s">
        <v>188</v>
      </c>
      <c r="B273" s="291">
        <v>135</v>
      </c>
      <c r="C273" s="12" t="s">
        <v>77</v>
      </c>
      <c r="D273" s="313" t="s">
        <v>148</v>
      </c>
      <c r="E273" s="240">
        <v>45863</v>
      </c>
      <c r="F273" s="138">
        <v>785.29998779296898</v>
      </c>
      <c r="G273" s="138">
        <v>785.3</v>
      </c>
      <c r="H273" s="138">
        <v>746</v>
      </c>
      <c r="I273" s="83">
        <f t="shared" si="53"/>
        <v>3.4988403320539874E-2</v>
      </c>
      <c r="J273" s="83">
        <f t="shared" si="54"/>
        <v>-1.2207030977151589E-5</v>
      </c>
      <c r="K273" s="298" t="s">
        <v>890</v>
      </c>
      <c r="L273" s="142">
        <v>45790</v>
      </c>
      <c r="M273" s="142">
        <v>45792</v>
      </c>
      <c r="N273" s="142">
        <f t="shared" si="59"/>
        <v>45794</v>
      </c>
      <c r="O273" s="143">
        <f t="shared" ca="1" si="55"/>
        <v>-2</v>
      </c>
      <c r="P273" s="142">
        <f t="shared" si="58"/>
        <v>45802</v>
      </c>
      <c r="Q273" s="142">
        <v>45810</v>
      </c>
      <c r="R273" s="143">
        <f t="shared" ca="1" si="56"/>
        <v>-8</v>
      </c>
      <c r="S273" s="327">
        <v>45810</v>
      </c>
      <c r="T273" s="138"/>
    </row>
    <row r="274" spans="1:20" hidden="1">
      <c r="A274" s="19" t="s">
        <v>188</v>
      </c>
      <c r="B274" s="291">
        <v>135</v>
      </c>
      <c r="C274" s="12" t="s">
        <v>79</v>
      </c>
      <c r="D274" s="313" t="s">
        <v>147</v>
      </c>
      <c r="E274" s="240">
        <v>45863</v>
      </c>
      <c r="F274" s="138">
        <v>6.1999998092651403</v>
      </c>
      <c r="G274" s="138">
        <v>6.2</v>
      </c>
      <c r="H274" s="138">
        <v>6</v>
      </c>
      <c r="I274" s="83">
        <f t="shared" si="53"/>
        <v>-0.11000018119811728</v>
      </c>
      <c r="J274" s="83">
        <f t="shared" si="54"/>
        <v>-1.9073485990617201E-7</v>
      </c>
      <c r="K274" s="298" t="s">
        <v>890</v>
      </c>
      <c r="L274" s="142">
        <v>45790</v>
      </c>
      <c r="M274" s="142">
        <v>45792</v>
      </c>
      <c r="N274" s="142">
        <f t="shared" si="59"/>
        <v>45794</v>
      </c>
      <c r="O274" s="143">
        <f t="shared" ca="1" si="55"/>
        <v>-2</v>
      </c>
      <c r="P274" s="142">
        <f t="shared" si="58"/>
        <v>45802</v>
      </c>
      <c r="Q274" s="142">
        <v>45810</v>
      </c>
      <c r="R274" s="143">
        <f t="shared" ca="1" si="56"/>
        <v>-8</v>
      </c>
      <c r="S274" s="327">
        <v>45810</v>
      </c>
      <c r="T274" s="138"/>
    </row>
    <row r="275" spans="1:20" hidden="1">
      <c r="A275" s="19" t="s">
        <v>188</v>
      </c>
      <c r="B275" s="291">
        <v>135</v>
      </c>
      <c r="C275" s="12" t="s">
        <v>75</v>
      </c>
      <c r="D275" s="314" t="s">
        <v>858</v>
      </c>
      <c r="E275" s="240">
        <v>45863</v>
      </c>
      <c r="F275" s="138">
        <v>55.5</v>
      </c>
      <c r="G275" s="138">
        <v>55.5</v>
      </c>
      <c r="H275" s="138">
        <v>53</v>
      </c>
      <c r="I275" s="83">
        <f t="shared" ref="I275:I338" si="60">F275*95%-H275</f>
        <v>-0.27500000000000568</v>
      </c>
      <c r="J275" s="83">
        <f t="shared" ref="J275:J338" si="61">F275-G275</f>
        <v>0</v>
      </c>
      <c r="K275" s="298" t="s">
        <v>108</v>
      </c>
      <c r="L275" s="142">
        <v>45809</v>
      </c>
      <c r="M275" s="142">
        <v>45798</v>
      </c>
      <c r="N275" s="142">
        <f t="shared" si="59"/>
        <v>45800</v>
      </c>
      <c r="O275" s="143">
        <f t="shared" ref="O275:O338" ca="1" si="62">+IF(M275="",L275-TODAY(),L275-M275)</f>
        <v>11</v>
      </c>
      <c r="P275" s="142">
        <f t="shared" ref="P275:P338" si="63">L275+12</f>
        <v>45821</v>
      </c>
      <c r="Q275" s="142">
        <v>45810</v>
      </c>
      <c r="R275" s="143">
        <f t="shared" ref="R275:R338" ca="1" si="64">+IF(Q275="",P275-TODAY(),P275-Q275)</f>
        <v>11</v>
      </c>
      <c r="S275" s="327">
        <v>45815</v>
      </c>
      <c r="T275" s="138"/>
    </row>
    <row r="276" spans="1:20" hidden="1">
      <c r="A276" s="19" t="s">
        <v>188</v>
      </c>
      <c r="B276" s="291">
        <v>135</v>
      </c>
      <c r="C276" s="12" t="s">
        <v>75</v>
      </c>
      <c r="D276" s="314" t="s">
        <v>859</v>
      </c>
      <c r="E276" s="240">
        <v>45863</v>
      </c>
      <c r="F276" s="138">
        <v>34</v>
      </c>
      <c r="G276" s="138">
        <v>34</v>
      </c>
      <c r="H276" s="138">
        <v>32</v>
      </c>
      <c r="I276" s="83">
        <f t="shared" si="60"/>
        <v>0.29999999999999716</v>
      </c>
      <c r="J276" s="83">
        <f t="shared" si="61"/>
        <v>0</v>
      </c>
      <c r="K276" s="298" t="s">
        <v>108</v>
      </c>
      <c r="L276" s="142">
        <v>45809</v>
      </c>
      <c r="M276" s="142">
        <v>45798</v>
      </c>
      <c r="N276" s="142">
        <f t="shared" si="59"/>
        <v>45800</v>
      </c>
      <c r="O276" s="143">
        <f t="shared" ca="1" si="62"/>
        <v>11</v>
      </c>
      <c r="P276" s="142">
        <f t="shared" si="63"/>
        <v>45821</v>
      </c>
      <c r="Q276" s="142">
        <v>45810</v>
      </c>
      <c r="R276" s="143">
        <f t="shared" ca="1" si="64"/>
        <v>11</v>
      </c>
      <c r="S276" s="327">
        <v>45815</v>
      </c>
      <c r="T276" s="138"/>
    </row>
    <row r="277" spans="1:20" hidden="1">
      <c r="A277" s="19" t="s">
        <v>188</v>
      </c>
      <c r="B277" s="291">
        <v>135</v>
      </c>
      <c r="C277" s="12" t="s">
        <v>857</v>
      </c>
      <c r="D277" s="314" t="s">
        <v>858</v>
      </c>
      <c r="E277" s="240">
        <v>45863</v>
      </c>
      <c r="F277" s="138">
        <v>63.599998474121101</v>
      </c>
      <c r="G277" s="138">
        <v>63.6</v>
      </c>
      <c r="H277" s="138">
        <v>60</v>
      </c>
      <c r="I277" s="83">
        <f t="shared" si="60"/>
        <v>0.41999855041504475</v>
      </c>
      <c r="J277" s="83">
        <f t="shared" si="61"/>
        <v>-1.5258789005656581E-6</v>
      </c>
      <c r="K277" s="298" t="s">
        <v>108</v>
      </c>
      <c r="L277" s="142">
        <v>45809</v>
      </c>
      <c r="M277" s="142">
        <v>45798</v>
      </c>
      <c r="N277" s="142">
        <f t="shared" si="59"/>
        <v>45800</v>
      </c>
      <c r="O277" s="143">
        <f t="shared" ca="1" si="62"/>
        <v>11</v>
      </c>
      <c r="P277" s="142">
        <f t="shared" si="63"/>
        <v>45821</v>
      </c>
      <c r="Q277" s="142">
        <v>45810</v>
      </c>
      <c r="R277" s="143">
        <f t="shared" ca="1" si="64"/>
        <v>11</v>
      </c>
      <c r="S277" s="327">
        <v>45815</v>
      </c>
      <c r="T277" s="138"/>
    </row>
    <row r="278" spans="1:20" hidden="1">
      <c r="A278" s="19" t="s">
        <v>188</v>
      </c>
      <c r="B278" s="291">
        <v>135</v>
      </c>
      <c r="C278" s="12" t="s">
        <v>857</v>
      </c>
      <c r="D278" s="314" t="s">
        <v>859</v>
      </c>
      <c r="E278" s="240">
        <v>45863</v>
      </c>
      <c r="F278" s="138">
        <v>39</v>
      </c>
      <c r="G278" s="138">
        <v>39</v>
      </c>
      <c r="H278" s="138">
        <v>37</v>
      </c>
      <c r="I278" s="83">
        <f t="shared" si="60"/>
        <v>4.9999999999997158E-2</v>
      </c>
      <c r="J278" s="83">
        <f t="shared" si="61"/>
        <v>0</v>
      </c>
      <c r="K278" s="298" t="s">
        <v>108</v>
      </c>
      <c r="L278" s="142">
        <v>45809</v>
      </c>
      <c r="M278" s="142">
        <v>45798</v>
      </c>
      <c r="N278" s="142">
        <f t="shared" si="59"/>
        <v>45800</v>
      </c>
      <c r="O278" s="143">
        <f t="shared" ca="1" si="62"/>
        <v>11</v>
      </c>
      <c r="P278" s="142">
        <f t="shared" si="63"/>
        <v>45821</v>
      </c>
      <c r="Q278" s="142">
        <v>45810</v>
      </c>
      <c r="R278" s="143">
        <f t="shared" ca="1" si="64"/>
        <v>11</v>
      </c>
      <c r="S278" s="327">
        <v>45815</v>
      </c>
      <c r="T278" s="138"/>
    </row>
    <row r="279" spans="1:20" hidden="1">
      <c r="A279" s="19" t="s">
        <v>188</v>
      </c>
      <c r="B279" s="291">
        <v>137</v>
      </c>
      <c r="C279" s="12" t="s">
        <v>75</v>
      </c>
      <c r="D279" s="314" t="s">
        <v>858</v>
      </c>
      <c r="E279" s="240">
        <v>45863</v>
      </c>
      <c r="F279" s="138">
        <v>90.599998474121094</v>
      </c>
      <c r="G279" s="138">
        <v>90.6</v>
      </c>
      <c r="H279" s="138">
        <v>86</v>
      </c>
      <c r="I279" s="83">
        <f t="shared" si="60"/>
        <v>6.999855041503622E-2</v>
      </c>
      <c r="J279" s="83">
        <f t="shared" si="61"/>
        <v>-1.5258789005656581E-6</v>
      </c>
      <c r="K279" s="298" t="s">
        <v>108</v>
      </c>
      <c r="L279" s="142">
        <v>45809</v>
      </c>
      <c r="M279" s="142">
        <v>45798</v>
      </c>
      <c r="N279" s="142">
        <f t="shared" si="59"/>
        <v>45800</v>
      </c>
      <c r="O279" s="143">
        <f t="shared" ca="1" si="62"/>
        <v>11</v>
      </c>
      <c r="P279" s="142">
        <f t="shared" si="63"/>
        <v>45821</v>
      </c>
      <c r="Q279" s="142">
        <v>45810</v>
      </c>
      <c r="R279" s="143">
        <f t="shared" ca="1" si="64"/>
        <v>11</v>
      </c>
      <c r="S279" s="327">
        <v>45815</v>
      </c>
      <c r="T279" s="138"/>
    </row>
    <row r="280" spans="1:20" hidden="1">
      <c r="A280" s="19" t="s">
        <v>188</v>
      </c>
      <c r="B280" s="291">
        <v>137</v>
      </c>
      <c r="C280" s="12" t="s">
        <v>75</v>
      </c>
      <c r="D280" s="314" t="s">
        <v>859</v>
      </c>
      <c r="E280" s="240">
        <v>45863</v>
      </c>
      <c r="F280" s="138">
        <v>55.5</v>
      </c>
      <c r="G280" s="138">
        <v>55.5</v>
      </c>
      <c r="H280" s="138">
        <v>53</v>
      </c>
      <c r="I280" s="83">
        <f t="shared" si="60"/>
        <v>-0.27500000000000568</v>
      </c>
      <c r="J280" s="83">
        <f t="shared" si="61"/>
        <v>0</v>
      </c>
      <c r="K280" s="298" t="s">
        <v>108</v>
      </c>
      <c r="L280" s="142">
        <v>45809</v>
      </c>
      <c r="M280" s="142">
        <v>45798</v>
      </c>
      <c r="N280" s="142">
        <f t="shared" si="59"/>
        <v>45800</v>
      </c>
      <c r="O280" s="143">
        <f t="shared" ca="1" si="62"/>
        <v>11</v>
      </c>
      <c r="P280" s="142">
        <f t="shared" si="63"/>
        <v>45821</v>
      </c>
      <c r="Q280" s="142">
        <v>45810</v>
      </c>
      <c r="R280" s="143">
        <f t="shared" ca="1" si="64"/>
        <v>11</v>
      </c>
      <c r="S280" s="327">
        <v>45815</v>
      </c>
      <c r="T280" s="138"/>
    </row>
    <row r="281" spans="1:20" hidden="1">
      <c r="A281" s="19" t="s">
        <v>188</v>
      </c>
      <c r="B281" s="291">
        <v>137</v>
      </c>
      <c r="C281" s="12" t="s">
        <v>857</v>
      </c>
      <c r="D281" s="314" t="s">
        <v>858</v>
      </c>
      <c r="E281" s="240">
        <v>45863</v>
      </c>
      <c r="F281" s="138">
        <v>103.90000152587901</v>
      </c>
      <c r="G281" s="138">
        <v>103.9</v>
      </c>
      <c r="H281" s="138">
        <v>99</v>
      </c>
      <c r="I281" s="83">
        <f t="shared" si="60"/>
        <v>-0.29499855041494527</v>
      </c>
      <c r="J281" s="83">
        <f t="shared" si="61"/>
        <v>1.5258790000416411E-6</v>
      </c>
      <c r="K281" s="298" t="s">
        <v>108</v>
      </c>
      <c r="L281" s="142">
        <v>45809</v>
      </c>
      <c r="M281" s="142">
        <v>45798</v>
      </c>
      <c r="N281" s="142">
        <f t="shared" si="59"/>
        <v>45800</v>
      </c>
      <c r="O281" s="143">
        <f t="shared" ca="1" si="62"/>
        <v>11</v>
      </c>
      <c r="P281" s="142">
        <f t="shared" si="63"/>
        <v>45821</v>
      </c>
      <c r="Q281" s="142">
        <v>45810</v>
      </c>
      <c r="R281" s="143">
        <f t="shared" ca="1" si="64"/>
        <v>11</v>
      </c>
      <c r="S281" s="327">
        <v>45815</v>
      </c>
      <c r="T281" s="138"/>
    </row>
    <row r="282" spans="1:20" hidden="1">
      <c r="A282" s="19" t="s">
        <v>188</v>
      </c>
      <c r="B282" s="291">
        <v>137</v>
      </c>
      <c r="C282" s="12" t="s">
        <v>857</v>
      </c>
      <c r="D282" s="314" t="s">
        <v>859</v>
      </c>
      <c r="E282" s="240">
        <v>45863</v>
      </c>
      <c r="F282" s="138">
        <v>63.700000762939503</v>
      </c>
      <c r="G282" s="138">
        <v>63.7</v>
      </c>
      <c r="H282" s="138">
        <v>61</v>
      </c>
      <c r="I282" s="83">
        <f t="shared" si="60"/>
        <v>-0.48499927520747832</v>
      </c>
      <c r="J282" s="83">
        <f t="shared" si="61"/>
        <v>7.6293950002082056E-7</v>
      </c>
      <c r="K282" s="298" t="s">
        <v>108</v>
      </c>
      <c r="L282" s="142">
        <v>45809</v>
      </c>
      <c r="M282" s="142">
        <v>45798</v>
      </c>
      <c r="N282" s="142">
        <f t="shared" si="59"/>
        <v>45800</v>
      </c>
      <c r="O282" s="143">
        <f t="shared" ca="1" si="62"/>
        <v>11</v>
      </c>
      <c r="P282" s="142">
        <f t="shared" si="63"/>
        <v>45821</v>
      </c>
      <c r="Q282" s="142">
        <v>45810</v>
      </c>
      <c r="R282" s="143">
        <f t="shared" ca="1" si="64"/>
        <v>11</v>
      </c>
      <c r="S282" s="327">
        <v>45815</v>
      </c>
      <c r="T282" s="138"/>
    </row>
    <row r="283" spans="1:20" hidden="1">
      <c r="A283" s="19" t="s">
        <v>188</v>
      </c>
      <c r="B283" s="291">
        <v>138</v>
      </c>
      <c r="C283" s="12" t="s">
        <v>93</v>
      </c>
      <c r="D283" s="313" t="s">
        <v>844</v>
      </c>
      <c r="E283" s="240">
        <v>45863</v>
      </c>
      <c r="F283" s="138">
        <v>242.30000305175801</v>
      </c>
      <c r="G283" s="138">
        <v>242.3</v>
      </c>
      <c r="H283" s="138">
        <v>230</v>
      </c>
      <c r="I283" s="83">
        <f t="shared" si="60"/>
        <v>0.18500289917008672</v>
      </c>
      <c r="J283" s="83">
        <f t="shared" si="61"/>
        <v>3.0517580000832822E-6</v>
      </c>
      <c r="K283" s="298" t="s">
        <v>142</v>
      </c>
      <c r="L283" s="142">
        <v>45794</v>
      </c>
      <c r="M283" s="142">
        <v>45798</v>
      </c>
      <c r="N283" s="142">
        <f t="shared" si="59"/>
        <v>45800</v>
      </c>
      <c r="O283" s="143">
        <f t="shared" ca="1" si="62"/>
        <v>-4</v>
      </c>
      <c r="P283" s="142">
        <f t="shared" si="63"/>
        <v>45806</v>
      </c>
      <c r="Q283" s="142">
        <v>45819</v>
      </c>
      <c r="R283" s="143">
        <f t="shared" ca="1" si="64"/>
        <v>-13</v>
      </c>
      <c r="S283" s="138"/>
      <c r="T283" s="138"/>
    </row>
    <row r="284" spans="1:20" hidden="1">
      <c r="A284" s="19" t="s">
        <v>188</v>
      </c>
      <c r="B284" s="291">
        <v>138</v>
      </c>
      <c r="C284" s="12" t="s">
        <v>93</v>
      </c>
      <c r="D284" s="313" t="s">
        <v>843</v>
      </c>
      <c r="E284" s="240">
        <v>45863</v>
      </c>
      <c r="F284" s="138">
        <v>291</v>
      </c>
      <c r="G284" s="138">
        <v>291</v>
      </c>
      <c r="H284" s="138">
        <v>276</v>
      </c>
      <c r="I284" s="83">
        <f t="shared" si="60"/>
        <v>0.44999999999998863</v>
      </c>
      <c r="J284" s="83">
        <f t="shared" si="61"/>
        <v>0</v>
      </c>
      <c r="K284" s="298" t="s">
        <v>142</v>
      </c>
      <c r="L284" s="142">
        <v>45794</v>
      </c>
      <c r="M284" s="142">
        <v>45798</v>
      </c>
      <c r="N284" s="142">
        <f t="shared" si="59"/>
        <v>45800</v>
      </c>
      <c r="O284" s="143">
        <f ca="1">+IF(M284="",L284-TODAY(),L284-M284)</f>
        <v>-4</v>
      </c>
      <c r="P284" s="142">
        <f t="shared" si="63"/>
        <v>45806</v>
      </c>
      <c r="Q284" s="142">
        <v>45819</v>
      </c>
      <c r="R284" s="143">
        <f t="shared" ca="1" si="64"/>
        <v>-13</v>
      </c>
      <c r="S284" s="138"/>
      <c r="T284" s="138"/>
    </row>
    <row r="285" spans="1:20" hidden="1">
      <c r="A285" s="19" t="s">
        <v>188</v>
      </c>
      <c r="B285" s="291">
        <v>139</v>
      </c>
      <c r="C285" s="12" t="s">
        <v>77</v>
      </c>
      <c r="D285" s="313" t="s">
        <v>147</v>
      </c>
      <c r="E285" s="140">
        <v>45870</v>
      </c>
      <c r="F285" s="138">
        <v>498</v>
      </c>
      <c r="G285" s="138">
        <v>498</v>
      </c>
      <c r="H285" s="138">
        <v>473</v>
      </c>
      <c r="I285" s="83">
        <f t="shared" si="60"/>
        <v>9.9999999999965894E-2</v>
      </c>
      <c r="J285" s="83">
        <f t="shared" si="61"/>
        <v>0</v>
      </c>
      <c r="K285" s="298" t="s">
        <v>890</v>
      </c>
      <c r="L285" s="142">
        <v>45790</v>
      </c>
      <c r="M285" s="142">
        <v>45792</v>
      </c>
      <c r="N285" s="142">
        <f t="shared" si="59"/>
        <v>45794</v>
      </c>
      <c r="O285" s="143">
        <f t="shared" ca="1" si="62"/>
        <v>-2</v>
      </c>
      <c r="P285" s="142">
        <f t="shared" si="63"/>
        <v>45802</v>
      </c>
      <c r="Q285" s="142">
        <v>45810</v>
      </c>
      <c r="R285" s="143">
        <f t="shared" ca="1" si="64"/>
        <v>-8</v>
      </c>
      <c r="S285" s="327">
        <v>45810</v>
      </c>
      <c r="T285" s="138"/>
    </row>
    <row r="286" spans="1:20" hidden="1">
      <c r="A286" s="19" t="s">
        <v>188</v>
      </c>
      <c r="B286" s="291">
        <v>139</v>
      </c>
      <c r="C286" s="12" t="s">
        <v>77</v>
      </c>
      <c r="D286" s="313" t="s">
        <v>148</v>
      </c>
      <c r="E286" s="140">
        <v>45870</v>
      </c>
      <c r="F286" s="138">
        <v>785.20001220703102</v>
      </c>
      <c r="G286" s="138">
        <v>785.2</v>
      </c>
      <c r="H286" s="138">
        <v>746</v>
      </c>
      <c r="I286" s="83">
        <f t="shared" si="60"/>
        <v>-5.9988403320517136E-2</v>
      </c>
      <c r="J286" s="83">
        <f t="shared" si="61"/>
        <v>1.2207030977151589E-5</v>
      </c>
      <c r="K286" s="298" t="s">
        <v>890</v>
      </c>
      <c r="L286" s="142">
        <v>45790</v>
      </c>
      <c r="M286" s="142">
        <v>45792</v>
      </c>
      <c r="N286" s="142">
        <f t="shared" si="59"/>
        <v>45794</v>
      </c>
      <c r="O286" s="143">
        <f t="shared" ca="1" si="62"/>
        <v>-2</v>
      </c>
      <c r="P286" s="142">
        <f t="shared" si="63"/>
        <v>45802</v>
      </c>
      <c r="Q286" s="142">
        <v>45810</v>
      </c>
      <c r="R286" s="143">
        <f t="shared" ca="1" si="64"/>
        <v>-8</v>
      </c>
      <c r="S286" s="327">
        <v>45810</v>
      </c>
      <c r="T286" s="138"/>
    </row>
    <row r="287" spans="1:20" hidden="1">
      <c r="A287" s="19" t="s">
        <v>188</v>
      </c>
      <c r="B287" s="291">
        <v>139</v>
      </c>
      <c r="C287" s="12" t="s">
        <v>82</v>
      </c>
      <c r="D287" s="313" t="s">
        <v>141</v>
      </c>
      <c r="E287" s="140">
        <v>45870</v>
      </c>
      <c r="F287" s="138">
        <v>77.300003051757798</v>
      </c>
      <c r="G287" s="138">
        <v>77.3</v>
      </c>
      <c r="H287" s="138">
        <v>73</v>
      </c>
      <c r="I287" s="83">
        <f t="shared" si="60"/>
        <v>0.43500289916990198</v>
      </c>
      <c r="J287" s="83">
        <f t="shared" si="61"/>
        <v>3.0517578011313162E-6</v>
      </c>
      <c r="K287" s="298" t="s">
        <v>900</v>
      </c>
      <c r="L287" s="142">
        <v>45799</v>
      </c>
      <c r="M287" s="142">
        <v>45798</v>
      </c>
      <c r="N287" s="142">
        <f t="shared" si="59"/>
        <v>45800</v>
      </c>
      <c r="O287" s="143">
        <f t="shared" ca="1" si="62"/>
        <v>1</v>
      </c>
      <c r="P287" s="142">
        <f t="shared" si="63"/>
        <v>45811</v>
      </c>
      <c r="Q287" s="142">
        <v>45822</v>
      </c>
      <c r="R287" s="143">
        <f t="shared" ca="1" si="64"/>
        <v>-11</v>
      </c>
      <c r="S287" s="84">
        <v>45812</v>
      </c>
      <c r="T287" s="138"/>
    </row>
    <row r="288" spans="1:20" hidden="1">
      <c r="A288" s="19" t="s">
        <v>188</v>
      </c>
      <c r="B288" s="291">
        <v>139</v>
      </c>
      <c r="C288" s="12" t="s">
        <v>82</v>
      </c>
      <c r="D288" s="313" t="s">
        <v>143</v>
      </c>
      <c r="E288" s="140">
        <v>45870</v>
      </c>
      <c r="F288" s="138">
        <v>77.300003051757798</v>
      </c>
      <c r="G288" s="138">
        <v>77.3</v>
      </c>
      <c r="H288" s="138">
        <v>73</v>
      </c>
      <c r="I288" s="83">
        <f t="shared" si="60"/>
        <v>0.43500289916990198</v>
      </c>
      <c r="J288" s="83">
        <f t="shared" si="61"/>
        <v>3.0517578011313162E-6</v>
      </c>
      <c r="K288" s="298" t="s">
        <v>900</v>
      </c>
      <c r="L288" s="142">
        <v>45799</v>
      </c>
      <c r="M288" s="142">
        <v>45798</v>
      </c>
      <c r="N288" s="142">
        <f t="shared" si="59"/>
        <v>45800</v>
      </c>
      <c r="O288" s="143">
        <f t="shared" ca="1" si="62"/>
        <v>1</v>
      </c>
      <c r="P288" s="142">
        <f t="shared" si="63"/>
        <v>45811</v>
      </c>
      <c r="Q288" s="142">
        <v>45822</v>
      </c>
      <c r="R288" s="143">
        <f t="shared" ca="1" si="64"/>
        <v>-11</v>
      </c>
      <c r="S288" s="84">
        <v>45812</v>
      </c>
      <c r="T288" s="138"/>
    </row>
    <row r="289" spans="1:20" hidden="1">
      <c r="A289" s="19" t="s">
        <v>188</v>
      </c>
      <c r="B289" s="291">
        <v>139</v>
      </c>
      <c r="C289" s="12" t="s">
        <v>82</v>
      </c>
      <c r="D289" s="313" t="s">
        <v>144</v>
      </c>
      <c r="E289" s="140">
        <v>45870</v>
      </c>
      <c r="F289" s="138">
        <v>77.300003051757798</v>
      </c>
      <c r="G289" s="138">
        <v>77.3</v>
      </c>
      <c r="H289" s="138">
        <v>73</v>
      </c>
      <c r="I289" s="83">
        <f t="shared" si="60"/>
        <v>0.43500289916990198</v>
      </c>
      <c r="J289" s="83">
        <f t="shared" si="61"/>
        <v>3.0517578011313162E-6</v>
      </c>
      <c r="K289" s="298" t="s">
        <v>900</v>
      </c>
      <c r="L289" s="142">
        <v>45799</v>
      </c>
      <c r="M289" s="142">
        <v>45798</v>
      </c>
      <c r="N289" s="142">
        <f t="shared" si="59"/>
        <v>45800</v>
      </c>
      <c r="O289" s="143">
        <f t="shared" ca="1" si="62"/>
        <v>1</v>
      </c>
      <c r="P289" s="142">
        <f t="shared" si="63"/>
        <v>45811</v>
      </c>
      <c r="Q289" s="142">
        <v>45831</v>
      </c>
      <c r="R289" s="143">
        <f t="shared" ca="1" si="64"/>
        <v>-20</v>
      </c>
      <c r="S289" s="84">
        <v>45812</v>
      </c>
      <c r="T289" s="138"/>
    </row>
    <row r="290" spans="1:20" hidden="1">
      <c r="A290" s="19" t="s">
        <v>188</v>
      </c>
      <c r="B290" s="291">
        <v>139</v>
      </c>
      <c r="C290" s="12" t="s">
        <v>79</v>
      </c>
      <c r="D290" s="313" t="s">
        <v>146</v>
      </c>
      <c r="E290" s="140">
        <v>45870</v>
      </c>
      <c r="F290" s="138">
        <v>10.6000003814697</v>
      </c>
      <c r="G290" s="138">
        <v>10.6</v>
      </c>
      <c r="H290" s="138">
        <v>10</v>
      </c>
      <c r="I290" s="83">
        <f t="shared" si="60"/>
        <v>7.0000362396214655E-2</v>
      </c>
      <c r="J290" s="83">
        <f t="shared" si="61"/>
        <v>3.8146970027241878E-7</v>
      </c>
      <c r="K290" s="298" t="s">
        <v>108</v>
      </c>
      <c r="L290" s="142">
        <v>45790</v>
      </c>
      <c r="M290" s="142">
        <v>45798</v>
      </c>
      <c r="N290" s="142">
        <f t="shared" si="59"/>
        <v>45800</v>
      </c>
      <c r="O290" s="143">
        <f t="shared" ca="1" si="62"/>
        <v>-8</v>
      </c>
      <c r="P290" s="142">
        <f t="shared" si="63"/>
        <v>45802</v>
      </c>
      <c r="Q290" s="142">
        <v>45822</v>
      </c>
      <c r="R290" s="143">
        <f t="shared" ca="1" si="64"/>
        <v>-20</v>
      </c>
      <c r="S290" s="138"/>
      <c r="T290" s="138"/>
    </row>
    <row r="291" spans="1:20" hidden="1">
      <c r="A291" s="19" t="s">
        <v>188</v>
      </c>
      <c r="B291" s="291">
        <v>139</v>
      </c>
      <c r="C291" s="12" t="s">
        <v>79</v>
      </c>
      <c r="D291" s="313" t="s">
        <v>147</v>
      </c>
      <c r="E291" s="140">
        <v>45870</v>
      </c>
      <c r="F291" s="138">
        <v>6.0999999046325701</v>
      </c>
      <c r="G291" s="138">
        <v>6.1</v>
      </c>
      <c r="H291" s="138">
        <v>6</v>
      </c>
      <c r="I291" s="83">
        <f t="shared" si="60"/>
        <v>-0.20500009059905899</v>
      </c>
      <c r="J291" s="83">
        <f t="shared" si="61"/>
        <v>-9.5367429508996793E-8</v>
      </c>
      <c r="K291" s="298" t="s">
        <v>890</v>
      </c>
      <c r="L291" s="142">
        <v>45790</v>
      </c>
      <c r="M291" s="142">
        <v>45792</v>
      </c>
      <c r="N291" s="142">
        <f t="shared" si="59"/>
        <v>45794</v>
      </c>
      <c r="O291" s="143">
        <f t="shared" ca="1" si="62"/>
        <v>-2</v>
      </c>
      <c r="P291" s="142">
        <f t="shared" si="63"/>
        <v>45802</v>
      </c>
      <c r="Q291" s="142">
        <v>45810</v>
      </c>
      <c r="R291" s="143">
        <f t="shared" ca="1" si="64"/>
        <v>-8</v>
      </c>
      <c r="S291" s="327">
        <v>45810</v>
      </c>
      <c r="T291" s="138"/>
    </row>
    <row r="292" spans="1:20" hidden="1">
      <c r="A292" s="19" t="s">
        <v>188</v>
      </c>
      <c r="B292" s="291">
        <v>139</v>
      </c>
      <c r="C292" s="12" t="s">
        <v>79</v>
      </c>
      <c r="D292" s="313" t="s">
        <v>145</v>
      </c>
      <c r="E292" s="140">
        <v>45870</v>
      </c>
      <c r="F292" s="138">
        <v>6.4000000953674299</v>
      </c>
      <c r="G292" s="138">
        <v>6.4</v>
      </c>
      <c r="H292" s="138">
        <v>6</v>
      </c>
      <c r="I292" s="83">
        <f t="shared" si="60"/>
        <v>8.0000090599058105E-2</v>
      </c>
      <c r="J292" s="83">
        <f t="shared" si="61"/>
        <v>9.5367429508996793E-8</v>
      </c>
      <c r="K292" s="298" t="s">
        <v>108</v>
      </c>
      <c r="L292" s="142">
        <v>45790</v>
      </c>
      <c r="M292" s="142">
        <v>45799</v>
      </c>
      <c r="N292" s="142">
        <f t="shared" si="59"/>
        <v>45801</v>
      </c>
      <c r="O292" s="143">
        <f t="shared" ca="1" si="62"/>
        <v>-9</v>
      </c>
      <c r="P292" s="142">
        <f t="shared" si="63"/>
        <v>45802</v>
      </c>
      <c r="Q292" s="142">
        <v>45822</v>
      </c>
      <c r="R292" s="143">
        <f t="shared" ca="1" si="64"/>
        <v>-20</v>
      </c>
      <c r="S292" s="138"/>
      <c r="T292" s="138"/>
    </row>
    <row r="293" spans="1:20" hidden="1">
      <c r="A293" s="19" t="s">
        <v>188</v>
      </c>
      <c r="B293" s="291">
        <v>139</v>
      </c>
      <c r="C293" s="12" t="s">
        <v>75</v>
      </c>
      <c r="D293" s="314" t="s">
        <v>841</v>
      </c>
      <c r="E293" s="140">
        <v>45870</v>
      </c>
      <c r="F293" s="138">
        <v>27</v>
      </c>
      <c r="G293" s="138">
        <v>27</v>
      </c>
      <c r="H293" s="138">
        <v>26</v>
      </c>
      <c r="I293" s="83">
        <f t="shared" si="60"/>
        <v>-0.35000000000000142</v>
      </c>
      <c r="J293" s="83">
        <f t="shared" si="61"/>
        <v>0</v>
      </c>
      <c r="K293" s="298" t="s">
        <v>108</v>
      </c>
      <c r="L293" s="142">
        <v>45809</v>
      </c>
      <c r="M293" s="142">
        <v>45798</v>
      </c>
      <c r="N293" s="142">
        <f t="shared" si="59"/>
        <v>45800</v>
      </c>
      <c r="O293" s="143">
        <f t="shared" ca="1" si="62"/>
        <v>11</v>
      </c>
      <c r="P293" s="142">
        <f t="shared" si="63"/>
        <v>45821</v>
      </c>
      <c r="Q293" s="142">
        <v>45819</v>
      </c>
      <c r="R293" s="143">
        <f t="shared" ca="1" si="64"/>
        <v>2</v>
      </c>
      <c r="S293" s="327">
        <v>45815</v>
      </c>
      <c r="T293" s="138"/>
    </row>
    <row r="294" spans="1:20" hidden="1">
      <c r="A294" s="19" t="s">
        <v>188</v>
      </c>
      <c r="B294" s="291">
        <v>139</v>
      </c>
      <c r="C294" s="12" t="s">
        <v>75</v>
      </c>
      <c r="D294" s="314" t="s">
        <v>840</v>
      </c>
      <c r="E294" s="140">
        <v>45870</v>
      </c>
      <c r="F294" s="138">
        <v>25.299999237060501</v>
      </c>
      <c r="G294" s="138">
        <v>25.3</v>
      </c>
      <c r="H294" s="138">
        <v>24</v>
      </c>
      <c r="I294" s="83">
        <f t="shared" si="60"/>
        <v>3.4999275207475478E-2</v>
      </c>
      <c r="J294" s="83">
        <f t="shared" si="61"/>
        <v>-7.6293950002082056E-7</v>
      </c>
      <c r="K294" s="298" t="s">
        <v>108</v>
      </c>
      <c r="L294" s="142">
        <v>45809</v>
      </c>
      <c r="M294" s="142">
        <v>45798</v>
      </c>
      <c r="N294" s="142">
        <f t="shared" si="59"/>
        <v>45800</v>
      </c>
      <c r="O294" s="143">
        <f t="shared" ca="1" si="62"/>
        <v>11</v>
      </c>
      <c r="P294" s="142">
        <f t="shared" si="63"/>
        <v>45821</v>
      </c>
      <c r="Q294" s="142">
        <v>45819</v>
      </c>
      <c r="R294" s="143">
        <f t="shared" ca="1" si="64"/>
        <v>2</v>
      </c>
      <c r="S294" s="327">
        <v>45815</v>
      </c>
      <c r="T294" s="138"/>
    </row>
    <row r="295" spans="1:20" hidden="1">
      <c r="A295" s="19" t="s">
        <v>188</v>
      </c>
      <c r="B295" s="291">
        <v>139</v>
      </c>
      <c r="C295" s="12" t="s">
        <v>857</v>
      </c>
      <c r="D295" s="314" t="s">
        <v>841</v>
      </c>
      <c r="E295" s="140">
        <v>45870</v>
      </c>
      <c r="F295" s="138">
        <v>31</v>
      </c>
      <c r="G295" s="138">
        <v>31</v>
      </c>
      <c r="H295" s="138">
        <v>29</v>
      </c>
      <c r="I295" s="83">
        <f t="shared" si="60"/>
        <v>0.44999999999999929</v>
      </c>
      <c r="J295" s="83">
        <f t="shared" si="61"/>
        <v>0</v>
      </c>
      <c r="K295" s="298" t="s">
        <v>108</v>
      </c>
      <c r="L295" s="142">
        <v>45809</v>
      </c>
      <c r="M295" s="142">
        <v>45798</v>
      </c>
      <c r="N295" s="142">
        <f t="shared" si="59"/>
        <v>45800</v>
      </c>
      <c r="O295" s="143">
        <f t="shared" ca="1" si="62"/>
        <v>11</v>
      </c>
      <c r="P295" s="142">
        <f t="shared" si="63"/>
        <v>45821</v>
      </c>
      <c r="Q295" s="142">
        <v>45819</v>
      </c>
      <c r="R295" s="143">
        <f t="shared" ca="1" si="64"/>
        <v>2</v>
      </c>
      <c r="S295" s="327">
        <v>45815</v>
      </c>
      <c r="T295" s="138"/>
    </row>
    <row r="296" spans="1:20" hidden="1">
      <c r="A296" s="19" t="s">
        <v>188</v>
      </c>
      <c r="B296" s="291">
        <v>139</v>
      </c>
      <c r="C296" s="12" t="s">
        <v>857</v>
      </c>
      <c r="D296" s="314" t="s">
        <v>840</v>
      </c>
      <c r="E296" s="140">
        <v>45870</v>
      </c>
      <c r="F296" s="138">
        <v>28.100000381469702</v>
      </c>
      <c r="G296" s="138">
        <v>28.1</v>
      </c>
      <c r="H296" s="138">
        <v>27</v>
      </c>
      <c r="I296" s="83">
        <f t="shared" si="60"/>
        <v>-0.30499963760378535</v>
      </c>
      <c r="J296" s="83">
        <f t="shared" si="61"/>
        <v>3.8146970027241878E-7</v>
      </c>
      <c r="K296" s="298" t="s">
        <v>108</v>
      </c>
      <c r="L296" s="142">
        <v>45809</v>
      </c>
      <c r="M296" s="142">
        <v>45798</v>
      </c>
      <c r="N296" s="142">
        <f t="shared" si="59"/>
        <v>45800</v>
      </c>
      <c r="O296" s="143">
        <f t="shared" ca="1" si="62"/>
        <v>11</v>
      </c>
      <c r="P296" s="142">
        <f t="shared" si="63"/>
        <v>45821</v>
      </c>
      <c r="Q296" s="142">
        <v>45819</v>
      </c>
      <c r="R296" s="143">
        <f t="shared" ca="1" si="64"/>
        <v>2</v>
      </c>
      <c r="S296" s="327">
        <v>45815</v>
      </c>
      <c r="T296" s="138"/>
    </row>
    <row r="297" spans="1:20" hidden="1">
      <c r="A297" s="19" t="s">
        <v>188</v>
      </c>
      <c r="B297" s="291">
        <v>139</v>
      </c>
      <c r="C297" s="12" t="s">
        <v>93</v>
      </c>
      <c r="D297" s="313" t="s">
        <v>844</v>
      </c>
      <c r="E297" s="140">
        <v>45870</v>
      </c>
      <c r="F297" s="138">
        <v>179.69999694824199</v>
      </c>
      <c r="G297" s="138">
        <v>179.7</v>
      </c>
      <c r="H297" s="138">
        <v>171</v>
      </c>
      <c r="I297" s="83">
        <f t="shared" si="60"/>
        <v>-0.28500289917010946</v>
      </c>
      <c r="J297" s="83">
        <f t="shared" si="61"/>
        <v>-3.0517580000832822E-6</v>
      </c>
      <c r="K297" s="298" t="s">
        <v>142</v>
      </c>
      <c r="L297" s="142">
        <v>45794</v>
      </c>
      <c r="M297" s="142">
        <v>45798</v>
      </c>
      <c r="N297" s="142">
        <f t="shared" si="59"/>
        <v>45800</v>
      </c>
      <c r="O297" s="143">
        <f t="shared" ca="1" si="62"/>
        <v>-4</v>
      </c>
      <c r="P297" s="142">
        <f t="shared" si="63"/>
        <v>45806</v>
      </c>
      <c r="Q297" s="142">
        <v>45819</v>
      </c>
      <c r="R297" s="143">
        <f t="shared" ca="1" si="64"/>
        <v>-13</v>
      </c>
      <c r="S297" s="138"/>
      <c r="T297" s="138"/>
    </row>
    <row r="298" spans="1:20" hidden="1">
      <c r="A298" s="19" t="s">
        <v>188</v>
      </c>
      <c r="B298" s="291">
        <v>139</v>
      </c>
      <c r="C298" s="12" t="s">
        <v>93</v>
      </c>
      <c r="D298" s="313" t="s">
        <v>843</v>
      </c>
      <c r="E298" s="140">
        <v>45870</v>
      </c>
      <c r="F298" s="138">
        <v>217.30000305175801</v>
      </c>
      <c r="G298" s="138">
        <v>217.3</v>
      </c>
      <c r="H298" s="138">
        <v>206</v>
      </c>
      <c r="I298" s="83">
        <f t="shared" si="60"/>
        <v>0.43500289917011514</v>
      </c>
      <c r="J298" s="83">
        <f t="shared" si="61"/>
        <v>3.0517580000832822E-6</v>
      </c>
      <c r="K298" s="298" t="s">
        <v>142</v>
      </c>
      <c r="L298" s="142">
        <v>45794</v>
      </c>
      <c r="M298" s="142">
        <v>45798</v>
      </c>
      <c r="N298" s="142">
        <f t="shared" si="59"/>
        <v>45800</v>
      </c>
      <c r="O298" s="143">
        <f t="shared" ca="1" si="62"/>
        <v>-4</v>
      </c>
      <c r="P298" s="142">
        <f t="shared" si="63"/>
        <v>45806</v>
      </c>
      <c r="Q298" s="142">
        <v>45819</v>
      </c>
      <c r="R298" s="143">
        <f t="shared" ca="1" si="64"/>
        <v>-13</v>
      </c>
      <c r="S298" s="138"/>
      <c r="T298" s="138"/>
    </row>
    <row r="299" spans="1:20" hidden="1">
      <c r="A299" s="19" t="s">
        <v>188</v>
      </c>
      <c r="B299" s="291">
        <v>140</v>
      </c>
      <c r="C299" s="12" t="s">
        <v>79</v>
      </c>
      <c r="D299" s="313" t="s">
        <v>146</v>
      </c>
      <c r="E299" s="145">
        <v>45870</v>
      </c>
      <c r="F299" s="138">
        <v>7</v>
      </c>
      <c r="G299" s="138">
        <v>7</v>
      </c>
      <c r="H299" s="138">
        <v>7</v>
      </c>
      <c r="I299" s="83">
        <f t="shared" si="60"/>
        <v>-0.35000000000000053</v>
      </c>
      <c r="J299" s="83">
        <f t="shared" si="61"/>
        <v>0</v>
      </c>
      <c r="K299" s="298" t="s">
        <v>108</v>
      </c>
      <c r="L299" s="142">
        <v>45790</v>
      </c>
      <c r="M299" s="142">
        <v>45798</v>
      </c>
      <c r="N299" s="142">
        <f t="shared" si="59"/>
        <v>45800</v>
      </c>
      <c r="O299" s="143">
        <f t="shared" ca="1" si="62"/>
        <v>-8</v>
      </c>
      <c r="P299" s="142">
        <f t="shared" si="63"/>
        <v>45802</v>
      </c>
      <c r="Q299" s="142">
        <v>45822</v>
      </c>
      <c r="R299" s="143">
        <f t="shared" ca="1" si="64"/>
        <v>-20</v>
      </c>
      <c r="S299" s="138"/>
      <c r="T299" s="138"/>
    </row>
    <row r="300" spans="1:20" hidden="1">
      <c r="A300" s="19" t="s">
        <v>188</v>
      </c>
      <c r="B300" s="291">
        <v>140</v>
      </c>
      <c r="C300" s="12" t="s">
        <v>75</v>
      </c>
      <c r="D300" s="314" t="s">
        <v>841</v>
      </c>
      <c r="E300" s="145">
        <v>45870</v>
      </c>
      <c r="F300" s="138">
        <v>123.40000152587901</v>
      </c>
      <c r="G300" s="138">
        <v>123.4</v>
      </c>
      <c r="H300" s="138">
        <v>117</v>
      </c>
      <c r="I300" s="83">
        <f t="shared" si="60"/>
        <v>0.2300014495850462</v>
      </c>
      <c r="J300" s="83">
        <f t="shared" si="61"/>
        <v>1.5258790000416411E-6</v>
      </c>
      <c r="K300" s="298" t="s">
        <v>108</v>
      </c>
      <c r="L300" s="142">
        <v>45809</v>
      </c>
      <c r="M300" s="142">
        <v>45798</v>
      </c>
      <c r="N300" s="142">
        <f t="shared" si="59"/>
        <v>45800</v>
      </c>
      <c r="O300" s="143">
        <f t="shared" ca="1" si="62"/>
        <v>11</v>
      </c>
      <c r="P300" s="142">
        <f t="shared" si="63"/>
        <v>45821</v>
      </c>
      <c r="Q300" s="142">
        <v>45819</v>
      </c>
      <c r="R300" s="143">
        <f t="shared" ca="1" si="64"/>
        <v>2</v>
      </c>
      <c r="S300" s="327">
        <v>45815</v>
      </c>
      <c r="T300" s="138"/>
    </row>
    <row r="301" spans="1:20" hidden="1">
      <c r="A301" s="19" t="s">
        <v>188</v>
      </c>
      <c r="B301" s="291">
        <v>140</v>
      </c>
      <c r="C301" s="12" t="s">
        <v>75</v>
      </c>
      <c r="D301" s="314" t="s">
        <v>858</v>
      </c>
      <c r="E301" s="145">
        <v>45870</v>
      </c>
      <c r="F301" s="138">
        <v>37</v>
      </c>
      <c r="G301" s="138">
        <v>37</v>
      </c>
      <c r="H301" s="138">
        <v>35</v>
      </c>
      <c r="I301" s="83">
        <f t="shared" si="60"/>
        <v>0.14999999999999858</v>
      </c>
      <c r="J301" s="83">
        <f t="shared" si="61"/>
        <v>0</v>
      </c>
      <c r="K301" s="298" t="s">
        <v>108</v>
      </c>
      <c r="L301" s="142">
        <v>45809</v>
      </c>
      <c r="M301" s="142">
        <v>45798</v>
      </c>
      <c r="N301" s="142">
        <f t="shared" si="59"/>
        <v>45800</v>
      </c>
      <c r="O301" s="143">
        <f t="shared" ca="1" si="62"/>
        <v>11</v>
      </c>
      <c r="P301" s="142">
        <f t="shared" si="63"/>
        <v>45821</v>
      </c>
      <c r="Q301" s="142">
        <v>45810</v>
      </c>
      <c r="R301" s="143">
        <f t="shared" ca="1" si="64"/>
        <v>11</v>
      </c>
      <c r="S301" s="327">
        <v>45815</v>
      </c>
      <c r="T301" s="138"/>
    </row>
    <row r="302" spans="1:20" hidden="1">
      <c r="A302" s="19" t="s">
        <v>188</v>
      </c>
      <c r="B302" s="291">
        <v>140</v>
      </c>
      <c r="C302" s="12" t="s">
        <v>75</v>
      </c>
      <c r="D302" s="314" t="s">
        <v>840</v>
      </c>
      <c r="E302" s="145">
        <v>45870</v>
      </c>
      <c r="F302" s="138">
        <v>115.5</v>
      </c>
      <c r="G302" s="138">
        <v>115.5</v>
      </c>
      <c r="H302" s="138">
        <v>110</v>
      </c>
      <c r="I302" s="83">
        <f t="shared" si="60"/>
        <v>-0.27500000000000568</v>
      </c>
      <c r="J302" s="83">
        <f t="shared" si="61"/>
        <v>0</v>
      </c>
      <c r="K302" s="298" t="s">
        <v>108</v>
      </c>
      <c r="L302" s="142">
        <v>45809</v>
      </c>
      <c r="M302" s="142">
        <v>45798</v>
      </c>
      <c r="N302" s="142">
        <f t="shared" si="59"/>
        <v>45800</v>
      </c>
      <c r="O302" s="143">
        <f t="shared" ca="1" si="62"/>
        <v>11</v>
      </c>
      <c r="P302" s="142">
        <f t="shared" si="63"/>
        <v>45821</v>
      </c>
      <c r="Q302" s="142">
        <v>45819</v>
      </c>
      <c r="R302" s="143">
        <f t="shared" ca="1" si="64"/>
        <v>2</v>
      </c>
      <c r="S302" s="327">
        <v>45815</v>
      </c>
      <c r="T302" s="138"/>
    </row>
    <row r="303" spans="1:20" hidden="1">
      <c r="A303" s="19" t="s">
        <v>188</v>
      </c>
      <c r="B303" s="291">
        <v>140</v>
      </c>
      <c r="C303" s="12" t="s">
        <v>75</v>
      </c>
      <c r="D303" s="314" t="s">
        <v>859</v>
      </c>
      <c r="E303" s="145">
        <v>45870</v>
      </c>
      <c r="F303" s="138">
        <v>22.600000381469702</v>
      </c>
      <c r="G303" s="138">
        <v>22.6</v>
      </c>
      <c r="H303" s="138">
        <v>21</v>
      </c>
      <c r="I303" s="83">
        <f t="shared" si="60"/>
        <v>0.47000036239621679</v>
      </c>
      <c r="J303" s="83">
        <f t="shared" si="61"/>
        <v>3.8146970027241878E-7</v>
      </c>
      <c r="K303" s="298" t="s">
        <v>108</v>
      </c>
      <c r="L303" s="142">
        <v>45809</v>
      </c>
      <c r="M303" s="142">
        <v>45798</v>
      </c>
      <c r="N303" s="142">
        <f t="shared" si="59"/>
        <v>45800</v>
      </c>
      <c r="O303" s="143">
        <f t="shared" ca="1" si="62"/>
        <v>11</v>
      </c>
      <c r="P303" s="142">
        <f t="shared" si="63"/>
        <v>45821</v>
      </c>
      <c r="Q303" s="142">
        <v>45810</v>
      </c>
      <c r="R303" s="143">
        <f t="shared" ca="1" si="64"/>
        <v>11</v>
      </c>
      <c r="S303" s="327">
        <v>45815</v>
      </c>
      <c r="T303" s="138"/>
    </row>
    <row r="304" spans="1:20" hidden="1">
      <c r="A304" s="19" t="s">
        <v>188</v>
      </c>
      <c r="B304" s="291">
        <v>140</v>
      </c>
      <c r="C304" s="12" t="s">
        <v>857</v>
      </c>
      <c r="D304" s="314" t="s">
        <v>841</v>
      </c>
      <c r="E304" s="145">
        <v>45870</v>
      </c>
      <c r="F304" s="138">
        <v>141.5</v>
      </c>
      <c r="G304" s="138">
        <v>141.5</v>
      </c>
      <c r="H304" s="138">
        <v>134</v>
      </c>
      <c r="I304" s="83">
        <f t="shared" si="60"/>
        <v>0.42499999999998295</v>
      </c>
      <c r="J304" s="83">
        <f t="shared" si="61"/>
        <v>0</v>
      </c>
      <c r="K304" s="298" t="s">
        <v>108</v>
      </c>
      <c r="L304" s="142">
        <v>45809</v>
      </c>
      <c r="M304" s="142">
        <v>45798</v>
      </c>
      <c r="N304" s="142">
        <f t="shared" si="59"/>
        <v>45800</v>
      </c>
      <c r="O304" s="143">
        <f t="shared" ca="1" si="62"/>
        <v>11</v>
      </c>
      <c r="P304" s="142">
        <f t="shared" si="63"/>
        <v>45821</v>
      </c>
      <c r="Q304" s="142">
        <v>45819</v>
      </c>
      <c r="R304" s="143">
        <f t="shared" ca="1" si="64"/>
        <v>2</v>
      </c>
      <c r="S304" s="327">
        <v>45815</v>
      </c>
      <c r="T304" s="138"/>
    </row>
    <row r="305" spans="1:20" hidden="1">
      <c r="A305" s="19" t="s">
        <v>188</v>
      </c>
      <c r="B305" s="291">
        <v>140</v>
      </c>
      <c r="C305" s="12" t="s">
        <v>857</v>
      </c>
      <c r="D305" s="314" t="s">
        <v>858</v>
      </c>
      <c r="E305" s="145">
        <v>45870</v>
      </c>
      <c r="F305" s="138">
        <v>42.400001525878899</v>
      </c>
      <c r="G305" s="138">
        <v>42.4</v>
      </c>
      <c r="H305" s="138">
        <v>40</v>
      </c>
      <c r="I305" s="83">
        <f t="shared" si="60"/>
        <v>0.28000144958495099</v>
      </c>
      <c r="J305" s="83">
        <f t="shared" si="61"/>
        <v>1.5258789005656581E-6</v>
      </c>
      <c r="K305" s="298" t="s">
        <v>108</v>
      </c>
      <c r="L305" s="142">
        <v>45809</v>
      </c>
      <c r="M305" s="142">
        <v>45798</v>
      </c>
      <c r="N305" s="142">
        <f t="shared" si="59"/>
        <v>45800</v>
      </c>
      <c r="O305" s="143">
        <f t="shared" ca="1" si="62"/>
        <v>11</v>
      </c>
      <c r="P305" s="142">
        <f t="shared" si="63"/>
        <v>45821</v>
      </c>
      <c r="Q305" s="142">
        <v>45810</v>
      </c>
      <c r="R305" s="143">
        <f t="shared" ca="1" si="64"/>
        <v>11</v>
      </c>
      <c r="S305" s="327">
        <v>45815</v>
      </c>
      <c r="T305" s="138"/>
    </row>
    <row r="306" spans="1:20" hidden="1">
      <c r="A306" s="19" t="s">
        <v>188</v>
      </c>
      <c r="B306" s="291">
        <v>140</v>
      </c>
      <c r="C306" s="12" t="s">
        <v>857</v>
      </c>
      <c r="D306" s="314" t="s">
        <v>840</v>
      </c>
      <c r="E306" s="145">
        <v>45870</v>
      </c>
      <c r="F306" s="138">
        <v>132.39999389648401</v>
      </c>
      <c r="G306" s="138">
        <v>132.4</v>
      </c>
      <c r="H306" s="138">
        <v>126</v>
      </c>
      <c r="I306" s="83">
        <f t="shared" si="60"/>
        <v>-0.22000579834019618</v>
      </c>
      <c r="J306" s="83">
        <f t="shared" si="61"/>
        <v>-6.1035160001665645E-6</v>
      </c>
      <c r="K306" s="298" t="s">
        <v>108</v>
      </c>
      <c r="L306" s="142">
        <v>45809</v>
      </c>
      <c r="M306" s="142">
        <v>45798</v>
      </c>
      <c r="N306" s="142">
        <f t="shared" si="59"/>
        <v>45800</v>
      </c>
      <c r="O306" s="143">
        <f t="shared" ca="1" si="62"/>
        <v>11</v>
      </c>
      <c r="P306" s="142">
        <f t="shared" si="63"/>
        <v>45821</v>
      </c>
      <c r="Q306" s="142">
        <v>45819</v>
      </c>
      <c r="R306" s="143">
        <f t="shared" ca="1" si="64"/>
        <v>2</v>
      </c>
      <c r="S306" s="327">
        <v>45815</v>
      </c>
      <c r="T306" s="138"/>
    </row>
    <row r="307" spans="1:20" hidden="1">
      <c r="A307" s="19" t="s">
        <v>188</v>
      </c>
      <c r="B307" s="291">
        <v>140</v>
      </c>
      <c r="C307" s="12" t="s">
        <v>857</v>
      </c>
      <c r="D307" s="314" t="s">
        <v>859</v>
      </c>
      <c r="E307" s="145">
        <v>45870</v>
      </c>
      <c r="F307" s="138">
        <v>26</v>
      </c>
      <c r="G307" s="138">
        <v>26</v>
      </c>
      <c r="H307" s="138">
        <v>25</v>
      </c>
      <c r="I307" s="83">
        <f t="shared" si="60"/>
        <v>-0.30000000000000071</v>
      </c>
      <c r="J307" s="83">
        <f t="shared" si="61"/>
        <v>0</v>
      </c>
      <c r="K307" s="298" t="s">
        <v>108</v>
      </c>
      <c r="L307" s="142">
        <v>45809</v>
      </c>
      <c r="M307" s="142">
        <v>45798</v>
      </c>
      <c r="N307" s="142">
        <f t="shared" si="59"/>
        <v>45800</v>
      </c>
      <c r="O307" s="143">
        <f t="shared" ca="1" si="62"/>
        <v>11</v>
      </c>
      <c r="P307" s="142">
        <f t="shared" si="63"/>
        <v>45821</v>
      </c>
      <c r="Q307" s="142">
        <v>45810</v>
      </c>
      <c r="R307" s="143">
        <f t="shared" ca="1" si="64"/>
        <v>11</v>
      </c>
      <c r="S307" s="327">
        <v>45815</v>
      </c>
      <c r="T307" s="138"/>
    </row>
    <row r="308" spans="1:20" hidden="1">
      <c r="A308" s="19" t="s">
        <v>188</v>
      </c>
      <c r="B308" s="291">
        <v>141</v>
      </c>
      <c r="C308" s="12" t="s">
        <v>77</v>
      </c>
      <c r="D308" s="313" t="s">
        <v>137</v>
      </c>
      <c r="E308" s="240">
        <v>45870</v>
      </c>
      <c r="F308" s="138">
        <v>117.300003051758</v>
      </c>
      <c r="G308" s="138">
        <v>117.3</v>
      </c>
      <c r="H308" s="138">
        <v>111</v>
      </c>
      <c r="I308" s="83">
        <f t="shared" si="60"/>
        <v>0.43500289917008672</v>
      </c>
      <c r="J308" s="83">
        <f t="shared" si="61"/>
        <v>3.0517580000832822E-6</v>
      </c>
      <c r="K308" s="298" t="s">
        <v>108</v>
      </c>
      <c r="L308" s="142">
        <v>45790</v>
      </c>
      <c r="M308" s="142">
        <v>45798</v>
      </c>
      <c r="N308" s="142">
        <f t="shared" si="59"/>
        <v>45800</v>
      </c>
      <c r="O308" s="143">
        <f t="shared" ca="1" si="62"/>
        <v>-8</v>
      </c>
      <c r="P308" s="142">
        <f t="shared" si="63"/>
        <v>45802</v>
      </c>
      <c r="Q308" s="142">
        <v>45824</v>
      </c>
      <c r="R308" s="143">
        <f t="shared" ca="1" si="64"/>
        <v>-22</v>
      </c>
      <c r="S308" s="138"/>
      <c r="T308" s="138"/>
    </row>
    <row r="309" spans="1:20" hidden="1">
      <c r="A309" s="19" t="s">
        <v>188</v>
      </c>
      <c r="B309" s="291">
        <v>141</v>
      </c>
      <c r="C309" s="12" t="s">
        <v>93</v>
      </c>
      <c r="D309" s="313" t="s">
        <v>844</v>
      </c>
      <c r="E309" s="240">
        <v>45870</v>
      </c>
      <c r="F309" s="138">
        <v>51.599998474121101</v>
      </c>
      <c r="G309" s="138">
        <v>51.6</v>
      </c>
      <c r="H309" s="138">
        <v>49</v>
      </c>
      <c r="I309" s="83">
        <f t="shared" si="60"/>
        <v>1.9998550415046168E-2</v>
      </c>
      <c r="J309" s="83">
        <f t="shared" si="61"/>
        <v>-1.5258789005656581E-6</v>
      </c>
      <c r="K309" s="298" t="s">
        <v>142</v>
      </c>
      <c r="L309" s="142">
        <v>45794</v>
      </c>
      <c r="M309" s="142">
        <v>45798</v>
      </c>
      <c r="N309" s="142">
        <f t="shared" si="59"/>
        <v>45800</v>
      </c>
      <c r="O309" s="143">
        <f t="shared" ca="1" si="62"/>
        <v>-4</v>
      </c>
      <c r="P309" s="142">
        <f t="shared" si="63"/>
        <v>45806</v>
      </c>
      <c r="Q309" s="142">
        <v>45819</v>
      </c>
      <c r="R309" s="143">
        <f t="shared" ca="1" si="64"/>
        <v>-13</v>
      </c>
      <c r="S309" s="138"/>
      <c r="T309" s="138"/>
    </row>
    <row r="310" spans="1:20" hidden="1">
      <c r="A310" s="19" t="s">
        <v>188</v>
      </c>
      <c r="B310" s="291">
        <v>141</v>
      </c>
      <c r="C310" s="12" t="s">
        <v>93</v>
      </c>
      <c r="D310" s="313" t="s">
        <v>843</v>
      </c>
      <c r="E310" s="240">
        <v>45870</v>
      </c>
      <c r="F310" s="138">
        <v>62.5</v>
      </c>
      <c r="G310" s="138">
        <v>62.5</v>
      </c>
      <c r="H310" s="138">
        <v>59</v>
      </c>
      <c r="I310" s="83">
        <f t="shared" si="60"/>
        <v>0.375</v>
      </c>
      <c r="J310" s="83">
        <f t="shared" si="61"/>
        <v>0</v>
      </c>
      <c r="K310" s="298" t="s">
        <v>142</v>
      </c>
      <c r="L310" s="142">
        <v>45794</v>
      </c>
      <c r="M310" s="142">
        <v>45798</v>
      </c>
      <c r="N310" s="142">
        <f t="shared" si="59"/>
        <v>45800</v>
      </c>
      <c r="O310" s="143">
        <f t="shared" ca="1" si="62"/>
        <v>-4</v>
      </c>
      <c r="P310" s="142">
        <f t="shared" si="63"/>
        <v>45806</v>
      </c>
      <c r="Q310" s="142">
        <v>45819</v>
      </c>
      <c r="R310" s="143">
        <f t="shared" ca="1" si="64"/>
        <v>-13</v>
      </c>
      <c r="S310" s="138"/>
      <c r="T310" s="138"/>
    </row>
    <row r="311" spans="1:20" hidden="1">
      <c r="A311" s="19" t="s">
        <v>188</v>
      </c>
      <c r="B311" s="291">
        <v>142</v>
      </c>
      <c r="C311" s="12" t="s">
        <v>77</v>
      </c>
      <c r="D311" s="313" t="s">
        <v>147</v>
      </c>
      <c r="E311" s="140">
        <v>45877</v>
      </c>
      <c r="F311" s="138">
        <v>594</v>
      </c>
      <c r="G311" s="138">
        <v>594</v>
      </c>
      <c r="H311" s="138">
        <v>564</v>
      </c>
      <c r="I311" s="83">
        <f t="shared" si="60"/>
        <v>0.29999999999995453</v>
      </c>
      <c r="J311" s="83">
        <f t="shared" si="61"/>
        <v>0</v>
      </c>
      <c r="K311" s="298" t="s">
        <v>890</v>
      </c>
      <c r="L311" s="142">
        <v>45790</v>
      </c>
      <c r="M311" s="142">
        <v>45793</v>
      </c>
      <c r="N311" s="142">
        <f t="shared" si="59"/>
        <v>45795</v>
      </c>
      <c r="O311" s="143">
        <f t="shared" ca="1" si="62"/>
        <v>-3</v>
      </c>
      <c r="P311" s="142">
        <f t="shared" si="63"/>
        <v>45802</v>
      </c>
      <c r="Q311" s="142">
        <v>45814</v>
      </c>
      <c r="R311" s="143">
        <f t="shared" ca="1" si="64"/>
        <v>-12</v>
      </c>
      <c r="S311" s="327">
        <v>45811</v>
      </c>
      <c r="T311" s="138"/>
    </row>
    <row r="312" spans="1:20" hidden="1">
      <c r="A312" s="19" t="s">
        <v>188</v>
      </c>
      <c r="B312" s="291">
        <v>142</v>
      </c>
      <c r="C312" s="12" t="s">
        <v>77</v>
      </c>
      <c r="D312" s="313" t="s">
        <v>148</v>
      </c>
      <c r="E312" s="140">
        <v>45877</v>
      </c>
      <c r="F312" s="138">
        <v>935.90002441406295</v>
      </c>
      <c r="G312" s="138">
        <v>935.9</v>
      </c>
      <c r="H312" s="138">
        <v>889</v>
      </c>
      <c r="I312" s="83">
        <f t="shared" si="60"/>
        <v>0.10502319335978427</v>
      </c>
      <c r="J312" s="83">
        <f t="shared" si="61"/>
        <v>2.4414062977484718E-5</v>
      </c>
      <c r="K312" s="298" t="s">
        <v>890</v>
      </c>
      <c r="L312" s="142">
        <v>45790</v>
      </c>
      <c r="M312" s="142">
        <v>45793</v>
      </c>
      <c r="N312" s="142">
        <f t="shared" si="59"/>
        <v>45795</v>
      </c>
      <c r="O312" s="143">
        <f t="shared" ca="1" si="62"/>
        <v>-3</v>
      </c>
      <c r="P312" s="142">
        <f t="shared" si="63"/>
        <v>45802</v>
      </c>
      <c r="Q312" s="142">
        <v>45814</v>
      </c>
      <c r="R312" s="143">
        <f t="shared" ca="1" si="64"/>
        <v>-12</v>
      </c>
      <c r="S312" s="327">
        <v>45811</v>
      </c>
      <c r="T312" s="138"/>
    </row>
    <row r="313" spans="1:20" hidden="1">
      <c r="A313" s="19" t="s">
        <v>188</v>
      </c>
      <c r="B313" s="291">
        <v>142</v>
      </c>
      <c r="C313" s="12" t="s">
        <v>82</v>
      </c>
      <c r="D313" s="313" t="s">
        <v>141</v>
      </c>
      <c r="E313" s="140">
        <v>45877</v>
      </c>
      <c r="F313" s="138">
        <v>68.699996948242202</v>
      </c>
      <c r="G313" s="138">
        <v>68.7</v>
      </c>
      <c r="H313" s="138">
        <v>65</v>
      </c>
      <c r="I313" s="83">
        <f t="shared" si="60"/>
        <v>0.26499710083008665</v>
      </c>
      <c r="J313" s="83">
        <f t="shared" si="61"/>
        <v>-3.0517578011313162E-6</v>
      </c>
      <c r="K313" s="298" t="s">
        <v>900</v>
      </c>
      <c r="L313" s="142">
        <v>45799</v>
      </c>
      <c r="M313" s="142">
        <v>45798</v>
      </c>
      <c r="N313" s="142">
        <f t="shared" si="59"/>
        <v>45800</v>
      </c>
      <c r="O313" s="143">
        <f t="shared" ca="1" si="62"/>
        <v>1</v>
      </c>
      <c r="P313" s="142">
        <f t="shared" si="63"/>
        <v>45811</v>
      </c>
      <c r="Q313" s="142">
        <v>45822</v>
      </c>
      <c r="R313" s="143">
        <f t="shared" ca="1" si="64"/>
        <v>-11</v>
      </c>
      <c r="S313" s="84">
        <v>45812</v>
      </c>
      <c r="T313" s="138"/>
    </row>
    <row r="314" spans="1:20" hidden="1">
      <c r="A314" s="19" t="s">
        <v>188</v>
      </c>
      <c r="B314" s="291">
        <v>142</v>
      </c>
      <c r="C314" s="12" t="s">
        <v>82</v>
      </c>
      <c r="D314" s="313" t="s">
        <v>143</v>
      </c>
      <c r="E314" s="140">
        <v>45877</v>
      </c>
      <c r="F314" s="138">
        <v>68.699996948242202</v>
      </c>
      <c r="G314" s="138">
        <v>68.7</v>
      </c>
      <c r="H314" s="138">
        <v>65</v>
      </c>
      <c r="I314" s="83">
        <f t="shared" si="60"/>
        <v>0.26499710083008665</v>
      </c>
      <c r="J314" s="83">
        <f t="shared" si="61"/>
        <v>-3.0517578011313162E-6</v>
      </c>
      <c r="K314" s="298" t="s">
        <v>900</v>
      </c>
      <c r="L314" s="142">
        <v>45799</v>
      </c>
      <c r="M314" s="142">
        <v>45798</v>
      </c>
      <c r="N314" s="142">
        <f t="shared" si="59"/>
        <v>45800</v>
      </c>
      <c r="O314" s="143">
        <f t="shared" ca="1" si="62"/>
        <v>1</v>
      </c>
      <c r="P314" s="142">
        <f t="shared" si="63"/>
        <v>45811</v>
      </c>
      <c r="Q314" s="142">
        <v>45822</v>
      </c>
      <c r="R314" s="143">
        <f t="shared" ca="1" si="64"/>
        <v>-11</v>
      </c>
      <c r="S314" s="84">
        <v>45812</v>
      </c>
      <c r="T314" s="138"/>
    </row>
    <row r="315" spans="1:20" hidden="1">
      <c r="A315" s="19" t="s">
        <v>188</v>
      </c>
      <c r="B315" s="291">
        <v>142</v>
      </c>
      <c r="C315" s="12" t="s">
        <v>82</v>
      </c>
      <c r="D315" s="313" t="s">
        <v>144</v>
      </c>
      <c r="E315" s="140">
        <v>45877</v>
      </c>
      <c r="F315" s="138">
        <v>68.699996948242202</v>
      </c>
      <c r="G315" s="138">
        <v>68.7</v>
      </c>
      <c r="H315" s="138">
        <v>65</v>
      </c>
      <c r="I315" s="83">
        <f t="shared" si="60"/>
        <v>0.26499710083008665</v>
      </c>
      <c r="J315" s="83">
        <f t="shared" si="61"/>
        <v>-3.0517578011313162E-6</v>
      </c>
      <c r="K315" s="298" t="s">
        <v>900</v>
      </c>
      <c r="L315" s="142">
        <v>45799</v>
      </c>
      <c r="M315" s="142">
        <v>45798</v>
      </c>
      <c r="N315" s="142">
        <f t="shared" si="59"/>
        <v>45800</v>
      </c>
      <c r="O315" s="143">
        <f t="shared" ca="1" si="62"/>
        <v>1</v>
      </c>
      <c r="P315" s="142">
        <f t="shared" si="63"/>
        <v>45811</v>
      </c>
      <c r="Q315" s="142">
        <v>45831</v>
      </c>
      <c r="R315" s="143">
        <f t="shared" ca="1" si="64"/>
        <v>-20</v>
      </c>
      <c r="S315" s="84">
        <v>45812</v>
      </c>
      <c r="T315" s="138"/>
    </row>
    <row r="316" spans="1:20" hidden="1">
      <c r="A316" s="19" t="s">
        <v>188</v>
      </c>
      <c r="B316" s="291">
        <v>142</v>
      </c>
      <c r="C316" s="12" t="s">
        <v>79</v>
      </c>
      <c r="D316" s="313" t="s">
        <v>146</v>
      </c>
      <c r="E316" s="140">
        <v>45877</v>
      </c>
      <c r="F316" s="138">
        <v>6.5999999046325701</v>
      </c>
      <c r="G316" s="138">
        <v>6.6</v>
      </c>
      <c r="H316" s="138">
        <v>6</v>
      </c>
      <c r="I316" s="83">
        <f t="shared" si="60"/>
        <v>0.26999990940094154</v>
      </c>
      <c r="J316" s="83">
        <f t="shared" si="61"/>
        <v>-9.5367429508996793E-8</v>
      </c>
      <c r="K316" s="298" t="s">
        <v>108</v>
      </c>
      <c r="L316" s="142">
        <v>45790</v>
      </c>
      <c r="M316" s="142">
        <v>45798</v>
      </c>
      <c r="N316" s="142">
        <f t="shared" si="59"/>
        <v>45800</v>
      </c>
      <c r="O316" s="143">
        <f t="shared" ca="1" si="62"/>
        <v>-8</v>
      </c>
      <c r="P316" s="142">
        <f t="shared" si="63"/>
        <v>45802</v>
      </c>
      <c r="Q316" s="142">
        <v>45822</v>
      </c>
      <c r="R316" s="143">
        <f t="shared" ca="1" si="64"/>
        <v>-20</v>
      </c>
      <c r="S316" s="138"/>
      <c r="T316" s="138"/>
    </row>
    <row r="317" spans="1:20" hidden="1">
      <c r="A317" s="19" t="s">
        <v>188</v>
      </c>
      <c r="B317" s="291">
        <v>142</v>
      </c>
      <c r="C317" s="12" t="s">
        <v>79</v>
      </c>
      <c r="D317" s="313" t="s">
        <v>147</v>
      </c>
      <c r="E317" s="140">
        <v>45877</v>
      </c>
      <c r="F317" s="138">
        <v>7.4000000953674299</v>
      </c>
      <c r="G317" s="138">
        <v>7.4</v>
      </c>
      <c r="H317" s="138">
        <v>7</v>
      </c>
      <c r="I317" s="83">
        <f t="shared" si="60"/>
        <v>3.0000090599058282E-2</v>
      </c>
      <c r="J317" s="83">
        <f t="shared" si="61"/>
        <v>9.5367429508996793E-8</v>
      </c>
      <c r="K317" s="298" t="s">
        <v>890</v>
      </c>
      <c r="L317" s="142">
        <v>45790</v>
      </c>
      <c r="M317" s="142">
        <v>45793</v>
      </c>
      <c r="N317" s="142">
        <f t="shared" si="59"/>
        <v>45795</v>
      </c>
      <c r="O317" s="143">
        <f t="shared" ca="1" si="62"/>
        <v>-3</v>
      </c>
      <c r="P317" s="142">
        <f t="shared" si="63"/>
        <v>45802</v>
      </c>
      <c r="Q317" s="142">
        <v>45814</v>
      </c>
      <c r="R317" s="143">
        <f t="shared" ca="1" si="64"/>
        <v>-12</v>
      </c>
      <c r="S317" s="327">
        <v>45811</v>
      </c>
      <c r="T317" s="138"/>
    </row>
    <row r="318" spans="1:20" hidden="1">
      <c r="A318" s="19" t="s">
        <v>188</v>
      </c>
      <c r="B318" s="291">
        <v>142</v>
      </c>
      <c r="C318" s="12" t="s">
        <v>79</v>
      </c>
      <c r="D318" s="313" t="s">
        <v>145</v>
      </c>
      <c r="E318" s="140">
        <v>45877</v>
      </c>
      <c r="F318" s="138">
        <v>5.6999998092651403</v>
      </c>
      <c r="G318" s="138">
        <v>5.7</v>
      </c>
      <c r="H318" s="138">
        <v>5</v>
      </c>
      <c r="I318" s="83">
        <f t="shared" si="60"/>
        <v>0.41499981880188308</v>
      </c>
      <c r="J318" s="83">
        <f t="shared" si="61"/>
        <v>-1.9073485990617201E-7</v>
      </c>
      <c r="K318" s="298" t="s">
        <v>108</v>
      </c>
      <c r="L318" s="142">
        <v>45790</v>
      </c>
      <c r="M318" s="142">
        <v>45799</v>
      </c>
      <c r="N318" s="142">
        <f t="shared" si="59"/>
        <v>45801</v>
      </c>
      <c r="O318" s="143">
        <f t="shared" ca="1" si="62"/>
        <v>-9</v>
      </c>
      <c r="P318" s="142">
        <f t="shared" si="63"/>
        <v>45802</v>
      </c>
      <c r="Q318" s="142">
        <v>45822</v>
      </c>
      <c r="R318" s="143">
        <f t="shared" ca="1" si="64"/>
        <v>-20</v>
      </c>
      <c r="S318" s="138"/>
      <c r="T318" s="138"/>
    </row>
    <row r="319" spans="1:20" hidden="1">
      <c r="A319" s="19" t="s">
        <v>188</v>
      </c>
      <c r="B319" s="291">
        <v>142</v>
      </c>
      <c r="C319" s="12" t="s">
        <v>75</v>
      </c>
      <c r="D319" s="314" t="s">
        <v>841</v>
      </c>
      <c r="E319" s="140">
        <v>45877</v>
      </c>
      <c r="F319" s="138">
        <v>99.5</v>
      </c>
      <c r="G319" s="138">
        <v>99.5</v>
      </c>
      <c r="H319" s="138">
        <v>95</v>
      </c>
      <c r="I319" s="83">
        <f t="shared" si="60"/>
        <v>-0.47500000000000853</v>
      </c>
      <c r="J319" s="83">
        <f t="shared" si="61"/>
        <v>0</v>
      </c>
      <c r="K319" s="298" t="s">
        <v>108</v>
      </c>
      <c r="L319" s="142">
        <v>45809</v>
      </c>
      <c r="M319" s="142">
        <v>45798</v>
      </c>
      <c r="N319" s="142">
        <f t="shared" si="59"/>
        <v>45800</v>
      </c>
      <c r="O319" s="143">
        <f t="shared" ca="1" si="62"/>
        <v>11</v>
      </c>
      <c r="P319" s="142">
        <f t="shared" si="63"/>
        <v>45821</v>
      </c>
      <c r="Q319" s="142">
        <v>45819</v>
      </c>
      <c r="R319" s="143">
        <f t="shared" ca="1" si="64"/>
        <v>2</v>
      </c>
      <c r="S319" s="327">
        <v>45815</v>
      </c>
      <c r="T319" s="138"/>
    </row>
    <row r="320" spans="1:20" hidden="1">
      <c r="A320" s="19" t="s">
        <v>188</v>
      </c>
      <c r="B320" s="291">
        <v>142</v>
      </c>
      <c r="C320" s="12" t="s">
        <v>75</v>
      </c>
      <c r="D320" s="314" t="s">
        <v>840</v>
      </c>
      <c r="E320" s="140">
        <v>45877</v>
      </c>
      <c r="F320" s="138">
        <v>93.199996948242202</v>
      </c>
      <c r="G320" s="138">
        <v>93.2</v>
      </c>
      <c r="H320" s="138">
        <v>89</v>
      </c>
      <c r="I320" s="83">
        <f t="shared" si="60"/>
        <v>-0.46000289916990766</v>
      </c>
      <c r="J320" s="83">
        <f t="shared" si="61"/>
        <v>-3.0517578011313162E-6</v>
      </c>
      <c r="K320" s="298" t="s">
        <v>108</v>
      </c>
      <c r="L320" s="142">
        <v>45809</v>
      </c>
      <c r="M320" s="142">
        <v>45798</v>
      </c>
      <c r="N320" s="142">
        <f t="shared" si="59"/>
        <v>45800</v>
      </c>
      <c r="O320" s="143">
        <f t="shared" ca="1" si="62"/>
        <v>11</v>
      </c>
      <c r="P320" s="142">
        <f t="shared" si="63"/>
        <v>45821</v>
      </c>
      <c r="Q320" s="142">
        <v>45819</v>
      </c>
      <c r="R320" s="143">
        <f t="shared" ca="1" si="64"/>
        <v>2</v>
      </c>
      <c r="S320" s="327">
        <v>45815</v>
      </c>
      <c r="T320" s="138"/>
    </row>
    <row r="321" spans="1:20" hidden="1">
      <c r="A321" s="19" t="s">
        <v>188</v>
      </c>
      <c r="B321" s="291">
        <v>142</v>
      </c>
      <c r="C321" s="12" t="s">
        <v>857</v>
      </c>
      <c r="D321" s="314" t="s">
        <v>841</v>
      </c>
      <c r="E321" s="140">
        <v>45877</v>
      </c>
      <c r="F321" s="138">
        <v>114.199996948242</v>
      </c>
      <c r="G321" s="138">
        <v>114.2</v>
      </c>
      <c r="H321" s="138">
        <v>108</v>
      </c>
      <c r="I321" s="83">
        <f t="shared" si="60"/>
        <v>0.48999710082989623</v>
      </c>
      <c r="J321" s="83">
        <f t="shared" si="61"/>
        <v>-3.0517580000832822E-6</v>
      </c>
      <c r="K321" s="298" t="s">
        <v>108</v>
      </c>
      <c r="L321" s="142">
        <v>45809</v>
      </c>
      <c r="M321" s="142">
        <v>45798</v>
      </c>
      <c r="N321" s="142">
        <f t="shared" si="59"/>
        <v>45800</v>
      </c>
      <c r="O321" s="143">
        <f t="shared" ca="1" si="62"/>
        <v>11</v>
      </c>
      <c r="P321" s="142">
        <f t="shared" si="63"/>
        <v>45821</v>
      </c>
      <c r="Q321" s="142">
        <v>45819</v>
      </c>
      <c r="R321" s="143">
        <f t="shared" ca="1" si="64"/>
        <v>2</v>
      </c>
      <c r="S321" s="327">
        <v>45815</v>
      </c>
      <c r="T321" s="138"/>
    </row>
    <row r="322" spans="1:20" hidden="1">
      <c r="A322" s="19" t="s">
        <v>188</v>
      </c>
      <c r="B322" s="291">
        <v>142</v>
      </c>
      <c r="C322" s="12" t="s">
        <v>857</v>
      </c>
      <c r="D322" s="314" t="s">
        <v>840</v>
      </c>
      <c r="E322" s="140">
        <v>45877</v>
      </c>
      <c r="F322" s="138">
        <v>106.800003051758</v>
      </c>
      <c r="G322" s="138">
        <v>106.8</v>
      </c>
      <c r="H322" s="138">
        <v>101</v>
      </c>
      <c r="I322" s="83">
        <f t="shared" si="60"/>
        <v>0.46000289917009241</v>
      </c>
      <c r="J322" s="83">
        <f t="shared" si="61"/>
        <v>3.0517580000832822E-6</v>
      </c>
      <c r="K322" s="298" t="s">
        <v>108</v>
      </c>
      <c r="L322" s="142">
        <v>45809</v>
      </c>
      <c r="M322" s="142">
        <v>45798</v>
      </c>
      <c r="N322" s="142">
        <f t="shared" si="59"/>
        <v>45800</v>
      </c>
      <c r="O322" s="143">
        <f t="shared" ca="1" si="62"/>
        <v>11</v>
      </c>
      <c r="P322" s="142">
        <f t="shared" si="63"/>
        <v>45821</v>
      </c>
      <c r="Q322" s="142">
        <v>45819</v>
      </c>
      <c r="R322" s="143">
        <f t="shared" ca="1" si="64"/>
        <v>2</v>
      </c>
      <c r="S322" s="327">
        <v>45815</v>
      </c>
      <c r="T322" s="138"/>
    </row>
    <row r="323" spans="1:20" hidden="1">
      <c r="A323" s="19" t="s">
        <v>188</v>
      </c>
      <c r="B323" s="291">
        <v>143</v>
      </c>
      <c r="C323" s="12" t="s">
        <v>79</v>
      </c>
      <c r="D323" s="313" t="s">
        <v>146</v>
      </c>
      <c r="E323" s="140">
        <v>45877</v>
      </c>
      <c r="F323" s="138">
        <v>7</v>
      </c>
      <c r="G323" s="138">
        <v>7</v>
      </c>
      <c r="H323" s="138">
        <v>7</v>
      </c>
      <c r="I323" s="83">
        <f t="shared" si="60"/>
        <v>-0.35000000000000053</v>
      </c>
      <c r="J323" s="83">
        <f t="shared" si="61"/>
        <v>0</v>
      </c>
      <c r="K323" s="298" t="s">
        <v>108</v>
      </c>
      <c r="L323" s="142">
        <v>45790</v>
      </c>
      <c r="M323" s="142">
        <v>45798</v>
      </c>
      <c r="N323" s="142">
        <f t="shared" si="59"/>
        <v>45800</v>
      </c>
      <c r="O323" s="143">
        <f t="shared" ca="1" si="62"/>
        <v>-8</v>
      </c>
      <c r="P323" s="142">
        <f t="shared" si="63"/>
        <v>45802</v>
      </c>
      <c r="Q323" s="142">
        <v>45822</v>
      </c>
      <c r="R323" s="143">
        <f t="shared" ca="1" si="64"/>
        <v>-20</v>
      </c>
      <c r="S323" s="138"/>
      <c r="T323" s="138"/>
    </row>
    <row r="324" spans="1:20" hidden="1">
      <c r="A324" s="19" t="s">
        <v>188</v>
      </c>
      <c r="B324" s="291">
        <v>143</v>
      </c>
      <c r="C324" s="12" t="s">
        <v>75</v>
      </c>
      <c r="D324" s="314" t="s">
        <v>841</v>
      </c>
      <c r="E324" s="140">
        <v>45877</v>
      </c>
      <c r="F324" s="138">
        <v>105.300003051758</v>
      </c>
      <c r="G324" s="138">
        <v>105.3</v>
      </c>
      <c r="H324" s="138">
        <v>100</v>
      </c>
      <c r="I324" s="83">
        <f t="shared" si="60"/>
        <v>3.5002899170095247E-2</v>
      </c>
      <c r="J324" s="83">
        <f t="shared" si="61"/>
        <v>3.0517580000832822E-6</v>
      </c>
      <c r="K324" s="298" t="s">
        <v>108</v>
      </c>
      <c r="L324" s="142">
        <v>45809</v>
      </c>
      <c r="M324" s="142">
        <v>45798</v>
      </c>
      <c r="N324" s="142">
        <f t="shared" si="59"/>
        <v>45800</v>
      </c>
      <c r="O324" s="143">
        <f t="shared" ca="1" si="62"/>
        <v>11</v>
      </c>
      <c r="P324" s="142">
        <f t="shared" si="63"/>
        <v>45821</v>
      </c>
      <c r="Q324" s="142">
        <v>45819</v>
      </c>
      <c r="R324" s="143">
        <f t="shared" ca="1" si="64"/>
        <v>2</v>
      </c>
      <c r="S324" s="327">
        <v>45815</v>
      </c>
      <c r="T324" s="138"/>
    </row>
    <row r="325" spans="1:20" hidden="1">
      <c r="A325" s="19" t="s">
        <v>188</v>
      </c>
      <c r="B325" s="291">
        <v>143</v>
      </c>
      <c r="C325" s="12" t="s">
        <v>75</v>
      </c>
      <c r="D325" s="314" t="s">
        <v>840</v>
      </c>
      <c r="E325" s="140">
        <v>45877</v>
      </c>
      <c r="F325" s="138">
        <v>98.599998474121094</v>
      </c>
      <c r="G325" s="138">
        <v>98.6</v>
      </c>
      <c r="H325" s="138">
        <v>94</v>
      </c>
      <c r="I325" s="83">
        <f t="shared" si="60"/>
        <v>-0.33000144958496946</v>
      </c>
      <c r="J325" s="83">
        <f t="shared" si="61"/>
        <v>-1.5258789005656581E-6</v>
      </c>
      <c r="K325" s="298" t="s">
        <v>108</v>
      </c>
      <c r="L325" s="142">
        <v>45809</v>
      </c>
      <c r="M325" s="142">
        <v>45798</v>
      </c>
      <c r="N325" s="142">
        <f t="shared" si="59"/>
        <v>45800</v>
      </c>
      <c r="O325" s="143">
        <f t="shared" ca="1" si="62"/>
        <v>11</v>
      </c>
      <c r="P325" s="142">
        <f t="shared" si="63"/>
        <v>45821</v>
      </c>
      <c r="Q325" s="142">
        <v>45819</v>
      </c>
      <c r="R325" s="143">
        <f t="shared" ca="1" si="64"/>
        <v>2</v>
      </c>
      <c r="S325" s="327">
        <v>45815</v>
      </c>
      <c r="T325" s="138"/>
    </row>
    <row r="326" spans="1:20" hidden="1">
      <c r="A326" s="19" t="s">
        <v>188</v>
      </c>
      <c r="B326" s="291">
        <v>143</v>
      </c>
      <c r="C326" s="12" t="s">
        <v>857</v>
      </c>
      <c r="D326" s="314" t="s">
        <v>841</v>
      </c>
      <c r="E326" s="140">
        <v>45877</v>
      </c>
      <c r="F326" s="138">
        <v>120.699996948242</v>
      </c>
      <c r="G326" s="138">
        <v>120.7</v>
      </c>
      <c r="H326" s="138">
        <v>115</v>
      </c>
      <c r="I326" s="83">
        <f t="shared" si="60"/>
        <v>-0.33500289917010662</v>
      </c>
      <c r="J326" s="83">
        <f t="shared" si="61"/>
        <v>-3.0517580000832822E-6</v>
      </c>
      <c r="K326" s="298" t="s">
        <v>108</v>
      </c>
      <c r="L326" s="142">
        <v>45809</v>
      </c>
      <c r="M326" s="142">
        <v>45798</v>
      </c>
      <c r="N326" s="142">
        <f t="shared" si="59"/>
        <v>45800</v>
      </c>
      <c r="O326" s="143">
        <f t="shared" ca="1" si="62"/>
        <v>11</v>
      </c>
      <c r="P326" s="142">
        <f t="shared" si="63"/>
        <v>45821</v>
      </c>
      <c r="Q326" s="142">
        <v>45819</v>
      </c>
      <c r="R326" s="143">
        <f t="shared" ca="1" si="64"/>
        <v>2</v>
      </c>
      <c r="S326" s="327">
        <v>45815</v>
      </c>
      <c r="T326" s="138"/>
    </row>
    <row r="327" spans="1:20" hidden="1">
      <c r="A327" s="19" t="s">
        <v>188</v>
      </c>
      <c r="B327" s="291">
        <v>143</v>
      </c>
      <c r="C327" s="12" t="s">
        <v>857</v>
      </c>
      <c r="D327" s="314" t="s">
        <v>840</v>
      </c>
      <c r="E327" s="140">
        <v>45877</v>
      </c>
      <c r="F327" s="138">
        <v>113</v>
      </c>
      <c r="G327" s="138">
        <v>113</v>
      </c>
      <c r="H327" s="138">
        <v>107</v>
      </c>
      <c r="I327" s="83">
        <f t="shared" si="60"/>
        <v>0.34999999999999432</v>
      </c>
      <c r="J327" s="83">
        <f t="shared" si="61"/>
        <v>0</v>
      </c>
      <c r="K327" s="298" t="s">
        <v>108</v>
      </c>
      <c r="L327" s="142">
        <v>45809</v>
      </c>
      <c r="M327" s="142">
        <v>45798</v>
      </c>
      <c r="N327" s="142">
        <f t="shared" si="59"/>
        <v>45800</v>
      </c>
      <c r="O327" s="143">
        <f t="shared" ca="1" si="62"/>
        <v>11</v>
      </c>
      <c r="P327" s="142">
        <f t="shared" si="63"/>
        <v>45821</v>
      </c>
      <c r="Q327" s="142">
        <v>45819</v>
      </c>
      <c r="R327" s="143">
        <f t="shared" ca="1" si="64"/>
        <v>2</v>
      </c>
      <c r="S327" s="327">
        <v>45815</v>
      </c>
      <c r="T327" s="138"/>
    </row>
    <row r="328" spans="1:20" hidden="1">
      <c r="A328" s="19" t="s">
        <v>188</v>
      </c>
      <c r="B328" s="291">
        <v>144</v>
      </c>
      <c r="C328" s="12" t="s">
        <v>82</v>
      </c>
      <c r="D328" s="313" t="s">
        <v>141</v>
      </c>
      <c r="E328" s="240">
        <v>45877</v>
      </c>
      <c r="F328" s="138">
        <v>68.699996948242202</v>
      </c>
      <c r="G328" s="138">
        <v>68.7</v>
      </c>
      <c r="H328" s="138">
        <v>65</v>
      </c>
      <c r="I328" s="83">
        <f t="shared" si="60"/>
        <v>0.26499710083008665</v>
      </c>
      <c r="J328" s="83">
        <f t="shared" si="61"/>
        <v>-3.0517578011313162E-6</v>
      </c>
      <c r="K328" s="298" t="s">
        <v>900</v>
      </c>
      <c r="L328" s="142">
        <v>45799</v>
      </c>
      <c r="M328" s="142">
        <v>45798</v>
      </c>
      <c r="N328" s="142">
        <f t="shared" si="59"/>
        <v>45800</v>
      </c>
      <c r="O328" s="143">
        <f t="shared" ca="1" si="62"/>
        <v>1</v>
      </c>
      <c r="P328" s="142">
        <f t="shared" si="63"/>
        <v>45811</v>
      </c>
      <c r="Q328" s="142">
        <v>45822</v>
      </c>
      <c r="R328" s="143">
        <f t="shared" ca="1" si="64"/>
        <v>-11</v>
      </c>
      <c r="S328" s="84">
        <v>45812</v>
      </c>
      <c r="T328" s="138"/>
    </row>
    <row r="329" spans="1:20" hidden="1">
      <c r="A329" s="19" t="s">
        <v>188</v>
      </c>
      <c r="B329" s="291">
        <v>144</v>
      </c>
      <c r="C329" s="12" t="s">
        <v>82</v>
      </c>
      <c r="D329" s="313" t="s">
        <v>143</v>
      </c>
      <c r="E329" s="240">
        <v>45877</v>
      </c>
      <c r="F329" s="138">
        <v>68.699996948242202</v>
      </c>
      <c r="G329" s="138">
        <v>68.7</v>
      </c>
      <c r="H329" s="138">
        <v>65</v>
      </c>
      <c r="I329" s="83">
        <f t="shared" si="60"/>
        <v>0.26499710083008665</v>
      </c>
      <c r="J329" s="83">
        <f t="shared" si="61"/>
        <v>-3.0517578011313162E-6</v>
      </c>
      <c r="K329" s="298" t="s">
        <v>900</v>
      </c>
      <c r="L329" s="142">
        <v>45799</v>
      </c>
      <c r="M329" s="142">
        <v>45798</v>
      </c>
      <c r="N329" s="142">
        <f t="shared" ref="N329:N392" si="65">M329+2</f>
        <v>45800</v>
      </c>
      <c r="O329" s="143">
        <f t="shared" ca="1" si="62"/>
        <v>1</v>
      </c>
      <c r="P329" s="142">
        <f t="shared" si="63"/>
        <v>45811</v>
      </c>
      <c r="Q329" s="142">
        <v>45822</v>
      </c>
      <c r="R329" s="143">
        <f t="shared" ca="1" si="64"/>
        <v>-11</v>
      </c>
      <c r="S329" s="84">
        <v>45812</v>
      </c>
      <c r="T329" s="138"/>
    </row>
    <row r="330" spans="1:20" hidden="1">
      <c r="A330" s="19" t="s">
        <v>188</v>
      </c>
      <c r="B330" s="291">
        <v>144</v>
      </c>
      <c r="C330" s="12" t="s">
        <v>82</v>
      </c>
      <c r="D330" s="313" t="s">
        <v>144</v>
      </c>
      <c r="E330" s="240">
        <v>45877</v>
      </c>
      <c r="F330" s="138">
        <v>68.699996948242202</v>
      </c>
      <c r="G330" s="138">
        <v>68.7</v>
      </c>
      <c r="H330" s="138">
        <v>65</v>
      </c>
      <c r="I330" s="83">
        <f t="shared" si="60"/>
        <v>0.26499710083008665</v>
      </c>
      <c r="J330" s="83">
        <f t="shared" si="61"/>
        <v>-3.0517578011313162E-6</v>
      </c>
      <c r="K330" s="298" t="s">
        <v>900</v>
      </c>
      <c r="L330" s="142">
        <v>45799</v>
      </c>
      <c r="M330" s="142">
        <v>45798</v>
      </c>
      <c r="N330" s="142">
        <f t="shared" si="65"/>
        <v>45800</v>
      </c>
      <c r="O330" s="143">
        <f t="shared" ca="1" si="62"/>
        <v>1</v>
      </c>
      <c r="P330" s="142">
        <f t="shared" si="63"/>
        <v>45811</v>
      </c>
      <c r="Q330" s="142">
        <v>45831</v>
      </c>
      <c r="R330" s="143">
        <f t="shared" ca="1" si="64"/>
        <v>-20</v>
      </c>
      <c r="S330" s="84">
        <v>45812</v>
      </c>
      <c r="T330" s="138"/>
    </row>
    <row r="331" spans="1:20" hidden="1">
      <c r="A331" s="19" t="s">
        <v>188</v>
      </c>
      <c r="B331" s="291">
        <v>144</v>
      </c>
      <c r="C331" s="12" t="s">
        <v>79</v>
      </c>
      <c r="D331" s="313" t="s">
        <v>145</v>
      </c>
      <c r="E331" s="240">
        <v>45877</v>
      </c>
      <c r="F331" s="138">
        <v>5.6999998092651403</v>
      </c>
      <c r="G331" s="138">
        <v>5.7</v>
      </c>
      <c r="H331" s="138">
        <v>5</v>
      </c>
      <c r="I331" s="83">
        <f t="shared" si="60"/>
        <v>0.41499981880188308</v>
      </c>
      <c r="J331" s="83">
        <f t="shared" si="61"/>
        <v>-1.9073485990617201E-7</v>
      </c>
      <c r="K331" s="298" t="s">
        <v>108</v>
      </c>
      <c r="L331" s="142">
        <v>45790</v>
      </c>
      <c r="M331" s="142">
        <v>45799</v>
      </c>
      <c r="N331" s="142">
        <f t="shared" si="65"/>
        <v>45801</v>
      </c>
      <c r="O331" s="143">
        <f t="shared" ca="1" si="62"/>
        <v>-9</v>
      </c>
      <c r="P331" s="142">
        <f t="shared" si="63"/>
        <v>45802</v>
      </c>
      <c r="Q331" s="142">
        <v>45822</v>
      </c>
      <c r="R331" s="143">
        <f t="shared" ca="1" si="64"/>
        <v>-20</v>
      </c>
      <c r="S331" s="138"/>
      <c r="T331" s="138"/>
    </row>
    <row r="332" spans="1:20" hidden="1">
      <c r="A332" s="19" t="s">
        <v>188</v>
      </c>
      <c r="B332" s="291">
        <v>121</v>
      </c>
      <c r="C332" s="12" t="s">
        <v>80</v>
      </c>
      <c r="D332" s="323" t="s">
        <v>146</v>
      </c>
      <c r="E332" s="145">
        <v>45849</v>
      </c>
      <c r="F332" s="138">
        <v>247</v>
      </c>
      <c r="G332" s="138">
        <v>247</v>
      </c>
      <c r="H332" s="138">
        <v>235</v>
      </c>
      <c r="I332" s="83">
        <f t="shared" si="60"/>
        <v>-0.35000000000002274</v>
      </c>
      <c r="J332" s="83">
        <f t="shared" si="61"/>
        <v>0</v>
      </c>
      <c r="K332" s="140" t="s">
        <v>133</v>
      </c>
      <c r="L332" s="142">
        <v>45789</v>
      </c>
      <c r="M332" s="142">
        <v>45785</v>
      </c>
      <c r="N332" s="142">
        <f t="shared" si="65"/>
        <v>45787</v>
      </c>
      <c r="O332" s="143">
        <f t="shared" ca="1" si="62"/>
        <v>4</v>
      </c>
      <c r="P332" s="142">
        <f>L332+8</f>
        <v>45797</v>
      </c>
      <c r="Q332" s="142">
        <v>45794</v>
      </c>
      <c r="R332" s="143">
        <f t="shared" ca="1" si="64"/>
        <v>3</v>
      </c>
      <c r="S332" s="84">
        <v>45797</v>
      </c>
      <c r="T332" s="138"/>
    </row>
    <row r="333" spans="1:20" hidden="1">
      <c r="A333" s="19" t="s">
        <v>188</v>
      </c>
      <c r="B333" s="291">
        <v>144</v>
      </c>
      <c r="C333" s="12" t="s">
        <v>75</v>
      </c>
      <c r="D333" s="314" t="s">
        <v>858</v>
      </c>
      <c r="E333" s="240">
        <v>45877</v>
      </c>
      <c r="F333" s="138">
        <v>85.199996948242202</v>
      </c>
      <c r="G333" s="138">
        <v>85.2</v>
      </c>
      <c r="H333" s="138">
        <v>81</v>
      </c>
      <c r="I333" s="83">
        <f t="shared" si="60"/>
        <v>-6.0002899169916191E-2</v>
      </c>
      <c r="J333" s="83">
        <f t="shared" si="61"/>
        <v>-3.0517578011313162E-6</v>
      </c>
      <c r="K333" s="298" t="s">
        <v>108</v>
      </c>
      <c r="L333" s="142">
        <v>45809</v>
      </c>
      <c r="M333" s="142">
        <v>45798</v>
      </c>
      <c r="N333" s="142">
        <f t="shared" si="65"/>
        <v>45800</v>
      </c>
      <c r="O333" s="143">
        <f t="shared" ca="1" si="62"/>
        <v>11</v>
      </c>
      <c r="P333" s="142">
        <f t="shared" si="63"/>
        <v>45821</v>
      </c>
      <c r="Q333" s="142">
        <v>45817</v>
      </c>
      <c r="R333" s="143">
        <f t="shared" ca="1" si="64"/>
        <v>4</v>
      </c>
      <c r="S333" s="327">
        <v>45815</v>
      </c>
      <c r="T333" s="138"/>
    </row>
    <row r="334" spans="1:20" hidden="1">
      <c r="A334" s="19" t="s">
        <v>188</v>
      </c>
      <c r="B334" s="291">
        <v>144</v>
      </c>
      <c r="C334" s="12" t="s">
        <v>75</v>
      </c>
      <c r="D334" s="314" t="s">
        <v>859</v>
      </c>
      <c r="E334" s="240">
        <v>45877</v>
      </c>
      <c r="F334" s="138">
        <v>52.200000762939503</v>
      </c>
      <c r="G334" s="138">
        <v>52.2</v>
      </c>
      <c r="H334" s="138">
        <v>50</v>
      </c>
      <c r="I334" s="83">
        <f t="shared" si="60"/>
        <v>-0.40999927520747548</v>
      </c>
      <c r="J334" s="83">
        <f t="shared" si="61"/>
        <v>7.6293950002082056E-7</v>
      </c>
      <c r="K334" s="298" t="s">
        <v>108</v>
      </c>
      <c r="L334" s="142">
        <v>45809</v>
      </c>
      <c r="M334" s="142">
        <v>45798</v>
      </c>
      <c r="N334" s="142">
        <f t="shared" si="65"/>
        <v>45800</v>
      </c>
      <c r="O334" s="143">
        <f t="shared" ca="1" si="62"/>
        <v>11</v>
      </c>
      <c r="P334" s="142">
        <f t="shared" si="63"/>
        <v>45821</v>
      </c>
      <c r="Q334" s="142">
        <v>45817</v>
      </c>
      <c r="R334" s="143">
        <f t="shared" ca="1" si="64"/>
        <v>4</v>
      </c>
      <c r="S334" s="327">
        <v>45815</v>
      </c>
      <c r="T334" s="138"/>
    </row>
    <row r="335" spans="1:20" hidden="1">
      <c r="A335" s="19" t="s">
        <v>188</v>
      </c>
      <c r="B335" s="291">
        <v>144</v>
      </c>
      <c r="C335" s="12" t="s">
        <v>857</v>
      </c>
      <c r="D335" s="314" t="s">
        <v>858</v>
      </c>
      <c r="E335" s="240">
        <v>45877</v>
      </c>
      <c r="F335" s="138">
        <v>97.699996948242202</v>
      </c>
      <c r="G335" s="138">
        <v>97.7</v>
      </c>
      <c r="H335" s="138">
        <v>93</v>
      </c>
      <c r="I335" s="83">
        <f t="shared" si="60"/>
        <v>-0.18500289916991619</v>
      </c>
      <c r="J335" s="83">
        <f t="shared" si="61"/>
        <v>-3.0517578011313162E-6</v>
      </c>
      <c r="K335" s="298" t="s">
        <v>108</v>
      </c>
      <c r="L335" s="142">
        <v>45809</v>
      </c>
      <c r="M335" s="142">
        <v>45798</v>
      </c>
      <c r="N335" s="142">
        <f t="shared" si="65"/>
        <v>45800</v>
      </c>
      <c r="O335" s="143">
        <f t="shared" ca="1" si="62"/>
        <v>11</v>
      </c>
      <c r="P335" s="142">
        <f t="shared" si="63"/>
        <v>45821</v>
      </c>
      <c r="Q335" s="142">
        <v>45817</v>
      </c>
      <c r="R335" s="143">
        <f t="shared" ca="1" si="64"/>
        <v>4</v>
      </c>
      <c r="S335" s="327">
        <v>45815</v>
      </c>
      <c r="T335" s="138"/>
    </row>
    <row r="336" spans="1:20" hidden="1">
      <c r="A336" s="19" t="s">
        <v>188</v>
      </c>
      <c r="B336" s="291">
        <v>144</v>
      </c>
      <c r="C336" s="12" t="s">
        <v>857</v>
      </c>
      <c r="D336" s="314" t="s">
        <v>859</v>
      </c>
      <c r="E336" s="240">
        <v>45877</v>
      </c>
      <c r="F336" s="138">
        <v>60</v>
      </c>
      <c r="G336" s="138">
        <v>60</v>
      </c>
      <c r="H336" s="138">
        <v>57</v>
      </c>
      <c r="I336" s="83">
        <f t="shared" si="60"/>
        <v>0</v>
      </c>
      <c r="J336" s="83">
        <f t="shared" si="61"/>
        <v>0</v>
      </c>
      <c r="K336" s="298" t="s">
        <v>108</v>
      </c>
      <c r="L336" s="142">
        <v>45809</v>
      </c>
      <c r="M336" s="142">
        <v>45798</v>
      </c>
      <c r="N336" s="142">
        <f t="shared" si="65"/>
        <v>45800</v>
      </c>
      <c r="O336" s="143">
        <f t="shared" ca="1" si="62"/>
        <v>11</v>
      </c>
      <c r="P336" s="142">
        <f t="shared" si="63"/>
        <v>45821</v>
      </c>
      <c r="Q336" s="142">
        <v>45817</v>
      </c>
      <c r="R336" s="143">
        <f t="shared" ca="1" si="64"/>
        <v>4</v>
      </c>
      <c r="S336" s="327">
        <v>45815</v>
      </c>
      <c r="T336" s="138"/>
    </row>
    <row r="337" spans="1:20" hidden="1">
      <c r="A337" s="19" t="s">
        <v>188</v>
      </c>
      <c r="B337" s="291">
        <v>144</v>
      </c>
      <c r="C337" s="12" t="s">
        <v>93</v>
      </c>
      <c r="D337" s="313" t="s">
        <v>844</v>
      </c>
      <c r="E337" s="240">
        <v>45877</v>
      </c>
      <c r="F337" s="138">
        <v>156.19999694824199</v>
      </c>
      <c r="G337" s="138">
        <v>156.19999999999999</v>
      </c>
      <c r="H337" s="138">
        <v>148</v>
      </c>
      <c r="I337" s="83">
        <f t="shared" si="60"/>
        <v>0.38999710082987349</v>
      </c>
      <c r="J337" s="83">
        <f t="shared" si="61"/>
        <v>-3.0517580000832822E-6</v>
      </c>
      <c r="K337" s="298" t="s">
        <v>142</v>
      </c>
      <c r="L337" s="142">
        <v>45794</v>
      </c>
      <c r="M337" s="142">
        <v>45798</v>
      </c>
      <c r="N337" s="142">
        <f t="shared" si="65"/>
        <v>45800</v>
      </c>
      <c r="O337" s="143">
        <f t="shared" ca="1" si="62"/>
        <v>-4</v>
      </c>
      <c r="P337" s="142">
        <f t="shared" si="63"/>
        <v>45806</v>
      </c>
      <c r="Q337" s="142">
        <v>45819</v>
      </c>
      <c r="R337" s="143">
        <f t="shared" ca="1" si="64"/>
        <v>-13</v>
      </c>
      <c r="S337" s="138"/>
      <c r="T337" s="138"/>
    </row>
    <row r="338" spans="1:20" hidden="1">
      <c r="A338" s="19" t="s">
        <v>188</v>
      </c>
      <c r="B338" s="291">
        <v>144</v>
      </c>
      <c r="C338" s="12" t="s">
        <v>93</v>
      </c>
      <c r="D338" s="313" t="s">
        <v>843</v>
      </c>
      <c r="E338" s="240">
        <v>45877</v>
      </c>
      <c r="F338" s="138">
        <v>187.60000610351599</v>
      </c>
      <c r="G338" s="138">
        <v>187.6</v>
      </c>
      <c r="H338" s="138">
        <v>178</v>
      </c>
      <c r="I338" s="83">
        <f t="shared" si="60"/>
        <v>0.22000579834019618</v>
      </c>
      <c r="J338" s="83">
        <f t="shared" si="61"/>
        <v>6.1035160001665645E-6</v>
      </c>
      <c r="K338" s="298" t="s">
        <v>142</v>
      </c>
      <c r="L338" s="142">
        <v>45794</v>
      </c>
      <c r="M338" s="142">
        <v>45798</v>
      </c>
      <c r="N338" s="142">
        <f t="shared" si="65"/>
        <v>45800</v>
      </c>
      <c r="O338" s="143">
        <f t="shared" ca="1" si="62"/>
        <v>-4</v>
      </c>
      <c r="P338" s="142">
        <f t="shared" si="63"/>
        <v>45806</v>
      </c>
      <c r="Q338" s="142">
        <v>45819</v>
      </c>
      <c r="R338" s="143">
        <f t="shared" ca="1" si="64"/>
        <v>-13</v>
      </c>
      <c r="S338" s="138"/>
      <c r="T338" s="138"/>
    </row>
    <row r="339" spans="1:20" hidden="1">
      <c r="A339" s="19" t="s">
        <v>188</v>
      </c>
      <c r="B339" s="291">
        <v>145</v>
      </c>
      <c r="C339" s="12" t="s">
        <v>79</v>
      </c>
      <c r="D339" s="313" t="s">
        <v>146</v>
      </c>
      <c r="E339" s="240">
        <v>45877</v>
      </c>
      <c r="F339" s="138">
        <v>3.4000000953674299</v>
      </c>
      <c r="G339" s="138">
        <v>3.4</v>
      </c>
      <c r="H339" s="138">
        <v>3</v>
      </c>
      <c r="I339" s="83">
        <f t="shared" ref="I339:I402" si="66">F339*95%-H339</f>
        <v>0.23000009059905802</v>
      </c>
      <c r="J339" s="83">
        <f t="shared" ref="J339:J402" si="67">F339-G339</f>
        <v>9.5367429953086003E-8</v>
      </c>
      <c r="K339" s="298" t="s">
        <v>108</v>
      </c>
      <c r="L339" s="142">
        <v>45790</v>
      </c>
      <c r="M339" s="142">
        <v>45798</v>
      </c>
      <c r="N339" s="142">
        <f t="shared" si="65"/>
        <v>45800</v>
      </c>
      <c r="O339" s="143">
        <f t="shared" ref="O339:O402" ca="1" si="68">+IF(M339="",L339-TODAY(),L339-M339)</f>
        <v>-8</v>
      </c>
      <c r="P339" s="142">
        <f t="shared" ref="P339:P401" si="69">L339+12</f>
        <v>45802</v>
      </c>
      <c r="Q339" s="142">
        <v>45822</v>
      </c>
      <c r="R339" s="143">
        <f t="shared" ref="R339:R402" ca="1" si="70">+IF(Q339="",P339-TODAY(),P339-Q339)</f>
        <v>-20</v>
      </c>
      <c r="S339" s="138"/>
      <c r="T339" s="138"/>
    </row>
    <row r="340" spans="1:20" hidden="1">
      <c r="A340" s="19" t="s">
        <v>188</v>
      </c>
      <c r="B340" s="291">
        <v>122</v>
      </c>
      <c r="C340" s="12" t="s">
        <v>80</v>
      </c>
      <c r="D340" s="323" t="s">
        <v>146</v>
      </c>
      <c r="E340" s="140">
        <v>45863</v>
      </c>
      <c r="F340" s="138">
        <v>540</v>
      </c>
      <c r="G340" s="138">
        <v>540</v>
      </c>
      <c r="H340" s="138">
        <v>513</v>
      </c>
      <c r="I340" s="83">
        <f t="shared" si="66"/>
        <v>0</v>
      </c>
      <c r="J340" s="83">
        <f t="shared" si="67"/>
        <v>0</v>
      </c>
      <c r="K340" s="140" t="s">
        <v>133</v>
      </c>
      <c r="L340" s="142">
        <v>45789</v>
      </c>
      <c r="M340" s="142">
        <v>45785</v>
      </c>
      <c r="N340" s="142">
        <f t="shared" si="65"/>
        <v>45787</v>
      </c>
      <c r="O340" s="143">
        <f t="shared" ca="1" si="68"/>
        <v>4</v>
      </c>
      <c r="P340" s="142">
        <f>L340+8</f>
        <v>45797</v>
      </c>
      <c r="Q340" s="142">
        <v>45794</v>
      </c>
      <c r="R340" s="143">
        <f t="shared" ca="1" si="70"/>
        <v>3</v>
      </c>
      <c r="S340" s="84">
        <v>45797</v>
      </c>
      <c r="T340" s="138"/>
    </row>
    <row r="341" spans="1:20" hidden="1">
      <c r="A341" s="19" t="s">
        <v>188</v>
      </c>
      <c r="B341" s="291">
        <v>145</v>
      </c>
      <c r="C341" s="12" t="s">
        <v>93</v>
      </c>
      <c r="D341" s="313" t="s">
        <v>844</v>
      </c>
      <c r="E341" s="240">
        <v>45877</v>
      </c>
      <c r="F341" s="138">
        <v>134.19999694824199</v>
      </c>
      <c r="G341" s="138">
        <v>134.19999999999999</v>
      </c>
      <c r="H341" s="138">
        <v>127</v>
      </c>
      <c r="I341" s="83">
        <f t="shared" si="66"/>
        <v>0.48999710082988202</v>
      </c>
      <c r="J341" s="83">
        <f t="shared" si="67"/>
        <v>-3.0517580000832822E-6</v>
      </c>
      <c r="K341" s="298" t="s">
        <v>142</v>
      </c>
      <c r="L341" s="142">
        <v>45794</v>
      </c>
      <c r="M341" s="142">
        <v>45798</v>
      </c>
      <c r="N341" s="142">
        <f t="shared" si="65"/>
        <v>45800</v>
      </c>
      <c r="O341" s="143">
        <f t="shared" ca="1" si="68"/>
        <v>-4</v>
      </c>
      <c r="P341" s="142">
        <f t="shared" si="69"/>
        <v>45806</v>
      </c>
      <c r="Q341" s="142">
        <v>45819</v>
      </c>
      <c r="R341" s="143">
        <f t="shared" ca="1" si="70"/>
        <v>-13</v>
      </c>
      <c r="S341" s="138"/>
      <c r="T341" s="138"/>
    </row>
    <row r="342" spans="1:20" hidden="1">
      <c r="A342" s="19" t="s">
        <v>188</v>
      </c>
      <c r="B342" s="291">
        <v>145</v>
      </c>
      <c r="C342" s="12" t="s">
        <v>93</v>
      </c>
      <c r="D342" s="313" t="s">
        <v>843</v>
      </c>
      <c r="E342" s="240">
        <v>45877</v>
      </c>
      <c r="F342" s="138">
        <v>161</v>
      </c>
      <c r="G342" s="138">
        <v>161</v>
      </c>
      <c r="H342" s="138">
        <v>153</v>
      </c>
      <c r="I342" s="83">
        <f t="shared" si="66"/>
        <v>-5.0000000000011369E-2</v>
      </c>
      <c r="J342" s="83">
        <f t="shared" si="67"/>
        <v>0</v>
      </c>
      <c r="K342" s="298" t="s">
        <v>142</v>
      </c>
      <c r="L342" s="142">
        <v>45794</v>
      </c>
      <c r="M342" s="142">
        <v>45798</v>
      </c>
      <c r="N342" s="142">
        <f t="shared" si="65"/>
        <v>45800</v>
      </c>
      <c r="O342" s="143">
        <f t="shared" ca="1" si="68"/>
        <v>-4</v>
      </c>
      <c r="P342" s="142">
        <f t="shared" si="69"/>
        <v>45806</v>
      </c>
      <c r="Q342" s="142">
        <v>45819</v>
      </c>
      <c r="R342" s="143">
        <f t="shared" ca="1" si="70"/>
        <v>-13</v>
      </c>
      <c r="S342" s="138"/>
      <c r="T342" s="138"/>
    </row>
    <row r="343" spans="1:20" hidden="1">
      <c r="A343" s="19" t="s">
        <v>188</v>
      </c>
      <c r="B343" s="291">
        <v>146</v>
      </c>
      <c r="C343" s="12" t="s">
        <v>77</v>
      </c>
      <c r="D343" s="313" t="s">
        <v>137</v>
      </c>
      <c r="E343" s="140">
        <v>45877</v>
      </c>
      <c r="F343" s="138">
        <v>29</v>
      </c>
      <c r="G343" s="138">
        <v>29</v>
      </c>
      <c r="H343" s="138">
        <v>28</v>
      </c>
      <c r="I343" s="83">
        <f t="shared" si="66"/>
        <v>-0.45000000000000284</v>
      </c>
      <c r="J343" s="83">
        <f t="shared" si="67"/>
        <v>0</v>
      </c>
      <c r="K343" s="298" t="s">
        <v>108</v>
      </c>
      <c r="L343" s="142">
        <v>45790</v>
      </c>
      <c r="M343" s="142">
        <v>45798</v>
      </c>
      <c r="N343" s="142">
        <f t="shared" si="65"/>
        <v>45800</v>
      </c>
      <c r="O343" s="143">
        <f t="shared" ca="1" si="68"/>
        <v>-8</v>
      </c>
      <c r="P343" s="142">
        <f t="shared" si="69"/>
        <v>45802</v>
      </c>
      <c r="Q343" s="142">
        <v>45824</v>
      </c>
      <c r="R343" s="143">
        <f t="shared" ca="1" si="70"/>
        <v>-22</v>
      </c>
      <c r="S343" s="138"/>
      <c r="T343" s="138"/>
    </row>
    <row r="344" spans="1:20" hidden="1">
      <c r="A344" s="19" t="s">
        <v>188</v>
      </c>
      <c r="B344" s="291">
        <v>146</v>
      </c>
      <c r="C344" s="12" t="s">
        <v>79</v>
      </c>
      <c r="D344" s="313" t="s">
        <v>146</v>
      </c>
      <c r="E344" s="140">
        <v>45877</v>
      </c>
      <c r="F344" s="138">
        <v>2.7999999523162802</v>
      </c>
      <c r="G344" s="138">
        <v>2.8</v>
      </c>
      <c r="H344" s="138">
        <v>3</v>
      </c>
      <c r="I344" s="83">
        <f t="shared" si="66"/>
        <v>-0.34000004529953376</v>
      </c>
      <c r="J344" s="83">
        <f t="shared" si="67"/>
        <v>-4.7683719639479705E-8</v>
      </c>
      <c r="K344" s="298" t="s">
        <v>108</v>
      </c>
      <c r="L344" s="142">
        <v>45790</v>
      </c>
      <c r="M344" s="142">
        <v>45798</v>
      </c>
      <c r="N344" s="142">
        <f t="shared" si="65"/>
        <v>45800</v>
      </c>
      <c r="O344" s="143">
        <f t="shared" ca="1" si="68"/>
        <v>-8</v>
      </c>
      <c r="P344" s="142">
        <f t="shared" si="69"/>
        <v>45802</v>
      </c>
      <c r="Q344" s="142">
        <v>45822</v>
      </c>
      <c r="R344" s="143">
        <f t="shared" ca="1" si="70"/>
        <v>-20</v>
      </c>
      <c r="S344" s="138"/>
      <c r="T344" s="138"/>
    </row>
    <row r="345" spans="1:20" hidden="1">
      <c r="A345" s="19" t="s">
        <v>188</v>
      </c>
      <c r="B345" s="291">
        <v>131</v>
      </c>
      <c r="C345" s="12" t="s">
        <v>80</v>
      </c>
      <c r="D345" s="323" t="s">
        <v>146</v>
      </c>
      <c r="E345" s="140">
        <v>45856</v>
      </c>
      <c r="F345" s="138">
        <v>389</v>
      </c>
      <c r="G345" s="138">
        <v>389</v>
      </c>
      <c r="H345" s="138">
        <v>370</v>
      </c>
      <c r="I345" s="83">
        <f t="shared" si="66"/>
        <v>-0.45000000000004547</v>
      </c>
      <c r="J345" s="83">
        <f t="shared" si="67"/>
        <v>0</v>
      </c>
      <c r="K345" s="140" t="s">
        <v>133</v>
      </c>
      <c r="L345" s="142">
        <v>45789</v>
      </c>
      <c r="M345" s="142">
        <v>45785</v>
      </c>
      <c r="N345" s="142">
        <f t="shared" si="65"/>
        <v>45787</v>
      </c>
      <c r="O345" s="143">
        <f t="shared" ca="1" si="68"/>
        <v>4</v>
      </c>
      <c r="P345" s="142">
        <f>L345+8</f>
        <v>45797</v>
      </c>
      <c r="Q345" s="142">
        <v>45794</v>
      </c>
      <c r="R345" s="143">
        <f t="shared" ca="1" si="70"/>
        <v>3</v>
      </c>
      <c r="S345" s="84">
        <v>45797</v>
      </c>
      <c r="T345" s="138"/>
    </row>
    <row r="346" spans="1:20" hidden="1">
      <c r="A346" s="19" t="s">
        <v>188</v>
      </c>
      <c r="B346" s="291">
        <v>146</v>
      </c>
      <c r="C346" s="12" t="s">
        <v>75</v>
      </c>
      <c r="D346" s="314" t="s">
        <v>841</v>
      </c>
      <c r="E346" s="140">
        <v>45877</v>
      </c>
      <c r="F346" s="138">
        <v>69.5</v>
      </c>
      <c r="G346" s="138">
        <v>69.5</v>
      </c>
      <c r="H346" s="138">
        <v>66</v>
      </c>
      <c r="I346" s="83">
        <f t="shared" si="66"/>
        <v>2.4999999999991473E-2</v>
      </c>
      <c r="J346" s="83">
        <f t="shared" si="67"/>
        <v>0</v>
      </c>
      <c r="K346" s="298" t="s">
        <v>108</v>
      </c>
      <c r="L346" s="142">
        <v>45809</v>
      </c>
      <c r="M346" s="142">
        <v>45798</v>
      </c>
      <c r="N346" s="142">
        <f t="shared" si="65"/>
        <v>45800</v>
      </c>
      <c r="O346" s="143">
        <f t="shared" ca="1" si="68"/>
        <v>11</v>
      </c>
      <c r="P346" s="142">
        <f t="shared" si="69"/>
        <v>45821</v>
      </c>
      <c r="Q346" s="142">
        <v>45819</v>
      </c>
      <c r="R346" s="143">
        <f t="shared" ca="1" si="70"/>
        <v>2</v>
      </c>
      <c r="S346" s="327">
        <v>45815</v>
      </c>
      <c r="T346" s="138"/>
    </row>
    <row r="347" spans="1:20" hidden="1">
      <c r="A347" s="19" t="s">
        <v>188</v>
      </c>
      <c r="B347" s="291">
        <v>146</v>
      </c>
      <c r="C347" s="12" t="s">
        <v>75</v>
      </c>
      <c r="D347" s="314" t="s">
        <v>858</v>
      </c>
      <c r="E347" s="140">
        <v>45877</v>
      </c>
      <c r="F347" s="138">
        <v>83.5</v>
      </c>
      <c r="G347" s="138">
        <v>83.5</v>
      </c>
      <c r="H347" s="138">
        <v>79</v>
      </c>
      <c r="I347" s="83">
        <f t="shared" si="66"/>
        <v>0.32500000000000284</v>
      </c>
      <c r="J347" s="83">
        <f t="shared" si="67"/>
        <v>0</v>
      </c>
      <c r="K347" s="298" t="s">
        <v>108</v>
      </c>
      <c r="L347" s="142">
        <v>45809</v>
      </c>
      <c r="M347" s="142">
        <v>45798</v>
      </c>
      <c r="N347" s="142">
        <f t="shared" si="65"/>
        <v>45800</v>
      </c>
      <c r="O347" s="143">
        <f t="shared" ca="1" si="68"/>
        <v>11</v>
      </c>
      <c r="P347" s="142">
        <f t="shared" si="69"/>
        <v>45821</v>
      </c>
      <c r="Q347" s="142">
        <v>45818</v>
      </c>
      <c r="R347" s="143">
        <f t="shared" ca="1" si="70"/>
        <v>3</v>
      </c>
      <c r="S347" s="327">
        <v>45815</v>
      </c>
      <c r="T347" s="138"/>
    </row>
    <row r="348" spans="1:20" hidden="1">
      <c r="A348" s="19" t="s">
        <v>188</v>
      </c>
      <c r="B348" s="291">
        <v>146</v>
      </c>
      <c r="C348" s="12" t="s">
        <v>75</v>
      </c>
      <c r="D348" s="314" t="s">
        <v>840</v>
      </c>
      <c r="E348" s="140">
        <v>45877</v>
      </c>
      <c r="F348" s="138">
        <v>65.099998474121094</v>
      </c>
      <c r="G348" s="138">
        <v>65.099999999999994</v>
      </c>
      <c r="H348" s="138">
        <v>62</v>
      </c>
      <c r="I348" s="83">
        <f t="shared" si="66"/>
        <v>-0.1550014495849652</v>
      </c>
      <c r="J348" s="83">
        <f t="shared" si="67"/>
        <v>-1.5258789005656581E-6</v>
      </c>
      <c r="K348" s="298" t="s">
        <v>108</v>
      </c>
      <c r="L348" s="142">
        <v>45809</v>
      </c>
      <c r="M348" s="142">
        <v>45798</v>
      </c>
      <c r="N348" s="142">
        <f t="shared" si="65"/>
        <v>45800</v>
      </c>
      <c r="O348" s="143">
        <f t="shared" ca="1" si="68"/>
        <v>11</v>
      </c>
      <c r="P348" s="142">
        <f t="shared" si="69"/>
        <v>45821</v>
      </c>
      <c r="Q348" s="142">
        <v>45819</v>
      </c>
      <c r="R348" s="143">
        <f t="shared" ca="1" si="70"/>
        <v>2</v>
      </c>
      <c r="S348" s="327">
        <v>45815</v>
      </c>
      <c r="T348" s="138"/>
    </row>
    <row r="349" spans="1:20" hidden="1">
      <c r="A349" s="19" t="s">
        <v>188</v>
      </c>
      <c r="B349" s="291">
        <v>146</v>
      </c>
      <c r="C349" s="12" t="s">
        <v>75</v>
      </c>
      <c r="D349" s="314" t="s">
        <v>859</v>
      </c>
      <c r="E349" s="140">
        <v>45877</v>
      </c>
      <c r="F349" s="138">
        <v>51.200000762939503</v>
      </c>
      <c r="G349" s="138">
        <v>51.2</v>
      </c>
      <c r="H349" s="138">
        <v>49</v>
      </c>
      <c r="I349" s="83">
        <f t="shared" si="66"/>
        <v>-0.35999927520747121</v>
      </c>
      <c r="J349" s="83">
        <f t="shared" si="67"/>
        <v>7.6293950002082056E-7</v>
      </c>
      <c r="K349" s="298" t="s">
        <v>108</v>
      </c>
      <c r="L349" s="142">
        <v>45809</v>
      </c>
      <c r="M349" s="142">
        <v>45798</v>
      </c>
      <c r="N349" s="142">
        <f t="shared" si="65"/>
        <v>45800</v>
      </c>
      <c r="O349" s="143">
        <f t="shared" ca="1" si="68"/>
        <v>11</v>
      </c>
      <c r="P349" s="142">
        <f t="shared" si="69"/>
        <v>45821</v>
      </c>
      <c r="Q349" s="142">
        <v>45818</v>
      </c>
      <c r="R349" s="143">
        <f t="shared" ca="1" si="70"/>
        <v>3</v>
      </c>
      <c r="S349" s="327">
        <v>45815</v>
      </c>
      <c r="T349" s="138"/>
    </row>
    <row r="350" spans="1:20" hidden="1">
      <c r="A350" s="19" t="s">
        <v>188</v>
      </c>
      <c r="B350" s="291">
        <v>146</v>
      </c>
      <c r="C350" s="12" t="s">
        <v>857</v>
      </c>
      <c r="D350" s="314" t="s">
        <v>841</v>
      </c>
      <c r="E350" s="140">
        <v>45877</v>
      </c>
      <c r="F350" s="138">
        <v>79.800003051757798</v>
      </c>
      <c r="G350" s="138">
        <v>79.8</v>
      </c>
      <c r="H350" s="138">
        <v>76</v>
      </c>
      <c r="I350" s="83">
        <f t="shared" si="66"/>
        <v>-0.18999710083009802</v>
      </c>
      <c r="J350" s="83">
        <f t="shared" si="67"/>
        <v>3.0517578011313162E-6</v>
      </c>
      <c r="K350" s="298" t="s">
        <v>108</v>
      </c>
      <c r="L350" s="142">
        <v>45809</v>
      </c>
      <c r="M350" s="142">
        <v>45798</v>
      </c>
      <c r="N350" s="142">
        <f t="shared" si="65"/>
        <v>45800</v>
      </c>
      <c r="O350" s="143">
        <f t="shared" ca="1" si="68"/>
        <v>11</v>
      </c>
      <c r="P350" s="142">
        <f t="shared" si="69"/>
        <v>45821</v>
      </c>
      <c r="Q350" s="142">
        <v>45819</v>
      </c>
      <c r="R350" s="143">
        <f t="shared" ca="1" si="70"/>
        <v>2</v>
      </c>
      <c r="S350" s="327">
        <v>45815</v>
      </c>
      <c r="T350" s="138"/>
    </row>
    <row r="351" spans="1:20" hidden="1">
      <c r="A351" s="19" t="s">
        <v>188</v>
      </c>
      <c r="B351" s="291">
        <v>146</v>
      </c>
      <c r="C351" s="12" t="s">
        <v>857</v>
      </c>
      <c r="D351" s="314" t="s">
        <v>858</v>
      </c>
      <c r="E351" s="140">
        <v>45877</v>
      </c>
      <c r="F351" s="138">
        <v>95.699996948242202</v>
      </c>
      <c r="G351" s="138">
        <v>95.7</v>
      </c>
      <c r="H351" s="138">
        <v>91</v>
      </c>
      <c r="I351" s="83">
        <f t="shared" si="66"/>
        <v>-8.5002899169907664E-2</v>
      </c>
      <c r="J351" s="83">
        <f t="shared" si="67"/>
        <v>-3.0517578011313162E-6</v>
      </c>
      <c r="K351" s="298" t="s">
        <v>108</v>
      </c>
      <c r="L351" s="142">
        <v>45809</v>
      </c>
      <c r="M351" s="142">
        <v>45798</v>
      </c>
      <c r="N351" s="142">
        <f t="shared" si="65"/>
        <v>45800</v>
      </c>
      <c r="O351" s="143">
        <f t="shared" ca="1" si="68"/>
        <v>11</v>
      </c>
      <c r="P351" s="142">
        <f t="shared" si="69"/>
        <v>45821</v>
      </c>
      <c r="Q351" s="142">
        <v>45818</v>
      </c>
      <c r="R351" s="143">
        <f t="shared" ca="1" si="70"/>
        <v>3</v>
      </c>
      <c r="S351" s="327">
        <v>45815</v>
      </c>
      <c r="T351" s="138"/>
    </row>
    <row r="352" spans="1:20" hidden="1">
      <c r="A352" s="19" t="s">
        <v>188</v>
      </c>
      <c r="B352" s="291">
        <v>146</v>
      </c>
      <c r="C352" s="12" t="s">
        <v>857</v>
      </c>
      <c r="D352" s="314" t="s">
        <v>840</v>
      </c>
      <c r="E352" s="140">
        <v>45877</v>
      </c>
      <c r="F352" s="138">
        <v>74.599998474121094</v>
      </c>
      <c r="G352" s="138">
        <v>74.599999999999994</v>
      </c>
      <c r="H352" s="138">
        <v>71</v>
      </c>
      <c r="I352" s="83">
        <f t="shared" si="66"/>
        <v>-0.13000144958496662</v>
      </c>
      <c r="J352" s="83">
        <f t="shared" si="67"/>
        <v>-1.5258789005656581E-6</v>
      </c>
      <c r="K352" s="298" t="s">
        <v>108</v>
      </c>
      <c r="L352" s="142">
        <v>45809</v>
      </c>
      <c r="M352" s="142">
        <v>45798</v>
      </c>
      <c r="N352" s="142">
        <f t="shared" si="65"/>
        <v>45800</v>
      </c>
      <c r="O352" s="143">
        <f t="shared" ca="1" si="68"/>
        <v>11</v>
      </c>
      <c r="P352" s="142">
        <f t="shared" si="69"/>
        <v>45821</v>
      </c>
      <c r="Q352" s="142">
        <v>45819</v>
      </c>
      <c r="R352" s="143">
        <f t="shared" ca="1" si="70"/>
        <v>2</v>
      </c>
      <c r="S352" s="327">
        <v>45815</v>
      </c>
      <c r="T352" s="138"/>
    </row>
    <row r="353" spans="1:20" hidden="1">
      <c r="A353" s="19" t="s">
        <v>188</v>
      </c>
      <c r="B353" s="291">
        <v>146</v>
      </c>
      <c r="C353" s="12" t="s">
        <v>857</v>
      </c>
      <c r="D353" s="314" t="s">
        <v>859</v>
      </c>
      <c r="E353" s="140">
        <v>45877</v>
      </c>
      <c r="F353" s="138">
        <v>58.700000762939503</v>
      </c>
      <c r="G353" s="138">
        <v>58.7</v>
      </c>
      <c r="H353" s="138">
        <v>56</v>
      </c>
      <c r="I353" s="83">
        <f t="shared" si="66"/>
        <v>-0.23499927520747832</v>
      </c>
      <c r="J353" s="83">
        <f t="shared" si="67"/>
        <v>7.6293950002082056E-7</v>
      </c>
      <c r="K353" s="298" t="s">
        <v>108</v>
      </c>
      <c r="L353" s="142">
        <v>45809</v>
      </c>
      <c r="M353" s="142">
        <v>45798</v>
      </c>
      <c r="N353" s="142">
        <f t="shared" si="65"/>
        <v>45800</v>
      </c>
      <c r="O353" s="143">
        <f t="shared" ca="1" si="68"/>
        <v>11</v>
      </c>
      <c r="P353" s="142">
        <f t="shared" si="69"/>
        <v>45821</v>
      </c>
      <c r="Q353" s="142">
        <v>45818</v>
      </c>
      <c r="R353" s="143">
        <f t="shared" ca="1" si="70"/>
        <v>3</v>
      </c>
      <c r="S353" s="327">
        <v>45815</v>
      </c>
      <c r="T353" s="138"/>
    </row>
    <row r="354" spans="1:20" hidden="1">
      <c r="A354" s="19" t="s">
        <v>188</v>
      </c>
      <c r="B354" s="291">
        <v>146</v>
      </c>
      <c r="C354" s="12" t="s">
        <v>93</v>
      </c>
      <c r="D354" s="139" t="s">
        <v>844</v>
      </c>
      <c r="E354" s="140">
        <v>45877</v>
      </c>
      <c r="F354" s="138">
        <v>100.5</v>
      </c>
      <c r="G354" s="138">
        <v>100.5</v>
      </c>
      <c r="H354" s="138">
        <v>95</v>
      </c>
      <c r="I354" s="83">
        <f t="shared" si="66"/>
        <v>0.47499999999999432</v>
      </c>
      <c r="J354" s="83">
        <f t="shared" si="67"/>
        <v>0</v>
      </c>
      <c r="K354" s="298" t="s">
        <v>142</v>
      </c>
      <c r="L354" s="142">
        <v>45794</v>
      </c>
      <c r="M354" s="142">
        <v>45803</v>
      </c>
      <c r="N354" s="142">
        <f t="shared" si="65"/>
        <v>45805</v>
      </c>
      <c r="O354" s="143">
        <f t="shared" ca="1" si="68"/>
        <v>-9</v>
      </c>
      <c r="P354" s="142">
        <f t="shared" si="69"/>
        <v>45806</v>
      </c>
      <c r="Q354" s="142">
        <v>45820</v>
      </c>
      <c r="R354" s="143">
        <f t="shared" ca="1" si="70"/>
        <v>-14</v>
      </c>
      <c r="S354" s="138"/>
      <c r="T354" s="138"/>
    </row>
    <row r="355" spans="1:20" hidden="1">
      <c r="A355" s="19" t="s">
        <v>188</v>
      </c>
      <c r="B355" s="291">
        <v>146</v>
      </c>
      <c r="C355" s="12" t="s">
        <v>93</v>
      </c>
      <c r="D355" s="139" t="s">
        <v>843</v>
      </c>
      <c r="E355" s="140">
        <v>45877</v>
      </c>
      <c r="F355" s="138">
        <v>120.699996948242</v>
      </c>
      <c r="G355" s="138">
        <v>120.7</v>
      </c>
      <c r="H355" s="138">
        <v>115</v>
      </c>
      <c r="I355" s="83">
        <f t="shared" si="66"/>
        <v>-0.33500289917010662</v>
      </c>
      <c r="J355" s="83">
        <f t="shared" si="67"/>
        <v>-3.0517580000832822E-6</v>
      </c>
      <c r="K355" s="298" t="s">
        <v>142</v>
      </c>
      <c r="L355" s="142">
        <v>45794</v>
      </c>
      <c r="M355" s="142">
        <v>45803</v>
      </c>
      <c r="N355" s="142">
        <f t="shared" si="65"/>
        <v>45805</v>
      </c>
      <c r="O355" s="143">
        <f t="shared" ca="1" si="68"/>
        <v>-9</v>
      </c>
      <c r="P355" s="142">
        <f t="shared" si="69"/>
        <v>45806</v>
      </c>
      <c r="Q355" s="142">
        <v>45827</v>
      </c>
      <c r="R355" s="143">
        <f t="shared" ca="1" si="70"/>
        <v>-21</v>
      </c>
      <c r="S355" s="138"/>
      <c r="T355" s="138"/>
    </row>
    <row r="356" spans="1:20" hidden="1">
      <c r="A356" s="19" t="s">
        <v>188</v>
      </c>
      <c r="B356" s="291">
        <v>147</v>
      </c>
      <c r="C356" s="12" t="s">
        <v>77</v>
      </c>
      <c r="D356" s="313" t="s">
        <v>147</v>
      </c>
      <c r="E356" s="145">
        <v>45877</v>
      </c>
      <c r="F356" s="138">
        <v>498.20001220703102</v>
      </c>
      <c r="G356" s="138">
        <v>498.2</v>
      </c>
      <c r="H356" s="138">
        <v>473</v>
      </c>
      <c r="I356" s="83">
        <f t="shared" si="66"/>
        <v>0.29001159667944876</v>
      </c>
      <c r="J356" s="83">
        <f t="shared" si="67"/>
        <v>1.2207031033995008E-5</v>
      </c>
      <c r="K356" s="298" t="s">
        <v>890</v>
      </c>
      <c r="L356" s="142">
        <v>45790</v>
      </c>
      <c r="M356" s="142">
        <v>45793</v>
      </c>
      <c r="N356" s="142">
        <f t="shared" si="65"/>
        <v>45795</v>
      </c>
      <c r="O356" s="143">
        <f t="shared" ca="1" si="68"/>
        <v>-3</v>
      </c>
      <c r="P356" s="142">
        <f t="shared" si="69"/>
        <v>45802</v>
      </c>
      <c r="Q356" s="142">
        <v>45814</v>
      </c>
      <c r="R356" s="143">
        <f t="shared" ca="1" si="70"/>
        <v>-12</v>
      </c>
      <c r="S356" s="327">
        <v>45811</v>
      </c>
      <c r="T356" s="138"/>
    </row>
    <row r="357" spans="1:20" hidden="1">
      <c r="A357" s="19" t="s">
        <v>188</v>
      </c>
      <c r="B357" s="291">
        <v>147</v>
      </c>
      <c r="C357" s="12" t="s">
        <v>77</v>
      </c>
      <c r="D357" s="313" t="s">
        <v>148</v>
      </c>
      <c r="E357" s="145">
        <v>45877</v>
      </c>
      <c r="F357" s="138">
        <v>785.59997558593795</v>
      </c>
      <c r="G357" s="138">
        <v>785.6</v>
      </c>
      <c r="H357" s="138">
        <v>746</v>
      </c>
      <c r="I357" s="83">
        <f t="shared" si="66"/>
        <v>0.31997680664096606</v>
      </c>
      <c r="J357" s="83">
        <f t="shared" si="67"/>
        <v>-2.4414062067990017E-5</v>
      </c>
      <c r="K357" s="298" t="s">
        <v>890</v>
      </c>
      <c r="L357" s="142">
        <v>45790</v>
      </c>
      <c r="M357" s="142">
        <v>45793</v>
      </c>
      <c r="N357" s="142">
        <f t="shared" si="65"/>
        <v>45795</v>
      </c>
      <c r="O357" s="143">
        <f t="shared" ca="1" si="68"/>
        <v>-3</v>
      </c>
      <c r="P357" s="142">
        <f t="shared" si="69"/>
        <v>45802</v>
      </c>
      <c r="Q357" s="142">
        <v>45814</v>
      </c>
      <c r="R357" s="143">
        <f t="shared" ca="1" si="70"/>
        <v>-12</v>
      </c>
      <c r="S357" s="327">
        <v>45811</v>
      </c>
      <c r="T357" s="138"/>
    </row>
    <row r="358" spans="1:20" hidden="1">
      <c r="A358" s="19" t="s">
        <v>188</v>
      </c>
      <c r="B358" s="291">
        <v>147</v>
      </c>
      <c r="C358" s="12" t="s">
        <v>79</v>
      </c>
      <c r="D358" s="313" t="s">
        <v>147</v>
      </c>
      <c r="E358" s="145">
        <v>45877</v>
      </c>
      <c r="F358" s="138">
        <v>6.1999998092651403</v>
      </c>
      <c r="G358" s="138">
        <v>6.2</v>
      </c>
      <c r="H358" s="138">
        <v>6</v>
      </c>
      <c r="I358" s="83">
        <f t="shared" si="66"/>
        <v>-0.11000018119811728</v>
      </c>
      <c r="J358" s="83">
        <f t="shared" si="67"/>
        <v>-1.9073485990617201E-7</v>
      </c>
      <c r="K358" s="298" t="s">
        <v>890</v>
      </c>
      <c r="L358" s="142">
        <v>45790</v>
      </c>
      <c r="M358" s="142">
        <v>45793</v>
      </c>
      <c r="N358" s="142">
        <f t="shared" si="65"/>
        <v>45795</v>
      </c>
      <c r="O358" s="143">
        <f t="shared" ca="1" si="68"/>
        <v>-3</v>
      </c>
      <c r="P358" s="142">
        <f t="shared" si="69"/>
        <v>45802</v>
      </c>
      <c r="Q358" s="142">
        <v>45814</v>
      </c>
      <c r="R358" s="143">
        <f t="shared" ca="1" si="70"/>
        <v>-12</v>
      </c>
      <c r="S358" s="327">
        <v>45811</v>
      </c>
      <c r="T358" s="138"/>
    </row>
    <row r="359" spans="1:20" hidden="1">
      <c r="A359" s="19" t="s">
        <v>188</v>
      </c>
      <c r="B359" s="291">
        <v>133</v>
      </c>
      <c r="C359" s="12" t="s">
        <v>80</v>
      </c>
      <c r="D359" s="323" t="s">
        <v>146</v>
      </c>
      <c r="E359" s="140">
        <v>45863</v>
      </c>
      <c r="F359" s="138">
        <v>113.40000152587901</v>
      </c>
      <c r="G359" s="138">
        <v>113.4</v>
      </c>
      <c r="H359" s="138">
        <v>108</v>
      </c>
      <c r="I359" s="83">
        <f t="shared" si="66"/>
        <v>-0.2699985504149538</v>
      </c>
      <c r="J359" s="83">
        <f t="shared" si="67"/>
        <v>1.5258790000416411E-6</v>
      </c>
      <c r="K359" s="140" t="s">
        <v>133</v>
      </c>
      <c r="L359" s="142">
        <v>45789</v>
      </c>
      <c r="M359" s="142">
        <v>45785</v>
      </c>
      <c r="N359" s="142">
        <f t="shared" si="65"/>
        <v>45787</v>
      </c>
      <c r="O359" s="143">
        <f t="shared" ca="1" si="68"/>
        <v>4</v>
      </c>
      <c r="P359" s="142">
        <f>L359+8</f>
        <v>45797</v>
      </c>
      <c r="Q359" s="142">
        <v>45794</v>
      </c>
      <c r="R359" s="143">
        <f t="shared" ca="1" si="70"/>
        <v>3</v>
      </c>
      <c r="S359" s="84">
        <v>45797</v>
      </c>
      <c r="T359" s="138"/>
    </row>
    <row r="360" spans="1:20" hidden="1">
      <c r="A360" s="19" t="s">
        <v>188</v>
      </c>
      <c r="B360" s="291">
        <v>147</v>
      </c>
      <c r="C360" s="12" t="s">
        <v>75</v>
      </c>
      <c r="D360" s="314" t="s">
        <v>841</v>
      </c>
      <c r="E360" s="145">
        <v>45877</v>
      </c>
      <c r="F360" s="138">
        <v>92</v>
      </c>
      <c r="G360" s="138">
        <v>92</v>
      </c>
      <c r="H360" s="138">
        <v>87</v>
      </c>
      <c r="I360" s="83">
        <f t="shared" si="66"/>
        <v>0.39999999999999147</v>
      </c>
      <c r="J360" s="83">
        <f t="shared" si="67"/>
        <v>0</v>
      </c>
      <c r="K360" s="298" t="s">
        <v>108</v>
      </c>
      <c r="L360" s="142">
        <v>45809</v>
      </c>
      <c r="M360" s="142">
        <v>45798</v>
      </c>
      <c r="N360" s="142">
        <f t="shared" si="65"/>
        <v>45800</v>
      </c>
      <c r="O360" s="143">
        <f t="shared" ca="1" si="68"/>
        <v>11</v>
      </c>
      <c r="P360" s="142">
        <f t="shared" si="69"/>
        <v>45821</v>
      </c>
      <c r="Q360" s="142">
        <v>45819</v>
      </c>
      <c r="R360" s="143">
        <f t="shared" ca="1" si="70"/>
        <v>2</v>
      </c>
      <c r="S360" s="327">
        <v>45815</v>
      </c>
      <c r="T360" s="138"/>
    </row>
    <row r="361" spans="1:20" hidden="1">
      <c r="A361" s="19" t="s">
        <v>188</v>
      </c>
      <c r="B361" s="291">
        <v>147</v>
      </c>
      <c r="C361" s="12" t="s">
        <v>75</v>
      </c>
      <c r="D361" s="314" t="s">
        <v>139</v>
      </c>
      <c r="E361" s="145">
        <v>45877</v>
      </c>
      <c r="F361" s="138">
        <v>84.099998474121094</v>
      </c>
      <c r="G361" s="138">
        <v>84.1</v>
      </c>
      <c r="H361" s="138">
        <v>80</v>
      </c>
      <c r="I361" s="83">
        <f t="shared" si="66"/>
        <v>-0.10500144958496094</v>
      </c>
      <c r="J361" s="83">
        <f t="shared" si="67"/>
        <v>-1.5258789005656581E-6</v>
      </c>
      <c r="K361" s="298" t="s">
        <v>108</v>
      </c>
      <c r="L361" s="142">
        <v>45809</v>
      </c>
      <c r="M361" s="142">
        <v>45798</v>
      </c>
      <c r="N361" s="142">
        <f t="shared" si="65"/>
        <v>45800</v>
      </c>
      <c r="O361" s="143">
        <f t="shared" ca="1" si="68"/>
        <v>11</v>
      </c>
      <c r="P361" s="142">
        <f t="shared" si="69"/>
        <v>45821</v>
      </c>
      <c r="Q361" s="142">
        <v>45821</v>
      </c>
      <c r="R361" s="143">
        <f t="shared" ca="1" si="70"/>
        <v>0</v>
      </c>
      <c r="S361" s="327">
        <v>45815</v>
      </c>
      <c r="T361" s="138"/>
    </row>
    <row r="362" spans="1:20" hidden="1">
      <c r="A362" s="19" t="s">
        <v>188</v>
      </c>
      <c r="B362" s="291">
        <v>147</v>
      </c>
      <c r="C362" s="12" t="s">
        <v>75</v>
      </c>
      <c r="D362" s="314" t="s">
        <v>840</v>
      </c>
      <c r="E362" s="145">
        <v>45877</v>
      </c>
      <c r="F362" s="138">
        <v>86</v>
      </c>
      <c r="G362" s="138">
        <v>86</v>
      </c>
      <c r="H362" s="138">
        <v>82</v>
      </c>
      <c r="I362" s="83">
        <f t="shared" si="66"/>
        <v>-0.29999999999999716</v>
      </c>
      <c r="J362" s="83">
        <f t="shared" si="67"/>
        <v>0</v>
      </c>
      <c r="K362" s="298" t="s">
        <v>108</v>
      </c>
      <c r="L362" s="142">
        <v>45809</v>
      </c>
      <c r="M362" s="142">
        <v>45798</v>
      </c>
      <c r="N362" s="142">
        <f t="shared" si="65"/>
        <v>45800</v>
      </c>
      <c r="O362" s="143">
        <f t="shared" ca="1" si="68"/>
        <v>11</v>
      </c>
      <c r="P362" s="142">
        <f t="shared" si="69"/>
        <v>45821</v>
      </c>
      <c r="Q362" s="142">
        <v>45819</v>
      </c>
      <c r="R362" s="143">
        <f t="shared" ca="1" si="70"/>
        <v>2</v>
      </c>
      <c r="S362" s="327">
        <v>45815</v>
      </c>
      <c r="T362" s="138"/>
    </row>
    <row r="363" spans="1:20" hidden="1">
      <c r="A363" s="19" t="s">
        <v>188</v>
      </c>
      <c r="B363" s="291">
        <v>147</v>
      </c>
      <c r="C363" s="12" t="s">
        <v>75</v>
      </c>
      <c r="D363" s="314" t="s">
        <v>140</v>
      </c>
      <c r="E363" s="145">
        <v>45877</v>
      </c>
      <c r="F363" s="138">
        <v>54.599998474121101</v>
      </c>
      <c r="G363" s="138">
        <v>55</v>
      </c>
      <c r="H363" s="138">
        <v>52</v>
      </c>
      <c r="I363" s="83">
        <f t="shared" si="66"/>
        <v>-0.13000144958495952</v>
      </c>
      <c r="J363" s="83">
        <f t="shared" si="67"/>
        <v>-0.40000152587889914</v>
      </c>
      <c r="K363" s="298" t="s">
        <v>108</v>
      </c>
      <c r="L363" s="142">
        <v>45809</v>
      </c>
      <c r="M363" s="142">
        <v>45798</v>
      </c>
      <c r="N363" s="142">
        <f t="shared" si="65"/>
        <v>45800</v>
      </c>
      <c r="O363" s="143">
        <f t="shared" ca="1" si="68"/>
        <v>11</v>
      </c>
      <c r="P363" s="142">
        <f t="shared" si="69"/>
        <v>45821</v>
      </c>
      <c r="Q363" s="142">
        <v>45821</v>
      </c>
      <c r="R363" s="143">
        <f t="shared" ca="1" si="70"/>
        <v>0</v>
      </c>
      <c r="S363" s="327">
        <v>45815</v>
      </c>
      <c r="T363" s="138"/>
    </row>
    <row r="364" spans="1:20" hidden="1">
      <c r="A364" s="19" t="s">
        <v>188</v>
      </c>
      <c r="B364" s="291">
        <v>147</v>
      </c>
      <c r="C364" s="12" t="s">
        <v>857</v>
      </c>
      <c r="D364" s="314" t="s">
        <v>841</v>
      </c>
      <c r="E364" s="145">
        <v>45877</v>
      </c>
      <c r="F364" s="138">
        <v>105.40000152587901</v>
      </c>
      <c r="G364" s="138">
        <v>105.4</v>
      </c>
      <c r="H364" s="138">
        <v>100</v>
      </c>
      <c r="I364" s="83">
        <f t="shared" si="66"/>
        <v>0.13000144958505189</v>
      </c>
      <c r="J364" s="83">
        <f t="shared" si="67"/>
        <v>1.5258790000416411E-6</v>
      </c>
      <c r="K364" s="298" t="s">
        <v>108</v>
      </c>
      <c r="L364" s="142">
        <v>45809</v>
      </c>
      <c r="M364" s="142">
        <v>45798</v>
      </c>
      <c r="N364" s="142">
        <f t="shared" si="65"/>
        <v>45800</v>
      </c>
      <c r="O364" s="143">
        <f t="shared" ca="1" si="68"/>
        <v>11</v>
      </c>
      <c r="P364" s="142">
        <f t="shared" si="69"/>
        <v>45821</v>
      </c>
      <c r="Q364" s="142">
        <v>45819</v>
      </c>
      <c r="R364" s="143">
        <f t="shared" ca="1" si="70"/>
        <v>2</v>
      </c>
      <c r="S364" s="327">
        <v>45815</v>
      </c>
      <c r="T364" s="138"/>
    </row>
    <row r="365" spans="1:20" hidden="1">
      <c r="A365" s="19" t="s">
        <v>188</v>
      </c>
      <c r="B365" s="291">
        <v>147</v>
      </c>
      <c r="C365" s="12" t="s">
        <v>857</v>
      </c>
      <c r="D365" s="314" t="s">
        <v>139</v>
      </c>
      <c r="E365" s="145">
        <v>45877</v>
      </c>
      <c r="F365" s="138">
        <v>96.199996948242202</v>
      </c>
      <c r="G365" s="138">
        <v>96.2</v>
      </c>
      <c r="H365" s="138">
        <v>91</v>
      </c>
      <c r="I365" s="83">
        <f t="shared" si="66"/>
        <v>0.38999710083008665</v>
      </c>
      <c r="J365" s="83">
        <f t="shared" si="67"/>
        <v>-3.0517578011313162E-6</v>
      </c>
      <c r="K365" s="298" t="s">
        <v>108</v>
      </c>
      <c r="L365" s="142">
        <v>45809</v>
      </c>
      <c r="M365" s="142">
        <v>45798</v>
      </c>
      <c r="N365" s="142">
        <f t="shared" si="65"/>
        <v>45800</v>
      </c>
      <c r="O365" s="143">
        <f t="shared" ca="1" si="68"/>
        <v>11</v>
      </c>
      <c r="P365" s="142">
        <f t="shared" si="69"/>
        <v>45821</v>
      </c>
      <c r="Q365" s="142">
        <v>45821</v>
      </c>
      <c r="R365" s="143">
        <f t="shared" ca="1" si="70"/>
        <v>0</v>
      </c>
      <c r="S365" s="327">
        <v>45815</v>
      </c>
      <c r="T365" s="138"/>
    </row>
    <row r="366" spans="1:20" hidden="1">
      <c r="A366" s="19" t="s">
        <v>188</v>
      </c>
      <c r="B366" s="291">
        <v>147</v>
      </c>
      <c r="C366" s="12" t="s">
        <v>857</v>
      </c>
      <c r="D366" s="314" t="s">
        <v>840</v>
      </c>
      <c r="E366" s="145">
        <v>45877</v>
      </c>
      <c r="F366" s="138">
        <v>98.599998474121094</v>
      </c>
      <c r="G366" s="138">
        <v>98.6</v>
      </c>
      <c r="H366" s="138">
        <v>94</v>
      </c>
      <c r="I366" s="83">
        <f t="shared" si="66"/>
        <v>-0.33000144958496946</v>
      </c>
      <c r="J366" s="83">
        <f t="shared" si="67"/>
        <v>-1.5258789005656581E-6</v>
      </c>
      <c r="K366" s="298" t="s">
        <v>108</v>
      </c>
      <c r="L366" s="142">
        <v>45809</v>
      </c>
      <c r="M366" s="142">
        <v>45798</v>
      </c>
      <c r="N366" s="142">
        <f t="shared" si="65"/>
        <v>45800</v>
      </c>
      <c r="O366" s="143">
        <f t="shared" ca="1" si="68"/>
        <v>11</v>
      </c>
      <c r="P366" s="142">
        <f t="shared" si="69"/>
        <v>45821</v>
      </c>
      <c r="Q366" s="142">
        <v>45819</v>
      </c>
      <c r="R366" s="143">
        <f t="shared" ca="1" si="70"/>
        <v>2</v>
      </c>
      <c r="S366" s="327">
        <v>45815</v>
      </c>
      <c r="T366" s="138"/>
    </row>
    <row r="367" spans="1:20" hidden="1">
      <c r="A367" s="19" t="s">
        <v>188</v>
      </c>
      <c r="B367" s="291">
        <v>147</v>
      </c>
      <c r="C367" s="12" t="s">
        <v>857</v>
      </c>
      <c r="D367" s="314" t="s">
        <v>140</v>
      </c>
      <c r="E367" s="145">
        <v>45877</v>
      </c>
      <c r="F367" s="138">
        <v>62.400001525878899</v>
      </c>
      <c r="G367" s="138">
        <v>62.4</v>
      </c>
      <c r="H367" s="138">
        <v>59</v>
      </c>
      <c r="I367" s="83">
        <f t="shared" si="66"/>
        <v>0.28000144958495099</v>
      </c>
      <c r="J367" s="83">
        <f t="shared" si="67"/>
        <v>1.5258789005656581E-6</v>
      </c>
      <c r="K367" s="298" t="s">
        <v>108</v>
      </c>
      <c r="L367" s="142">
        <v>45809</v>
      </c>
      <c r="M367" s="142">
        <v>45798</v>
      </c>
      <c r="N367" s="142">
        <f t="shared" si="65"/>
        <v>45800</v>
      </c>
      <c r="O367" s="143">
        <f t="shared" ca="1" si="68"/>
        <v>11</v>
      </c>
      <c r="P367" s="142">
        <f t="shared" si="69"/>
        <v>45821</v>
      </c>
      <c r="Q367" s="142">
        <v>45821</v>
      </c>
      <c r="R367" s="143">
        <f t="shared" ca="1" si="70"/>
        <v>0</v>
      </c>
      <c r="S367" s="327">
        <v>45815</v>
      </c>
      <c r="T367" s="138"/>
    </row>
    <row r="368" spans="1:20" hidden="1">
      <c r="A368" s="19" t="s">
        <v>188</v>
      </c>
      <c r="B368" s="291">
        <v>148</v>
      </c>
      <c r="C368" s="12" t="s">
        <v>75</v>
      </c>
      <c r="D368" s="314" t="s">
        <v>841</v>
      </c>
      <c r="E368" s="240">
        <v>45877</v>
      </c>
      <c r="F368" s="138">
        <v>102.699996948242</v>
      </c>
      <c r="G368" s="138">
        <v>103</v>
      </c>
      <c r="H368" s="138">
        <v>98</v>
      </c>
      <c r="I368" s="83">
        <f t="shared" si="66"/>
        <v>-0.43500289917010093</v>
      </c>
      <c r="J368" s="83">
        <f t="shared" si="67"/>
        <v>-0.30000305175799724</v>
      </c>
      <c r="K368" s="298" t="s">
        <v>108</v>
      </c>
      <c r="L368" s="142">
        <v>45809</v>
      </c>
      <c r="M368" s="142">
        <v>45798</v>
      </c>
      <c r="N368" s="142">
        <f t="shared" si="65"/>
        <v>45800</v>
      </c>
      <c r="O368" s="143">
        <f t="shared" ca="1" si="68"/>
        <v>11</v>
      </c>
      <c r="P368" s="142">
        <f t="shared" si="69"/>
        <v>45821</v>
      </c>
      <c r="Q368" s="142">
        <v>45818</v>
      </c>
      <c r="R368" s="143">
        <f t="shared" ca="1" si="70"/>
        <v>3</v>
      </c>
      <c r="S368" s="327">
        <v>45815</v>
      </c>
      <c r="T368" s="138"/>
    </row>
    <row r="369" spans="1:20" hidden="1">
      <c r="A369" s="19" t="s">
        <v>188</v>
      </c>
      <c r="B369" s="291">
        <v>148</v>
      </c>
      <c r="C369" s="12" t="s">
        <v>75</v>
      </c>
      <c r="D369" s="314" t="s">
        <v>858</v>
      </c>
      <c r="E369" s="240">
        <v>45877</v>
      </c>
      <c r="F369" s="138">
        <v>21.799999237060501</v>
      </c>
      <c r="G369" s="138">
        <v>21.8</v>
      </c>
      <c r="H369" s="138">
        <v>21</v>
      </c>
      <c r="I369" s="83">
        <f t="shared" si="66"/>
        <v>-0.29000072479252381</v>
      </c>
      <c r="J369" s="83">
        <f t="shared" si="67"/>
        <v>-7.6293950002082056E-7</v>
      </c>
      <c r="K369" s="298" t="s">
        <v>108</v>
      </c>
      <c r="L369" s="142">
        <v>45809</v>
      </c>
      <c r="M369" s="142">
        <v>45798</v>
      </c>
      <c r="N369" s="142">
        <f t="shared" si="65"/>
        <v>45800</v>
      </c>
      <c r="O369" s="143">
        <f t="shared" ca="1" si="68"/>
        <v>11</v>
      </c>
      <c r="P369" s="142">
        <f t="shared" si="69"/>
        <v>45821</v>
      </c>
      <c r="Q369" s="142">
        <v>45818</v>
      </c>
      <c r="R369" s="143">
        <f t="shared" ca="1" si="70"/>
        <v>3</v>
      </c>
      <c r="S369" s="327">
        <v>45815</v>
      </c>
      <c r="T369" s="138"/>
    </row>
    <row r="370" spans="1:20" hidden="1">
      <c r="A370" s="19" t="s">
        <v>188</v>
      </c>
      <c r="B370" s="291">
        <v>148</v>
      </c>
      <c r="C370" s="12" t="s">
        <v>75</v>
      </c>
      <c r="D370" s="314" t="s">
        <v>139</v>
      </c>
      <c r="E370" s="240">
        <v>45877</v>
      </c>
      <c r="F370" s="138">
        <v>83.199996948242202</v>
      </c>
      <c r="G370" s="138">
        <v>83.2</v>
      </c>
      <c r="H370" s="138">
        <v>79</v>
      </c>
      <c r="I370" s="83">
        <f t="shared" si="66"/>
        <v>3.9997100830092336E-2</v>
      </c>
      <c r="J370" s="83">
        <f t="shared" si="67"/>
        <v>-3.0517578011313162E-6</v>
      </c>
      <c r="K370" s="298" t="s">
        <v>108</v>
      </c>
      <c r="L370" s="142">
        <v>45809</v>
      </c>
      <c r="M370" s="142">
        <v>45798</v>
      </c>
      <c r="N370" s="142">
        <f t="shared" si="65"/>
        <v>45800</v>
      </c>
      <c r="O370" s="143">
        <f t="shared" ca="1" si="68"/>
        <v>11</v>
      </c>
      <c r="P370" s="142">
        <f t="shared" si="69"/>
        <v>45821</v>
      </c>
      <c r="Q370" s="142">
        <v>45821</v>
      </c>
      <c r="R370" s="143">
        <f t="shared" ca="1" si="70"/>
        <v>0</v>
      </c>
      <c r="S370" s="327">
        <v>45815</v>
      </c>
      <c r="T370" s="138"/>
    </row>
    <row r="371" spans="1:20" hidden="1">
      <c r="A371" s="19" t="s">
        <v>188</v>
      </c>
      <c r="B371" s="291">
        <v>148</v>
      </c>
      <c r="C371" s="12" t="s">
        <v>75</v>
      </c>
      <c r="D371" s="314" t="s">
        <v>840</v>
      </c>
      <c r="E371" s="240">
        <v>45877</v>
      </c>
      <c r="F371" s="138">
        <v>96.199996948242202</v>
      </c>
      <c r="G371" s="138">
        <v>96</v>
      </c>
      <c r="H371" s="138">
        <v>91</v>
      </c>
      <c r="I371" s="83">
        <f t="shared" si="66"/>
        <v>0.38999710083008665</v>
      </c>
      <c r="J371" s="83">
        <f t="shared" si="67"/>
        <v>0.19999694824220171</v>
      </c>
      <c r="K371" s="298" t="s">
        <v>108</v>
      </c>
      <c r="L371" s="142">
        <v>45809</v>
      </c>
      <c r="M371" s="142">
        <v>45798</v>
      </c>
      <c r="N371" s="142">
        <f t="shared" si="65"/>
        <v>45800</v>
      </c>
      <c r="O371" s="143">
        <f t="shared" ca="1" si="68"/>
        <v>11</v>
      </c>
      <c r="P371" s="142">
        <f t="shared" si="69"/>
        <v>45821</v>
      </c>
      <c r="Q371" s="142">
        <v>45818</v>
      </c>
      <c r="R371" s="143">
        <f t="shared" ca="1" si="70"/>
        <v>3</v>
      </c>
      <c r="S371" s="327">
        <v>45815</v>
      </c>
      <c r="T371" s="138"/>
    </row>
    <row r="372" spans="1:20" hidden="1">
      <c r="A372" s="19" t="s">
        <v>188</v>
      </c>
      <c r="B372" s="291">
        <v>148</v>
      </c>
      <c r="C372" s="12" t="s">
        <v>75</v>
      </c>
      <c r="D372" s="314" t="s">
        <v>859</v>
      </c>
      <c r="E372" s="240">
        <v>45877</v>
      </c>
      <c r="F372" s="138">
        <v>13.3999996185303</v>
      </c>
      <c r="G372" s="138">
        <v>13</v>
      </c>
      <c r="H372" s="138">
        <v>13</v>
      </c>
      <c r="I372" s="83">
        <f t="shared" si="66"/>
        <v>-0.27000036239621572</v>
      </c>
      <c r="J372" s="83">
        <f t="shared" si="67"/>
        <v>0.39999961853030008</v>
      </c>
      <c r="K372" s="298" t="s">
        <v>108</v>
      </c>
      <c r="L372" s="142">
        <v>45809</v>
      </c>
      <c r="M372" s="142">
        <v>45798</v>
      </c>
      <c r="N372" s="142">
        <f t="shared" si="65"/>
        <v>45800</v>
      </c>
      <c r="O372" s="143">
        <f t="shared" ca="1" si="68"/>
        <v>11</v>
      </c>
      <c r="P372" s="142">
        <f t="shared" si="69"/>
        <v>45821</v>
      </c>
      <c r="Q372" s="142">
        <v>45818</v>
      </c>
      <c r="R372" s="143">
        <f t="shared" ca="1" si="70"/>
        <v>3</v>
      </c>
      <c r="S372" s="327">
        <v>45815</v>
      </c>
      <c r="T372" s="138"/>
    </row>
    <row r="373" spans="1:20" hidden="1">
      <c r="A373" s="19" t="s">
        <v>188</v>
      </c>
      <c r="B373" s="291">
        <v>148</v>
      </c>
      <c r="C373" s="12" t="s">
        <v>75</v>
      </c>
      <c r="D373" s="314" t="s">
        <v>140</v>
      </c>
      <c r="E373" s="240">
        <v>45877</v>
      </c>
      <c r="F373" s="138">
        <v>54</v>
      </c>
      <c r="G373" s="138">
        <v>54</v>
      </c>
      <c r="H373" s="138">
        <v>51</v>
      </c>
      <c r="I373" s="83">
        <f t="shared" si="66"/>
        <v>0.29999999999999716</v>
      </c>
      <c r="J373" s="83">
        <f t="shared" si="67"/>
        <v>0</v>
      </c>
      <c r="K373" s="298" t="s">
        <v>108</v>
      </c>
      <c r="L373" s="142">
        <v>45809</v>
      </c>
      <c r="M373" s="142">
        <v>45798</v>
      </c>
      <c r="N373" s="142">
        <f t="shared" si="65"/>
        <v>45800</v>
      </c>
      <c r="O373" s="143">
        <f t="shared" ca="1" si="68"/>
        <v>11</v>
      </c>
      <c r="P373" s="142">
        <f t="shared" si="69"/>
        <v>45821</v>
      </c>
      <c r="Q373" s="142">
        <v>45821</v>
      </c>
      <c r="R373" s="143">
        <f t="shared" ca="1" si="70"/>
        <v>0</v>
      </c>
      <c r="S373" s="327">
        <v>45815</v>
      </c>
      <c r="T373" s="138"/>
    </row>
    <row r="374" spans="1:20" hidden="1">
      <c r="A374" s="19" t="s">
        <v>188</v>
      </c>
      <c r="B374" s="291">
        <v>148</v>
      </c>
      <c r="C374" s="12" t="s">
        <v>857</v>
      </c>
      <c r="D374" s="314" t="s">
        <v>841</v>
      </c>
      <c r="E374" s="240">
        <v>45877</v>
      </c>
      <c r="F374" s="138">
        <v>117.800003051758</v>
      </c>
      <c r="G374" s="138">
        <v>118</v>
      </c>
      <c r="H374" s="138">
        <v>112</v>
      </c>
      <c r="I374" s="83">
        <f t="shared" si="66"/>
        <v>-8.9997100829904753E-2</v>
      </c>
      <c r="J374" s="83">
        <f t="shared" si="67"/>
        <v>-0.19999694824200276</v>
      </c>
      <c r="K374" s="298" t="s">
        <v>108</v>
      </c>
      <c r="L374" s="142">
        <v>45809</v>
      </c>
      <c r="M374" s="142">
        <v>45798</v>
      </c>
      <c r="N374" s="142">
        <f t="shared" si="65"/>
        <v>45800</v>
      </c>
      <c r="O374" s="143">
        <f t="shared" ca="1" si="68"/>
        <v>11</v>
      </c>
      <c r="P374" s="142">
        <f t="shared" si="69"/>
        <v>45821</v>
      </c>
      <c r="Q374" s="142">
        <v>45818</v>
      </c>
      <c r="R374" s="143">
        <f t="shared" ca="1" si="70"/>
        <v>3</v>
      </c>
      <c r="S374" s="327">
        <v>45815</v>
      </c>
      <c r="T374" s="138"/>
    </row>
    <row r="375" spans="1:20" hidden="1">
      <c r="A375" s="19" t="s">
        <v>188</v>
      </c>
      <c r="B375" s="291">
        <v>148</v>
      </c>
      <c r="C375" s="12" t="s">
        <v>857</v>
      </c>
      <c r="D375" s="314" t="s">
        <v>858</v>
      </c>
      <c r="E375" s="240">
        <v>45877</v>
      </c>
      <c r="F375" s="138">
        <v>25</v>
      </c>
      <c r="G375" s="138">
        <v>25</v>
      </c>
      <c r="H375" s="138">
        <v>24</v>
      </c>
      <c r="I375" s="83">
        <f t="shared" si="66"/>
        <v>-0.25</v>
      </c>
      <c r="J375" s="83">
        <f t="shared" si="67"/>
        <v>0</v>
      </c>
      <c r="K375" s="298" t="s">
        <v>108</v>
      </c>
      <c r="L375" s="142">
        <v>45809</v>
      </c>
      <c r="M375" s="142">
        <v>45798</v>
      </c>
      <c r="N375" s="142">
        <f t="shared" si="65"/>
        <v>45800</v>
      </c>
      <c r="O375" s="143">
        <f t="shared" ca="1" si="68"/>
        <v>11</v>
      </c>
      <c r="P375" s="142">
        <f t="shared" si="69"/>
        <v>45821</v>
      </c>
      <c r="Q375" s="142">
        <v>45818</v>
      </c>
      <c r="R375" s="143">
        <f t="shared" ca="1" si="70"/>
        <v>3</v>
      </c>
      <c r="S375" s="327">
        <v>45815</v>
      </c>
      <c r="T375" s="138"/>
    </row>
    <row r="376" spans="1:20" hidden="1">
      <c r="A376" s="19" t="s">
        <v>188</v>
      </c>
      <c r="B376" s="291">
        <v>148</v>
      </c>
      <c r="C376" s="12" t="s">
        <v>857</v>
      </c>
      <c r="D376" s="314" t="s">
        <v>139</v>
      </c>
      <c r="E376" s="240">
        <v>45877</v>
      </c>
      <c r="F376" s="138">
        <v>95</v>
      </c>
      <c r="G376" s="138">
        <v>95</v>
      </c>
      <c r="H376" s="138">
        <v>90</v>
      </c>
      <c r="I376" s="83">
        <f t="shared" si="66"/>
        <v>0.25</v>
      </c>
      <c r="J376" s="83">
        <f t="shared" si="67"/>
        <v>0</v>
      </c>
      <c r="K376" s="298" t="s">
        <v>108</v>
      </c>
      <c r="L376" s="142">
        <v>45809</v>
      </c>
      <c r="M376" s="142">
        <v>45798</v>
      </c>
      <c r="N376" s="142">
        <f t="shared" si="65"/>
        <v>45800</v>
      </c>
      <c r="O376" s="143">
        <f t="shared" ca="1" si="68"/>
        <v>11</v>
      </c>
      <c r="P376" s="142">
        <f t="shared" si="69"/>
        <v>45821</v>
      </c>
      <c r="Q376" s="142">
        <v>45821</v>
      </c>
      <c r="R376" s="143">
        <f t="shared" ca="1" si="70"/>
        <v>0</v>
      </c>
      <c r="S376" s="327">
        <v>45815</v>
      </c>
      <c r="T376" s="138"/>
    </row>
    <row r="377" spans="1:20" hidden="1">
      <c r="A377" s="19" t="s">
        <v>188</v>
      </c>
      <c r="B377" s="291">
        <v>148</v>
      </c>
      <c r="C377" s="12" t="s">
        <v>857</v>
      </c>
      <c r="D377" s="314" t="s">
        <v>840</v>
      </c>
      <c r="E377" s="240">
        <v>45877</v>
      </c>
      <c r="F377" s="138">
        <v>110.199996948242</v>
      </c>
      <c r="G377" s="138">
        <v>110.2</v>
      </c>
      <c r="H377" s="138">
        <v>105</v>
      </c>
      <c r="I377" s="83">
        <f t="shared" si="66"/>
        <v>-0.31000289917010093</v>
      </c>
      <c r="J377" s="83">
        <f t="shared" si="67"/>
        <v>-3.0517580000832822E-6</v>
      </c>
      <c r="K377" s="298" t="s">
        <v>108</v>
      </c>
      <c r="L377" s="142">
        <v>45809</v>
      </c>
      <c r="M377" s="142">
        <v>45798</v>
      </c>
      <c r="N377" s="142">
        <f t="shared" si="65"/>
        <v>45800</v>
      </c>
      <c r="O377" s="143">
        <f t="shared" ca="1" si="68"/>
        <v>11</v>
      </c>
      <c r="P377" s="142">
        <f t="shared" si="69"/>
        <v>45821</v>
      </c>
      <c r="Q377" s="142">
        <v>45818</v>
      </c>
      <c r="R377" s="143">
        <f t="shared" ca="1" si="70"/>
        <v>3</v>
      </c>
      <c r="S377" s="327">
        <v>45815</v>
      </c>
      <c r="T377" s="138"/>
    </row>
    <row r="378" spans="1:20" hidden="1">
      <c r="A378" s="19" t="s">
        <v>188</v>
      </c>
      <c r="B378" s="291">
        <v>148</v>
      </c>
      <c r="C378" s="12" t="s">
        <v>857</v>
      </c>
      <c r="D378" s="314" t="s">
        <v>859</v>
      </c>
      <c r="E378" s="240">
        <v>45877</v>
      </c>
      <c r="F378" s="138">
        <v>15.300000190734901</v>
      </c>
      <c r="G378" s="138">
        <v>15.3</v>
      </c>
      <c r="H378" s="138">
        <v>15</v>
      </c>
      <c r="I378" s="83">
        <f t="shared" si="66"/>
        <v>-0.46499981880184471</v>
      </c>
      <c r="J378" s="83">
        <f t="shared" si="67"/>
        <v>1.9073489987420089E-7</v>
      </c>
      <c r="K378" s="298" t="s">
        <v>108</v>
      </c>
      <c r="L378" s="142">
        <v>45809</v>
      </c>
      <c r="M378" s="142">
        <v>45798</v>
      </c>
      <c r="N378" s="142">
        <f t="shared" si="65"/>
        <v>45800</v>
      </c>
      <c r="O378" s="143">
        <f t="shared" ca="1" si="68"/>
        <v>11</v>
      </c>
      <c r="P378" s="142">
        <f t="shared" si="69"/>
        <v>45821</v>
      </c>
      <c r="Q378" s="142">
        <v>45818</v>
      </c>
      <c r="R378" s="143">
        <f t="shared" ca="1" si="70"/>
        <v>3</v>
      </c>
      <c r="S378" s="327">
        <v>45815</v>
      </c>
      <c r="T378" s="138"/>
    </row>
    <row r="379" spans="1:20" hidden="1">
      <c r="A379" s="19" t="s">
        <v>188</v>
      </c>
      <c r="B379" s="291">
        <v>148</v>
      </c>
      <c r="C379" s="12" t="s">
        <v>857</v>
      </c>
      <c r="D379" s="314" t="s">
        <v>140</v>
      </c>
      <c r="E379" s="240">
        <v>45877</v>
      </c>
      <c r="F379" s="138">
        <v>61.700000762939503</v>
      </c>
      <c r="G379" s="138">
        <v>63</v>
      </c>
      <c r="H379" s="138">
        <v>59</v>
      </c>
      <c r="I379" s="83">
        <f t="shared" si="66"/>
        <v>-0.3849992752074769</v>
      </c>
      <c r="J379" s="83">
        <f t="shared" si="67"/>
        <v>-1.2999992370604971</v>
      </c>
      <c r="K379" s="298" t="s">
        <v>108</v>
      </c>
      <c r="L379" s="142">
        <v>45809</v>
      </c>
      <c r="M379" s="142">
        <v>45798</v>
      </c>
      <c r="N379" s="142">
        <f t="shared" si="65"/>
        <v>45800</v>
      </c>
      <c r="O379" s="143">
        <f t="shared" ca="1" si="68"/>
        <v>11</v>
      </c>
      <c r="P379" s="142">
        <f t="shared" si="69"/>
        <v>45821</v>
      </c>
      <c r="Q379" s="142">
        <v>45821</v>
      </c>
      <c r="R379" s="143">
        <f t="shared" ca="1" si="70"/>
        <v>0</v>
      </c>
      <c r="S379" s="327">
        <v>45815</v>
      </c>
      <c r="T379" s="138"/>
    </row>
    <row r="380" spans="1:20" hidden="1">
      <c r="A380" s="19" t="s">
        <v>188</v>
      </c>
      <c r="B380" s="291">
        <v>135</v>
      </c>
      <c r="C380" s="12" t="s">
        <v>80</v>
      </c>
      <c r="D380" s="323" t="s">
        <v>146</v>
      </c>
      <c r="E380" s="240">
        <v>45863</v>
      </c>
      <c r="F380" s="138">
        <v>1045.80004882813</v>
      </c>
      <c r="G380" s="138">
        <v>1045.8</v>
      </c>
      <c r="H380" s="138">
        <v>994</v>
      </c>
      <c r="I380" s="83">
        <f t="shared" si="66"/>
        <v>-0.48995361327649789</v>
      </c>
      <c r="J380" s="83">
        <f t="shared" si="67"/>
        <v>4.8828130047695595E-5</v>
      </c>
      <c r="K380" s="140" t="s">
        <v>133</v>
      </c>
      <c r="L380" s="142">
        <v>45789</v>
      </c>
      <c r="M380" s="142">
        <v>45785</v>
      </c>
      <c r="N380" s="142">
        <f t="shared" si="65"/>
        <v>45787</v>
      </c>
      <c r="O380" s="143">
        <f t="shared" ca="1" si="68"/>
        <v>4</v>
      </c>
      <c r="P380" s="142">
        <f>L380+8</f>
        <v>45797</v>
      </c>
      <c r="Q380" s="142">
        <v>45794</v>
      </c>
      <c r="R380" s="143">
        <f t="shared" ca="1" si="70"/>
        <v>3</v>
      </c>
      <c r="S380" s="84">
        <v>45797</v>
      </c>
      <c r="T380" s="138"/>
    </row>
    <row r="381" spans="1:20" hidden="1">
      <c r="A381" s="19" t="s">
        <v>188</v>
      </c>
      <c r="B381" s="291">
        <v>149</v>
      </c>
      <c r="C381" s="12" t="s">
        <v>75</v>
      </c>
      <c r="D381" s="314" t="s">
        <v>841</v>
      </c>
      <c r="E381" s="240">
        <v>45885</v>
      </c>
      <c r="F381" s="138">
        <v>50.299999237060497</v>
      </c>
      <c r="G381" s="138">
        <v>50</v>
      </c>
      <c r="H381" s="138">
        <v>48</v>
      </c>
      <c r="I381" s="83">
        <f t="shared" si="66"/>
        <v>-0.21500072479253163</v>
      </c>
      <c r="J381" s="83">
        <f t="shared" si="67"/>
        <v>0.29999923706049714</v>
      </c>
      <c r="K381" s="298" t="s">
        <v>108</v>
      </c>
      <c r="L381" s="142">
        <v>45809</v>
      </c>
      <c r="M381" s="142">
        <v>45798</v>
      </c>
      <c r="N381" s="142">
        <f t="shared" si="65"/>
        <v>45800</v>
      </c>
      <c r="O381" s="143">
        <f t="shared" ca="1" si="68"/>
        <v>11</v>
      </c>
      <c r="P381" s="142">
        <f t="shared" si="69"/>
        <v>45821</v>
      </c>
      <c r="Q381" s="142">
        <v>45818</v>
      </c>
      <c r="R381" s="143">
        <f t="shared" ca="1" si="70"/>
        <v>3</v>
      </c>
      <c r="S381" s="327">
        <v>45815</v>
      </c>
      <c r="T381" s="138"/>
    </row>
    <row r="382" spans="1:20" hidden="1">
      <c r="A382" s="19" t="s">
        <v>188</v>
      </c>
      <c r="B382" s="291">
        <v>149</v>
      </c>
      <c r="C382" s="12" t="s">
        <v>75</v>
      </c>
      <c r="D382" s="314" t="s">
        <v>858</v>
      </c>
      <c r="E382" s="240">
        <v>45885</v>
      </c>
      <c r="F382" s="138">
        <v>83.900001525878906</v>
      </c>
      <c r="G382" s="138">
        <v>84</v>
      </c>
      <c r="H382" s="138">
        <v>80</v>
      </c>
      <c r="I382" s="83">
        <f t="shared" si="66"/>
        <v>-0.29499855041504475</v>
      </c>
      <c r="J382" s="83">
        <f t="shared" si="67"/>
        <v>-9.999847412109375E-2</v>
      </c>
      <c r="K382" s="298" t="s">
        <v>108</v>
      </c>
      <c r="L382" s="142">
        <v>45809</v>
      </c>
      <c r="M382" s="142">
        <v>45798</v>
      </c>
      <c r="N382" s="142">
        <f t="shared" si="65"/>
        <v>45800</v>
      </c>
      <c r="O382" s="143">
        <f t="shared" ca="1" si="68"/>
        <v>11</v>
      </c>
      <c r="P382" s="142">
        <f t="shared" si="69"/>
        <v>45821</v>
      </c>
      <c r="Q382" s="142">
        <v>45818</v>
      </c>
      <c r="R382" s="143">
        <f t="shared" ca="1" si="70"/>
        <v>3</v>
      </c>
      <c r="S382" s="327">
        <v>45815</v>
      </c>
      <c r="T382" s="138"/>
    </row>
    <row r="383" spans="1:20" hidden="1">
      <c r="A383" s="19" t="s">
        <v>188</v>
      </c>
      <c r="B383" s="291">
        <v>149</v>
      </c>
      <c r="C383" s="12" t="s">
        <v>75</v>
      </c>
      <c r="D383" s="314" t="s">
        <v>840</v>
      </c>
      <c r="E383" s="240">
        <v>45885</v>
      </c>
      <c r="F383" s="138">
        <v>47.099998474121101</v>
      </c>
      <c r="G383" s="138">
        <v>47</v>
      </c>
      <c r="H383" s="138">
        <v>45</v>
      </c>
      <c r="I383" s="83">
        <f t="shared" si="66"/>
        <v>-0.25500144958495952</v>
      </c>
      <c r="J383" s="83">
        <f t="shared" si="67"/>
        <v>9.9998474121100855E-2</v>
      </c>
      <c r="K383" s="298" t="s">
        <v>108</v>
      </c>
      <c r="L383" s="142">
        <v>45809</v>
      </c>
      <c r="M383" s="142">
        <v>45798</v>
      </c>
      <c r="N383" s="142">
        <f t="shared" si="65"/>
        <v>45800</v>
      </c>
      <c r="O383" s="143">
        <f t="shared" ca="1" si="68"/>
        <v>11</v>
      </c>
      <c r="P383" s="142">
        <f t="shared" si="69"/>
        <v>45821</v>
      </c>
      <c r="Q383" s="142">
        <v>45818</v>
      </c>
      <c r="R383" s="143">
        <f t="shared" ca="1" si="70"/>
        <v>3</v>
      </c>
      <c r="S383" s="327">
        <v>45815</v>
      </c>
      <c r="T383" s="138"/>
    </row>
    <row r="384" spans="1:20" hidden="1">
      <c r="A384" s="19" t="s">
        <v>188</v>
      </c>
      <c r="B384" s="291">
        <v>149</v>
      </c>
      <c r="C384" s="12" t="s">
        <v>75</v>
      </c>
      <c r="D384" s="314" t="s">
        <v>859</v>
      </c>
      <c r="E384" s="240">
        <v>45885</v>
      </c>
      <c r="F384" s="138">
        <v>51.400001525878899</v>
      </c>
      <c r="G384" s="138">
        <v>51</v>
      </c>
      <c r="H384" s="138">
        <v>49</v>
      </c>
      <c r="I384" s="83">
        <f t="shared" si="66"/>
        <v>-0.16999855041504475</v>
      </c>
      <c r="J384" s="83">
        <f t="shared" si="67"/>
        <v>0.40000152587889914</v>
      </c>
      <c r="K384" s="298" t="s">
        <v>108</v>
      </c>
      <c r="L384" s="142">
        <v>45809</v>
      </c>
      <c r="M384" s="142">
        <v>45798</v>
      </c>
      <c r="N384" s="142">
        <f t="shared" si="65"/>
        <v>45800</v>
      </c>
      <c r="O384" s="143">
        <f t="shared" ca="1" si="68"/>
        <v>11</v>
      </c>
      <c r="P384" s="142">
        <f t="shared" si="69"/>
        <v>45821</v>
      </c>
      <c r="Q384" s="142">
        <v>45818</v>
      </c>
      <c r="R384" s="143">
        <f t="shared" ca="1" si="70"/>
        <v>3</v>
      </c>
      <c r="S384" s="327">
        <v>45815</v>
      </c>
      <c r="T384" s="138"/>
    </row>
    <row r="385" spans="1:20" hidden="1">
      <c r="A385" s="19" t="s">
        <v>188</v>
      </c>
      <c r="B385" s="291">
        <v>149</v>
      </c>
      <c r="C385" s="12" t="s">
        <v>857</v>
      </c>
      <c r="D385" s="314" t="s">
        <v>841</v>
      </c>
      <c r="E385" s="240">
        <v>45885</v>
      </c>
      <c r="F385" s="138">
        <v>57.700000762939503</v>
      </c>
      <c r="G385" s="138">
        <v>58</v>
      </c>
      <c r="H385" s="138">
        <v>55</v>
      </c>
      <c r="I385" s="83">
        <f t="shared" si="66"/>
        <v>-0.18499927520747406</v>
      </c>
      <c r="J385" s="83">
        <f t="shared" si="67"/>
        <v>-0.29999923706049714</v>
      </c>
      <c r="K385" s="298" t="s">
        <v>108</v>
      </c>
      <c r="L385" s="142">
        <v>45809</v>
      </c>
      <c r="M385" s="142">
        <v>45798</v>
      </c>
      <c r="N385" s="142">
        <f t="shared" si="65"/>
        <v>45800</v>
      </c>
      <c r="O385" s="143">
        <f t="shared" ca="1" si="68"/>
        <v>11</v>
      </c>
      <c r="P385" s="142">
        <f t="shared" si="69"/>
        <v>45821</v>
      </c>
      <c r="Q385" s="142">
        <v>45818</v>
      </c>
      <c r="R385" s="143">
        <f t="shared" ca="1" si="70"/>
        <v>3</v>
      </c>
      <c r="S385" s="327">
        <v>45815</v>
      </c>
      <c r="T385" s="138"/>
    </row>
    <row r="386" spans="1:20" hidden="1">
      <c r="A386" s="19" t="s">
        <v>188</v>
      </c>
      <c r="B386" s="291">
        <v>149</v>
      </c>
      <c r="C386" s="12" t="s">
        <v>857</v>
      </c>
      <c r="D386" s="314" t="s">
        <v>858</v>
      </c>
      <c r="E386" s="240">
        <v>45885</v>
      </c>
      <c r="F386" s="138">
        <v>96.199996948242202</v>
      </c>
      <c r="G386" s="138">
        <v>96</v>
      </c>
      <c r="H386" s="138">
        <v>91</v>
      </c>
      <c r="I386" s="83">
        <f t="shared" si="66"/>
        <v>0.38999710083008665</v>
      </c>
      <c r="J386" s="83">
        <f t="shared" si="67"/>
        <v>0.19999694824220171</v>
      </c>
      <c r="K386" s="298" t="s">
        <v>108</v>
      </c>
      <c r="L386" s="142">
        <v>45809</v>
      </c>
      <c r="M386" s="142">
        <v>45798</v>
      </c>
      <c r="N386" s="142">
        <f t="shared" si="65"/>
        <v>45800</v>
      </c>
      <c r="O386" s="143">
        <f t="shared" ca="1" si="68"/>
        <v>11</v>
      </c>
      <c r="P386" s="142">
        <f t="shared" si="69"/>
        <v>45821</v>
      </c>
      <c r="Q386" s="142">
        <v>45818</v>
      </c>
      <c r="R386" s="143">
        <f t="shared" ca="1" si="70"/>
        <v>3</v>
      </c>
      <c r="S386" s="327">
        <v>45815</v>
      </c>
      <c r="T386" s="138"/>
    </row>
    <row r="387" spans="1:20" hidden="1">
      <c r="A387" s="19" t="s">
        <v>188</v>
      </c>
      <c r="B387" s="291">
        <v>149</v>
      </c>
      <c r="C387" s="12" t="s">
        <v>857</v>
      </c>
      <c r="D387" s="314" t="s">
        <v>840</v>
      </c>
      <c r="E387" s="240">
        <v>45885</v>
      </c>
      <c r="F387" s="138">
        <v>54</v>
      </c>
      <c r="G387" s="138">
        <v>54</v>
      </c>
      <c r="H387" s="138">
        <v>51</v>
      </c>
      <c r="I387" s="83">
        <f t="shared" si="66"/>
        <v>0.29999999999999716</v>
      </c>
      <c r="J387" s="83">
        <f t="shared" si="67"/>
        <v>0</v>
      </c>
      <c r="K387" s="298" t="s">
        <v>108</v>
      </c>
      <c r="L387" s="142">
        <v>45809</v>
      </c>
      <c r="M387" s="142">
        <v>45798</v>
      </c>
      <c r="N387" s="142">
        <f t="shared" si="65"/>
        <v>45800</v>
      </c>
      <c r="O387" s="143">
        <f t="shared" ca="1" si="68"/>
        <v>11</v>
      </c>
      <c r="P387" s="142">
        <f t="shared" si="69"/>
        <v>45821</v>
      </c>
      <c r="Q387" s="142">
        <v>45818</v>
      </c>
      <c r="R387" s="143">
        <f t="shared" ca="1" si="70"/>
        <v>3</v>
      </c>
      <c r="S387" s="327">
        <v>45815</v>
      </c>
      <c r="T387" s="138"/>
    </row>
    <row r="388" spans="1:20" hidden="1">
      <c r="A388" s="19" t="s">
        <v>188</v>
      </c>
      <c r="B388" s="291">
        <v>149</v>
      </c>
      <c r="C388" s="12" t="s">
        <v>857</v>
      </c>
      <c r="D388" s="314" t="s">
        <v>859</v>
      </c>
      <c r="E388" s="240">
        <v>45885</v>
      </c>
      <c r="F388" s="138">
        <v>59</v>
      </c>
      <c r="G388" s="138">
        <v>59</v>
      </c>
      <c r="H388" s="138">
        <v>56</v>
      </c>
      <c r="I388" s="83">
        <f t="shared" si="66"/>
        <v>4.9999999999997158E-2</v>
      </c>
      <c r="J388" s="83">
        <f t="shared" si="67"/>
        <v>0</v>
      </c>
      <c r="K388" s="298" t="s">
        <v>108</v>
      </c>
      <c r="L388" s="142">
        <v>45809</v>
      </c>
      <c r="M388" s="142">
        <v>45798</v>
      </c>
      <c r="N388" s="142">
        <f t="shared" si="65"/>
        <v>45800</v>
      </c>
      <c r="O388" s="143">
        <f t="shared" ca="1" si="68"/>
        <v>11</v>
      </c>
      <c r="P388" s="142">
        <f t="shared" si="69"/>
        <v>45821</v>
      </c>
      <c r="Q388" s="142">
        <v>45818</v>
      </c>
      <c r="R388" s="143">
        <f t="shared" ca="1" si="70"/>
        <v>3</v>
      </c>
      <c r="S388" s="327">
        <v>45815</v>
      </c>
      <c r="T388" s="138"/>
    </row>
    <row r="389" spans="1:20" hidden="1">
      <c r="A389" s="19" t="s">
        <v>188</v>
      </c>
      <c r="B389" s="291">
        <v>150</v>
      </c>
      <c r="C389" s="12" t="s">
        <v>77</v>
      </c>
      <c r="D389" s="313" t="s">
        <v>149</v>
      </c>
      <c r="E389" s="240">
        <v>45891</v>
      </c>
      <c r="F389" s="138">
        <v>175.10000610351599</v>
      </c>
      <c r="G389" s="138">
        <v>175.1</v>
      </c>
      <c r="H389" s="138">
        <v>166</v>
      </c>
      <c r="I389" s="83">
        <f t="shared" si="66"/>
        <v>0.34500579834019618</v>
      </c>
      <c r="J389" s="83">
        <f t="shared" si="67"/>
        <v>6.1035160001665645E-6</v>
      </c>
      <c r="K389" s="298" t="s">
        <v>890</v>
      </c>
      <c r="L389" s="142">
        <v>45790</v>
      </c>
      <c r="M389" s="142">
        <v>45792</v>
      </c>
      <c r="N389" s="142">
        <f t="shared" si="65"/>
        <v>45794</v>
      </c>
      <c r="O389" s="143">
        <f t="shared" ca="1" si="68"/>
        <v>-2</v>
      </c>
      <c r="P389" s="142">
        <f t="shared" si="69"/>
        <v>45802</v>
      </c>
      <c r="Q389" s="142">
        <v>45820</v>
      </c>
      <c r="R389" s="143">
        <f t="shared" ca="1" si="70"/>
        <v>-18</v>
      </c>
      <c r="S389" s="327">
        <v>45808</v>
      </c>
      <c r="T389" s="138"/>
    </row>
    <row r="390" spans="1:20" hidden="1">
      <c r="A390" s="19" t="s">
        <v>188</v>
      </c>
      <c r="B390" s="291">
        <v>150</v>
      </c>
      <c r="C390" s="12" t="s">
        <v>77</v>
      </c>
      <c r="D390" s="313" t="s">
        <v>150</v>
      </c>
      <c r="E390" s="240">
        <v>45891</v>
      </c>
      <c r="F390" s="138">
        <v>175.10000610351599</v>
      </c>
      <c r="G390" s="138">
        <v>175.1</v>
      </c>
      <c r="H390" s="138">
        <v>166</v>
      </c>
      <c r="I390" s="83">
        <f t="shared" si="66"/>
        <v>0.34500579834019618</v>
      </c>
      <c r="J390" s="83">
        <f t="shared" si="67"/>
        <v>6.1035160001665645E-6</v>
      </c>
      <c r="K390" s="298" t="s">
        <v>890</v>
      </c>
      <c r="L390" s="142">
        <v>45790</v>
      </c>
      <c r="M390" s="142">
        <v>45792</v>
      </c>
      <c r="N390" s="142">
        <f t="shared" si="65"/>
        <v>45794</v>
      </c>
      <c r="O390" s="143">
        <f t="shared" ca="1" si="68"/>
        <v>-2</v>
      </c>
      <c r="P390" s="142">
        <f t="shared" si="69"/>
        <v>45802</v>
      </c>
      <c r="Q390" s="142">
        <v>45820</v>
      </c>
      <c r="R390" s="143">
        <f t="shared" ca="1" si="70"/>
        <v>-18</v>
      </c>
      <c r="S390" s="327">
        <v>45808</v>
      </c>
      <c r="T390" s="138"/>
    </row>
    <row r="391" spans="1:20" hidden="1">
      <c r="A391" s="19" t="s">
        <v>188</v>
      </c>
      <c r="B391" s="291">
        <v>150</v>
      </c>
      <c r="C391" s="12" t="s">
        <v>77</v>
      </c>
      <c r="D391" s="313" t="s">
        <v>151</v>
      </c>
      <c r="E391" s="240">
        <v>45891</v>
      </c>
      <c r="F391" s="138">
        <v>61.799999237060497</v>
      </c>
      <c r="G391" s="138">
        <v>61.8</v>
      </c>
      <c r="H391" s="138">
        <v>59</v>
      </c>
      <c r="I391" s="83">
        <f t="shared" si="66"/>
        <v>-0.29000072479252736</v>
      </c>
      <c r="J391" s="83">
        <f t="shared" si="67"/>
        <v>-7.6293950002082056E-7</v>
      </c>
      <c r="K391" s="298" t="s">
        <v>890</v>
      </c>
      <c r="L391" s="142">
        <v>45790</v>
      </c>
      <c r="M391" s="142">
        <v>45792</v>
      </c>
      <c r="N391" s="142">
        <f t="shared" si="65"/>
        <v>45794</v>
      </c>
      <c r="O391" s="143">
        <f t="shared" ca="1" si="68"/>
        <v>-2</v>
      </c>
      <c r="P391" s="142">
        <f t="shared" si="69"/>
        <v>45802</v>
      </c>
      <c r="Q391" s="142">
        <v>45820</v>
      </c>
      <c r="R391" s="143">
        <f t="shared" ca="1" si="70"/>
        <v>-18</v>
      </c>
      <c r="S391" s="327">
        <v>45808</v>
      </c>
      <c r="T391" s="138"/>
    </row>
    <row r="392" spans="1:20" hidden="1">
      <c r="A392" s="19" t="s">
        <v>188</v>
      </c>
      <c r="B392" s="291">
        <v>150</v>
      </c>
      <c r="C392" s="12" t="s">
        <v>77</v>
      </c>
      <c r="D392" s="313" t="s">
        <v>152</v>
      </c>
      <c r="E392" s="240">
        <v>45891</v>
      </c>
      <c r="F392" s="138">
        <v>30.899999618530298</v>
      </c>
      <c r="G392" s="138">
        <v>30.9</v>
      </c>
      <c r="H392" s="138">
        <v>29</v>
      </c>
      <c r="I392" s="83">
        <f t="shared" si="66"/>
        <v>0.3549996376037825</v>
      </c>
      <c r="J392" s="83">
        <f t="shared" si="67"/>
        <v>-3.8146970027241878E-7</v>
      </c>
      <c r="K392" s="298" t="s">
        <v>890</v>
      </c>
      <c r="L392" s="142">
        <v>45790</v>
      </c>
      <c r="M392" s="142">
        <v>45792</v>
      </c>
      <c r="N392" s="142">
        <f t="shared" si="65"/>
        <v>45794</v>
      </c>
      <c r="O392" s="143">
        <f t="shared" ca="1" si="68"/>
        <v>-2</v>
      </c>
      <c r="P392" s="142">
        <f t="shared" si="69"/>
        <v>45802</v>
      </c>
      <c r="Q392" s="142">
        <v>45820</v>
      </c>
      <c r="R392" s="143">
        <f t="shared" ca="1" si="70"/>
        <v>-18</v>
      </c>
      <c r="S392" s="327">
        <v>45808</v>
      </c>
      <c r="T392" s="138"/>
    </row>
    <row r="393" spans="1:20" hidden="1">
      <c r="A393" s="19" t="s">
        <v>188</v>
      </c>
      <c r="B393" s="291">
        <v>150</v>
      </c>
      <c r="C393" s="12" t="s">
        <v>77</v>
      </c>
      <c r="D393" s="313" t="s">
        <v>153</v>
      </c>
      <c r="E393" s="240">
        <v>45891</v>
      </c>
      <c r="F393" s="138">
        <v>175.10000610351599</v>
      </c>
      <c r="G393" s="138">
        <v>175.1</v>
      </c>
      <c r="H393" s="138">
        <v>166</v>
      </c>
      <c r="I393" s="83">
        <f t="shared" si="66"/>
        <v>0.34500579834019618</v>
      </c>
      <c r="J393" s="83">
        <f t="shared" si="67"/>
        <v>6.1035160001665645E-6</v>
      </c>
      <c r="K393" s="298" t="s">
        <v>890</v>
      </c>
      <c r="L393" s="142">
        <v>45790</v>
      </c>
      <c r="M393" s="142">
        <v>45792</v>
      </c>
      <c r="N393" s="142">
        <f t="shared" ref="N393:N456" si="71">M393+2</f>
        <v>45794</v>
      </c>
      <c r="O393" s="143">
        <f t="shared" ca="1" si="68"/>
        <v>-2</v>
      </c>
      <c r="P393" s="142">
        <f t="shared" si="69"/>
        <v>45802</v>
      </c>
      <c r="Q393" s="142">
        <v>45820</v>
      </c>
      <c r="R393" s="143">
        <f t="shared" ca="1" si="70"/>
        <v>-18</v>
      </c>
      <c r="S393" s="327">
        <v>45808</v>
      </c>
      <c r="T393" s="138"/>
    </row>
    <row r="394" spans="1:20" hidden="1">
      <c r="A394" s="19" t="s">
        <v>188</v>
      </c>
      <c r="B394" s="291">
        <v>150</v>
      </c>
      <c r="C394" s="12" t="s">
        <v>82</v>
      </c>
      <c r="D394" s="313" t="s">
        <v>141</v>
      </c>
      <c r="E394" s="240">
        <v>45891</v>
      </c>
      <c r="F394" s="138">
        <v>61.099998474121101</v>
      </c>
      <c r="G394" s="138">
        <v>61.1</v>
      </c>
      <c r="H394" s="138">
        <v>58</v>
      </c>
      <c r="I394" s="83">
        <f t="shared" si="66"/>
        <v>4.4998550415044747E-2</v>
      </c>
      <c r="J394" s="83">
        <f t="shared" si="67"/>
        <v>-1.5258789005656581E-6</v>
      </c>
      <c r="K394" s="298" t="s">
        <v>900</v>
      </c>
      <c r="L394" s="142">
        <v>45799</v>
      </c>
      <c r="M394" s="142">
        <v>45798</v>
      </c>
      <c r="N394" s="142">
        <f t="shared" si="71"/>
        <v>45800</v>
      </c>
      <c r="O394" s="143">
        <f t="shared" ca="1" si="68"/>
        <v>1</v>
      </c>
      <c r="P394" s="142">
        <f t="shared" si="69"/>
        <v>45811</v>
      </c>
      <c r="Q394" s="142">
        <v>45822</v>
      </c>
      <c r="R394" s="143">
        <f t="shared" ca="1" si="70"/>
        <v>-11</v>
      </c>
      <c r="S394" s="84">
        <v>45812</v>
      </c>
      <c r="T394" s="138"/>
    </row>
    <row r="395" spans="1:20" hidden="1">
      <c r="A395" s="19" t="s">
        <v>188</v>
      </c>
      <c r="B395" s="291">
        <v>150</v>
      </c>
      <c r="C395" s="12" t="s">
        <v>82</v>
      </c>
      <c r="D395" s="313" t="s">
        <v>143</v>
      </c>
      <c r="E395" s="240">
        <v>45891</v>
      </c>
      <c r="F395" s="138">
        <v>61.099998474121101</v>
      </c>
      <c r="G395" s="138">
        <v>61.1</v>
      </c>
      <c r="H395" s="138">
        <v>58</v>
      </c>
      <c r="I395" s="83">
        <f t="shared" si="66"/>
        <v>4.4998550415044747E-2</v>
      </c>
      <c r="J395" s="83">
        <f t="shared" si="67"/>
        <v>-1.5258789005656581E-6</v>
      </c>
      <c r="K395" s="298" t="s">
        <v>900</v>
      </c>
      <c r="L395" s="142">
        <v>45799</v>
      </c>
      <c r="M395" s="142">
        <v>45798</v>
      </c>
      <c r="N395" s="142">
        <f t="shared" si="71"/>
        <v>45800</v>
      </c>
      <c r="O395" s="143">
        <f t="shared" ca="1" si="68"/>
        <v>1</v>
      </c>
      <c r="P395" s="142">
        <f t="shared" si="69"/>
        <v>45811</v>
      </c>
      <c r="Q395" s="142">
        <v>45822</v>
      </c>
      <c r="R395" s="143">
        <f t="shared" ca="1" si="70"/>
        <v>-11</v>
      </c>
      <c r="S395" s="84">
        <v>45812</v>
      </c>
      <c r="T395" s="138"/>
    </row>
    <row r="396" spans="1:20" hidden="1">
      <c r="A396" s="19" t="s">
        <v>188</v>
      </c>
      <c r="B396" s="291">
        <v>150</v>
      </c>
      <c r="C396" s="12" t="s">
        <v>82</v>
      </c>
      <c r="D396" s="313" t="s">
        <v>144</v>
      </c>
      <c r="E396" s="240">
        <v>45891</v>
      </c>
      <c r="F396" s="138">
        <v>61.099998474121101</v>
      </c>
      <c r="G396" s="138">
        <v>61.1</v>
      </c>
      <c r="H396" s="138">
        <v>58</v>
      </c>
      <c r="I396" s="83">
        <f t="shared" si="66"/>
        <v>4.4998550415044747E-2</v>
      </c>
      <c r="J396" s="83">
        <f t="shared" si="67"/>
        <v>-1.5258789005656581E-6</v>
      </c>
      <c r="K396" s="298" t="s">
        <v>900</v>
      </c>
      <c r="L396" s="142">
        <v>45799</v>
      </c>
      <c r="M396" s="142">
        <v>45798</v>
      </c>
      <c r="N396" s="142">
        <f t="shared" si="71"/>
        <v>45800</v>
      </c>
      <c r="O396" s="143">
        <f t="shared" ca="1" si="68"/>
        <v>1</v>
      </c>
      <c r="P396" s="142">
        <f t="shared" si="69"/>
        <v>45811</v>
      </c>
      <c r="Q396" s="142">
        <v>45831</v>
      </c>
      <c r="R396" s="143">
        <f t="shared" ca="1" si="70"/>
        <v>-20</v>
      </c>
      <c r="S396" s="84">
        <v>45812</v>
      </c>
      <c r="T396" s="138"/>
    </row>
    <row r="397" spans="1:20" hidden="1">
      <c r="A397" s="19" t="s">
        <v>188</v>
      </c>
      <c r="B397" s="291">
        <v>150</v>
      </c>
      <c r="C397" s="12" t="s">
        <v>79</v>
      </c>
      <c r="D397" s="313" t="s">
        <v>146</v>
      </c>
      <c r="E397" s="240">
        <v>45891</v>
      </c>
      <c r="F397" s="138">
        <v>3.0999999046325701</v>
      </c>
      <c r="G397" s="138">
        <v>3.1</v>
      </c>
      <c r="H397" s="138">
        <v>3</v>
      </c>
      <c r="I397" s="83">
        <f t="shared" si="66"/>
        <v>-5.5000090599058638E-2</v>
      </c>
      <c r="J397" s="83">
        <f t="shared" si="67"/>
        <v>-9.5367429953086003E-8</v>
      </c>
      <c r="K397" s="298" t="s">
        <v>108</v>
      </c>
      <c r="L397" s="142">
        <v>45790</v>
      </c>
      <c r="M397" s="142">
        <v>45798</v>
      </c>
      <c r="N397" s="142">
        <f t="shared" si="71"/>
        <v>45800</v>
      </c>
      <c r="O397" s="143">
        <f t="shared" ca="1" si="68"/>
        <v>-8</v>
      </c>
      <c r="P397" s="142">
        <f t="shared" si="69"/>
        <v>45802</v>
      </c>
      <c r="Q397" s="142">
        <v>45822</v>
      </c>
      <c r="R397" s="143">
        <f t="shared" ca="1" si="70"/>
        <v>-20</v>
      </c>
      <c r="S397" s="138"/>
      <c r="T397" s="138"/>
    </row>
    <row r="398" spans="1:20" hidden="1">
      <c r="A398" s="19" t="s">
        <v>188</v>
      </c>
      <c r="B398" s="291">
        <v>150</v>
      </c>
      <c r="C398" s="12" t="s">
        <v>79</v>
      </c>
      <c r="D398" s="313" t="s">
        <v>149</v>
      </c>
      <c r="E398" s="240">
        <v>45891</v>
      </c>
      <c r="F398" s="138">
        <v>1.1000000238418599</v>
      </c>
      <c r="G398" s="138">
        <v>1.1000000000000001</v>
      </c>
      <c r="H398" s="138">
        <v>1</v>
      </c>
      <c r="I398" s="83">
        <f t="shared" si="66"/>
        <v>4.500002264976688E-2</v>
      </c>
      <c r="J398" s="83">
        <f t="shared" si="67"/>
        <v>2.3841859819739852E-8</v>
      </c>
      <c r="K398" s="298" t="s">
        <v>890</v>
      </c>
      <c r="L398" s="142">
        <v>45790</v>
      </c>
      <c r="M398" s="142">
        <v>45792</v>
      </c>
      <c r="N398" s="142">
        <f t="shared" si="71"/>
        <v>45794</v>
      </c>
      <c r="O398" s="143">
        <f t="shared" ca="1" si="68"/>
        <v>-2</v>
      </c>
      <c r="P398" s="142">
        <f t="shared" si="69"/>
        <v>45802</v>
      </c>
      <c r="Q398" s="142">
        <v>45820</v>
      </c>
      <c r="R398" s="143">
        <f t="shared" ca="1" si="70"/>
        <v>-18</v>
      </c>
      <c r="S398" s="327">
        <v>45808</v>
      </c>
      <c r="T398" s="138"/>
    </row>
    <row r="399" spans="1:20" hidden="1">
      <c r="A399" s="19" t="s">
        <v>188</v>
      </c>
      <c r="B399" s="291">
        <v>150</v>
      </c>
      <c r="C399" s="12" t="s">
        <v>79</v>
      </c>
      <c r="D399" s="313" t="s">
        <v>150</v>
      </c>
      <c r="E399" s="240">
        <v>45891</v>
      </c>
      <c r="F399" s="138">
        <v>1.1000000238418599</v>
      </c>
      <c r="G399" s="138">
        <v>1.1000000000000001</v>
      </c>
      <c r="H399" s="138">
        <v>1</v>
      </c>
      <c r="I399" s="83">
        <f t="shared" si="66"/>
        <v>4.500002264976688E-2</v>
      </c>
      <c r="J399" s="83">
        <f t="shared" si="67"/>
        <v>2.3841859819739852E-8</v>
      </c>
      <c r="K399" s="298" t="s">
        <v>890</v>
      </c>
      <c r="L399" s="142">
        <v>45790</v>
      </c>
      <c r="M399" s="142">
        <v>45792</v>
      </c>
      <c r="N399" s="142">
        <f t="shared" si="71"/>
        <v>45794</v>
      </c>
      <c r="O399" s="143">
        <f t="shared" ca="1" si="68"/>
        <v>-2</v>
      </c>
      <c r="P399" s="142">
        <f t="shared" si="69"/>
        <v>45802</v>
      </c>
      <c r="Q399" s="142">
        <v>45820</v>
      </c>
      <c r="R399" s="143">
        <f t="shared" ca="1" si="70"/>
        <v>-18</v>
      </c>
      <c r="S399" s="327">
        <v>45808</v>
      </c>
      <c r="T399" s="138"/>
    </row>
    <row r="400" spans="1:20" hidden="1">
      <c r="A400" s="19" t="s">
        <v>188</v>
      </c>
      <c r="B400" s="291">
        <v>150</v>
      </c>
      <c r="C400" s="12" t="s">
        <v>79</v>
      </c>
      <c r="D400" s="313" t="s">
        <v>145</v>
      </c>
      <c r="E400" s="240">
        <v>45891</v>
      </c>
      <c r="F400" s="138">
        <v>5.0999999046325701</v>
      </c>
      <c r="G400" s="138">
        <v>5.0999999999999996</v>
      </c>
      <c r="H400" s="138">
        <v>5</v>
      </c>
      <c r="I400" s="83">
        <f t="shared" si="66"/>
        <v>-0.15500009059905828</v>
      </c>
      <c r="J400" s="83">
        <f t="shared" si="67"/>
        <v>-9.5367429508996793E-8</v>
      </c>
      <c r="K400" s="298" t="s">
        <v>108</v>
      </c>
      <c r="L400" s="142">
        <v>45790</v>
      </c>
      <c r="M400" s="142">
        <v>45799</v>
      </c>
      <c r="N400" s="142">
        <f t="shared" si="71"/>
        <v>45801</v>
      </c>
      <c r="O400" s="143">
        <f t="shared" ca="1" si="68"/>
        <v>-9</v>
      </c>
      <c r="P400" s="142">
        <f t="shared" si="69"/>
        <v>45802</v>
      </c>
      <c r="Q400" s="142">
        <v>45822</v>
      </c>
      <c r="R400" s="143">
        <f t="shared" ca="1" si="70"/>
        <v>-20</v>
      </c>
      <c r="S400" s="138"/>
      <c r="T400" s="138"/>
    </row>
    <row r="401" spans="1:20" hidden="1">
      <c r="A401" s="19" t="s">
        <v>188</v>
      </c>
      <c r="B401" s="291">
        <v>150</v>
      </c>
      <c r="C401" s="12" t="s">
        <v>79</v>
      </c>
      <c r="D401" s="313" t="s">
        <v>153</v>
      </c>
      <c r="E401" s="240">
        <v>45891</v>
      </c>
      <c r="F401" s="138">
        <v>1.1000000238418599</v>
      </c>
      <c r="G401" s="138">
        <v>1.1000000000000001</v>
      </c>
      <c r="H401" s="138">
        <v>1</v>
      </c>
      <c r="I401" s="83">
        <f t="shared" si="66"/>
        <v>4.500002264976688E-2</v>
      </c>
      <c r="J401" s="83">
        <f t="shared" si="67"/>
        <v>2.3841859819739852E-8</v>
      </c>
      <c r="K401" s="298" t="s">
        <v>890</v>
      </c>
      <c r="L401" s="142">
        <v>45790</v>
      </c>
      <c r="M401" s="142">
        <v>45792</v>
      </c>
      <c r="N401" s="142">
        <f t="shared" si="71"/>
        <v>45794</v>
      </c>
      <c r="O401" s="143">
        <f t="shared" ca="1" si="68"/>
        <v>-2</v>
      </c>
      <c r="P401" s="142">
        <f t="shared" si="69"/>
        <v>45802</v>
      </c>
      <c r="Q401" s="142">
        <v>45820</v>
      </c>
      <c r="R401" s="143">
        <f t="shared" ca="1" si="70"/>
        <v>-18</v>
      </c>
      <c r="S401" s="327">
        <v>45808</v>
      </c>
      <c r="T401" s="138"/>
    </row>
    <row r="402" spans="1:20" hidden="1">
      <c r="A402" s="19" t="s">
        <v>188</v>
      </c>
      <c r="B402" s="291">
        <v>137</v>
      </c>
      <c r="C402" s="12" t="s">
        <v>80</v>
      </c>
      <c r="D402" s="323" t="s">
        <v>146</v>
      </c>
      <c r="E402" s="240">
        <v>45863</v>
      </c>
      <c r="F402" s="138">
        <v>259</v>
      </c>
      <c r="G402" s="138">
        <v>259</v>
      </c>
      <c r="H402" s="138">
        <v>246</v>
      </c>
      <c r="I402" s="83">
        <f t="shared" si="66"/>
        <v>4.9999999999982947E-2</v>
      </c>
      <c r="J402" s="83">
        <f t="shared" si="67"/>
        <v>0</v>
      </c>
      <c r="K402" s="140" t="s">
        <v>133</v>
      </c>
      <c r="L402" s="142">
        <v>45789</v>
      </c>
      <c r="M402" s="142">
        <v>45785</v>
      </c>
      <c r="N402" s="142">
        <f t="shared" si="71"/>
        <v>45787</v>
      </c>
      <c r="O402" s="143">
        <f t="shared" ca="1" si="68"/>
        <v>4</v>
      </c>
      <c r="P402" s="142">
        <f>L402+8</f>
        <v>45797</v>
      </c>
      <c r="Q402" s="142">
        <v>45794</v>
      </c>
      <c r="R402" s="143">
        <f t="shared" ca="1" si="70"/>
        <v>3</v>
      </c>
      <c r="S402" s="84">
        <v>45797</v>
      </c>
      <c r="T402" s="138"/>
    </row>
    <row r="403" spans="1:20" hidden="1">
      <c r="A403" s="19" t="s">
        <v>188</v>
      </c>
      <c r="B403" s="291">
        <v>150</v>
      </c>
      <c r="C403" s="12" t="s">
        <v>75</v>
      </c>
      <c r="D403" s="314" t="s">
        <v>841</v>
      </c>
      <c r="E403" s="240">
        <v>45891</v>
      </c>
      <c r="F403" s="138">
        <v>27.100000381469702</v>
      </c>
      <c r="G403" s="138">
        <v>27</v>
      </c>
      <c r="H403" s="138">
        <v>26</v>
      </c>
      <c r="I403" s="83">
        <f t="shared" ref="I403:I424" si="72">F403*95%-H403</f>
        <v>-0.25499963760378463</v>
      </c>
      <c r="J403" s="83">
        <f t="shared" ref="J403:J424" si="73">F403-G403</f>
        <v>0.10000038146970169</v>
      </c>
      <c r="K403" s="298" t="s">
        <v>108</v>
      </c>
      <c r="L403" s="142">
        <v>45809</v>
      </c>
      <c r="M403" s="142">
        <v>45798</v>
      </c>
      <c r="N403" s="142">
        <f t="shared" si="71"/>
        <v>45800</v>
      </c>
      <c r="O403" s="143">
        <f t="shared" ref="O403:O424" ca="1" si="74">+IF(M403="",L403-TODAY(),L403-M403)</f>
        <v>11</v>
      </c>
      <c r="P403" s="142">
        <f t="shared" ref="P403:P424" si="75">L403+12</f>
        <v>45821</v>
      </c>
      <c r="Q403" s="142">
        <v>45818</v>
      </c>
      <c r="R403" s="143">
        <f t="shared" ref="R403:R424" ca="1" si="76">+IF(Q403="",P403-TODAY(),P403-Q403)</f>
        <v>3</v>
      </c>
      <c r="S403" s="327">
        <v>45815</v>
      </c>
      <c r="T403" s="138"/>
    </row>
    <row r="404" spans="1:20" hidden="1">
      <c r="A404" s="19" t="s">
        <v>188</v>
      </c>
      <c r="B404" s="291">
        <v>150</v>
      </c>
      <c r="C404" s="12" t="s">
        <v>75</v>
      </c>
      <c r="D404" s="314" t="s">
        <v>858</v>
      </c>
      <c r="E404" s="240">
        <v>45891</v>
      </c>
      <c r="F404" s="138">
        <v>20.600000381469702</v>
      </c>
      <c r="G404" s="138">
        <v>21</v>
      </c>
      <c r="H404" s="138">
        <v>20</v>
      </c>
      <c r="I404" s="83">
        <f t="shared" si="72"/>
        <v>-0.42999963760378535</v>
      </c>
      <c r="J404" s="83">
        <f t="shared" si="73"/>
        <v>-0.39999961853029831</v>
      </c>
      <c r="K404" s="298" t="s">
        <v>108</v>
      </c>
      <c r="L404" s="142">
        <v>45809</v>
      </c>
      <c r="M404" s="142">
        <v>45798</v>
      </c>
      <c r="N404" s="142">
        <f t="shared" si="71"/>
        <v>45800</v>
      </c>
      <c r="O404" s="143">
        <f t="shared" ca="1" si="74"/>
        <v>11</v>
      </c>
      <c r="P404" s="142">
        <f t="shared" si="75"/>
        <v>45821</v>
      </c>
      <c r="Q404" s="142">
        <v>45818</v>
      </c>
      <c r="R404" s="143">
        <f t="shared" ca="1" si="76"/>
        <v>3</v>
      </c>
      <c r="S404" s="327">
        <v>45815</v>
      </c>
      <c r="T404" s="138"/>
    </row>
    <row r="405" spans="1:20" hidden="1">
      <c r="A405" s="19" t="s">
        <v>188</v>
      </c>
      <c r="B405" s="291">
        <v>150</v>
      </c>
      <c r="C405" s="12" t="s">
        <v>75</v>
      </c>
      <c r="D405" s="314" t="s">
        <v>840</v>
      </c>
      <c r="E405" s="240">
        <v>45891</v>
      </c>
      <c r="F405" s="138">
        <v>25.399999618530298</v>
      </c>
      <c r="G405" s="138">
        <v>25</v>
      </c>
      <c r="H405" s="138">
        <v>24</v>
      </c>
      <c r="I405" s="83">
        <f t="shared" si="72"/>
        <v>0.12999963760378108</v>
      </c>
      <c r="J405" s="83">
        <f t="shared" si="73"/>
        <v>0.39999961853029831</v>
      </c>
      <c r="K405" s="298" t="s">
        <v>108</v>
      </c>
      <c r="L405" s="142">
        <v>45809</v>
      </c>
      <c r="M405" s="142">
        <v>45798</v>
      </c>
      <c r="N405" s="142">
        <f t="shared" si="71"/>
        <v>45800</v>
      </c>
      <c r="O405" s="143">
        <f t="shared" ca="1" si="74"/>
        <v>11</v>
      </c>
      <c r="P405" s="142">
        <f t="shared" si="75"/>
        <v>45821</v>
      </c>
      <c r="Q405" s="142">
        <v>45818</v>
      </c>
      <c r="R405" s="143">
        <f t="shared" ca="1" si="76"/>
        <v>3</v>
      </c>
      <c r="S405" s="327">
        <v>45815</v>
      </c>
      <c r="T405" s="138"/>
    </row>
    <row r="406" spans="1:20" hidden="1">
      <c r="A406" s="19" t="s">
        <v>188</v>
      </c>
      <c r="B406" s="291">
        <v>150</v>
      </c>
      <c r="C406" s="12" t="s">
        <v>75</v>
      </c>
      <c r="D406" s="314" t="s">
        <v>859</v>
      </c>
      <c r="E406" s="240">
        <v>45891</v>
      </c>
      <c r="F406" s="138">
        <v>12.6000003814697</v>
      </c>
      <c r="G406" s="138">
        <v>13</v>
      </c>
      <c r="H406" s="138">
        <v>12</v>
      </c>
      <c r="I406" s="83">
        <f t="shared" si="72"/>
        <v>-2.999963760378499E-2</v>
      </c>
      <c r="J406" s="83">
        <f t="shared" si="73"/>
        <v>-0.39999961853030008</v>
      </c>
      <c r="K406" s="298" t="s">
        <v>108</v>
      </c>
      <c r="L406" s="142">
        <v>45809</v>
      </c>
      <c r="M406" s="142">
        <v>45798</v>
      </c>
      <c r="N406" s="142">
        <f t="shared" si="71"/>
        <v>45800</v>
      </c>
      <c r="O406" s="143">
        <f t="shared" ca="1" si="74"/>
        <v>11</v>
      </c>
      <c r="P406" s="142">
        <f t="shared" si="75"/>
        <v>45821</v>
      </c>
      <c r="Q406" s="142">
        <v>45818</v>
      </c>
      <c r="R406" s="143">
        <f t="shared" ca="1" si="76"/>
        <v>3</v>
      </c>
      <c r="S406" s="327">
        <v>45815</v>
      </c>
      <c r="T406" s="138"/>
    </row>
    <row r="407" spans="1:20" hidden="1">
      <c r="A407" s="19" t="s">
        <v>188</v>
      </c>
      <c r="B407" s="291">
        <v>150</v>
      </c>
      <c r="C407" s="12" t="s">
        <v>857</v>
      </c>
      <c r="D407" s="314" t="s">
        <v>841</v>
      </c>
      <c r="E407" s="240">
        <v>45891</v>
      </c>
      <c r="F407" s="138">
        <v>31.100000381469702</v>
      </c>
      <c r="G407" s="138">
        <v>31</v>
      </c>
      <c r="H407" s="138">
        <v>30</v>
      </c>
      <c r="I407" s="83">
        <f t="shared" si="72"/>
        <v>-0.45499963760378392</v>
      </c>
      <c r="J407" s="83">
        <f t="shared" si="73"/>
        <v>0.10000038146970169</v>
      </c>
      <c r="K407" s="298" t="s">
        <v>108</v>
      </c>
      <c r="L407" s="142">
        <v>45809</v>
      </c>
      <c r="M407" s="142">
        <v>45798</v>
      </c>
      <c r="N407" s="142">
        <f t="shared" si="71"/>
        <v>45800</v>
      </c>
      <c r="O407" s="143">
        <f t="shared" ca="1" si="74"/>
        <v>11</v>
      </c>
      <c r="P407" s="142">
        <f t="shared" si="75"/>
        <v>45821</v>
      </c>
      <c r="Q407" s="142">
        <v>45818</v>
      </c>
      <c r="R407" s="143">
        <f t="shared" ca="1" si="76"/>
        <v>3</v>
      </c>
      <c r="S407" s="327">
        <v>45815</v>
      </c>
      <c r="T407" s="138"/>
    </row>
    <row r="408" spans="1:20" hidden="1">
      <c r="A408" s="19" t="s">
        <v>188</v>
      </c>
      <c r="B408" s="291">
        <v>150</v>
      </c>
      <c r="C408" s="12" t="s">
        <v>857</v>
      </c>
      <c r="D408" s="314" t="s">
        <v>858</v>
      </c>
      <c r="E408" s="240">
        <v>45891</v>
      </c>
      <c r="F408" s="138">
        <v>23.600000381469702</v>
      </c>
      <c r="G408" s="138">
        <v>24</v>
      </c>
      <c r="H408" s="138">
        <v>22</v>
      </c>
      <c r="I408" s="83">
        <f t="shared" si="72"/>
        <v>0.42000036239621608</v>
      </c>
      <c r="J408" s="83">
        <f t="shared" si="73"/>
        <v>-0.39999961853029831</v>
      </c>
      <c r="K408" s="298" t="s">
        <v>108</v>
      </c>
      <c r="L408" s="142">
        <v>45809</v>
      </c>
      <c r="M408" s="142">
        <v>45798</v>
      </c>
      <c r="N408" s="142">
        <f t="shared" si="71"/>
        <v>45800</v>
      </c>
      <c r="O408" s="143">
        <f t="shared" ca="1" si="74"/>
        <v>11</v>
      </c>
      <c r="P408" s="142">
        <f t="shared" si="75"/>
        <v>45821</v>
      </c>
      <c r="Q408" s="142">
        <v>45818</v>
      </c>
      <c r="R408" s="143">
        <f t="shared" ca="1" si="76"/>
        <v>3</v>
      </c>
      <c r="S408" s="327">
        <v>45815</v>
      </c>
      <c r="T408" s="138"/>
    </row>
    <row r="409" spans="1:20" hidden="1">
      <c r="A409" s="19" t="s">
        <v>188</v>
      </c>
      <c r="B409" s="291">
        <v>150</v>
      </c>
      <c r="C409" s="12" t="s">
        <v>857</v>
      </c>
      <c r="D409" s="314" t="s">
        <v>840</v>
      </c>
      <c r="E409" s="240">
        <v>45891</v>
      </c>
      <c r="F409" s="138">
        <v>29.100000381469702</v>
      </c>
      <c r="G409" s="138">
        <v>29</v>
      </c>
      <c r="H409" s="138">
        <v>28</v>
      </c>
      <c r="I409" s="83">
        <f t="shared" si="72"/>
        <v>-0.35499963760378606</v>
      </c>
      <c r="J409" s="83">
        <f t="shared" si="73"/>
        <v>0.10000038146970169</v>
      </c>
      <c r="K409" s="298" t="s">
        <v>108</v>
      </c>
      <c r="L409" s="142">
        <v>45809</v>
      </c>
      <c r="M409" s="142">
        <v>45798</v>
      </c>
      <c r="N409" s="142">
        <f t="shared" si="71"/>
        <v>45800</v>
      </c>
      <c r="O409" s="143">
        <f t="shared" ca="1" si="74"/>
        <v>11</v>
      </c>
      <c r="P409" s="142">
        <f t="shared" si="75"/>
        <v>45821</v>
      </c>
      <c r="Q409" s="142">
        <v>45818</v>
      </c>
      <c r="R409" s="143">
        <f t="shared" ca="1" si="76"/>
        <v>3</v>
      </c>
      <c r="S409" s="327">
        <v>45815</v>
      </c>
      <c r="T409" s="138"/>
    </row>
    <row r="410" spans="1:20" hidden="1">
      <c r="A410" s="19" t="s">
        <v>188</v>
      </c>
      <c r="B410" s="291">
        <v>150</v>
      </c>
      <c r="C410" s="12" t="s">
        <v>857</v>
      </c>
      <c r="D410" s="314" t="s">
        <v>859</v>
      </c>
      <c r="E410" s="240">
        <v>45891</v>
      </c>
      <c r="F410" s="138">
        <v>14.5</v>
      </c>
      <c r="G410" s="138">
        <v>15</v>
      </c>
      <c r="H410" s="138">
        <v>14</v>
      </c>
      <c r="I410" s="83">
        <f t="shared" si="72"/>
        <v>-0.22500000000000142</v>
      </c>
      <c r="J410" s="83">
        <f t="shared" si="73"/>
        <v>-0.5</v>
      </c>
      <c r="K410" s="298" t="s">
        <v>108</v>
      </c>
      <c r="L410" s="142">
        <v>45809</v>
      </c>
      <c r="M410" s="142">
        <v>45798</v>
      </c>
      <c r="N410" s="142">
        <f t="shared" si="71"/>
        <v>45800</v>
      </c>
      <c r="O410" s="143">
        <f t="shared" ca="1" si="74"/>
        <v>11</v>
      </c>
      <c r="P410" s="142">
        <f t="shared" si="75"/>
        <v>45821</v>
      </c>
      <c r="Q410" s="142">
        <v>45818</v>
      </c>
      <c r="R410" s="143">
        <f t="shared" ca="1" si="76"/>
        <v>3</v>
      </c>
      <c r="S410" s="327">
        <v>45815</v>
      </c>
      <c r="T410" s="138"/>
    </row>
    <row r="411" spans="1:20" hidden="1">
      <c r="A411" s="19" t="s">
        <v>188</v>
      </c>
      <c r="B411" s="291">
        <v>151</v>
      </c>
      <c r="C411" s="12" t="s">
        <v>75</v>
      </c>
      <c r="D411" s="314" t="s">
        <v>841</v>
      </c>
      <c r="E411" s="240">
        <v>45891</v>
      </c>
      <c r="F411" s="138">
        <v>76</v>
      </c>
      <c r="G411" s="138">
        <v>76</v>
      </c>
      <c r="H411" s="138">
        <v>72</v>
      </c>
      <c r="I411" s="83">
        <f t="shared" si="72"/>
        <v>0.20000000000000284</v>
      </c>
      <c r="J411" s="83">
        <f t="shared" si="73"/>
        <v>0</v>
      </c>
      <c r="K411" s="298" t="s">
        <v>108</v>
      </c>
      <c r="L411" s="142">
        <v>45809</v>
      </c>
      <c r="M411" s="142">
        <v>45799</v>
      </c>
      <c r="N411" s="142">
        <f t="shared" si="71"/>
        <v>45801</v>
      </c>
      <c r="O411" s="143">
        <f t="shared" ca="1" si="74"/>
        <v>10</v>
      </c>
      <c r="P411" s="142">
        <f t="shared" si="75"/>
        <v>45821</v>
      </c>
      <c r="Q411" s="142">
        <v>45818</v>
      </c>
      <c r="R411" s="143">
        <f t="shared" ca="1" si="76"/>
        <v>3</v>
      </c>
      <c r="S411" s="327">
        <v>45815</v>
      </c>
      <c r="T411" s="138"/>
    </row>
    <row r="412" spans="1:20" hidden="1">
      <c r="A412" s="19" t="s">
        <v>188</v>
      </c>
      <c r="B412" s="291">
        <v>151</v>
      </c>
      <c r="C412" s="12" t="s">
        <v>75</v>
      </c>
      <c r="D412" s="314" t="s">
        <v>840</v>
      </c>
      <c r="E412" s="240">
        <v>45891</v>
      </c>
      <c r="F412" s="138">
        <v>71.199996948242202</v>
      </c>
      <c r="G412" s="138">
        <v>71</v>
      </c>
      <c r="H412" s="138">
        <v>68</v>
      </c>
      <c r="I412" s="83">
        <f t="shared" si="72"/>
        <v>-0.36000289916991335</v>
      </c>
      <c r="J412" s="83">
        <f t="shared" si="73"/>
        <v>0.19999694824220171</v>
      </c>
      <c r="K412" s="298" t="s">
        <v>108</v>
      </c>
      <c r="L412" s="142">
        <v>45809</v>
      </c>
      <c r="M412" s="142">
        <v>45799</v>
      </c>
      <c r="N412" s="142">
        <f t="shared" si="71"/>
        <v>45801</v>
      </c>
      <c r="O412" s="143">
        <f t="shared" ca="1" si="74"/>
        <v>10</v>
      </c>
      <c r="P412" s="142">
        <f t="shared" si="75"/>
        <v>45821</v>
      </c>
      <c r="Q412" s="142">
        <v>45818</v>
      </c>
      <c r="R412" s="143">
        <f t="shared" ca="1" si="76"/>
        <v>3</v>
      </c>
      <c r="S412" s="327">
        <v>45818</v>
      </c>
      <c r="T412" s="138"/>
    </row>
    <row r="413" spans="1:20" hidden="1">
      <c r="A413" s="19" t="s">
        <v>188</v>
      </c>
      <c r="B413" s="291">
        <v>151</v>
      </c>
      <c r="C413" s="12" t="s">
        <v>857</v>
      </c>
      <c r="D413" s="314" t="s">
        <v>841</v>
      </c>
      <c r="E413" s="240">
        <v>45891</v>
      </c>
      <c r="F413" s="138">
        <v>87.199996948242202</v>
      </c>
      <c r="G413" s="138">
        <v>87</v>
      </c>
      <c r="H413" s="138">
        <v>83</v>
      </c>
      <c r="I413" s="83">
        <f t="shared" si="72"/>
        <v>-0.16000289916991051</v>
      </c>
      <c r="J413" s="83">
        <f t="shared" si="73"/>
        <v>0.19999694824220171</v>
      </c>
      <c r="K413" s="298" t="s">
        <v>108</v>
      </c>
      <c r="L413" s="142">
        <v>45809</v>
      </c>
      <c r="M413" s="142">
        <v>45799</v>
      </c>
      <c r="N413" s="142">
        <f t="shared" si="71"/>
        <v>45801</v>
      </c>
      <c r="O413" s="143">
        <f t="shared" ca="1" si="74"/>
        <v>10</v>
      </c>
      <c r="P413" s="142">
        <f t="shared" si="75"/>
        <v>45821</v>
      </c>
      <c r="Q413" s="142">
        <v>45818</v>
      </c>
      <c r="R413" s="143">
        <f t="shared" ca="1" si="76"/>
        <v>3</v>
      </c>
      <c r="S413" s="327">
        <v>45818</v>
      </c>
      <c r="T413" s="138"/>
    </row>
    <row r="414" spans="1:20" hidden="1">
      <c r="A414" s="19" t="s">
        <v>188</v>
      </c>
      <c r="B414" s="291">
        <v>151</v>
      </c>
      <c r="C414" s="12" t="s">
        <v>857</v>
      </c>
      <c r="D414" s="314" t="s">
        <v>840</v>
      </c>
      <c r="E414" s="240">
        <v>45891</v>
      </c>
      <c r="F414" s="138">
        <v>81.599998474121094</v>
      </c>
      <c r="G414" s="138">
        <v>82</v>
      </c>
      <c r="H414" s="138">
        <v>78</v>
      </c>
      <c r="I414" s="83">
        <f t="shared" si="72"/>
        <v>-0.48000144958496094</v>
      </c>
      <c r="J414" s="83">
        <f t="shared" si="73"/>
        <v>-0.40000152587890625</v>
      </c>
      <c r="K414" s="298" t="s">
        <v>108</v>
      </c>
      <c r="L414" s="142">
        <v>45809</v>
      </c>
      <c r="M414" s="142">
        <v>45799</v>
      </c>
      <c r="N414" s="142">
        <f t="shared" si="71"/>
        <v>45801</v>
      </c>
      <c r="O414" s="143">
        <f t="shared" ca="1" si="74"/>
        <v>10</v>
      </c>
      <c r="P414" s="142">
        <f t="shared" si="75"/>
        <v>45821</v>
      </c>
      <c r="Q414" s="142">
        <v>45818</v>
      </c>
      <c r="R414" s="143">
        <f t="shared" ca="1" si="76"/>
        <v>3</v>
      </c>
      <c r="S414" s="327">
        <v>45818</v>
      </c>
      <c r="T414" s="138"/>
    </row>
    <row r="415" spans="1:20" hidden="1">
      <c r="A415" s="19" t="s">
        <v>188</v>
      </c>
      <c r="B415" s="291">
        <v>152</v>
      </c>
      <c r="C415" s="12" t="s">
        <v>82</v>
      </c>
      <c r="D415" s="313" t="s">
        <v>141</v>
      </c>
      <c r="E415" s="145">
        <v>45891</v>
      </c>
      <c r="F415" s="138">
        <v>68.699996948242202</v>
      </c>
      <c r="G415" s="138">
        <v>68.7</v>
      </c>
      <c r="H415" s="138">
        <v>65</v>
      </c>
      <c r="I415" s="83">
        <f t="shared" si="72"/>
        <v>0.26499710083008665</v>
      </c>
      <c r="J415" s="83">
        <f t="shared" si="73"/>
        <v>-3.0517578011313162E-6</v>
      </c>
      <c r="K415" s="298" t="s">
        <v>900</v>
      </c>
      <c r="L415" s="142">
        <v>45799</v>
      </c>
      <c r="M415" s="142">
        <v>45798</v>
      </c>
      <c r="N415" s="142">
        <f t="shared" si="71"/>
        <v>45800</v>
      </c>
      <c r="O415" s="143">
        <f t="shared" ca="1" si="74"/>
        <v>1</v>
      </c>
      <c r="P415" s="142">
        <f t="shared" si="75"/>
        <v>45811</v>
      </c>
      <c r="Q415" s="142">
        <v>45822</v>
      </c>
      <c r="R415" s="143">
        <f t="shared" ca="1" si="76"/>
        <v>-11</v>
      </c>
      <c r="S415" s="84">
        <v>45812</v>
      </c>
      <c r="T415" s="138"/>
    </row>
    <row r="416" spans="1:20" hidden="1">
      <c r="A416" s="19" t="s">
        <v>188</v>
      </c>
      <c r="B416" s="291">
        <v>152</v>
      </c>
      <c r="C416" s="12" t="s">
        <v>82</v>
      </c>
      <c r="D416" s="313" t="s">
        <v>143</v>
      </c>
      <c r="E416" s="145">
        <v>45891</v>
      </c>
      <c r="F416" s="138">
        <v>68.699996948242202</v>
      </c>
      <c r="G416" s="138">
        <v>68.7</v>
      </c>
      <c r="H416" s="138">
        <v>65</v>
      </c>
      <c r="I416" s="83">
        <f t="shared" si="72"/>
        <v>0.26499710083008665</v>
      </c>
      <c r="J416" s="83">
        <f t="shared" si="73"/>
        <v>-3.0517578011313162E-6</v>
      </c>
      <c r="K416" s="298" t="s">
        <v>900</v>
      </c>
      <c r="L416" s="142">
        <v>45799</v>
      </c>
      <c r="M416" s="142">
        <v>45798</v>
      </c>
      <c r="N416" s="142">
        <f t="shared" si="71"/>
        <v>45800</v>
      </c>
      <c r="O416" s="143">
        <f t="shared" ca="1" si="74"/>
        <v>1</v>
      </c>
      <c r="P416" s="142">
        <f t="shared" si="75"/>
        <v>45811</v>
      </c>
      <c r="Q416" s="142">
        <v>45822</v>
      </c>
      <c r="R416" s="143">
        <f t="shared" ca="1" si="76"/>
        <v>-11</v>
      </c>
      <c r="S416" s="84">
        <v>45812</v>
      </c>
      <c r="T416" s="138"/>
    </row>
    <row r="417" spans="1:20" hidden="1">
      <c r="A417" s="19" t="s">
        <v>188</v>
      </c>
      <c r="B417" s="291">
        <v>152</v>
      </c>
      <c r="C417" s="12" t="s">
        <v>82</v>
      </c>
      <c r="D417" s="313" t="s">
        <v>144</v>
      </c>
      <c r="E417" s="145">
        <v>45891</v>
      </c>
      <c r="F417" s="138">
        <v>68.699996948242202</v>
      </c>
      <c r="G417" s="138">
        <v>68.7</v>
      </c>
      <c r="H417" s="138">
        <v>65</v>
      </c>
      <c r="I417" s="83">
        <f t="shared" si="72"/>
        <v>0.26499710083008665</v>
      </c>
      <c r="J417" s="83">
        <f t="shared" si="73"/>
        <v>-3.0517578011313162E-6</v>
      </c>
      <c r="K417" s="298" t="s">
        <v>900</v>
      </c>
      <c r="L417" s="142">
        <v>45799</v>
      </c>
      <c r="M417" s="142">
        <v>45798</v>
      </c>
      <c r="N417" s="142">
        <f t="shared" si="71"/>
        <v>45800</v>
      </c>
      <c r="O417" s="143">
        <f t="shared" ca="1" si="74"/>
        <v>1</v>
      </c>
      <c r="P417" s="142">
        <f t="shared" si="75"/>
        <v>45811</v>
      </c>
      <c r="Q417" s="142">
        <v>45831</v>
      </c>
      <c r="R417" s="143">
        <f t="shared" ca="1" si="76"/>
        <v>-20</v>
      </c>
      <c r="S417" s="84">
        <v>45812</v>
      </c>
      <c r="T417" s="138"/>
    </row>
    <row r="418" spans="1:20" hidden="1">
      <c r="A418" s="19" t="s">
        <v>188</v>
      </c>
      <c r="B418" s="291">
        <v>152</v>
      </c>
      <c r="C418" s="12" t="s">
        <v>79</v>
      </c>
      <c r="D418" s="313" t="s">
        <v>146</v>
      </c>
      <c r="E418" s="145">
        <v>45891</v>
      </c>
      <c r="F418" s="138">
        <v>6.0999999046325701</v>
      </c>
      <c r="G418" s="138">
        <v>6.1</v>
      </c>
      <c r="H418" s="138">
        <v>6</v>
      </c>
      <c r="I418" s="83">
        <f t="shared" si="72"/>
        <v>-0.20500009059905899</v>
      </c>
      <c r="J418" s="83">
        <f t="shared" si="73"/>
        <v>-9.5367429508996793E-8</v>
      </c>
      <c r="K418" s="298" t="s">
        <v>108</v>
      </c>
      <c r="L418" s="142">
        <v>45790</v>
      </c>
      <c r="M418" s="142">
        <v>45798</v>
      </c>
      <c r="N418" s="142">
        <f t="shared" si="71"/>
        <v>45800</v>
      </c>
      <c r="O418" s="143">
        <f t="shared" ca="1" si="74"/>
        <v>-8</v>
      </c>
      <c r="P418" s="142">
        <f t="shared" si="75"/>
        <v>45802</v>
      </c>
      <c r="Q418" s="142">
        <v>45822</v>
      </c>
      <c r="R418" s="143">
        <f t="shared" ca="1" si="76"/>
        <v>-20</v>
      </c>
      <c r="S418" s="138"/>
      <c r="T418" s="138"/>
    </row>
    <row r="419" spans="1:20" hidden="1">
      <c r="A419" s="19" t="s">
        <v>188</v>
      </c>
      <c r="B419" s="291">
        <v>152</v>
      </c>
      <c r="C419" s="12" t="s">
        <v>79</v>
      </c>
      <c r="D419" s="313" t="s">
        <v>145</v>
      </c>
      <c r="E419" s="145">
        <v>45891</v>
      </c>
      <c r="F419" s="138">
        <v>5.5999999046325701</v>
      </c>
      <c r="G419" s="138">
        <v>5.6</v>
      </c>
      <c r="H419" s="138">
        <v>5</v>
      </c>
      <c r="I419" s="83">
        <f t="shared" si="72"/>
        <v>0.31999990940094136</v>
      </c>
      <c r="J419" s="83">
        <f t="shared" si="73"/>
        <v>-9.5367429508996793E-8</v>
      </c>
      <c r="K419" s="298" t="s">
        <v>108</v>
      </c>
      <c r="L419" s="142">
        <v>45790</v>
      </c>
      <c r="M419" s="142">
        <v>45799</v>
      </c>
      <c r="N419" s="142">
        <f t="shared" si="71"/>
        <v>45801</v>
      </c>
      <c r="O419" s="143">
        <f t="shared" ca="1" si="74"/>
        <v>-9</v>
      </c>
      <c r="P419" s="142">
        <f t="shared" si="75"/>
        <v>45802</v>
      </c>
      <c r="Q419" s="142">
        <v>45822</v>
      </c>
      <c r="R419" s="143">
        <f t="shared" ca="1" si="76"/>
        <v>-20</v>
      </c>
      <c r="S419" s="138"/>
      <c r="T419" s="138"/>
    </row>
    <row r="420" spans="1:20" hidden="1">
      <c r="A420" s="19" t="s">
        <v>188</v>
      </c>
      <c r="B420" s="291">
        <v>139</v>
      </c>
      <c r="C420" s="12" t="s">
        <v>80</v>
      </c>
      <c r="D420" s="323" t="s">
        <v>146</v>
      </c>
      <c r="E420" s="140">
        <v>45870</v>
      </c>
      <c r="F420" s="138">
        <v>679</v>
      </c>
      <c r="G420" s="138">
        <v>679</v>
      </c>
      <c r="H420" s="138">
        <v>645</v>
      </c>
      <c r="I420" s="83">
        <f t="shared" si="72"/>
        <v>4.9999999999954525E-2</v>
      </c>
      <c r="J420" s="83">
        <f t="shared" si="73"/>
        <v>0</v>
      </c>
      <c r="K420" s="140" t="s">
        <v>133</v>
      </c>
      <c r="L420" s="142">
        <v>45793</v>
      </c>
      <c r="M420" s="142">
        <v>45785</v>
      </c>
      <c r="N420" s="142">
        <f t="shared" si="71"/>
        <v>45787</v>
      </c>
      <c r="O420" s="143">
        <f t="shared" ca="1" si="74"/>
        <v>8</v>
      </c>
      <c r="P420" s="142">
        <f>L420+8</f>
        <v>45801</v>
      </c>
      <c r="Q420" s="142">
        <v>45798</v>
      </c>
      <c r="R420" s="143">
        <f t="shared" ca="1" si="76"/>
        <v>3</v>
      </c>
      <c r="S420" s="84">
        <v>45797</v>
      </c>
      <c r="T420" s="138"/>
    </row>
    <row r="421" spans="1:20" hidden="1">
      <c r="A421" s="19" t="s">
        <v>188</v>
      </c>
      <c r="B421" s="291">
        <v>152</v>
      </c>
      <c r="C421" s="12" t="s">
        <v>75</v>
      </c>
      <c r="D421" s="314" t="s">
        <v>858</v>
      </c>
      <c r="E421" s="145">
        <v>45891</v>
      </c>
      <c r="F421" s="138">
        <v>107.800003051758</v>
      </c>
      <c r="G421" s="138">
        <v>108</v>
      </c>
      <c r="H421" s="138">
        <v>102</v>
      </c>
      <c r="I421" s="83">
        <f t="shared" si="72"/>
        <v>0.41000289917009525</v>
      </c>
      <c r="J421" s="83">
        <f t="shared" si="73"/>
        <v>-0.19999694824200276</v>
      </c>
      <c r="K421" s="298" t="s">
        <v>108</v>
      </c>
      <c r="L421" s="142">
        <v>45809</v>
      </c>
      <c r="M421" s="142">
        <v>45799</v>
      </c>
      <c r="N421" s="142">
        <f t="shared" si="71"/>
        <v>45801</v>
      </c>
      <c r="O421" s="143">
        <f t="shared" ca="1" si="74"/>
        <v>10</v>
      </c>
      <c r="P421" s="142">
        <f t="shared" si="75"/>
        <v>45821</v>
      </c>
      <c r="Q421" s="142">
        <v>45818</v>
      </c>
      <c r="R421" s="143">
        <f t="shared" ca="1" si="76"/>
        <v>3</v>
      </c>
      <c r="S421" s="327">
        <v>45818</v>
      </c>
      <c r="T421" s="138"/>
    </row>
    <row r="422" spans="1:20" hidden="1">
      <c r="A422" s="19" t="s">
        <v>188</v>
      </c>
      <c r="B422" s="291">
        <v>152</v>
      </c>
      <c r="C422" s="12" t="s">
        <v>75</v>
      </c>
      <c r="D422" s="314" t="s">
        <v>859</v>
      </c>
      <c r="E422" s="145">
        <v>45891</v>
      </c>
      <c r="F422" s="138">
        <v>66</v>
      </c>
      <c r="G422" s="138">
        <v>66</v>
      </c>
      <c r="H422" s="138">
        <v>63</v>
      </c>
      <c r="I422" s="83">
        <f t="shared" si="72"/>
        <v>-0.30000000000000426</v>
      </c>
      <c r="J422" s="83">
        <f t="shared" si="73"/>
        <v>0</v>
      </c>
      <c r="K422" s="298" t="s">
        <v>108</v>
      </c>
      <c r="L422" s="142">
        <v>45809</v>
      </c>
      <c r="M422" s="142">
        <v>45799</v>
      </c>
      <c r="N422" s="142">
        <f t="shared" si="71"/>
        <v>45801</v>
      </c>
      <c r="O422" s="143">
        <f t="shared" ca="1" si="74"/>
        <v>10</v>
      </c>
      <c r="P422" s="142">
        <f t="shared" si="75"/>
        <v>45821</v>
      </c>
      <c r="Q422" s="142">
        <v>45818</v>
      </c>
      <c r="R422" s="143">
        <f t="shared" ca="1" si="76"/>
        <v>3</v>
      </c>
      <c r="S422" s="327">
        <v>45818</v>
      </c>
      <c r="T422" s="138"/>
    </row>
    <row r="423" spans="1:20" hidden="1">
      <c r="A423" s="19" t="s">
        <v>188</v>
      </c>
      <c r="B423" s="291">
        <v>152</v>
      </c>
      <c r="C423" s="12" t="s">
        <v>857</v>
      </c>
      <c r="D423" s="314" t="s">
        <v>858</v>
      </c>
      <c r="E423" s="145">
        <v>45891</v>
      </c>
      <c r="F423" s="138">
        <v>123.59999847412099</v>
      </c>
      <c r="G423" s="138">
        <v>124</v>
      </c>
      <c r="H423" s="138">
        <v>117</v>
      </c>
      <c r="I423" s="83">
        <f t="shared" si="72"/>
        <v>0.41999855041494527</v>
      </c>
      <c r="J423" s="83">
        <f t="shared" si="73"/>
        <v>-0.40000152587900573</v>
      </c>
      <c r="K423" s="298" t="s">
        <v>108</v>
      </c>
      <c r="L423" s="142">
        <v>45809</v>
      </c>
      <c r="M423" s="142">
        <v>45799</v>
      </c>
      <c r="N423" s="142">
        <f t="shared" si="71"/>
        <v>45801</v>
      </c>
      <c r="O423" s="143">
        <f t="shared" ca="1" si="74"/>
        <v>10</v>
      </c>
      <c r="P423" s="142">
        <f t="shared" si="75"/>
        <v>45821</v>
      </c>
      <c r="Q423" s="142">
        <v>45818</v>
      </c>
      <c r="R423" s="143">
        <f t="shared" ca="1" si="76"/>
        <v>3</v>
      </c>
      <c r="S423" s="327">
        <v>45818</v>
      </c>
      <c r="T423" s="138"/>
    </row>
    <row r="424" spans="1:20" hidden="1">
      <c r="A424" s="19" t="s">
        <v>188</v>
      </c>
      <c r="B424" s="291">
        <v>152</v>
      </c>
      <c r="C424" s="12" t="s">
        <v>857</v>
      </c>
      <c r="D424" s="314" t="s">
        <v>859</v>
      </c>
      <c r="E424" s="145">
        <v>45891</v>
      </c>
      <c r="F424" s="138">
        <v>75.800003051757798</v>
      </c>
      <c r="G424" s="138">
        <v>76</v>
      </c>
      <c r="H424" s="138">
        <v>72</v>
      </c>
      <c r="I424" s="83">
        <f t="shared" si="72"/>
        <v>1.0002899169904822E-2</v>
      </c>
      <c r="J424" s="83">
        <f t="shared" si="73"/>
        <v>-0.19999694824220171</v>
      </c>
      <c r="K424" s="298" t="s">
        <v>108</v>
      </c>
      <c r="L424" s="142">
        <v>45809</v>
      </c>
      <c r="M424" s="142">
        <v>45799</v>
      </c>
      <c r="N424" s="142">
        <f t="shared" si="71"/>
        <v>45801</v>
      </c>
      <c r="O424" s="143">
        <f t="shared" ca="1" si="74"/>
        <v>10</v>
      </c>
      <c r="P424" s="142">
        <f t="shared" si="75"/>
        <v>45821</v>
      </c>
      <c r="Q424" s="142">
        <v>45818</v>
      </c>
      <c r="R424" s="143">
        <f t="shared" ca="1" si="76"/>
        <v>3</v>
      </c>
      <c r="S424" s="327">
        <v>45818</v>
      </c>
      <c r="T424" s="138"/>
    </row>
    <row r="425" spans="1:20" hidden="1">
      <c r="A425" s="19" t="s">
        <v>188</v>
      </c>
      <c r="B425" s="291">
        <v>155</v>
      </c>
      <c r="C425" s="12" t="s">
        <v>75</v>
      </c>
      <c r="D425" s="314" t="s">
        <v>841</v>
      </c>
      <c r="E425" s="145">
        <v>45874</v>
      </c>
      <c r="F425" s="138">
        <v>86.300003051757798</v>
      </c>
      <c r="G425" s="138">
        <v>86</v>
      </c>
      <c r="H425" s="138">
        <v>82</v>
      </c>
      <c r="I425" s="83">
        <f t="shared" ref="I425" si="77">F425*95%-H425</f>
        <v>-1.4997100830100862E-2</v>
      </c>
      <c r="J425" s="83">
        <f t="shared" ref="J425" si="78">F425-G425</f>
        <v>0.30000305175779829</v>
      </c>
      <c r="K425" s="298" t="s">
        <v>108</v>
      </c>
      <c r="L425" s="142">
        <f t="shared" ref="L425:L469" si="79">P425-12</f>
        <v>45814</v>
      </c>
      <c r="M425" s="142">
        <v>45799</v>
      </c>
      <c r="N425" s="142">
        <f t="shared" si="71"/>
        <v>45801</v>
      </c>
      <c r="O425" s="143">
        <f t="shared" ref="O425" ca="1" si="80">+IF(M425="",L425-TODAY(),L425-M425)</f>
        <v>15</v>
      </c>
      <c r="P425" s="142">
        <v>45826</v>
      </c>
      <c r="Q425" s="142">
        <v>45818</v>
      </c>
      <c r="R425" s="143">
        <f t="shared" ref="R425" ca="1" si="81">+IF(Q425="",P425-TODAY(),P425-Q425)</f>
        <v>8</v>
      </c>
      <c r="S425" s="327">
        <v>45818</v>
      </c>
      <c r="T425" s="138"/>
    </row>
    <row r="426" spans="1:20" hidden="1">
      <c r="A426" s="19" t="s">
        <v>188</v>
      </c>
      <c r="B426" s="291">
        <v>155</v>
      </c>
      <c r="C426" s="12" t="s">
        <v>75</v>
      </c>
      <c r="D426" s="314" t="s">
        <v>840</v>
      </c>
      <c r="E426" s="145">
        <v>45874</v>
      </c>
      <c r="F426" s="138">
        <v>80.800003051757798</v>
      </c>
      <c r="G426" s="138">
        <v>81</v>
      </c>
      <c r="H426" s="138">
        <v>77</v>
      </c>
      <c r="I426" s="83">
        <f t="shared" ref="I426:I463" si="82">F426*95%-H426</f>
        <v>-0.23999710083009518</v>
      </c>
      <c r="J426" s="83">
        <f t="shared" ref="J426:J463" si="83">F426-G426</f>
        <v>-0.19999694824220171</v>
      </c>
      <c r="K426" s="298" t="s">
        <v>108</v>
      </c>
      <c r="L426" s="142">
        <f t="shared" si="79"/>
        <v>45814</v>
      </c>
      <c r="M426" s="142">
        <v>45799</v>
      </c>
      <c r="N426" s="142">
        <f t="shared" si="71"/>
        <v>45801</v>
      </c>
      <c r="O426" s="143">
        <f t="shared" ref="O426:O463" ca="1" si="84">+IF(M426="",L426-TODAY(),L426-M426)</f>
        <v>15</v>
      </c>
      <c r="P426" s="142">
        <v>45826</v>
      </c>
      <c r="Q426" s="142">
        <v>45818</v>
      </c>
      <c r="R426" s="143">
        <f t="shared" ref="R426:R463" ca="1" si="85">+IF(Q426="",P426-TODAY(),P426-Q426)</f>
        <v>8</v>
      </c>
      <c r="S426" s="327">
        <v>45818</v>
      </c>
      <c r="T426" s="138"/>
    </row>
    <row r="427" spans="1:20" hidden="1">
      <c r="A427" s="19" t="s">
        <v>188</v>
      </c>
      <c r="B427" s="291">
        <v>155</v>
      </c>
      <c r="C427" s="12" t="s">
        <v>857</v>
      </c>
      <c r="D427" s="314" t="s">
        <v>841</v>
      </c>
      <c r="E427" s="145">
        <v>45874</v>
      </c>
      <c r="F427" s="138">
        <v>99</v>
      </c>
      <c r="G427" s="138">
        <v>99</v>
      </c>
      <c r="H427" s="138">
        <v>94</v>
      </c>
      <c r="I427" s="83">
        <f t="shared" si="82"/>
        <v>4.9999999999997158E-2</v>
      </c>
      <c r="J427" s="83">
        <f t="shared" si="83"/>
        <v>0</v>
      </c>
      <c r="K427" s="298" t="s">
        <v>108</v>
      </c>
      <c r="L427" s="142">
        <f t="shared" si="79"/>
        <v>45814</v>
      </c>
      <c r="M427" s="142">
        <v>45799</v>
      </c>
      <c r="N427" s="142">
        <f t="shared" si="71"/>
        <v>45801</v>
      </c>
      <c r="O427" s="143">
        <f t="shared" ca="1" si="84"/>
        <v>15</v>
      </c>
      <c r="P427" s="142">
        <v>45826</v>
      </c>
      <c r="Q427" s="142">
        <v>45818</v>
      </c>
      <c r="R427" s="143">
        <f t="shared" ca="1" si="85"/>
        <v>8</v>
      </c>
      <c r="S427" s="327">
        <v>45818</v>
      </c>
      <c r="T427" s="138"/>
    </row>
    <row r="428" spans="1:20" hidden="1">
      <c r="A428" s="19" t="s">
        <v>188</v>
      </c>
      <c r="B428" s="291">
        <v>155</v>
      </c>
      <c r="C428" s="12" t="s">
        <v>857</v>
      </c>
      <c r="D428" s="314" t="s">
        <v>840</v>
      </c>
      <c r="E428" s="145">
        <v>45874</v>
      </c>
      <c r="F428" s="138">
        <v>92.599998474121094</v>
      </c>
      <c r="G428" s="138">
        <v>93</v>
      </c>
      <c r="H428" s="138">
        <v>88</v>
      </c>
      <c r="I428" s="83">
        <f t="shared" si="82"/>
        <v>-3.0001449584958095E-2</v>
      </c>
      <c r="J428" s="83">
        <f t="shared" si="83"/>
        <v>-0.40000152587890625</v>
      </c>
      <c r="K428" s="298" t="s">
        <v>108</v>
      </c>
      <c r="L428" s="142">
        <f t="shared" si="79"/>
        <v>45814</v>
      </c>
      <c r="M428" s="142">
        <v>45799</v>
      </c>
      <c r="N428" s="142">
        <f t="shared" si="71"/>
        <v>45801</v>
      </c>
      <c r="O428" s="143">
        <f t="shared" ca="1" si="84"/>
        <v>15</v>
      </c>
      <c r="P428" s="142">
        <v>45826</v>
      </c>
      <c r="Q428" s="142">
        <v>45818</v>
      </c>
      <c r="R428" s="143">
        <f t="shared" ca="1" si="85"/>
        <v>8</v>
      </c>
      <c r="S428" s="327">
        <v>45818</v>
      </c>
      <c r="T428" s="138"/>
    </row>
    <row r="429" spans="1:20" hidden="1">
      <c r="A429" s="19" t="s">
        <v>188</v>
      </c>
      <c r="B429" s="291">
        <v>156</v>
      </c>
      <c r="C429" s="12" t="s">
        <v>77</v>
      </c>
      <c r="D429" s="139" t="s">
        <v>147</v>
      </c>
      <c r="E429" s="145">
        <v>45877</v>
      </c>
      <c r="F429" s="138">
        <v>415.20001220703102</v>
      </c>
      <c r="G429" s="138">
        <v>415.2</v>
      </c>
      <c r="H429" s="138">
        <v>394</v>
      </c>
      <c r="I429" s="83">
        <f t="shared" si="82"/>
        <v>0.44001159667942602</v>
      </c>
      <c r="J429" s="83">
        <f t="shared" si="83"/>
        <v>1.2207031033995008E-5</v>
      </c>
      <c r="K429" s="298" t="s">
        <v>890</v>
      </c>
      <c r="L429" s="142">
        <f t="shared" si="79"/>
        <v>45805</v>
      </c>
      <c r="M429" s="142">
        <v>45803</v>
      </c>
      <c r="N429" s="142">
        <f t="shared" si="71"/>
        <v>45805</v>
      </c>
      <c r="O429" s="143">
        <f t="shared" ca="1" si="84"/>
        <v>2</v>
      </c>
      <c r="P429" s="142">
        <v>45817</v>
      </c>
      <c r="Q429" s="142">
        <v>45819</v>
      </c>
      <c r="R429" s="143">
        <f t="shared" ca="1" si="85"/>
        <v>-2</v>
      </c>
      <c r="S429" s="138"/>
      <c r="T429" s="138"/>
    </row>
    <row r="430" spans="1:20" hidden="1">
      <c r="A430" s="19" t="s">
        <v>188</v>
      </c>
      <c r="B430" s="291">
        <v>156</v>
      </c>
      <c r="C430" s="12" t="s">
        <v>77</v>
      </c>
      <c r="D430" s="139" t="s">
        <v>148</v>
      </c>
      <c r="E430" s="145">
        <v>45877</v>
      </c>
      <c r="F430" s="138">
        <v>654.40002441406295</v>
      </c>
      <c r="G430" s="138">
        <v>654</v>
      </c>
      <c r="H430" s="138">
        <v>622</v>
      </c>
      <c r="I430" s="83">
        <f t="shared" si="82"/>
        <v>-0.31997680664017025</v>
      </c>
      <c r="J430" s="83">
        <f t="shared" si="83"/>
        <v>0.40002441406295475</v>
      </c>
      <c r="K430" s="298" t="s">
        <v>890</v>
      </c>
      <c r="L430" s="142">
        <f t="shared" si="79"/>
        <v>45805</v>
      </c>
      <c r="M430" s="142">
        <v>45803</v>
      </c>
      <c r="N430" s="142">
        <f t="shared" si="71"/>
        <v>45805</v>
      </c>
      <c r="O430" s="143">
        <f t="shared" ca="1" si="84"/>
        <v>2</v>
      </c>
      <c r="P430" s="142">
        <v>45817</v>
      </c>
      <c r="Q430" s="142">
        <v>45822</v>
      </c>
      <c r="R430" s="143">
        <f t="shared" ca="1" si="85"/>
        <v>-5</v>
      </c>
      <c r="S430" s="138"/>
      <c r="T430" s="138"/>
    </row>
    <row r="431" spans="1:20" hidden="1">
      <c r="A431" s="19" t="s">
        <v>188</v>
      </c>
      <c r="B431" s="291">
        <v>156</v>
      </c>
      <c r="C431" s="12" t="s">
        <v>79</v>
      </c>
      <c r="D431" s="139" t="s">
        <v>147</v>
      </c>
      <c r="E431" s="145">
        <v>45877</v>
      </c>
      <c r="F431" s="138">
        <v>5.1999998092651403</v>
      </c>
      <c r="G431" s="138">
        <v>5.2</v>
      </c>
      <c r="H431" s="138">
        <v>5</v>
      </c>
      <c r="I431" s="83">
        <f t="shared" si="82"/>
        <v>-6.0000181198116564E-2</v>
      </c>
      <c r="J431" s="83">
        <f t="shared" si="83"/>
        <v>-1.9073485990617201E-7</v>
      </c>
      <c r="K431" s="298" t="s">
        <v>890</v>
      </c>
      <c r="L431" s="142">
        <f t="shared" si="79"/>
        <v>45805</v>
      </c>
      <c r="M431" s="142">
        <v>45803</v>
      </c>
      <c r="N431" s="142">
        <f t="shared" si="71"/>
        <v>45805</v>
      </c>
      <c r="O431" s="143">
        <f t="shared" ca="1" si="84"/>
        <v>2</v>
      </c>
      <c r="P431" s="142">
        <v>45817</v>
      </c>
      <c r="Q431" s="142">
        <v>45819</v>
      </c>
      <c r="R431" s="143">
        <f t="shared" ca="1" si="85"/>
        <v>-2</v>
      </c>
      <c r="S431" s="138"/>
      <c r="T431" s="138"/>
    </row>
    <row r="432" spans="1:20" hidden="1">
      <c r="A432" s="19" t="s">
        <v>188</v>
      </c>
      <c r="B432" s="291">
        <v>156</v>
      </c>
      <c r="C432" s="12" t="s">
        <v>80</v>
      </c>
      <c r="D432" s="315" t="s">
        <v>146</v>
      </c>
      <c r="E432" s="145">
        <v>45877</v>
      </c>
      <c r="F432" s="138">
        <v>945.20001220703102</v>
      </c>
      <c r="G432" s="138">
        <v>945.2</v>
      </c>
      <c r="H432" s="138">
        <v>898</v>
      </c>
      <c r="I432" s="83">
        <f t="shared" si="82"/>
        <v>-5.9988403320517136E-2</v>
      </c>
      <c r="J432" s="83">
        <f t="shared" si="83"/>
        <v>1.2207030977151589E-5</v>
      </c>
      <c r="K432" s="140" t="s">
        <v>133</v>
      </c>
      <c r="L432" s="142">
        <f t="shared" si="79"/>
        <v>45805</v>
      </c>
      <c r="M432" s="142">
        <v>45806</v>
      </c>
      <c r="N432" s="142">
        <f t="shared" si="71"/>
        <v>45808</v>
      </c>
      <c r="O432" s="143">
        <f t="shared" ca="1" si="84"/>
        <v>-1</v>
      </c>
      <c r="P432" s="142">
        <v>45817</v>
      </c>
      <c r="Q432" s="142">
        <v>45815</v>
      </c>
      <c r="R432" s="143">
        <f t="shared" ca="1" si="85"/>
        <v>2</v>
      </c>
      <c r="S432" s="138"/>
      <c r="T432" s="138"/>
    </row>
    <row r="433" spans="1:20" hidden="1">
      <c r="A433" s="19" t="s">
        <v>188</v>
      </c>
      <c r="B433" s="291">
        <v>156</v>
      </c>
      <c r="C433" s="12" t="s">
        <v>75</v>
      </c>
      <c r="D433" s="314" t="s">
        <v>841</v>
      </c>
      <c r="E433" s="145">
        <v>45877</v>
      </c>
      <c r="F433" s="138">
        <v>78</v>
      </c>
      <c r="G433" s="138">
        <v>78</v>
      </c>
      <c r="H433" s="138">
        <v>74</v>
      </c>
      <c r="I433" s="83">
        <f t="shared" si="82"/>
        <v>9.9999999999994316E-2</v>
      </c>
      <c r="J433" s="83">
        <f t="shared" si="83"/>
        <v>0</v>
      </c>
      <c r="K433" s="298" t="s">
        <v>108</v>
      </c>
      <c r="L433" s="142">
        <f t="shared" si="79"/>
        <v>45817</v>
      </c>
      <c r="M433" s="142">
        <v>45799</v>
      </c>
      <c r="N433" s="142">
        <f t="shared" si="71"/>
        <v>45801</v>
      </c>
      <c r="O433" s="143">
        <f t="shared" ca="1" si="84"/>
        <v>18</v>
      </c>
      <c r="P433" s="142">
        <v>45829</v>
      </c>
      <c r="Q433" s="142">
        <v>45818</v>
      </c>
      <c r="R433" s="143">
        <f t="shared" ca="1" si="85"/>
        <v>11</v>
      </c>
      <c r="S433" s="327">
        <v>45818</v>
      </c>
      <c r="T433" s="138"/>
    </row>
    <row r="434" spans="1:20" hidden="1">
      <c r="A434" s="19" t="s">
        <v>188</v>
      </c>
      <c r="B434" s="291">
        <v>156</v>
      </c>
      <c r="C434" s="12" t="s">
        <v>75</v>
      </c>
      <c r="D434" s="314" t="s">
        <v>840</v>
      </c>
      <c r="E434" s="145">
        <v>45877</v>
      </c>
      <c r="F434" s="138">
        <v>73.099998474121094</v>
      </c>
      <c r="G434" s="138">
        <v>73</v>
      </c>
      <c r="H434" s="138">
        <v>69</v>
      </c>
      <c r="I434" s="83">
        <f t="shared" si="82"/>
        <v>0.44499855041503622</v>
      </c>
      <c r="J434" s="83">
        <f t="shared" si="83"/>
        <v>9.999847412109375E-2</v>
      </c>
      <c r="K434" s="298" t="s">
        <v>108</v>
      </c>
      <c r="L434" s="142">
        <f t="shared" si="79"/>
        <v>45817</v>
      </c>
      <c r="M434" s="142">
        <v>45799</v>
      </c>
      <c r="N434" s="142">
        <f t="shared" si="71"/>
        <v>45801</v>
      </c>
      <c r="O434" s="143">
        <f t="shared" ca="1" si="84"/>
        <v>18</v>
      </c>
      <c r="P434" s="142">
        <v>45829</v>
      </c>
      <c r="Q434" s="142">
        <v>45818</v>
      </c>
      <c r="R434" s="143">
        <f t="shared" ca="1" si="85"/>
        <v>11</v>
      </c>
      <c r="S434" s="327">
        <v>45818</v>
      </c>
      <c r="T434" s="138"/>
    </row>
    <row r="435" spans="1:20" hidden="1">
      <c r="A435" s="19" t="s">
        <v>188</v>
      </c>
      <c r="B435" s="291">
        <v>156</v>
      </c>
      <c r="C435" s="12" t="s">
        <v>857</v>
      </c>
      <c r="D435" s="314" t="s">
        <v>841</v>
      </c>
      <c r="E435" s="145">
        <v>45877</v>
      </c>
      <c r="F435" s="138">
        <v>89.5</v>
      </c>
      <c r="G435" s="138">
        <v>90</v>
      </c>
      <c r="H435" s="138">
        <v>85</v>
      </c>
      <c r="I435" s="83">
        <f t="shared" si="82"/>
        <v>2.4999999999991473E-2</v>
      </c>
      <c r="J435" s="83">
        <f t="shared" si="83"/>
        <v>-0.5</v>
      </c>
      <c r="K435" s="298" t="s">
        <v>108</v>
      </c>
      <c r="L435" s="142">
        <f t="shared" si="79"/>
        <v>45817</v>
      </c>
      <c r="M435" s="142">
        <v>45799</v>
      </c>
      <c r="N435" s="142">
        <f t="shared" si="71"/>
        <v>45801</v>
      </c>
      <c r="O435" s="143">
        <f t="shared" ca="1" si="84"/>
        <v>18</v>
      </c>
      <c r="P435" s="142">
        <v>45829</v>
      </c>
      <c r="Q435" s="142">
        <v>45818</v>
      </c>
      <c r="R435" s="143">
        <f t="shared" ca="1" si="85"/>
        <v>11</v>
      </c>
      <c r="S435" s="327">
        <v>45818</v>
      </c>
      <c r="T435" s="138"/>
    </row>
    <row r="436" spans="1:20" hidden="1">
      <c r="A436" s="19" t="s">
        <v>188</v>
      </c>
      <c r="B436" s="291">
        <v>156</v>
      </c>
      <c r="C436" s="12" t="s">
        <v>857</v>
      </c>
      <c r="D436" s="314" t="s">
        <v>840</v>
      </c>
      <c r="E436" s="145">
        <v>45877</v>
      </c>
      <c r="F436" s="138">
        <v>83.699996948242202</v>
      </c>
      <c r="G436" s="138">
        <v>84</v>
      </c>
      <c r="H436" s="138">
        <v>80</v>
      </c>
      <c r="I436" s="83">
        <f t="shared" si="82"/>
        <v>-0.48500289916991335</v>
      </c>
      <c r="J436" s="83">
        <f t="shared" si="83"/>
        <v>-0.30000305175779829</v>
      </c>
      <c r="K436" s="298" t="s">
        <v>108</v>
      </c>
      <c r="L436" s="142">
        <f t="shared" si="79"/>
        <v>45817</v>
      </c>
      <c r="M436" s="142">
        <v>45799</v>
      </c>
      <c r="N436" s="142">
        <f t="shared" si="71"/>
        <v>45801</v>
      </c>
      <c r="O436" s="143">
        <f t="shared" ca="1" si="84"/>
        <v>18</v>
      </c>
      <c r="P436" s="142">
        <v>45829</v>
      </c>
      <c r="Q436" s="142">
        <v>45818</v>
      </c>
      <c r="R436" s="143">
        <f t="shared" ca="1" si="85"/>
        <v>11</v>
      </c>
      <c r="S436" s="327">
        <v>45818</v>
      </c>
      <c r="T436" s="138"/>
    </row>
    <row r="437" spans="1:20" hidden="1">
      <c r="A437" s="19" t="s">
        <v>188</v>
      </c>
      <c r="B437" s="291">
        <v>157</v>
      </c>
      <c r="C437" s="12" t="s">
        <v>77</v>
      </c>
      <c r="D437" s="139" t="s">
        <v>147</v>
      </c>
      <c r="E437" s="145">
        <v>45884</v>
      </c>
      <c r="F437" s="138">
        <v>339.70001220703102</v>
      </c>
      <c r="G437" s="138">
        <v>339</v>
      </c>
      <c r="H437" s="138">
        <v>323</v>
      </c>
      <c r="I437" s="83">
        <f t="shared" si="82"/>
        <v>-0.28498840332053987</v>
      </c>
      <c r="J437" s="83">
        <f t="shared" si="83"/>
        <v>0.70001220703102263</v>
      </c>
      <c r="K437" s="298" t="s">
        <v>890</v>
      </c>
      <c r="L437" s="142">
        <f t="shared" si="79"/>
        <v>45812</v>
      </c>
      <c r="M437" s="142">
        <v>45803</v>
      </c>
      <c r="N437" s="142">
        <f t="shared" si="71"/>
        <v>45805</v>
      </c>
      <c r="O437" s="143">
        <f t="shared" ca="1" si="84"/>
        <v>9</v>
      </c>
      <c r="P437" s="142">
        <v>45824</v>
      </c>
      <c r="Q437" s="142">
        <v>45822</v>
      </c>
      <c r="R437" s="143">
        <f t="shared" ca="1" si="85"/>
        <v>2</v>
      </c>
      <c r="S437" s="138"/>
      <c r="T437" s="138"/>
    </row>
    <row r="438" spans="1:20" hidden="1">
      <c r="A438" s="19" t="s">
        <v>188</v>
      </c>
      <c r="B438" s="291">
        <v>157</v>
      </c>
      <c r="C438" s="12" t="s">
        <v>77</v>
      </c>
      <c r="D438" s="139" t="s">
        <v>148</v>
      </c>
      <c r="E438" s="145">
        <v>45884</v>
      </c>
      <c r="F438" s="138">
        <v>535.40002441406295</v>
      </c>
      <c r="G438" s="138">
        <v>535.4</v>
      </c>
      <c r="H438" s="138">
        <v>509</v>
      </c>
      <c r="I438" s="83">
        <f t="shared" si="82"/>
        <v>-0.36997680664023846</v>
      </c>
      <c r="J438" s="83">
        <f t="shared" si="83"/>
        <v>2.4414062977484718E-5</v>
      </c>
      <c r="K438" s="298" t="s">
        <v>890</v>
      </c>
      <c r="L438" s="142">
        <f t="shared" si="79"/>
        <v>45812</v>
      </c>
      <c r="M438" s="142">
        <v>45803</v>
      </c>
      <c r="N438" s="142">
        <f t="shared" si="71"/>
        <v>45805</v>
      </c>
      <c r="O438" s="143">
        <f t="shared" ca="1" si="84"/>
        <v>9</v>
      </c>
      <c r="P438" s="142">
        <v>45824</v>
      </c>
      <c r="Q438" s="142">
        <v>45819</v>
      </c>
      <c r="R438" s="143">
        <f t="shared" ca="1" si="85"/>
        <v>5</v>
      </c>
      <c r="S438" s="138"/>
      <c r="T438" s="138"/>
    </row>
    <row r="439" spans="1:20" hidden="1">
      <c r="A439" s="19" t="s">
        <v>188</v>
      </c>
      <c r="B439" s="291">
        <v>157</v>
      </c>
      <c r="C439" s="12" t="s">
        <v>79</v>
      </c>
      <c r="D439" s="139" t="s">
        <v>147</v>
      </c>
      <c r="E439" s="145">
        <v>45884</v>
      </c>
      <c r="F439" s="138">
        <v>4.1999998092651403</v>
      </c>
      <c r="G439" s="138">
        <v>4.2</v>
      </c>
      <c r="H439" s="138">
        <v>4</v>
      </c>
      <c r="I439" s="83">
        <f t="shared" si="82"/>
        <v>-1.0000181198116742E-2</v>
      </c>
      <c r="J439" s="83">
        <f t="shared" si="83"/>
        <v>-1.9073485990617201E-7</v>
      </c>
      <c r="K439" s="298" t="s">
        <v>890</v>
      </c>
      <c r="L439" s="142">
        <f t="shared" si="79"/>
        <v>45812</v>
      </c>
      <c r="M439" s="142">
        <v>45803</v>
      </c>
      <c r="N439" s="142">
        <f t="shared" si="71"/>
        <v>45805</v>
      </c>
      <c r="O439" s="143">
        <f t="shared" ca="1" si="84"/>
        <v>9</v>
      </c>
      <c r="P439" s="142">
        <v>45824</v>
      </c>
      <c r="Q439" s="142">
        <v>45819</v>
      </c>
      <c r="R439" s="143">
        <f t="shared" ca="1" si="85"/>
        <v>5</v>
      </c>
      <c r="S439" s="138"/>
      <c r="T439" s="138"/>
    </row>
    <row r="440" spans="1:20" hidden="1">
      <c r="A440" s="19" t="s">
        <v>188</v>
      </c>
      <c r="B440" s="291">
        <v>158</v>
      </c>
      <c r="C440" s="12" t="s">
        <v>79</v>
      </c>
      <c r="D440" s="313" t="s">
        <v>146</v>
      </c>
      <c r="E440" s="145">
        <v>45884</v>
      </c>
      <c r="F440" s="138">
        <v>5.6999998092651403</v>
      </c>
      <c r="G440" s="138">
        <v>5.7</v>
      </c>
      <c r="H440" s="138">
        <v>5</v>
      </c>
      <c r="I440" s="83">
        <f t="shared" si="82"/>
        <v>0.41499981880188308</v>
      </c>
      <c r="J440" s="83">
        <f t="shared" si="83"/>
        <v>-1.9073485990617201E-7</v>
      </c>
      <c r="K440" s="298" t="s">
        <v>108</v>
      </c>
      <c r="L440" s="142">
        <f t="shared" si="79"/>
        <v>45814</v>
      </c>
      <c r="M440" s="142">
        <v>45798</v>
      </c>
      <c r="N440" s="142">
        <f t="shared" si="71"/>
        <v>45800</v>
      </c>
      <c r="O440" s="143">
        <f t="shared" ca="1" si="84"/>
        <v>16</v>
      </c>
      <c r="P440" s="142">
        <v>45826</v>
      </c>
      <c r="Q440" s="142">
        <v>45822</v>
      </c>
      <c r="R440" s="143">
        <f t="shared" ca="1" si="85"/>
        <v>4</v>
      </c>
      <c r="S440" s="138"/>
      <c r="T440" s="138"/>
    </row>
    <row r="441" spans="1:20" hidden="1">
      <c r="A441" s="19" t="s">
        <v>188</v>
      </c>
      <c r="B441" s="291">
        <v>158</v>
      </c>
      <c r="C441" s="12" t="s">
        <v>80</v>
      </c>
      <c r="D441" s="315" t="s">
        <v>146</v>
      </c>
      <c r="E441" s="145">
        <v>45884</v>
      </c>
      <c r="F441" s="138">
        <v>1116</v>
      </c>
      <c r="G441" s="138">
        <v>1116</v>
      </c>
      <c r="H441" s="138">
        <v>1060</v>
      </c>
      <c r="I441" s="83">
        <f t="shared" si="82"/>
        <v>0.20000000000004547</v>
      </c>
      <c r="J441" s="83">
        <f t="shared" si="83"/>
        <v>0</v>
      </c>
      <c r="K441" s="140" t="s">
        <v>133</v>
      </c>
      <c r="L441" s="142">
        <f t="shared" si="79"/>
        <v>45814</v>
      </c>
      <c r="M441" s="142">
        <v>45806</v>
      </c>
      <c r="N441" s="142">
        <f t="shared" si="71"/>
        <v>45808</v>
      </c>
      <c r="O441" s="143">
        <f t="shared" ca="1" si="84"/>
        <v>8</v>
      </c>
      <c r="P441" s="142">
        <v>45826</v>
      </c>
      <c r="Q441" s="142">
        <v>45815</v>
      </c>
      <c r="R441" s="143">
        <f t="shared" ca="1" si="85"/>
        <v>11</v>
      </c>
      <c r="S441" s="138"/>
      <c r="T441" s="138"/>
    </row>
    <row r="442" spans="1:20" hidden="1">
      <c r="A442" s="19" t="s">
        <v>188</v>
      </c>
      <c r="B442" s="291">
        <v>159</v>
      </c>
      <c r="C442" s="12" t="s">
        <v>75</v>
      </c>
      <c r="D442" s="314" t="s">
        <v>841</v>
      </c>
      <c r="E442" s="145">
        <v>45891</v>
      </c>
      <c r="F442" s="138">
        <v>76.300003051757798</v>
      </c>
      <c r="G442" s="138">
        <v>76</v>
      </c>
      <c r="H442" s="138">
        <v>72</v>
      </c>
      <c r="I442" s="83">
        <f t="shared" si="82"/>
        <v>0.48500289916989914</v>
      </c>
      <c r="J442" s="83">
        <f t="shared" si="83"/>
        <v>0.30000305175779829</v>
      </c>
      <c r="K442" s="298" t="s">
        <v>108</v>
      </c>
      <c r="L442" s="142">
        <f t="shared" si="79"/>
        <v>45831</v>
      </c>
      <c r="M442" s="142">
        <v>45799</v>
      </c>
      <c r="N442" s="142">
        <f t="shared" si="71"/>
        <v>45801</v>
      </c>
      <c r="O442" s="143">
        <f t="shared" ca="1" si="84"/>
        <v>32</v>
      </c>
      <c r="P442" s="142">
        <v>45843</v>
      </c>
      <c r="Q442" s="142">
        <v>45818</v>
      </c>
      <c r="R442" s="143">
        <f t="shared" ca="1" si="85"/>
        <v>25</v>
      </c>
      <c r="S442" s="327">
        <v>45818</v>
      </c>
      <c r="T442" s="138"/>
    </row>
    <row r="443" spans="1:20" hidden="1">
      <c r="A443" s="19" t="s">
        <v>188</v>
      </c>
      <c r="B443" s="291">
        <v>159</v>
      </c>
      <c r="C443" s="12" t="s">
        <v>75</v>
      </c>
      <c r="D443" s="314" t="s">
        <v>840</v>
      </c>
      <c r="E443" s="145">
        <v>45891</v>
      </c>
      <c r="F443" s="138">
        <v>71.5</v>
      </c>
      <c r="G443" s="138">
        <v>72</v>
      </c>
      <c r="H443" s="138">
        <v>68</v>
      </c>
      <c r="I443" s="83">
        <f t="shared" si="82"/>
        <v>-7.5000000000002842E-2</v>
      </c>
      <c r="J443" s="83">
        <f t="shared" si="83"/>
        <v>-0.5</v>
      </c>
      <c r="K443" s="298" t="s">
        <v>108</v>
      </c>
      <c r="L443" s="142">
        <f t="shared" si="79"/>
        <v>45831</v>
      </c>
      <c r="M443" s="142">
        <v>45799</v>
      </c>
      <c r="N443" s="142">
        <f t="shared" si="71"/>
        <v>45801</v>
      </c>
      <c r="O443" s="143">
        <f t="shared" ca="1" si="84"/>
        <v>32</v>
      </c>
      <c r="P443" s="142">
        <v>45843</v>
      </c>
      <c r="Q443" s="142">
        <v>45818</v>
      </c>
      <c r="R443" s="143">
        <f t="shared" ca="1" si="85"/>
        <v>25</v>
      </c>
      <c r="S443" s="327">
        <v>45818</v>
      </c>
      <c r="T443" s="138"/>
    </row>
    <row r="444" spans="1:20" hidden="1">
      <c r="A444" s="19" t="s">
        <v>188</v>
      </c>
      <c r="B444" s="291">
        <v>159</v>
      </c>
      <c r="C444" s="12" t="s">
        <v>857</v>
      </c>
      <c r="D444" s="314" t="s">
        <v>841</v>
      </c>
      <c r="E444" s="145">
        <v>45891</v>
      </c>
      <c r="F444" s="138">
        <v>87.599998474121094</v>
      </c>
      <c r="G444" s="138">
        <v>88</v>
      </c>
      <c r="H444" s="138">
        <v>83</v>
      </c>
      <c r="I444" s="83">
        <f t="shared" si="82"/>
        <v>0.2199985504150419</v>
      </c>
      <c r="J444" s="83">
        <f t="shared" si="83"/>
        <v>-0.40000152587890625</v>
      </c>
      <c r="K444" s="298" t="s">
        <v>108</v>
      </c>
      <c r="L444" s="142">
        <f t="shared" si="79"/>
        <v>45831</v>
      </c>
      <c r="M444" s="142">
        <v>45799</v>
      </c>
      <c r="N444" s="142">
        <f t="shared" si="71"/>
        <v>45801</v>
      </c>
      <c r="O444" s="143">
        <f t="shared" ca="1" si="84"/>
        <v>32</v>
      </c>
      <c r="P444" s="142">
        <v>45843</v>
      </c>
      <c r="Q444" s="142">
        <v>45818</v>
      </c>
      <c r="R444" s="143">
        <f t="shared" ca="1" si="85"/>
        <v>25</v>
      </c>
      <c r="S444" s="327">
        <v>45818</v>
      </c>
      <c r="T444" s="138"/>
    </row>
    <row r="445" spans="1:20" hidden="1">
      <c r="A445" s="19" t="s">
        <v>188</v>
      </c>
      <c r="B445" s="291">
        <v>159</v>
      </c>
      <c r="C445" s="12" t="s">
        <v>857</v>
      </c>
      <c r="D445" s="314" t="s">
        <v>840</v>
      </c>
      <c r="E445" s="145">
        <v>45891</v>
      </c>
      <c r="F445" s="138">
        <v>81.900001525878906</v>
      </c>
      <c r="G445" s="138">
        <v>82</v>
      </c>
      <c r="H445" s="138">
        <v>78</v>
      </c>
      <c r="I445" s="83">
        <f t="shared" si="82"/>
        <v>-0.19499855041503622</v>
      </c>
      <c r="J445" s="83">
        <f t="shared" si="83"/>
        <v>-9.999847412109375E-2</v>
      </c>
      <c r="K445" s="298" t="s">
        <v>108</v>
      </c>
      <c r="L445" s="142">
        <f t="shared" si="79"/>
        <v>45831</v>
      </c>
      <c r="M445" s="142">
        <v>45799</v>
      </c>
      <c r="N445" s="142">
        <f t="shared" si="71"/>
        <v>45801</v>
      </c>
      <c r="O445" s="143">
        <f t="shared" ca="1" si="84"/>
        <v>32</v>
      </c>
      <c r="P445" s="142">
        <v>45843</v>
      </c>
      <c r="Q445" s="142">
        <v>45818</v>
      </c>
      <c r="R445" s="143">
        <f t="shared" ca="1" si="85"/>
        <v>25</v>
      </c>
      <c r="S445" s="327">
        <v>45818</v>
      </c>
      <c r="T445" s="138"/>
    </row>
    <row r="446" spans="1:20" hidden="1">
      <c r="A446" s="19" t="s">
        <v>188</v>
      </c>
      <c r="B446" s="291">
        <v>160</v>
      </c>
      <c r="C446" s="12" t="s">
        <v>77</v>
      </c>
      <c r="D446" s="139" t="s">
        <v>147</v>
      </c>
      <c r="E446" s="145">
        <v>45891</v>
      </c>
      <c r="F446" s="138">
        <v>211.39999389648401</v>
      </c>
      <c r="G446" s="138">
        <v>211.4</v>
      </c>
      <c r="H446" s="138">
        <v>201</v>
      </c>
      <c r="I446" s="83">
        <f t="shared" si="82"/>
        <v>-0.17000579834021323</v>
      </c>
      <c r="J446" s="83">
        <f t="shared" si="83"/>
        <v>-6.1035160001665645E-6</v>
      </c>
      <c r="K446" s="298" t="s">
        <v>890</v>
      </c>
      <c r="L446" s="142">
        <f t="shared" si="79"/>
        <v>45819</v>
      </c>
      <c r="M446" s="142">
        <v>45803</v>
      </c>
      <c r="N446" s="142">
        <f t="shared" si="71"/>
        <v>45805</v>
      </c>
      <c r="O446" s="143">
        <f t="shared" ca="1" si="84"/>
        <v>16</v>
      </c>
      <c r="P446" s="142">
        <v>45831</v>
      </c>
      <c r="Q446" s="142">
        <v>45819</v>
      </c>
      <c r="R446" s="143">
        <f t="shared" ca="1" si="85"/>
        <v>12</v>
      </c>
      <c r="S446" s="138"/>
      <c r="T446" s="138"/>
    </row>
    <row r="447" spans="1:20" hidden="1">
      <c r="A447" s="19" t="s">
        <v>188</v>
      </c>
      <c r="B447" s="291">
        <v>160</v>
      </c>
      <c r="C447" s="12" t="s">
        <v>77</v>
      </c>
      <c r="D447" s="139" t="s">
        <v>148</v>
      </c>
      <c r="E447" s="145">
        <v>45891</v>
      </c>
      <c r="F447" s="138">
        <v>333.10000610351602</v>
      </c>
      <c r="G447" s="138">
        <v>333.1</v>
      </c>
      <c r="H447" s="138">
        <v>316</v>
      </c>
      <c r="I447" s="83">
        <f t="shared" si="82"/>
        <v>0.44500579834021892</v>
      </c>
      <c r="J447" s="83">
        <f t="shared" si="83"/>
        <v>6.1035160001665645E-6</v>
      </c>
      <c r="K447" s="298" t="s">
        <v>890</v>
      </c>
      <c r="L447" s="142">
        <f t="shared" si="79"/>
        <v>45819</v>
      </c>
      <c r="M447" s="142">
        <v>45803</v>
      </c>
      <c r="N447" s="142">
        <f t="shared" si="71"/>
        <v>45805</v>
      </c>
      <c r="O447" s="143">
        <f t="shared" ca="1" si="84"/>
        <v>16</v>
      </c>
      <c r="P447" s="142">
        <v>45831</v>
      </c>
      <c r="Q447" s="142">
        <v>45822</v>
      </c>
      <c r="R447" s="143">
        <f t="shared" ca="1" si="85"/>
        <v>9</v>
      </c>
      <c r="S447" s="138"/>
      <c r="T447" s="138"/>
    </row>
    <row r="448" spans="1:20" hidden="1">
      <c r="A448" s="19" t="s">
        <v>188</v>
      </c>
      <c r="B448" s="291">
        <v>160</v>
      </c>
      <c r="C448" s="12" t="s">
        <v>79</v>
      </c>
      <c r="D448" s="313" t="s">
        <v>138</v>
      </c>
      <c r="E448" s="145">
        <v>45891</v>
      </c>
      <c r="F448" s="138">
        <v>169.10000610351599</v>
      </c>
      <c r="G448" s="138">
        <v>169.1</v>
      </c>
      <c r="H448" s="138">
        <v>161</v>
      </c>
      <c r="I448" s="83">
        <f t="shared" si="82"/>
        <v>-0.35499420165982087</v>
      </c>
      <c r="J448" s="83">
        <f t="shared" si="83"/>
        <v>6.1035160001665645E-6</v>
      </c>
      <c r="K448" s="298" t="s">
        <v>108</v>
      </c>
      <c r="L448" s="142">
        <f t="shared" si="79"/>
        <v>45819</v>
      </c>
      <c r="M448" s="142">
        <v>45798</v>
      </c>
      <c r="N448" s="142">
        <f t="shared" si="71"/>
        <v>45800</v>
      </c>
      <c r="O448" s="143">
        <f t="shared" ca="1" si="84"/>
        <v>21</v>
      </c>
      <c r="P448" s="142">
        <v>45831</v>
      </c>
      <c r="Q448" s="142">
        <v>45815</v>
      </c>
      <c r="R448" s="143">
        <f t="shared" ca="1" si="85"/>
        <v>16</v>
      </c>
      <c r="S448" s="138"/>
      <c r="T448" s="138"/>
    </row>
    <row r="449" spans="1:20" hidden="1">
      <c r="A449" s="19" t="s">
        <v>188</v>
      </c>
      <c r="B449" s="291">
        <v>160</v>
      </c>
      <c r="C449" s="12" t="s">
        <v>79</v>
      </c>
      <c r="D449" s="139" t="s">
        <v>147</v>
      </c>
      <c r="E449" s="145">
        <v>45891</v>
      </c>
      <c r="F449" s="138">
        <v>2.7000000476837198</v>
      </c>
      <c r="G449" s="138">
        <v>2.7</v>
      </c>
      <c r="H449" s="138">
        <v>3</v>
      </c>
      <c r="I449" s="83">
        <f t="shared" si="82"/>
        <v>-0.43499995470046615</v>
      </c>
      <c r="J449" s="83">
        <f t="shared" si="83"/>
        <v>4.7683719639479705E-8</v>
      </c>
      <c r="K449" s="298" t="s">
        <v>890</v>
      </c>
      <c r="L449" s="142">
        <f t="shared" si="79"/>
        <v>45819</v>
      </c>
      <c r="M449" s="142">
        <v>45803</v>
      </c>
      <c r="N449" s="142">
        <f t="shared" si="71"/>
        <v>45805</v>
      </c>
      <c r="O449" s="143">
        <f t="shared" ca="1" si="84"/>
        <v>16</v>
      </c>
      <c r="P449" s="142">
        <v>45831</v>
      </c>
      <c r="Q449" s="142">
        <v>45826</v>
      </c>
      <c r="R449" s="143">
        <f t="shared" ca="1" si="85"/>
        <v>5</v>
      </c>
      <c r="S449" s="138"/>
      <c r="T449" s="138"/>
    </row>
    <row r="450" spans="1:20" hidden="1">
      <c r="A450" s="19" t="s">
        <v>188</v>
      </c>
      <c r="B450" s="291">
        <v>160</v>
      </c>
      <c r="C450" s="12" t="s">
        <v>93</v>
      </c>
      <c r="D450" s="139" t="s">
        <v>844</v>
      </c>
      <c r="E450" s="145">
        <v>45891</v>
      </c>
      <c r="F450" s="138">
        <v>173.10000610351599</v>
      </c>
      <c r="G450" s="138">
        <v>173.1</v>
      </c>
      <c r="H450" s="138">
        <v>164</v>
      </c>
      <c r="I450" s="83">
        <f t="shared" si="82"/>
        <v>0.44500579834019049</v>
      </c>
      <c r="J450" s="83">
        <f t="shared" si="83"/>
        <v>6.1035160001665645E-6</v>
      </c>
      <c r="K450" s="298" t="s">
        <v>142</v>
      </c>
      <c r="L450" s="142">
        <f t="shared" si="79"/>
        <v>45823</v>
      </c>
      <c r="M450" s="142">
        <v>45803</v>
      </c>
      <c r="N450" s="142">
        <f t="shared" si="71"/>
        <v>45805</v>
      </c>
      <c r="O450" s="143">
        <f t="shared" ca="1" si="84"/>
        <v>20</v>
      </c>
      <c r="P450" s="142">
        <v>45835</v>
      </c>
      <c r="Q450" s="142">
        <v>45820</v>
      </c>
      <c r="R450" s="143">
        <f t="shared" ca="1" si="85"/>
        <v>15</v>
      </c>
      <c r="S450" s="138"/>
      <c r="T450" s="138"/>
    </row>
    <row r="451" spans="1:20" hidden="1">
      <c r="A451" s="19" t="s">
        <v>188</v>
      </c>
      <c r="B451" s="291">
        <v>160</v>
      </c>
      <c r="C451" s="12" t="s">
        <v>93</v>
      </c>
      <c r="D451" s="139" t="s">
        <v>843</v>
      </c>
      <c r="E451" s="145">
        <v>45891</v>
      </c>
      <c r="F451" s="138">
        <v>207.80000305175801</v>
      </c>
      <c r="G451" s="138">
        <v>207.8</v>
      </c>
      <c r="H451" s="138">
        <v>197</v>
      </c>
      <c r="I451" s="83">
        <f t="shared" si="82"/>
        <v>0.41000289917010946</v>
      </c>
      <c r="J451" s="83">
        <f t="shared" si="83"/>
        <v>3.0517580000832822E-6</v>
      </c>
      <c r="K451" s="298" t="s">
        <v>142</v>
      </c>
      <c r="L451" s="142">
        <f t="shared" si="79"/>
        <v>45823</v>
      </c>
      <c r="M451" s="142">
        <v>45803</v>
      </c>
      <c r="N451" s="142">
        <f t="shared" si="71"/>
        <v>45805</v>
      </c>
      <c r="O451" s="143">
        <f t="shared" ca="1" si="84"/>
        <v>20</v>
      </c>
      <c r="P451" s="142">
        <v>45835</v>
      </c>
      <c r="Q451" s="142">
        <v>45827</v>
      </c>
      <c r="R451" s="143">
        <f t="shared" ca="1" si="85"/>
        <v>8</v>
      </c>
      <c r="S451" s="138"/>
      <c r="T451" s="138"/>
    </row>
    <row r="452" spans="1:20" hidden="1">
      <c r="A452" s="19" t="s">
        <v>188</v>
      </c>
      <c r="B452" s="291">
        <v>161</v>
      </c>
      <c r="C452" s="12" t="s">
        <v>77</v>
      </c>
      <c r="D452" s="313" t="s">
        <v>137</v>
      </c>
      <c r="E452" s="145">
        <v>45898</v>
      </c>
      <c r="F452" s="138">
        <v>143.60000610351599</v>
      </c>
      <c r="G452" s="138">
        <v>143.6</v>
      </c>
      <c r="H452" s="138">
        <v>138</v>
      </c>
      <c r="I452" s="83">
        <f t="shared" si="82"/>
        <v>-1.5799942016598152</v>
      </c>
      <c r="J452" s="83">
        <f t="shared" si="83"/>
        <v>6.1035160001665645E-6</v>
      </c>
      <c r="K452" s="298" t="s">
        <v>108</v>
      </c>
      <c r="L452" s="142">
        <f t="shared" si="79"/>
        <v>45832</v>
      </c>
      <c r="M452" s="142">
        <v>45798</v>
      </c>
      <c r="N452" s="142">
        <f t="shared" si="71"/>
        <v>45800</v>
      </c>
      <c r="O452" s="143">
        <f t="shared" ca="1" si="84"/>
        <v>34</v>
      </c>
      <c r="P452" s="142">
        <v>45844</v>
      </c>
      <c r="Q452" s="142">
        <v>45824</v>
      </c>
      <c r="R452" s="143">
        <f t="shared" ca="1" si="85"/>
        <v>20</v>
      </c>
      <c r="S452" s="138"/>
      <c r="T452" s="138"/>
    </row>
    <row r="453" spans="1:20" hidden="1">
      <c r="A453" s="19" t="s">
        <v>188</v>
      </c>
      <c r="B453" s="291">
        <v>161</v>
      </c>
      <c r="C453" s="12" t="s">
        <v>82</v>
      </c>
      <c r="D453" s="313" t="s">
        <v>141</v>
      </c>
      <c r="E453" s="145">
        <v>45898</v>
      </c>
      <c r="F453" s="138">
        <v>125</v>
      </c>
      <c r="G453" s="138">
        <v>125</v>
      </c>
      <c r="H453" s="138">
        <v>119</v>
      </c>
      <c r="I453" s="83">
        <f t="shared" si="82"/>
        <v>-0.25</v>
      </c>
      <c r="J453" s="83">
        <f t="shared" si="83"/>
        <v>0</v>
      </c>
      <c r="K453" s="298" t="s">
        <v>900</v>
      </c>
      <c r="L453" s="142">
        <f t="shared" si="79"/>
        <v>45825</v>
      </c>
      <c r="M453" s="142">
        <v>45798</v>
      </c>
      <c r="N453" s="142">
        <f t="shared" si="71"/>
        <v>45800</v>
      </c>
      <c r="O453" s="143">
        <f t="shared" ca="1" si="84"/>
        <v>27</v>
      </c>
      <c r="P453" s="142">
        <v>45837</v>
      </c>
      <c r="Q453" s="142">
        <v>45831</v>
      </c>
      <c r="R453" s="143">
        <f t="shared" ca="1" si="85"/>
        <v>6</v>
      </c>
      <c r="S453" s="84">
        <v>45812</v>
      </c>
      <c r="T453" s="138"/>
    </row>
    <row r="454" spans="1:20" hidden="1">
      <c r="A454" s="19" t="s">
        <v>188</v>
      </c>
      <c r="B454" s="291">
        <v>161</v>
      </c>
      <c r="C454" s="12" t="s">
        <v>82</v>
      </c>
      <c r="D454" s="313" t="s">
        <v>143</v>
      </c>
      <c r="E454" s="145">
        <v>45898</v>
      </c>
      <c r="F454" s="138">
        <v>125</v>
      </c>
      <c r="G454" s="138">
        <v>125</v>
      </c>
      <c r="H454" s="138">
        <v>119</v>
      </c>
      <c r="I454" s="83">
        <f t="shared" si="82"/>
        <v>-0.25</v>
      </c>
      <c r="J454" s="83">
        <f t="shared" si="83"/>
        <v>0</v>
      </c>
      <c r="K454" s="298" t="s">
        <v>900</v>
      </c>
      <c r="L454" s="142">
        <f t="shared" si="79"/>
        <v>45825</v>
      </c>
      <c r="M454" s="142">
        <v>45798</v>
      </c>
      <c r="N454" s="142">
        <f t="shared" si="71"/>
        <v>45800</v>
      </c>
      <c r="O454" s="143">
        <f t="shared" ca="1" si="84"/>
        <v>27</v>
      </c>
      <c r="P454" s="142">
        <v>45837</v>
      </c>
      <c r="Q454" s="142">
        <v>45831</v>
      </c>
      <c r="R454" s="143">
        <f t="shared" ca="1" si="85"/>
        <v>6</v>
      </c>
      <c r="S454" s="84">
        <v>45812</v>
      </c>
      <c r="T454" s="138"/>
    </row>
    <row r="455" spans="1:20" hidden="1">
      <c r="A455" s="19" t="s">
        <v>188</v>
      </c>
      <c r="B455" s="291">
        <v>161</v>
      </c>
      <c r="C455" s="12" t="s">
        <v>82</v>
      </c>
      <c r="D455" s="313" t="s">
        <v>144</v>
      </c>
      <c r="E455" s="145">
        <v>45898</v>
      </c>
      <c r="F455" s="138">
        <v>125</v>
      </c>
      <c r="G455" s="138">
        <v>125</v>
      </c>
      <c r="H455" s="138">
        <v>119</v>
      </c>
      <c r="I455" s="83">
        <f t="shared" si="82"/>
        <v>-0.25</v>
      </c>
      <c r="J455" s="83">
        <f t="shared" si="83"/>
        <v>0</v>
      </c>
      <c r="K455" s="298" t="s">
        <v>900</v>
      </c>
      <c r="L455" s="142">
        <f t="shared" si="79"/>
        <v>45825</v>
      </c>
      <c r="M455" s="142">
        <v>45798</v>
      </c>
      <c r="N455" s="142">
        <f t="shared" si="71"/>
        <v>45800</v>
      </c>
      <c r="O455" s="143">
        <f t="shared" ca="1" si="84"/>
        <v>27</v>
      </c>
      <c r="P455" s="142">
        <v>45837</v>
      </c>
      <c r="Q455" s="142">
        <v>45831</v>
      </c>
      <c r="R455" s="143">
        <f t="shared" ca="1" si="85"/>
        <v>6</v>
      </c>
      <c r="S455" s="84">
        <v>45812</v>
      </c>
      <c r="T455" s="138"/>
    </row>
    <row r="456" spans="1:20" hidden="1">
      <c r="A456" s="19" t="s">
        <v>188</v>
      </c>
      <c r="B456" s="291">
        <v>161</v>
      </c>
      <c r="C456" s="12" t="s">
        <v>79</v>
      </c>
      <c r="D456" s="313" t="s">
        <v>146</v>
      </c>
      <c r="E456" s="145">
        <v>45898</v>
      </c>
      <c r="F456" s="138">
        <v>6.1999998092651403</v>
      </c>
      <c r="G456" s="138">
        <v>6.2</v>
      </c>
      <c r="H456" s="138">
        <v>6</v>
      </c>
      <c r="I456" s="83">
        <f t="shared" si="82"/>
        <v>-0.11000018119811728</v>
      </c>
      <c r="J456" s="83">
        <f t="shared" si="83"/>
        <v>-1.9073485990617201E-7</v>
      </c>
      <c r="K456" s="298" t="s">
        <v>108</v>
      </c>
      <c r="L456" s="142">
        <f t="shared" si="79"/>
        <v>45825</v>
      </c>
      <c r="M456" s="142">
        <v>45798</v>
      </c>
      <c r="N456" s="142">
        <f t="shared" si="71"/>
        <v>45800</v>
      </c>
      <c r="O456" s="143">
        <f t="shared" ca="1" si="84"/>
        <v>27</v>
      </c>
      <c r="P456" s="142">
        <v>45837</v>
      </c>
      <c r="Q456" s="142">
        <v>45822</v>
      </c>
      <c r="R456" s="143">
        <f t="shared" ca="1" si="85"/>
        <v>15</v>
      </c>
      <c r="S456" s="138"/>
      <c r="T456" s="138"/>
    </row>
    <row r="457" spans="1:20" hidden="1">
      <c r="A457" s="19" t="s">
        <v>188</v>
      </c>
      <c r="B457" s="291">
        <v>161</v>
      </c>
      <c r="C457" s="12" t="s">
        <v>79</v>
      </c>
      <c r="D457" s="313" t="s">
        <v>145</v>
      </c>
      <c r="E457" s="145">
        <v>45898</v>
      </c>
      <c r="F457" s="138">
        <v>10.3999996185303</v>
      </c>
      <c r="G457" s="138">
        <v>10.4</v>
      </c>
      <c r="H457" s="138">
        <v>10</v>
      </c>
      <c r="I457" s="83">
        <f t="shared" si="82"/>
        <v>-0.12000036239621537</v>
      </c>
      <c r="J457" s="83">
        <f t="shared" si="83"/>
        <v>-3.8146970027241878E-7</v>
      </c>
      <c r="K457" s="298" t="s">
        <v>108</v>
      </c>
      <c r="L457" s="142">
        <f t="shared" si="79"/>
        <v>45825</v>
      </c>
      <c r="M457" s="142">
        <v>45799</v>
      </c>
      <c r="N457" s="142">
        <f t="shared" ref="N457:N520" si="86">M457+2</f>
        <v>45801</v>
      </c>
      <c r="O457" s="143">
        <f t="shared" ca="1" si="84"/>
        <v>26</v>
      </c>
      <c r="P457" s="142">
        <v>45837</v>
      </c>
      <c r="Q457" s="142">
        <v>45822</v>
      </c>
      <c r="R457" s="143">
        <f t="shared" ca="1" si="85"/>
        <v>15</v>
      </c>
      <c r="S457" s="138"/>
      <c r="T457" s="138"/>
    </row>
    <row r="458" spans="1:20" hidden="1">
      <c r="A458" s="19" t="s">
        <v>188</v>
      </c>
      <c r="B458" s="291">
        <v>161</v>
      </c>
      <c r="C458" s="12" t="s">
        <v>80</v>
      </c>
      <c r="D458" s="315" t="s">
        <v>146</v>
      </c>
      <c r="E458" s="145">
        <v>45898</v>
      </c>
      <c r="F458" s="138">
        <v>93.599998474121094</v>
      </c>
      <c r="G458" s="138">
        <v>93.6</v>
      </c>
      <c r="H458" s="138">
        <v>89</v>
      </c>
      <c r="I458" s="83">
        <f t="shared" si="82"/>
        <v>-8.0001449584969464E-2</v>
      </c>
      <c r="J458" s="83">
        <f t="shared" si="83"/>
        <v>-1.5258789005656581E-6</v>
      </c>
      <c r="K458" s="140" t="s">
        <v>133</v>
      </c>
      <c r="L458" s="142">
        <f t="shared" si="79"/>
        <v>45824</v>
      </c>
      <c r="M458" s="142">
        <v>45803</v>
      </c>
      <c r="N458" s="142">
        <f t="shared" si="86"/>
        <v>45805</v>
      </c>
      <c r="O458" s="143">
        <f t="shared" ca="1" si="84"/>
        <v>21</v>
      </c>
      <c r="P458" s="142">
        <f>E458-32-15-15</f>
        <v>45836</v>
      </c>
      <c r="Q458" s="142">
        <v>45815</v>
      </c>
      <c r="R458" s="143">
        <f t="shared" ca="1" si="85"/>
        <v>21</v>
      </c>
      <c r="S458" s="138"/>
      <c r="T458" s="138"/>
    </row>
    <row r="459" spans="1:20" hidden="1">
      <c r="A459" s="19" t="s">
        <v>188</v>
      </c>
      <c r="B459" s="291">
        <v>161</v>
      </c>
      <c r="C459" s="12" t="s">
        <v>75</v>
      </c>
      <c r="D459" s="314" t="s">
        <v>841</v>
      </c>
      <c r="E459" s="145">
        <v>45898</v>
      </c>
      <c r="F459" s="138">
        <v>69.5</v>
      </c>
      <c r="G459" s="138">
        <v>70</v>
      </c>
      <c r="H459" s="138">
        <v>66</v>
      </c>
      <c r="I459" s="83">
        <f t="shared" si="82"/>
        <v>2.4999999999991473E-2</v>
      </c>
      <c r="J459" s="83">
        <f t="shared" si="83"/>
        <v>-0.5</v>
      </c>
      <c r="K459" s="298" t="s">
        <v>108</v>
      </c>
      <c r="L459" s="142">
        <f t="shared" si="79"/>
        <v>45838</v>
      </c>
      <c r="M459" s="142">
        <v>45799</v>
      </c>
      <c r="N459" s="142">
        <f t="shared" si="86"/>
        <v>45801</v>
      </c>
      <c r="O459" s="143">
        <f t="shared" ca="1" si="84"/>
        <v>39</v>
      </c>
      <c r="P459" s="142">
        <v>45850</v>
      </c>
      <c r="Q459" s="142">
        <v>45818</v>
      </c>
      <c r="R459" s="143">
        <f t="shared" ca="1" si="85"/>
        <v>32</v>
      </c>
      <c r="S459" s="327">
        <v>45818</v>
      </c>
      <c r="T459" s="138"/>
    </row>
    <row r="460" spans="1:20" hidden="1">
      <c r="A460" s="19" t="s">
        <v>188</v>
      </c>
      <c r="B460" s="291">
        <v>161</v>
      </c>
      <c r="C460" s="12" t="s">
        <v>75</v>
      </c>
      <c r="D460" s="314" t="s">
        <v>840</v>
      </c>
      <c r="E460" s="145">
        <v>45898</v>
      </c>
      <c r="F460" s="138">
        <v>65.099998474121094</v>
      </c>
      <c r="G460" s="138">
        <v>65</v>
      </c>
      <c r="H460" s="138">
        <v>62</v>
      </c>
      <c r="I460" s="83">
        <f t="shared" si="82"/>
        <v>-0.1550014495849652</v>
      </c>
      <c r="J460" s="83">
        <f t="shared" si="83"/>
        <v>9.999847412109375E-2</v>
      </c>
      <c r="K460" s="298" t="s">
        <v>108</v>
      </c>
      <c r="L460" s="142">
        <f t="shared" si="79"/>
        <v>45838</v>
      </c>
      <c r="M460" s="142">
        <v>45799</v>
      </c>
      <c r="N460" s="142">
        <f t="shared" si="86"/>
        <v>45801</v>
      </c>
      <c r="O460" s="143">
        <f t="shared" ca="1" si="84"/>
        <v>39</v>
      </c>
      <c r="P460" s="142">
        <v>45850</v>
      </c>
      <c r="Q460" s="142">
        <v>45818</v>
      </c>
      <c r="R460" s="143">
        <f t="shared" ca="1" si="85"/>
        <v>32</v>
      </c>
      <c r="S460" s="327">
        <v>45818</v>
      </c>
      <c r="T460" s="138"/>
    </row>
    <row r="461" spans="1:20" hidden="1">
      <c r="A461" s="19" t="s">
        <v>188</v>
      </c>
      <c r="B461" s="291">
        <v>161</v>
      </c>
      <c r="C461" s="12" t="s">
        <v>857</v>
      </c>
      <c r="D461" s="314" t="s">
        <v>841</v>
      </c>
      <c r="E461" s="145">
        <v>45898</v>
      </c>
      <c r="F461" s="138">
        <v>79.800003051757798</v>
      </c>
      <c r="G461" s="138">
        <v>80</v>
      </c>
      <c r="H461" s="138">
        <v>76</v>
      </c>
      <c r="I461" s="83">
        <f t="shared" si="82"/>
        <v>-0.18999710083009802</v>
      </c>
      <c r="J461" s="83">
        <f t="shared" si="83"/>
        <v>-0.19999694824220171</v>
      </c>
      <c r="K461" s="298" t="s">
        <v>108</v>
      </c>
      <c r="L461" s="142">
        <f t="shared" si="79"/>
        <v>45838</v>
      </c>
      <c r="M461" s="142">
        <v>45799</v>
      </c>
      <c r="N461" s="142">
        <f t="shared" si="86"/>
        <v>45801</v>
      </c>
      <c r="O461" s="143">
        <f t="shared" ca="1" si="84"/>
        <v>39</v>
      </c>
      <c r="P461" s="142">
        <v>45850</v>
      </c>
      <c r="Q461" s="142">
        <v>45818</v>
      </c>
      <c r="R461" s="143">
        <f t="shared" ca="1" si="85"/>
        <v>32</v>
      </c>
      <c r="S461" s="327">
        <v>45818</v>
      </c>
      <c r="T461" s="138"/>
    </row>
    <row r="462" spans="1:20" hidden="1">
      <c r="A462" s="19" t="s">
        <v>188</v>
      </c>
      <c r="B462" s="291">
        <v>161</v>
      </c>
      <c r="C462" s="12" t="s">
        <v>857</v>
      </c>
      <c r="D462" s="314" t="s">
        <v>840</v>
      </c>
      <c r="E462" s="145">
        <v>45898</v>
      </c>
      <c r="F462" s="138">
        <v>74.599998474121094</v>
      </c>
      <c r="G462" s="138">
        <v>71</v>
      </c>
      <c r="H462" s="138">
        <v>71</v>
      </c>
      <c r="I462" s="83">
        <f t="shared" si="82"/>
        <v>-0.13000144958496662</v>
      </c>
      <c r="J462" s="83">
        <f t="shared" si="83"/>
        <v>3.5999984741210938</v>
      </c>
      <c r="K462" s="298" t="s">
        <v>108</v>
      </c>
      <c r="L462" s="142">
        <f t="shared" si="79"/>
        <v>45838</v>
      </c>
      <c r="M462" s="142">
        <v>45799</v>
      </c>
      <c r="N462" s="142">
        <f t="shared" si="86"/>
        <v>45801</v>
      </c>
      <c r="O462" s="143">
        <f t="shared" ca="1" si="84"/>
        <v>39</v>
      </c>
      <c r="P462" s="142">
        <v>45850</v>
      </c>
      <c r="Q462" s="142">
        <v>45818</v>
      </c>
      <c r="R462" s="143">
        <f t="shared" ca="1" si="85"/>
        <v>32</v>
      </c>
      <c r="S462" s="327">
        <v>45818</v>
      </c>
      <c r="T462" s="138"/>
    </row>
    <row r="463" spans="1:20" hidden="1">
      <c r="A463" s="19" t="s">
        <v>188</v>
      </c>
      <c r="B463" s="291">
        <v>162</v>
      </c>
      <c r="C463" s="12" t="s">
        <v>79</v>
      </c>
      <c r="D463" s="313" t="s">
        <v>146</v>
      </c>
      <c r="E463" s="145">
        <v>45898</v>
      </c>
      <c r="F463" s="138">
        <v>7.3000001907348597</v>
      </c>
      <c r="G463" s="138">
        <v>7.3</v>
      </c>
      <c r="H463" s="138">
        <v>7</v>
      </c>
      <c r="I463" s="83">
        <f t="shared" si="82"/>
        <v>-6.4999818801883436E-2</v>
      </c>
      <c r="J463" s="83">
        <f t="shared" si="83"/>
        <v>1.9073485990617201E-7</v>
      </c>
      <c r="K463" s="298" t="s">
        <v>108</v>
      </c>
      <c r="L463" s="142">
        <f t="shared" si="79"/>
        <v>45825</v>
      </c>
      <c r="M463" s="142">
        <v>45798</v>
      </c>
      <c r="N463" s="142">
        <f t="shared" si="86"/>
        <v>45800</v>
      </c>
      <c r="O463" s="143">
        <f t="shared" ca="1" si="84"/>
        <v>27</v>
      </c>
      <c r="P463" s="142">
        <v>45837</v>
      </c>
      <c r="Q463" s="142">
        <v>45822</v>
      </c>
      <c r="R463" s="143">
        <f t="shared" ca="1" si="85"/>
        <v>15</v>
      </c>
      <c r="S463" s="138"/>
      <c r="T463" s="138"/>
    </row>
    <row r="464" spans="1:20" hidden="1">
      <c r="A464" s="19" t="s">
        <v>188</v>
      </c>
      <c r="B464" s="291">
        <v>162</v>
      </c>
      <c r="C464" s="12" t="s">
        <v>80</v>
      </c>
      <c r="D464" s="315" t="s">
        <v>146</v>
      </c>
      <c r="E464" s="145">
        <v>45898</v>
      </c>
      <c r="F464" s="138">
        <v>110.5</v>
      </c>
      <c r="G464" s="138">
        <v>110.5</v>
      </c>
      <c r="H464" s="138">
        <v>105</v>
      </c>
      <c r="I464" s="83">
        <f t="shared" ref="I464:I473" si="87">F464*95%-H464</f>
        <v>-2.5000000000005684E-2</v>
      </c>
      <c r="J464" s="83">
        <f t="shared" ref="J464:J473" si="88">F464-G464</f>
        <v>0</v>
      </c>
      <c r="K464" s="140" t="s">
        <v>133</v>
      </c>
      <c r="L464" s="142">
        <f t="shared" si="79"/>
        <v>45825</v>
      </c>
      <c r="M464" s="142">
        <v>45803</v>
      </c>
      <c r="N464" s="142">
        <f t="shared" si="86"/>
        <v>45805</v>
      </c>
      <c r="O464" s="143">
        <f t="shared" ref="O464:O473" ca="1" si="89">+IF(M464="",L464-TODAY(),L464-M464)</f>
        <v>22</v>
      </c>
      <c r="P464" s="142">
        <v>45837</v>
      </c>
      <c r="Q464" s="142">
        <v>45815</v>
      </c>
      <c r="R464" s="143">
        <f t="shared" ref="R464:R473" ca="1" si="90">+IF(Q464="",P464-TODAY(),P464-Q464)</f>
        <v>22</v>
      </c>
      <c r="S464" s="138"/>
      <c r="T464" s="138"/>
    </row>
    <row r="465" spans="1:20" hidden="1">
      <c r="A465" s="19" t="s">
        <v>188</v>
      </c>
      <c r="B465" s="291">
        <v>162</v>
      </c>
      <c r="C465" s="12" t="s">
        <v>75</v>
      </c>
      <c r="D465" s="314" t="s">
        <v>858</v>
      </c>
      <c r="E465" s="145">
        <v>45898</v>
      </c>
      <c r="F465" s="138">
        <v>97.400001525878906</v>
      </c>
      <c r="G465" s="138">
        <v>97.4</v>
      </c>
      <c r="H465" s="138">
        <v>93</v>
      </c>
      <c r="I465" s="83">
        <f t="shared" si="87"/>
        <v>-0.4699985504150419</v>
      </c>
      <c r="J465" s="83">
        <f t="shared" si="88"/>
        <v>1.5258789005656581E-6</v>
      </c>
      <c r="K465" s="298" t="s">
        <v>108</v>
      </c>
      <c r="L465" s="142">
        <f t="shared" si="79"/>
        <v>45838</v>
      </c>
      <c r="M465" s="142">
        <v>45803</v>
      </c>
      <c r="N465" s="142">
        <f t="shared" si="86"/>
        <v>45805</v>
      </c>
      <c r="O465" s="143">
        <f t="shared" ca="1" si="89"/>
        <v>35</v>
      </c>
      <c r="P465" s="142">
        <v>45850</v>
      </c>
      <c r="Q465" s="142">
        <v>45822</v>
      </c>
      <c r="R465" s="143">
        <f t="shared" ca="1" si="90"/>
        <v>28</v>
      </c>
      <c r="S465" s="138"/>
      <c r="T465" s="138"/>
    </row>
    <row r="466" spans="1:20" hidden="1">
      <c r="A466" s="19" t="s">
        <v>188</v>
      </c>
      <c r="B466" s="291">
        <v>162</v>
      </c>
      <c r="C466" s="12" t="s">
        <v>75</v>
      </c>
      <c r="D466" s="314" t="s">
        <v>859</v>
      </c>
      <c r="E466" s="145">
        <v>45898</v>
      </c>
      <c r="F466" s="138">
        <v>59.599998474121101</v>
      </c>
      <c r="G466" s="138">
        <v>59.6</v>
      </c>
      <c r="H466" s="138">
        <v>57</v>
      </c>
      <c r="I466" s="83">
        <f t="shared" si="87"/>
        <v>-0.38000144958495952</v>
      </c>
      <c r="J466" s="83">
        <f t="shared" si="88"/>
        <v>-1.5258789005656581E-6</v>
      </c>
      <c r="K466" s="298" t="s">
        <v>108</v>
      </c>
      <c r="L466" s="142">
        <f t="shared" si="79"/>
        <v>45838</v>
      </c>
      <c r="M466" s="142">
        <v>45803</v>
      </c>
      <c r="N466" s="142">
        <f t="shared" si="86"/>
        <v>45805</v>
      </c>
      <c r="O466" s="143">
        <f t="shared" ca="1" si="89"/>
        <v>35</v>
      </c>
      <c r="P466" s="142">
        <v>45850</v>
      </c>
      <c r="Q466" s="142">
        <v>45822</v>
      </c>
      <c r="R466" s="143">
        <f t="shared" ca="1" si="90"/>
        <v>28</v>
      </c>
      <c r="S466" s="138"/>
      <c r="T466" s="138"/>
    </row>
    <row r="467" spans="1:20" hidden="1">
      <c r="A467" s="19" t="s">
        <v>188</v>
      </c>
      <c r="B467" s="291">
        <v>162</v>
      </c>
      <c r="C467" s="12" t="s">
        <v>857</v>
      </c>
      <c r="D467" s="314" t="s">
        <v>858</v>
      </c>
      <c r="E467" s="145">
        <v>45898</v>
      </c>
      <c r="F467" s="138">
        <v>111.59999847412099</v>
      </c>
      <c r="G467" s="138">
        <v>111.6</v>
      </c>
      <c r="H467" s="138">
        <v>106</v>
      </c>
      <c r="I467" s="83">
        <f t="shared" si="87"/>
        <v>1.9998550414939587E-2</v>
      </c>
      <c r="J467" s="83">
        <f t="shared" si="88"/>
        <v>-1.5258790000416411E-6</v>
      </c>
      <c r="K467" s="298" t="s">
        <v>108</v>
      </c>
      <c r="L467" s="142">
        <f t="shared" si="79"/>
        <v>45838</v>
      </c>
      <c r="M467" s="142">
        <v>45803</v>
      </c>
      <c r="N467" s="142">
        <f t="shared" si="86"/>
        <v>45805</v>
      </c>
      <c r="O467" s="143">
        <f t="shared" ca="1" si="89"/>
        <v>35</v>
      </c>
      <c r="P467" s="142">
        <v>45850</v>
      </c>
      <c r="Q467" s="142">
        <v>45822</v>
      </c>
      <c r="R467" s="143">
        <f t="shared" ca="1" si="90"/>
        <v>28</v>
      </c>
      <c r="S467" s="138"/>
      <c r="T467" s="138"/>
    </row>
    <row r="468" spans="1:20" hidden="1">
      <c r="A468" s="19" t="s">
        <v>188</v>
      </c>
      <c r="B468" s="291">
        <v>162</v>
      </c>
      <c r="C468" s="12" t="s">
        <v>857</v>
      </c>
      <c r="D468" s="314" t="s">
        <v>859</v>
      </c>
      <c r="E468" s="145">
        <v>45898</v>
      </c>
      <c r="F468" s="138">
        <v>68.400001525878906</v>
      </c>
      <c r="G468" s="138">
        <v>68.400000000000006</v>
      </c>
      <c r="H468" s="138">
        <v>65</v>
      </c>
      <c r="I468" s="83">
        <f t="shared" si="87"/>
        <v>-1.9998550415039063E-2</v>
      </c>
      <c r="J468" s="83">
        <f t="shared" si="88"/>
        <v>1.5258789005656581E-6</v>
      </c>
      <c r="K468" s="298" t="s">
        <v>108</v>
      </c>
      <c r="L468" s="142">
        <f t="shared" si="79"/>
        <v>45838</v>
      </c>
      <c r="M468" s="142">
        <v>45803</v>
      </c>
      <c r="N468" s="142">
        <f t="shared" si="86"/>
        <v>45805</v>
      </c>
      <c r="O468" s="143">
        <f t="shared" ca="1" si="89"/>
        <v>35</v>
      </c>
      <c r="P468" s="142">
        <v>45850</v>
      </c>
      <c r="Q468" s="142">
        <v>45822</v>
      </c>
      <c r="R468" s="143">
        <f t="shared" ca="1" si="90"/>
        <v>28</v>
      </c>
      <c r="S468" s="138"/>
      <c r="T468" s="138"/>
    </row>
    <row r="469" spans="1:20" hidden="1">
      <c r="A469" s="19" t="s">
        <v>188</v>
      </c>
      <c r="B469" s="291">
        <v>167</v>
      </c>
      <c r="C469" s="291" t="s">
        <v>79</v>
      </c>
      <c r="D469" s="139" t="s">
        <v>138</v>
      </c>
      <c r="E469" s="145">
        <v>45874</v>
      </c>
      <c r="F469" s="138">
        <v>169.10000610351599</v>
      </c>
      <c r="G469" s="138">
        <v>169.1</v>
      </c>
      <c r="H469" s="138">
        <v>161</v>
      </c>
      <c r="I469" s="83">
        <f t="shared" si="87"/>
        <v>-0.35499420165982087</v>
      </c>
      <c r="J469" s="83">
        <f t="shared" si="88"/>
        <v>6.1035160001665645E-6</v>
      </c>
      <c r="K469" s="298" t="s">
        <v>108</v>
      </c>
      <c r="L469" s="142">
        <f t="shared" si="79"/>
        <v>45814</v>
      </c>
      <c r="M469" s="142">
        <v>45803</v>
      </c>
      <c r="N469" s="142">
        <f t="shared" si="86"/>
        <v>45805</v>
      </c>
      <c r="O469" s="143">
        <f t="shared" ca="1" si="89"/>
        <v>11</v>
      </c>
      <c r="P469" s="142">
        <v>45826</v>
      </c>
      <c r="Q469" s="142">
        <v>45815</v>
      </c>
      <c r="R469" s="143">
        <f t="shared" ca="1" si="90"/>
        <v>11</v>
      </c>
      <c r="S469" s="138"/>
      <c r="T469" s="138"/>
    </row>
    <row r="470" spans="1:20" hidden="1">
      <c r="A470" s="19" t="s">
        <v>188</v>
      </c>
      <c r="B470" s="291">
        <v>167</v>
      </c>
      <c r="C470" s="291" t="s">
        <v>75</v>
      </c>
      <c r="D470" s="314" t="s">
        <v>841</v>
      </c>
      <c r="E470" s="145">
        <v>45874</v>
      </c>
      <c r="F470" s="138">
        <v>111.800003051758</v>
      </c>
      <c r="G470" s="138">
        <v>111.8</v>
      </c>
      <c r="H470" s="138">
        <v>106</v>
      </c>
      <c r="I470" s="83">
        <f t="shared" si="87"/>
        <v>0.21000289917009241</v>
      </c>
      <c r="J470" s="83">
        <f t="shared" si="88"/>
        <v>3.0517580000832822E-6</v>
      </c>
      <c r="K470" s="298" t="s">
        <v>108</v>
      </c>
      <c r="L470" s="142">
        <f t="shared" ref="L470:L477" si="91">P470-12</f>
        <v>45814</v>
      </c>
      <c r="M470" s="142">
        <v>45803</v>
      </c>
      <c r="N470" s="142">
        <f t="shared" si="86"/>
        <v>45805</v>
      </c>
      <c r="O470" s="143">
        <f t="shared" ca="1" si="89"/>
        <v>11</v>
      </c>
      <c r="P470" s="142">
        <v>45826</v>
      </c>
      <c r="Q470" s="142">
        <v>45832</v>
      </c>
      <c r="R470" s="143">
        <f t="shared" ca="1" si="90"/>
        <v>-6</v>
      </c>
      <c r="S470" s="138"/>
      <c r="T470" s="138"/>
    </row>
    <row r="471" spans="1:20" hidden="1">
      <c r="A471" s="19" t="s">
        <v>188</v>
      </c>
      <c r="B471" s="291">
        <v>167</v>
      </c>
      <c r="C471" s="291" t="s">
        <v>75</v>
      </c>
      <c r="D471" s="314" t="s">
        <v>858</v>
      </c>
      <c r="E471" s="145">
        <v>45874</v>
      </c>
      <c r="F471" s="138">
        <v>17.600000381469702</v>
      </c>
      <c r="G471" s="138">
        <v>17.600000000000001</v>
      </c>
      <c r="H471" s="138">
        <v>17</v>
      </c>
      <c r="I471" s="83">
        <f t="shared" si="87"/>
        <v>-0.27999963760378321</v>
      </c>
      <c r="J471" s="83">
        <f t="shared" si="88"/>
        <v>3.8146970027241878E-7</v>
      </c>
      <c r="K471" s="298" t="s">
        <v>108</v>
      </c>
      <c r="L471" s="142">
        <f t="shared" si="91"/>
        <v>45814</v>
      </c>
      <c r="M471" s="142">
        <v>45803</v>
      </c>
      <c r="N471" s="142">
        <f t="shared" si="86"/>
        <v>45805</v>
      </c>
      <c r="O471" s="143">
        <f t="shared" ca="1" si="89"/>
        <v>11</v>
      </c>
      <c r="P471" s="142">
        <v>45826</v>
      </c>
      <c r="Q471" s="142">
        <v>45822</v>
      </c>
      <c r="R471" s="143">
        <f t="shared" ca="1" si="90"/>
        <v>4</v>
      </c>
      <c r="S471" s="138"/>
      <c r="T471" s="138"/>
    </row>
    <row r="472" spans="1:20" hidden="1">
      <c r="A472" s="19" t="s">
        <v>188</v>
      </c>
      <c r="B472" s="291">
        <v>167</v>
      </c>
      <c r="C472" s="291" t="s">
        <v>75</v>
      </c>
      <c r="D472" s="314" t="s">
        <v>840</v>
      </c>
      <c r="E472" s="145">
        <v>45874</v>
      </c>
      <c r="F472" s="138">
        <v>104.699996948242</v>
      </c>
      <c r="G472" s="138">
        <v>104.7</v>
      </c>
      <c r="H472" s="138">
        <v>99</v>
      </c>
      <c r="I472" s="83">
        <f t="shared" si="87"/>
        <v>0.46499710082990475</v>
      </c>
      <c r="J472" s="83">
        <f t="shared" si="88"/>
        <v>-3.0517580000832822E-6</v>
      </c>
      <c r="K472" s="298" t="s">
        <v>108</v>
      </c>
      <c r="L472" s="142">
        <f t="shared" si="91"/>
        <v>45814</v>
      </c>
      <c r="M472" s="142">
        <v>45803</v>
      </c>
      <c r="N472" s="142">
        <f t="shared" si="86"/>
        <v>45805</v>
      </c>
      <c r="O472" s="143">
        <f t="shared" ca="1" si="89"/>
        <v>11</v>
      </c>
      <c r="P472" s="142">
        <v>45826</v>
      </c>
      <c r="Q472" s="142">
        <v>45832</v>
      </c>
      <c r="R472" s="143">
        <f t="shared" ca="1" si="90"/>
        <v>-6</v>
      </c>
      <c r="S472" s="138"/>
      <c r="T472" s="138"/>
    </row>
    <row r="473" spans="1:20" hidden="1">
      <c r="A473" s="19" t="s">
        <v>188</v>
      </c>
      <c r="B473" s="291">
        <v>167</v>
      </c>
      <c r="C473" s="291" t="s">
        <v>75</v>
      </c>
      <c r="D473" s="314" t="s">
        <v>859</v>
      </c>
      <c r="E473" s="145">
        <v>45874</v>
      </c>
      <c r="F473" s="138">
        <v>10.800000190734901</v>
      </c>
      <c r="G473" s="138">
        <v>10.8</v>
      </c>
      <c r="H473" s="138">
        <v>10</v>
      </c>
      <c r="I473" s="83">
        <f t="shared" si="87"/>
        <v>0.26000018119815493</v>
      </c>
      <c r="J473" s="83">
        <f t="shared" si="88"/>
        <v>1.9073489987420089E-7</v>
      </c>
      <c r="K473" s="298" t="s">
        <v>108</v>
      </c>
      <c r="L473" s="142">
        <f t="shared" si="91"/>
        <v>45814</v>
      </c>
      <c r="M473" s="142">
        <v>45803</v>
      </c>
      <c r="N473" s="142">
        <f t="shared" si="86"/>
        <v>45805</v>
      </c>
      <c r="O473" s="143">
        <f t="shared" ca="1" si="89"/>
        <v>11</v>
      </c>
      <c r="P473" s="142">
        <v>45826</v>
      </c>
      <c r="Q473" s="142">
        <v>45822</v>
      </c>
      <c r="R473" s="143">
        <f t="shared" ca="1" si="90"/>
        <v>4</v>
      </c>
      <c r="S473" s="138"/>
      <c r="T473" s="138"/>
    </row>
    <row r="474" spans="1:20" hidden="1">
      <c r="A474" s="19" t="s">
        <v>188</v>
      </c>
      <c r="B474" s="291">
        <v>167</v>
      </c>
      <c r="C474" s="291" t="s">
        <v>857</v>
      </c>
      <c r="D474" s="314" t="s">
        <v>841</v>
      </c>
      <c r="E474" s="145">
        <v>45874</v>
      </c>
      <c r="F474" s="138">
        <v>128.30000305175801</v>
      </c>
      <c r="G474" s="138">
        <v>128.30000000000001</v>
      </c>
      <c r="H474" s="138">
        <v>122</v>
      </c>
      <c r="I474" s="83">
        <f t="shared" ref="I474:I498" si="92">F474*95%-H474</f>
        <v>-0.11499710082989623</v>
      </c>
      <c r="J474" s="83">
        <f t="shared" ref="J474:J498" si="93">F474-G474</f>
        <v>3.0517580000832822E-6</v>
      </c>
      <c r="K474" s="298" t="s">
        <v>108</v>
      </c>
      <c r="L474" s="142">
        <f t="shared" si="91"/>
        <v>45814</v>
      </c>
      <c r="M474" s="142">
        <v>45803</v>
      </c>
      <c r="N474" s="142">
        <f t="shared" si="86"/>
        <v>45805</v>
      </c>
      <c r="O474" s="143">
        <f t="shared" ref="O474:O498" ca="1" si="94">+IF(M474="",L474-TODAY(),L474-M474)</f>
        <v>11</v>
      </c>
      <c r="P474" s="142">
        <v>45826</v>
      </c>
      <c r="Q474" s="142">
        <v>45832</v>
      </c>
      <c r="R474" s="143">
        <f t="shared" ref="R474:R498" ca="1" si="95">+IF(Q474="",P474-TODAY(),P474-Q474)</f>
        <v>-6</v>
      </c>
      <c r="S474" s="138"/>
      <c r="T474" s="138"/>
    </row>
    <row r="475" spans="1:20" hidden="1">
      <c r="A475" s="19" t="s">
        <v>188</v>
      </c>
      <c r="B475" s="291">
        <v>167</v>
      </c>
      <c r="C475" s="291" t="s">
        <v>857</v>
      </c>
      <c r="D475" s="314" t="s">
        <v>858</v>
      </c>
      <c r="E475" s="145">
        <v>45874</v>
      </c>
      <c r="F475" s="138">
        <v>20.100000381469702</v>
      </c>
      <c r="G475" s="138">
        <v>20.100000000000001</v>
      </c>
      <c r="H475" s="138">
        <v>19</v>
      </c>
      <c r="I475" s="83">
        <f t="shared" si="92"/>
        <v>9.5000362396216786E-2</v>
      </c>
      <c r="J475" s="83">
        <f t="shared" si="93"/>
        <v>3.8146970027241878E-7</v>
      </c>
      <c r="K475" s="298" t="s">
        <v>108</v>
      </c>
      <c r="L475" s="142">
        <f t="shared" si="91"/>
        <v>45814</v>
      </c>
      <c r="M475" s="142">
        <v>45803</v>
      </c>
      <c r="N475" s="142">
        <f t="shared" si="86"/>
        <v>45805</v>
      </c>
      <c r="O475" s="143">
        <f t="shared" ca="1" si="94"/>
        <v>11</v>
      </c>
      <c r="P475" s="142">
        <v>45826</v>
      </c>
      <c r="Q475" s="142">
        <v>45822</v>
      </c>
      <c r="R475" s="143">
        <f t="shared" ca="1" si="95"/>
        <v>4</v>
      </c>
      <c r="S475" s="138"/>
      <c r="T475" s="138"/>
    </row>
    <row r="476" spans="1:20" hidden="1">
      <c r="A476" s="19" t="s">
        <v>188</v>
      </c>
      <c r="B476" s="291">
        <v>167</v>
      </c>
      <c r="C476" s="291" t="s">
        <v>857</v>
      </c>
      <c r="D476" s="314" t="s">
        <v>840</v>
      </c>
      <c r="E476" s="145">
        <v>45874</v>
      </c>
      <c r="F476" s="138">
        <v>120</v>
      </c>
      <c r="G476" s="138">
        <v>120</v>
      </c>
      <c r="H476" s="138">
        <v>114</v>
      </c>
      <c r="I476" s="83">
        <f t="shared" si="92"/>
        <v>0</v>
      </c>
      <c r="J476" s="83">
        <f t="shared" si="93"/>
        <v>0</v>
      </c>
      <c r="K476" s="298" t="s">
        <v>108</v>
      </c>
      <c r="L476" s="142">
        <f t="shared" si="91"/>
        <v>45814</v>
      </c>
      <c r="M476" s="142">
        <v>45803</v>
      </c>
      <c r="N476" s="142">
        <f t="shared" si="86"/>
        <v>45805</v>
      </c>
      <c r="O476" s="143">
        <f t="shared" ca="1" si="94"/>
        <v>11</v>
      </c>
      <c r="P476" s="142">
        <v>45826</v>
      </c>
      <c r="Q476" s="142">
        <v>45832</v>
      </c>
      <c r="R476" s="143">
        <f t="shared" ca="1" si="95"/>
        <v>-6</v>
      </c>
      <c r="S476" s="138"/>
      <c r="T476" s="138"/>
    </row>
    <row r="477" spans="1:20" hidden="1">
      <c r="A477" s="19" t="s">
        <v>188</v>
      </c>
      <c r="B477" s="291">
        <v>167</v>
      </c>
      <c r="C477" s="291" t="s">
        <v>857</v>
      </c>
      <c r="D477" s="314" t="s">
        <v>859</v>
      </c>
      <c r="E477" s="145">
        <v>45874</v>
      </c>
      <c r="F477" s="138">
        <v>12.3999996185303</v>
      </c>
      <c r="G477" s="138">
        <v>12.4</v>
      </c>
      <c r="H477" s="138">
        <v>12</v>
      </c>
      <c r="I477" s="83">
        <f t="shared" si="92"/>
        <v>-0.22000036239621501</v>
      </c>
      <c r="J477" s="83">
        <f t="shared" si="93"/>
        <v>-3.8146970027241878E-7</v>
      </c>
      <c r="K477" s="298" t="s">
        <v>108</v>
      </c>
      <c r="L477" s="142">
        <f t="shared" si="91"/>
        <v>45814</v>
      </c>
      <c r="M477" s="142">
        <v>45803</v>
      </c>
      <c r="N477" s="142">
        <f t="shared" si="86"/>
        <v>45805</v>
      </c>
      <c r="O477" s="143">
        <f t="shared" ca="1" si="94"/>
        <v>11</v>
      </c>
      <c r="P477" s="142">
        <v>45826</v>
      </c>
      <c r="Q477" s="142">
        <v>45822</v>
      </c>
      <c r="R477" s="143">
        <f t="shared" ca="1" si="95"/>
        <v>4</v>
      </c>
      <c r="S477" s="138"/>
      <c r="T477" s="138"/>
    </row>
    <row r="478" spans="1:20" hidden="1">
      <c r="A478" s="19" t="s">
        <v>188</v>
      </c>
      <c r="B478" s="291">
        <v>168</v>
      </c>
      <c r="C478" s="291" t="s">
        <v>75</v>
      </c>
      <c r="D478" s="314" t="s">
        <v>841</v>
      </c>
      <c r="E478" s="145">
        <v>45874</v>
      </c>
      <c r="F478" s="138">
        <v>17.799999237060501</v>
      </c>
      <c r="G478" s="138">
        <v>17.8</v>
      </c>
      <c r="H478" s="138">
        <v>17</v>
      </c>
      <c r="I478" s="83">
        <f t="shared" si="92"/>
        <v>-9.0000724792524522E-2</v>
      </c>
      <c r="J478" s="83">
        <f t="shared" si="93"/>
        <v>-7.6293950002082056E-7</v>
      </c>
      <c r="K478" s="298" t="s">
        <v>108</v>
      </c>
      <c r="L478" s="142">
        <f>P478-12</f>
        <v>45814</v>
      </c>
      <c r="M478" s="142">
        <v>45803</v>
      </c>
      <c r="N478" s="142">
        <f t="shared" si="86"/>
        <v>45805</v>
      </c>
      <c r="O478" s="143">
        <f t="shared" ca="1" si="94"/>
        <v>11</v>
      </c>
      <c r="P478" s="142">
        <v>45826</v>
      </c>
      <c r="Q478" s="142">
        <v>45832</v>
      </c>
      <c r="R478" s="143">
        <f t="shared" ca="1" si="95"/>
        <v>-6</v>
      </c>
      <c r="S478" s="138"/>
      <c r="T478" s="138"/>
    </row>
    <row r="479" spans="1:20" hidden="1">
      <c r="A479" s="19" t="s">
        <v>188</v>
      </c>
      <c r="B479" s="291">
        <v>168</v>
      </c>
      <c r="C479" s="291" t="s">
        <v>75</v>
      </c>
      <c r="D479" s="314" t="s">
        <v>840</v>
      </c>
      <c r="E479" s="145">
        <v>45874</v>
      </c>
      <c r="F479" s="138">
        <v>16.700000762939499</v>
      </c>
      <c r="G479" s="138">
        <v>16.7</v>
      </c>
      <c r="H479" s="138">
        <v>16</v>
      </c>
      <c r="I479" s="83">
        <f t="shared" si="92"/>
        <v>-0.1349992752074769</v>
      </c>
      <c r="J479" s="83">
        <f t="shared" si="93"/>
        <v>7.6293950002082056E-7</v>
      </c>
      <c r="K479" s="298" t="s">
        <v>108</v>
      </c>
      <c r="L479" s="142">
        <f>P479-12</f>
        <v>45814</v>
      </c>
      <c r="M479" s="142">
        <v>45803</v>
      </c>
      <c r="N479" s="142">
        <f t="shared" si="86"/>
        <v>45805</v>
      </c>
      <c r="O479" s="143">
        <f t="shared" ca="1" si="94"/>
        <v>11</v>
      </c>
      <c r="P479" s="142">
        <v>45826</v>
      </c>
      <c r="Q479" s="142">
        <v>45832</v>
      </c>
      <c r="R479" s="143">
        <f t="shared" ca="1" si="95"/>
        <v>-6</v>
      </c>
      <c r="S479" s="138"/>
      <c r="T479" s="138"/>
    </row>
    <row r="480" spans="1:20" hidden="1">
      <c r="A480" s="19" t="s">
        <v>188</v>
      </c>
      <c r="B480" s="291">
        <v>168</v>
      </c>
      <c r="C480" s="291" t="s">
        <v>857</v>
      </c>
      <c r="D480" s="314" t="s">
        <v>841</v>
      </c>
      <c r="E480" s="145">
        <v>45874</v>
      </c>
      <c r="F480" s="138">
        <v>20.399999618530298</v>
      </c>
      <c r="G480" s="138">
        <v>20.399999999999999</v>
      </c>
      <c r="H480" s="138">
        <v>19</v>
      </c>
      <c r="I480" s="83">
        <f t="shared" si="92"/>
        <v>0.37999963760378108</v>
      </c>
      <c r="J480" s="83">
        <f t="shared" si="93"/>
        <v>-3.8146970027241878E-7</v>
      </c>
      <c r="K480" s="298" t="s">
        <v>108</v>
      </c>
      <c r="L480" s="142">
        <f>P480-12</f>
        <v>45814</v>
      </c>
      <c r="M480" s="142">
        <v>45803</v>
      </c>
      <c r="N480" s="142">
        <f t="shared" si="86"/>
        <v>45805</v>
      </c>
      <c r="O480" s="143">
        <f t="shared" ca="1" si="94"/>
        <v>11</v>
      </c>
      <c r="P480" s="142">
        <v>45826</v>
      </c>
      <c r="Q480" s="142">
        <v>45832</v>
      </c>
      <c r="R480" s="143">
        <f t="shared" ca="1" si="95"/>
        <v>-6</v>
      </c>
      <c r="S480" s="138"/>
      <c r="T480" s="138"/>
    </row>
    <row r="481" spans="1:20" hidden="1">
      <c r="A481" s="19" t="s">
        <v>188</v>
      </c>
      <c r="B481" s="291">
        <v>168</v>
      </c>
      <c r="C481" s="291" t="s">
        <v>857</v>
      </c>
      <c r="D481" s="314" t="s">
        <v>840</v>
      </c>
      <c r="E481" s="145">
        <v>45874</v>
      </c>
      <c r="F481" s="138">
        <v>19.100000381469702</v>
      </c>
      <c r="G481" s="138">
        <v>19.100000000000001</v>
      </c>
      <c r="H481" s="138">
        <v>18</v>
      </c>
      <c r="I481" s="83">
        <f t="shared" si="92"/>
        <v>0.1450003623962175</v>
      </c>
      <c r="J481" s="83">
        <f t="shared" si="93"/>
        <v>3.8146970027241878E-7</v>
      </c>
      <c r="K481" s="298" t="s">
        <v>108</v>
      </c>
      <c r="L481" s="142">
        <f>P481-12</f>
        <v>45814</v>
      </c>
      <c r="M481" s="142">
        <v>45803</v>
      </c>
      <c r="N481" s="142">
        <f t="shared" si="86"/>
        <v>45805</v>
      </c>
      <c r="O481" s="143">
        <f t="shared" ca="1" si="94"/>
        <v>11</v>
      </c>
      <c r="P481" s="142">
        <v>45826</v>
      </c>
      <c r="Q481" s="142">
        <v>45832</v>
      </c>
      <c r="R481" s="143">
        <f t="shared" ca="1" si="95"/>
        <v>-6</v>
      </c>
      <c r="S481" s="138"/>
      <c r="T481" s="138"/>
    </row>
    <row r="482" spans="1:20" hidden="1">
      <c r="A482" s="19" t="s">
        <v>188</v>
      </c>
      <c r="B482" s="291">
        <v>170</v>
      </c>
      <c r="C482" s="291" t="s">
        <v>79</v>
      </c>
      <c r="D482" s="139" t="s">
        <v>138</v>
      </c>
      <c r="E482" s="145">
        <v>45891</v>
      </c>
      <c r="F482" s="138">
        <v>189.39999389648401</v>
      </c>
      <c r="G482" s="138">
        <v>189.4</v>
      </c>
      <c r="H482" s="138">
        <v>180</v>
      </c>
      <c r="I482" s="83">
        <f t="shared" si="92"/>
        <v>-7.0005798340190495E-2</v>
      </c>
      <c r="J482" s="83">
        <f t="shared" si="93"/>
        <v>-6.1035160001665645E-6</v>
      </c>
      <c r="K482" s="298" t="s">
        <v>108</v>
      </c>
      <c r="L482" s="142">
        <f t="shared" ref="L482:L499" si="96">P482-12</f>
        <v>45831</v>
      </c>
      <c r="M482" s="142">
        <v>45803</v>
      </c>
      <c r="N482" s="142">
        <f t="shared" si="86"/>
        <v>45805</v>
      </c>
      <c r="O482" s="143">
        <f t="shared" ca="1" si="94"/>
        <v>28</v>
      </c>
      <c r="P482" s="142">
        <v>45843</v>
      </c>
      <c r="Q482" s="142">
        <v>45815</v>
      </c>
      <c r="R482" s="143">
        <f t="shared" ca="1" si="95"/>
        <v>28</v>
      </c>
      <c r="S482" s="138"/>
      <c r="T482" s="138"/>
    </row>
    <row r="483" spans="1:20" hidden="1">
      <c r="A483" s="19" t="s">
        <v>188</v>
      </c>
      <c r="B483" s="291">
        <v>170</v>
      </c>
      <c r="C483" s="291" t="s">
        <v>75</v>
      </c>
      <c r="D483" s="314" t="s">
        <v>841</v>
      </c>
      <c r="E483" s="145">
        <v>45891</v>
      </c>
      <c r="F483" s="138">
        <v>61.200000762939503</v>
      </c>
      <c r="G483" s="138">
        <v>61.2</v>
      </c>
      <c r="H483" s="138">
        <v>58</v>
      </c>
      <c r="I483" s="83">
        <f t="shared" si="92"/>
        <v>0.14000072479252168</v>
      </c>
      <c r="J483" s="83">
        <f t="shared" si="93"/>
        <v>7.6293950002082056E-7</v>
      </c>
      <c r="K483" s="298" t="s">
        <v>108</v>
      </c>
      <c r="L483" s="142">
        <f t="shared" si="96"/>
        <v>45831</v>
      </c>
      <c r="M483" s="142">
        <v>45803</v>
      </c>
      <c r="N483" s="142">
        <f t="shared" si="86"/>
        <v>45805</v>
      </c>
      <c r="O483" s="143">
        <f t="shared" ca="1" si="94"/>
        <v>28</v>
      </c>
      <c r="P483" s="142">
        <v>45843</v>
      </c>
      <c r="Q483" s="142">
        <v>45832</v>
      </c>
      <c r="R483" s="143">
        <f t="shared" ca="1" si="95"/>
        <v>11</v>
      </c>
      <c r="S483" s="138"/>
      <c r="T483" s="138"/>
    </row>
    <row r="484" spans="1:20" hidden="1">
      <c r="A484" s="19" t="s">
        <v>188</v>
      </c>
      <c r="B484" s="291">
        <v>170</v>
      </c>
      <c r="C484" s="291" t="s">
        <v>75</v>
      </c>
      <c r="D484" s="314" t="s">
        <v>858</v>
      </c>
      <c r="E484" s="145">
        <v>45891</v>
      </c>
      <c r="F484" s="138">
        <v>65</v>
      </c>
      <c r="G484" s="138">
        <v>65</v>
      </c>
      <c r="H484" s="138">
        <v>62</v>
      </c>
      <c r="I484" s="83">
        <f t="shared" si="92"/>
        <v>-0.25</v>
      </c>
      <c r="J484" s="83">
        <f t="shared" si="93"/>
        <v>0</v>
      </c>
      <c r="K484" s="298" t="s">
        <v>108</v>
      </c>
      <c r="L484" s="142">
        <f t="shared" si="96"/>
        <v>45831</v>
      </c>
      <c r="M484" s="142">
        <v>45803</v>
      </c>
      <c r="N484" s="142">
        <f t="shared" si="86"/>
        <v>45805</v>
      </c>
      <c r="O484" s="143">
        <f t="shared" ca="1" si="94"/>
        <v>28</v>
      </c>
      <c r="P484" s="142">
        <v>45843</v>
      </c>
      <c r="Q484" s="142">
        <v>45822</v>
      </c>
      <c r="R484" s="143">
        <f t="shared" ca="1" si="95"/>
        <v>21</v>
      </c>
      <c r="S484" s="138"/>
      <c r="T484" s="138"/>
    </row>
    <row r="485" spans="1:20" hidden="1">
      <c r="A485" s="19" t="s">
        <v>188</v>
      </c>
      <c r="B485" s="291">
        <v>170</v>
      </c>
      <c r="C485" s="291" t="s">
        <v>75</v>
      </c>
      <c r="D485" s="314" t="s">
        <v>840</v>
      </c>
      <c r="E485" s="145">
        <v>45891</v>
      </c>
      <c r="F485" s="138">
        <v>57.299999237060497</v>
      </c>
      <c r="G485" s="138">
        <v>57.3</v>
      </c>
      <c r="H485" s="138">
        <v>54</v>
      </c>
      <c r="I485" s="83">
        <f t="shared" si="92"/>
        <v>0.43499927520746695</v>
      </c>
      <c r="J485" s="83">
        <f t="shared" si="93"/>
        <v>-7.6293950002082056E-7</v>
      </c>
      <c r="K485" s="298" t="s">
        <v>108</v>
      </c>
      <c r="L485" s="142">
        <f t="shared" si="96"/>
        <v>45831</v>
      </c>
      <c r="M485" s="142">
        <v>45803</v>
      </c>
      <c r="N485" s="142">
        <f t="shared" si="86"/>
        <v>45805</v>
      </c>
      <c r="O485" s="143">
        <f t="shared" ca="1" si="94"/>
        <v>28</v>
      </c>
      <c r="P485" s="142">
        <v>45843</v>
      </c>
      <c r="Q485" s="142">
        <v>45832</v>
      </c>
      <c r="R485" s="143">
        <f t="shared" ca="1" si="95"/>
        <v>11</v>
      </c>
      <c r="S485" s="138"/>
      <c r="T485" s="138"/>
    </row>
    <row r="486" spans="1:20" hidden="1">
      <c r="A486" s="19" t="s">
        <v>188</v>
      </c>
      <c r="B486" s="291">
        <v>170</v>
      </c>
      <c r="C486" s="291" t="s">
        <v>75</v>
      </c>
      <c r="D486" s="314" t="s">
        <v>859</v>
      </c>
      <c r="E486" s="145">
        <v>45891</v>
      </c>
      <c r="F486" s="138">
        <v>39.799999237060497</v>
      </c>
      <c r="G486" s="138">
        <v>39.799999999999997</v>
      </c>
      <c r="H486" s="138">
        <v>38</v>
      </c>
      <c r="I486" s="83">
        <f t="shared" si="92"/>
        <v>-0.19000072479252594</v>
      </c>
      <c r="J486" s="83">
        <f t="shared" si="93"/>
        <v>-7.6293950002082056E-7</v>
      </c>
      <c r="K486" s="298" t="s">
        <v>108</v>
      </c>
      <c r="L486" s="142">
        <f t="shared" si="96"/>
        <v>45831</v>
      </c>
      <c r="M486" s="142">
        <v>45803</v>
      </c>
      <c r="N486" s="142">
        <f t="shared" si="86"/>
        <v>45805</v>
      </c>
      <c r="O486" s="143">
        <f t="shared" ca="1" si="94"/>
        <v>28</v>
      </c>
      <c r="P486" s="142">
        <v>45843</v>
      </c>
      <c r="Q486" s="142">
        <v>45822</v>
      </c>
      <c r="R486" s="143">
        <f t="shared" ca="1" si="95"/>
        <v>21</v>
      </c>
      <c r="S486" s="138"/>
      <c r="T486" s="138"/>
    </row>
    <row r="487" spans="1:20" hidden="1">
      <c r="A487" s="19" t="s">
        <v>188</v>
      </c>
      <c r="B487" s="291">
        <v>170</v>
      </c>
      <c r="C487" s="291" t="s">
        <v>857</v>
      </c>
      <c r="D487" s="314" t="s">
        <v>841</v>
      </c>
      <c r="E487" s="145">
        <v>45891</v>
      </c>
      <c r="F487" s="138">
        <v>70.099998474121094</v>
      </c>
      <c r="G487" s="138">
        <v>70.099999999999994</v>
      </c>
      <c r="H487" s="138">
        <v>67</v>
      </c>
      <c r="I487" s="83">
        <f t="shared" si="92"/>
        <v>-0.4050014495849581</v>
      </c>
      <c r="J487" s="83">
        <f t="shared" si="93"/>
        <v>-1.5258789005656581E-6</v>
      </c>
      <c r="K487" s="298" t="s">
        <v>108</v>
      </c>
      <c r="L487" s="142">
        <f t="shared" si="96"/>
        <v>45831</v>
      </c>
      <c r="M487" s="142">
        <v>45803</v>
      </c>
      <c r="N487" s="142">
        <f t="shared" si="86"/>
        <v>45805</v>
      </c>
      <c r="O487" s="143">
        <f t="shared" ca="1" si="94"/>
        <v>28</v>
      </c>
      <c r="P487" s="142">
        <v>45843</v>
      </c>
      <c r="Q487" s="142">
        <v>45832</v>
      </c>
      <c r="R487" s="143">
        <f t="shared" ca="1" si="95"/>
        <v>11</v>
      </c>
      <c r="S487" s="138"/>
      <c r="T487" s="138"/>
    </row>
    <row r="488" spans="1:20" hidden="1">
      <c r="A488" s="19" t="s">
        <v>188</v>
      </c>
      <c r="B488" s="291">
        <v>170</v>
      </c>
      <c r="C488" s="291" t="s">
        <v>857</v>
      </c>
      <c r="D488" s="314" t="s">
        <v>858</v>
      </c>
      <c r="E488" s="145">
        <v>45891</v>
      </c>
      <c r="F488" s="138">
        <v>74.5</v>
      </c>
      <c r="G488" s="138">
        <v>74.5</v>
      </c>
      <c r="H488" s="138">
        <v>71</v>
      </c>
      <c r="I488" s="83">
        <f t="shared" si="92"/>
        <v>-0.22500000000000853</v>
      </c>
      <c r="J488" s="83">
        <f t="shared" si="93"/>
        <v>0</v>
      </c>
      <c r="K488" s="298" t="s">
        <v>108</v>
      </c>
      <c r="L488" s="142">
        <f t="shared" si="96"/>
        <v>45831</v>
      </c>
      <c r="M488" s="142">
        <v>45803</v>
      </c>
      <c r="N488" s="142">
        <f t="shared" si="86"/>
        <v>45805</v>
      </c>
      <c r="O488" s="143">
        <f t="shared" ca="1" si="94"/>
        <v>28</v>
      </c>
      <c r="P488" s="142">
        <v>45843</v>
      </c>
      <c r="Q488" s="142">
        <v>45822</v>
      </c>
      <c r="R488" s="143">
        <f t="shared" ca="1" si="95"/>
        <v>21</v>
      </c>
      <c r="S488" s="138"/>
      <c r="T488" s="138"/>
    </row>
    <row r="489" spans="1:20" hidden="1">
      <c r="A489" s="19" t="s">
        <v>188</v>
      </c>
      <c r="B489" s="291">
        <v>170</v>
      </c>
      <c r="C489" s="291" t="s">
        <v>857</v>
      </c>
      <c r="D489" s="314" t="s">
        <v>840</v>
      </c>
      <c r="E489" s="145">
        <v>45891</v>
      </c>
      <c r="F489" s="138">
        <v>65.599998474121094</v>
      </c>
      <c r="G489" s="138">
        <v>65.599999999999994</v>
      </c>
      <c r="H489" s="138">
        <v>62</v>
      </c>
      <c r="I489" s="83">
        <f t="shared" si="92"/>
        <v>0.31999855041503622</v>
      </c>
      <c r="J489" s="83">
        <f t="shared" si="93"/>
        <v>-1.5258789005656581E-6</v>
      </c>
      <c r="K489" s="298" t="s">
        <v>108</v>
      </c>
      <c r="L489" s="142">
        <f t="shared" si="96"/>
        <v>45831</v>
      </c>
      <c r="M489" s="142">
        <v>45803</v>
      </c>
      <c r="N489" s="142">
        <f t="shared" si="86"/>
        <v>45805</v>
      </c>
      <c r="O489" s="143">
        <f t="shared" ca="1" si="94"/>
        <v>28</v>
      </c>
      <c r="P489" s="142">
        <v>45843</v>
      </c>
      <c r="Q489" s="142">
        <v>45832</v>
      </c>
      <c r="R489" s="143">
        <f t="shared" ca="1" si="95"/>
        <v>11</v>
      </c>
      <c r="S489" s="138"/>
      <c r="T489" s="138"/>
    </row>
    <row r="490" spans="1:20" hidden="1">
      <c r="A490" s="19" t="s">
        <v>188</v>
      </c>
      <c r="B490" s="291">
        <v>170</v>
      </c>
      <c r="C490" s="291" t="s">
        <v>857</v>
      </c>
      <c r="D490" s="314" t="s">
        <v>859</v>
      </c>
      <c r="E490" s="145">
        <v>45891</v>
      </c>
      <c r="F490" s="138">
        <v>45.700000762939503</v>
      </c>
      <c r="G490" s="138">
        <v>45.7</v>
      </c>
      <c r="H490" s="138">
        <v>43</v>
      </c>
      <c r="I490" s="83">
        <f t="shared" si="92"/>
        <v>0.41500072479252736</v>
      </c>
      <c r="J490" s="83">
        <f t="shared" si="93"/>
        <v>7.6293950002082056E-7</v>
      </c>
      <c r="K490" s="298" t="s">
        <v>108</v>
      </c>
      <c r="L490" s="142">
        <f t="shared" si="96"/>
        <v>45831</v>
      </c>
      <c r="M490" s="142">
        <v>45803</v>
      </c>
      <c r="N490" s="142">
        <f t="shared" si="86"/>
        <v>45805</v>
      </c>
      <c r="O490" s="143">
        <f t="shared" ca="1" si="94"/>
        <v>28</v>
      </c>
      <c r="P490" s="142">
        <v>45843</v>
      </c>
      <c r="Q490" s="142">
        <v>45822</v>
      </c>
      <c r="R490" s="143">
        <f t="shared" ca="1" si="95"/>
        <v>21</v>
      </c>
      <c r="S490" s="138"/>
      <c r="T490" s="138"/>
    </row>
    <row r="491" spans="1:20" hidden="1">
      <c r="A491" s="19" t="s">
        <v>188</v>
      </c>
      <c r="B491" s="291">
        <v>172</v>
      </c>
      <c r="C491" s="291" t="s">
        <v>75</v>
      </c>
      <c r="D491" s="314" t="s">
        <v>858</v>
      </c>
      <c r="E491" s="145">
        <v>45891</v>
      </c>
      <c r="F491" s="138">
        <v>242.80000305175801</v>
      </c>
      <c r="G491" s="138">
        <v>242.8</v>
      </c>
      <c r="H491" s="138">
        <v>231</v>
      </c>
      <c r="I491" s="83">
        <f t="shared" si="92"/>
        <v>-0.33999710082989054</v>
      </c>
      <c r="J491" s="83">
        <f t="shared" si="93"/>
        <v>3.0517580000832822E-6</v>
      </c>
      <c r="K491" s="298" t="s">
        <v>108</v>
      </c>
      <c r="L491" s="142">
        <f t="shared" si="96"/>
        <v>45831</v>
      </c>
      <c r="M491" s="142">
        <v>45803</v>
      </c>
      <c r="N491" s="142">
        <f t="shared" si="86"/>
        <v>45805</v>
      </c>
      <c r="O491" s="143">
        <f t="shared" ca="1" si="94"/>
        <v>28</v>
      </c>
      <c r="P491" s="142">
        <v>45843</v>
      </c>
      <c r="Q491" s="142">
        <v>45822</v>
      </c>
      <c r="R491" s="143">
        <f t="shared" ca="1" si="95"/>
        <v>21</v>
      </c>
      <c r="S491" s="138"/>
      <c r="T491" s="138"/>
    </row>
    <row r="492" spans="1:20" hidden="1">
      <c r="A492" s="19" t="s">
        <v>188</v>
      </c>
      <c r="B492" s="291">
        <v>172</v>
      </c>
      <c r="C492" s="291" t="s">
        <v>75</v>
      </c>
      <c r="D492" s="314" t="s">
        <v>859</v>
      </c>
      <c r="E492" s="145">
        <v>45891</v>
      </c>
      <c r="F492" s="138">
        <v>148.69999694824199</v>
      </c>
      <c r="G492" s="138">
        <v>148.69999999999999</v>
      </c>
      <c r="H492" s="138">
        <v>141</v>
      </c>
      <c r="I492" s="83">
        <f t="shared" si="92"/>
        <v>0.26499710082987349</v>
      </c>
      <c r="J492" s="83">
        <f t="shared" si="93"/>
        <v>-3.0517580000832822E-6</v>
      </c>
      <c r="K492" s="298" t="s">
        <v>108</v>
      </c>
      <c r="L492" s="142">
        <f t="shared" si="96"/>
        <v>45831</v>
      </c>
      <c r="M492" s="142">
        <v>45803</v>
      </c>
      <c r="N492" s="142">
        <f t="shared" si="86"/>
        <v>45805</v>
      </c>
      <c r="O492" s="143">
        <f t="shared" ca="1" si="94"/>
        <v>28</v>
      </c>
      <c r="P492" s="142">
        <v>45843</v>
      </c>
      <c r="Q492" s="142">
        <v>45822</v>
      </c>
      <c r="R492" s="143">
        <f t="shared" ca="1" si="95"/>
        <v>21</v>
      </c>
      <c r="S492" s="138"/>
      <c r="T492" s="138"/>
    </row>
    <row r="493" spans="1:20" hidden="1">
      <c r="A493" s="19" t="s">
        <v>188</v>
      </c>
      <c r="B493" s="291">
        <v>172</v>
      </c>
      <c r="C493" s="291" t="s">
        <v>857</v>
      </c>
      <c r="D493" s="314" t="s">
        <v>858</v>
      </c>
      <c r="E493" s="145">
        <v>45891</v>
      </c>
      <c r="F493" s="138">
        <v>278.29998779296898</v>
      </c>
      <c r="G493" s="138">
        <v>278.3</v>
      </c>
      <c r="H493" s="138">
        <v>264</v>
      </c>
      <c r="I493" s="83">
        <f t="shared" si="92"/>
        <v>0.38498840332050577</v>
      </c>
      <c r="J493" s="83">
        <f t="shared" si="93"/>
        <v>-1.2207031033995008E-5</v>
      </c>
      <c r="K493" s="298" t="s">
        <v>108</v>
      </c>
      <c r="L493" s="142">
        <f t="shared" si="96"/>
        <v>45831</v>
      </c>
      <c r="M493" s="142">
        <v>45803</v>
      </c>
      <c r="N493" s="142">
        <f t="shared" si="86"/>
        <v>45805</v>
      </c>
      <c r="O493" s="143">
        <f t="shared" ca="1" si="94"/>
        <v>28</v>
      </c>
      <c r="P493" s="142">
        <v>45843</v>
      </c>
      <c r="Q493" s="142">
        <v>45822</v>
      </c>
      <c r="R493" s="143">
        <f t="shared" ca="1" si="95"/>
        <v>21</v>
      </c>
      <c r="S493" s="138"/>
      <c r="T493" s="138"/>
    </row>
    <row r="494" spans="1:20" hidden="1">
      <c r="A494" s="19" t="s">
        <v>188</v>
      </c>
      <c r="B494" s="291">
        <v>172</v>
      </c>
      <c r="C494" s="291" t="s">
        <v>857</v>
      </c>
      <c r="D494" s="314" t="s">
        <v>859</v>
      </c>
      <c r="E494" s="145">
        <v>45891</v>
      </c>
      <c r="F494" s="138">
        <v>170.60000610351599</v>
      </c>
      <c r="G494" s="138">
        <v>170.6</v>
      </c>
      <c r="H494" s="138">
        <v>162</v>
      </c>
      <c r="I494" s="83">
        <f t="shared" si="92"/>
        <v>7.0005798340190495E-2</v>
      </c>
      <c r="J494" s="83">
        <f t="shared" si="93"/>
        <v>6.1035160001665645E-6</v>
      </c>
      <c r="K494" s="298" t="s">
        <v>108</v>
      </c>
      <c r="L494" s="142">
        <f t="shared" si="96"/>
        <v>45831</v>
      </c>
      <c r="M494" s="142">
        <v>45803</v>
      </c>
      <c r="N494" s="142">
        <f t="shared" si="86"/>
        <v>45805</v>
      </c>
      <c r="O494" s="143">
        <f t="shared" ca="1" si="94"/>
        <v>28</v>
      </c>
      <c r="P494" s="142">
        <v>45843</v>
      </c>
      <c r="Q494" s="142">
        <v>45822</v>
      </c>
      <c r="R494" s="143">
        <f t="shared" ca="1" si="95"/>
        <v>21</v>
      </c>
      <c r="S494" s="138"/>
      <c r="T494" s="138"/>
    </row>
    <row r="495" spans="1:20" hidden="1">
      <c r="A495" s="19" t="s">
        <v>188</v>
      </c>
      <c r="B495" s="291">
        <v>173</v>
      </c>
      <c r="C495" s="291" t="s">
        <v>75</v>
      </c>
      <c r="D495" s="314" t="s">
        <v>841</v>
      </c>
      <c r="E495" s="145">
        <v>45891</v>
      </c>
      <c r="F495" s="138">
        <v>78.900001525878906</v>
      </c>
      <c r="G495" s="138">
        <v>78.900000000000006</v>
      </c>
      <c r="H495" s="138">
        <v>75</v>
      </c>
      <c r="I495" s="83">
        <f t="shared" si="92"/>
        <v>-4.4998550415044747E-2</v>
      </c>
      <c r="J495" s="83">
        <f t="shared" si="93"/>
        <v>1.5258789005656581E-6</v>
      </c>
      <c r="K495" s="298" t="s">
        <v>108</v>
      </c>
      <c r="L495" s="142">
        <f t="shared" si="96"/>
        <v>45831</v>
      </c>
      <c r="M495" s="142">
        <v>45803</v>
      </c>
      <c r="N495" s="142">
        <f t="shared" si="86"/>
        <v>45805</v>
      </c>
      <c r="O495" s="143">
        <f t="shared" ca="1" si="94"/>
        <v>28</v>
      </c>
      <c r="P495" s="142">
        <v>45843</v>
      </c>
      <c r="Q495" s="142">
        <v>45824</v>
      </c>
      <c r="R495" s="143">
        <f t="shared" ca="1" si="95"/>
        <v>19</v>
      </c>
      <c r="S495" s="138"/>
      <c r="T495" s="138"/>
    </row>
    <row r="496" spans="1:20" hidden="1">
      <c r="A496" s="19" t="s">
        <v>188</v>
      </c>
      <c r="B496" s="291">
        <v>173</v>
      </c>
      <c r="C496" s="291" t="s">
        <v>75</v>
      </c>
      <c r="D496" s="314" t="s">
        <v>840</v>
      </c>
      <c r="E496" s="145">
        <v>45891</v>
      </c>
      <c r="F496" s="138">
        <v>73.900001525878906</v>
      </c>
      <c r="G496" s="138">
        <v>73.900000000000006</v>
      </c>
      <c r="H496" s="138">
        <v>70</v>
      </c>
      <c r="I496" s="83">
        <f t="shared" si="92"/>
        <v>0.20500144958495525</v>
      </c>
      <c r="J496" s="83">
        <f t="shared" si="93"/>
        <v>1.5258789005656581E-6</v>
      </c>
      <c r="K496" s="298" t="s">
        <v>108</v>
      </c>
      <c r="L496" s="142">
        <f t="shared" si="96"/>
        <v>45831</v>
      </c>
      <c r="M496" s="142">
        <v>45803</v>
      </c>
      <c r="N496" s="142">
        <f t="shared" si="86"/>
        <v>45805</v>
      </c>
      <c r="O496" s="143">
        <f t="shared" ca="1" si="94"/>
        <v>28</v>
      </c>
      <c r="P496" s="142">
        <v>45843</v>
      </c>
      <c r="Q496" s="142">
        <v>45824</v>
      </c>
      <c r="R496" s="143">
        <f t="shared" ca="1" si="95"/>
        <v>19</v>
      </c>
      <c r="S496" s="138"/>
      <c r="T496" s="138"/>
    </row>
    <row r="497" spans="1:20" hidden="1">
      <c r="A497" s="19" t="s">
        <v>188</v>
      </c>
      <c r="B497" s="291">
        <v>173</v>
      </c>
      <c r="C497" s="291" t="s">
        <v>857</v>
      </c>
      <c r="D497" s="314" t="s">
        <v>841</v>
      </c>
      <c r="E497" s="145">
        <v>45891</v>
      </c>
      <c r="F497" s="138">
        <v>90.5</v>
      </c>
      <c r="G497" s="138">
        <v>90.5</v>
      </c>
      <c r="H497" s="138">
        <v>86</v>
      </c>
      <c r="I497" s="83">
        <f t="shared" si="92"/>
        <v>-2.5000000000005684E-2</v>
      </c>
      <c r="J497" s="83">
        <f t="shared" si="93"/>
        <v>0</v>
      </c>
      <c r="K497" s="298" t="s">
        <v>108</v>
      </c>
      <c r="L497" s="142">
        <f t="shared" si="96"/>
        <v>45831</v>
      </c>
      <c r="M497" s="142">
        <v>45803</v>
      </c>
      <c r="N497" s="142">
        <f t="shared" si="86"/>
        <v>45805</v>
      </c>
      <c r="O497" s="143">
        <f t="shared" ca="1" si="94"/>
        <v>28</v>
      </c>
      <c r="P497" s="142">
        <v>45843</v>
      </c>
      <c r="Q497" s="142">
        <v>45824</v>
      </c>
      <c r="R497" s="143">
        <f t="shared" ca="1" si="95"/>
        <v>19</v>
      </c>
      <c r="S497" s="138"/>
      <c r="T497" s="138"/>
    </row>
    <row r="498" spans="1:20" hidden="1">
      <c r="A498" s="19" t="s">
        <v>188</v>
      </c>
      <c r="B498" s="291">
        <v>173</v>
      </c>
      <c r="C498" s="291" t="s">
        <v>857</v>
      </c>
      <c r="D498" s="314" t="s">
        <v>840</v>
      </c>
      <c r="E498" s="145">
        <v>45891</v>
      </c>
      <c r="F498" s="138">
        <v>84.699996948242202</v>
      </c>
      <c r="G498" s="138">
        <v>84.7</v>
      </c>
      <c r="H498" s="138">
        <v>80</v>
      </c>
      <c r="I498" s="83">
        <f t="shared" si="92"/>
        <v>0.46499710083008949</v>
      </c>
      <c r="J498" s="83">
        <f t="shared" si="93"/>
        <v>-3.0517578011313162E-6</v>
      </c>
      <c r="K498" s="298" t="s">
        <v>108</v>
      </c>
      <c r="L498" s="142">
        <f t="shared" si="96"/>
        <v>45831</v>
      </c>
      <c r="M498" s="142">
        <v>45803</v>
      </c>
      <c r="N498" s="142">
        <f t="shared" si="86"/>
        <v>45805</v>
      </c>
      <c r="O498" s="143">
        <f t="shared" ca="1" si="94"/>
        <v>28</v>
      </c>
      <c r="P498" s="142">
        <v>45843</v>
      </c>
      <c r="Q498" s="142">
        <v>45824</v>
      </c>
      <c r="R498" s="143">
        <f t="shared" ca="1" si="95"/>
        <v>19</v>
      </c>
      <c r="S498" s="138"/>
      <c r="T498" s="138"/>
    </row>
    <row r="499" spans="1:20" hidden="1">
      <c r="A499" s="19" t="s">
        <v>188</v>
      </c>
      <c r="B499" s="291">
        <v>171</v>
      </c>
      <c r="C499" s="291" t="s">
        <v>80</v>
      </c>
      <c r="D499" s="139" t="s">
        <v>146</v>
      </c>
      <c r="E499" s="145">
        <v>45891</v>
      </c>
      <c r="F499" s="138">
        <v>917.5</v>
      </c>
      <c r="G499" s="138">
        <v>917.5</v>
      </c>
      <c r="H499" s="138">
        <v>872</v>
      </c>
      <c r="I499" s="83">
        <f t="shared" ref="I499" si="97">F499*95%-H499</f>
        <v>-0.375</v>
      </c>
      <c r="J499" s="83">
        <f t="shared" ref="J499" si="98">F499-G499</f>
        <v>0</v>
      </c>
      <c r="K499" s="140" t="s">
        <v>133</v>
      </c>
      <c r="L499" s="142">
        <f t="shared" si="96"/>
        <v>45818</v>
      </c>
      <c r="M499" s="142">
        <v>45812</v>
      </c>
      <c r="N499" s="142">
        <f t="shared" si="86"/>
        <v>45814</v>
      </c>
      <c r="O499" s="143">
        <f t="shared" ref="O499" ca="1" si="99">+IF(M499="",L499-TODAY(),L499-M499)</f>
        <v>6</v>
      </c>
      <c r="P499" s="142">
        <v>45830</v>
      </c>
      <c r="Q499" s="142">
        <v>45825</v>
      </c>
      <c r="R499" s="143">
        <f t="shared" ref="R499" ca="1" si="100">+IF(Q499="",P499-TODAY(),P499-Q499)</f>
        <v>5</v>
      </c>
      <c r="S499" s="138"/>
      <c r="T499" s="138"/>
    </row>
    <row r="500" spans="1:20" hidden="1">
      <c r="A500" s="19" t="s">
        <v>188</v>
      </c>
      <c r="B500" s="291">
        <v>171</v>
      </c>
      <c r="C500" s="291" t="s">
        <v>75</v>
      </c>
      <c r="D500" s="314" t="s">
        <v>858</v>
      </c>
      <c r="E500" s="145">
        <v>45891</v>
      </c>
      <c r="F500" s="138">
        <v>23</v>
      </c>
      <c r="G500" s="138">
        <v>23</v>
      </c>
      <c r="H500" s="138">
        <v>22</v>
      </c>
      <c r="I500" s="83">
        <f t="shared" ref="I500:I503" si="101">F500*95%-H500</f>
        <v>-0.15000000000000213</v>
      </c>
      <c r="J500" s="83">
        <f t="shared" ref="J500:J503" si="102">F500-G500</f>
        <v>0</v>
      </c>
      <c r="K500" s="298" t="s">
        <v>108</v>
      </c>
      <c r="L500" s="142">
        <f t="shared" ref="L500:L503" si="103">P500-12</f>
        <v>45831</v>
      </c>
      <c r="M500" s="142">
        <v>45803</v>
      </c>
      <c r="N500" s="142">
        <f t="shared" si="86"/>
        <v>45805</v>
      </c>
      <c r="O500" s="143">
        <f t="shared" ref="O500:O503" ca="1" si="104">+IF(M500="",L500-TODAY(),L500-M500)</f>
        <v>28</v>
      </c>
      <c r="P500" s="142">
        <v>45843</v>
      </c>
      <c r="Q500" s="142">
        <v>45822</v>
      </c>
      <c r="R500" s="143">
        <f t="shared" ref="R500:R503" ca="1" si="105">+IF(Q500="",P500-TODAY(),P500-Q500)</f>
        <v>21</v>
      </c>
      <c r="S500" s="138"/>
      <c r="T500" s="138"/>
    </row>
    <row r="501" spans="1:20" hidden="1">
      <c r="A501" s="19" t="s">
        <v>188</v>
      </c>
      <c r="B501" s="291">
        <v>171</v>
      </c>
      <c r="C501" s="291" t="s">
        <v>75</v>
      </c>
      <c r="D501" s="314" t="s">
        <v>859</v>
      </c>
      <c r="E501" s="145">
        <v>45891</v>
      </c>
      <c r="F501" s="138">
        <v>14.300000190734901</v>
      </c>
      <c r="G501" s="138">
        <v>14.3</v>
      </c>
      <c r="H501" s="138">
        <v>14</v>
      </c>
      <c r="I501" s="83">
        <f t="shared" si="101"/>
        <v>-0.41499981880184578</v>
      </c>
      <c r="J501" s="83">
        <f t="shared" si="102"/>
        <v>1.9073489987420089E-7</v>
      </c>
      <c r="K501" s="298" t="s">
        <v>108</v>
      </c>
      <c r="L501" s="142">
        <f t="shared" si="103"/>
        <v>45831</v>
      </c>
      <c r="M501" s="142">
        <v>45803</v>
      </c>
      <c r="N501" s="142">
        <f t="shared" si="86"/>
        <v>45805</v>
      </c>
      <c r="O501" s="143">
        <f t="shared" ca="1" si="104"/>
        <v>28</v>
      </c>
      <c r="P501" s="142">
        <v>45843</v>
      </c>
      <c r="Q501" s="142">
        <v>45822</v>
      </c>
      <c r="R501" s="143">
        <f t="shared" ca="1" si="105"/>
        <v>21</v>
      </c>
      <c r="S501" s="138"/>
      <c r="T501" s="138"/>
    </row>
    <row r="502" spans="1:20" hidden="1">
      <c r="A502" s="19" t="s">
        <v>188</v>
      </c>
      <c r="B502" s="291">
        <v>171</v>
      </c>
      <c r="C502" s="291" t="s">
        <v>857</v>
      </c>
      <c r="D502" s="314" t="s">
        <v>858</v>
      </c>
      <c r="E502" s="145">
        <v>45891</v>
      </c>
      <c r="F502" s="138">
        <v>26.700000762939499</v>
      </c>
      <c r="G502" s="138">
        <v>26.7</v>
      </c>
      <c r="H502" s="138">
        <v>25</v>
      </c>
      <c r="I502" s="83">
        <f t="shared" si="101"/>
        <v>0.3650007247925231</v>
      </c>
      <c r="J502" s="83">
        <f t="shared" si="102"/>
        <v>7.6293950002082056E-7</v>
      </c>
      <c r="K502" s="298" t="s">
        <v>108</v>
      </c>
      <c r="L502" s="142">
        <f t="shared" si="103"/>
        <v>45831</v>
      </c>
      <c r="M502" s="142">
        <v>45803</v>
      </c>
      <c r="N502" s="142">
        <f t="shared" si="86"/>
        <v>45805</v>
      </c>
      <c r="O502" s="143">
        <f t="shared" ca="1" si="104"/>
        <v>28</v>
      </c>
      <c r="P502" s="142">
        <v>45843</v>
      </c>
      <c r="Q502" s="142">
        <v>45822</v>
      </c>
      <c r="R502" s="143">
        <f t="shared" ca="1" si="105"/>
        <v>21</v>
      </c>
      <c r="S502" s="138"/>
      <c r="T502" s="138"/>
    </row>
    <row r="503" spans="1:20" hidden="1">
      <c r="A503" s="19" t="s">
        <v>188</v>
      </c>
      <c r="B503" s="291">
        <v>171</v>
      </c>
      <c r="C503" s="291" t="s">
        <v>857</v>
      </c>
      <c r="D503" s="314" t="s">
        <v>859</v>
      </c>
      <c r="E503" s="145">
        <v>45891</v>
      </c>
      <c r="F503" s="138">
        <v>16.399999618530298</v>
      </c>
      <c r="G503" s="138">
        <v>16.399999999999999</v>
      </c>
      <c r="H503" s="138">
        <v>16</v>
      </c>
      <c r="I503" s="83">
        <f t="shared" si="101"/>
        <v>-0.42000036239621785</v>
      </c>
      <c r="J503" s="83">
        <f t="shared" si="102"/>
        <v>-3.8146970027241878E-7</v>
      </c>
      <c r="K503" s="298" t="s">
        <v>108</v>
      </c>
      <c r="L503" s="142">
        <f t="shared" si="103"/>
        <v>45831</v>
      </c>
      <c r="M503" s="142">
        <v>45803</v>
      </c>
      <c r="N503" s="142">
        <f t="shared" si="86"/>
        <v>45805</v>
      </c>
      <c r="O503" s="143">
        <f t="shared" ca="1" si="104"/>
        <v>28</v>
      </c>
      <c r="P503" s="142">
        <v>45843</v>
      </c>
      <c r="Q503" s="142">
        <v>45822</v>
      </c>
      <c r="R503" s="143">
        <f t="shared" ca="1" si="105"/>
        <v>21</v>
      </c>
      <c r="S503" s="138"/>
      <c r="T503" s="138"/>
    </row>
    <row r="504" spans="1:20" hidden="1">
      <c r="A504" s="19" t="s">
        <v>188</v>
      </c>
      <c r="B504" s="291">
        <v>179</v>
      </c>
      <c r="C504" s="291" t="s">
        <v>75</v>
      </c>
      <c r="D504" s="291" t="s">
        <v>841</v>
      </c>
      <c r="E504" s="145">
        <v>45885</v>
      </c>
      <c r="F504" s="138">
        <v>32.5</v>
      </c>
      <c r="G504" s="138">
        <v>32.5</v>
      </c>
      <c r="H504" s="138">
        <v>31</v>
      </c>
      <c r="I504" s="83">
        <f t="shared" ref="I504" si="106">F504*95%-H504</f>
        <v>-0.125</v>
      </c>
      <c r="J504" s="83">
        <f t="shared" ref="J504" si="107">F504-G504</f>
        <v>0</v>
      </c>
      <c r="K504" s="298" t="s">
        <v>108</v>
      </c>
      <c r="L504" s="142">
        <f t="shared" ref="L504" si="108">P504-12</f>
        <v>45825</v>
      </c>
      <c r="M504" s="142">
        <v>45811</v>
      </c>
      <c r="N504" s="142">
        <f t="shared" si="86"/>
        <v>45813</v>
      </c>
      <c r="O504" s="143">
        <f t="shared" ref="O504" ca="1" si="109">+IF(M504="",L504-TODAY(),L504-M504)</f>
        <v>14</v>
      </c>
      <c r="P504" s="142">
        <v>45837</v>
      </c>
      <c r="Q504" s="142">
        <v>45833</v>
      </c>
      <c r="R504" s="143">
        <f t="shared" ref="R504" ca="1" si="110">+IF(Q504="",P504-TODAY(),P504-Q504)</f>
        <v>4</v>
      </c>
      <c r="S504" s="138"/>
      <c r="T504" s="138"/>
    </row>
    <row r="505" spans="1:20" hidden="1">
      <c r="A505" s="19" t="s">
        <v>188</v>
      </c>
      <c r="B505" s="291">
        <v>179</v>
      </c>
      <c r="C505" s="291" t="s">
        <v>75</v>
      </c>
      <c r="D505" s="291" t="s">
        <v>840</v>
      </c>
      <c r="E505" s="145">
        <v>45885</v>
      </c>
      <c r="F505" s="138">
        <v>30.399999618530298</v>
      </c>
      <c r="G505" s="138">
        <v>30.4</v>
      </c>
      <c r="H505" s="138">
        <v>29</v>
      </c>
      <c r="I505" s="83">
        <f t="shared" ref="I505:I568" si="111">F505*95%-H505</f>
        <v>-0.12000036239621892</v>
      </c>
      <c r="J505" s="83">
        <f t="shared" ref="J505:J568" si="112">F505-G505</f>
        <v>-3.8146970027241878E-7</v>
      </c>
      <c r="K505" s="298" t="s">
        <v>108</v>
      </c>
      <c r="L505" s="142">
        <f t="shared" ref="L505:L568" si="113">P505-12</f>
        <v>45825</v>
      </c>
      <c r="M505" s="142">
        <v>45811</v>
      </c>
      <c r="N505" s="142">
        <f t="shared" si="86"/>
        <v>45813</v>
      </c>
      <c r="O505" s="143">
        <f t="shared" ref="O505:O568" ca="1" si="114">+IF(M505="",L505-TODAY(),L505-M505)</f>
        <v>14</v>
      </c>
      <c r="P505" s="142">
        <v>45837</v>
      </c>
      <c r="Q505" s="142">
        <v>45833</v>
      </c>
      <c r="R505" s="143">
        <f t="shared" ref="R505:R568" ca="1" si="115">+IF(Q505="",P505-TODAY(),P505-Q505)</f>
        <v>4</v>
      </c>
      <c r="S505" s="138"/>
      <c r="T505" s="138"/>
    </row>
    <row r="506" spans="1:20" hidden="1">
      <c r="A506" s="19" t="s">
        <v>188</v>
      </c>
      <c r="B506" s="291">
        <v>179</v>
      </c>
      <c r="C506" s="291" t="s">
        <v>857</v>
      </c>
      <c r="D506" s="291" t="s">
        <v>841</v>
      </c>
      <c r="E506" s="145">
        <v>45885</v>
      </c>
      <c r="F506" s="138">
        <v>37.299999237060497</v>
      </c>
      <c r="G506" s="138">
        <v>37.299999999999997</v>
      </c>
      <c r="H506" s="138">
        <v>35</v>
      </c>
      <c r="I506" s="83">
        <f t="shared" si="111"/>
        <v>0.43499927520747406</v>
      </c>
      <c r="J506" s="83">
        <f t="shared" si="112"/>
        <v>-7.6293950002082056E-7</v>
      </c>
      <c r="K506" s="298" t="s">
        <v>108</v>
      </c>
      <c r="L506" s="142">
        <f t="shared" si="113"/>
        <v>45825</v>
      </c>
      <c r="M506" s="142">
        <v>45811</v>
      </c>
      <c r="N506" s="142">
        <f t="shared" si="86"/>
        <v>45813</v>
      </c>
      <c r="O506" s="143">
        <f t="shared" ca="1" si="114"/>
        <v>14</v>
      </c>
      <c r="P506" s="142">
        <v>45837</v>
      </c>
      <c r="Q506" s="142">
        <v>45833</v>
      </c>
      <c r="R506" s="143">
        <f t="shared" ca="1" si="115"/>
        <v>4</v>
      </c>
      <c r="S506" s="138"/>
      <c r="T506" s="138"/>
    </row>
    <row r="507" spans="1:20" hidden="1">
      <c r="A507" s="19" t="s">
        <v>188</v>
      </c>
      <c r="B507" s="291">
        <v>179</v>
      </c>
      <c r="C507" s="291" t="s">
        <v>857</v>
      </c>
      <c r="D507" s="291" t="s">
        <v>840</v>
      </c>
      <c r="E507" s="145">
        <v>45885</v>
      </c>
      <c r="F507" s="138">
        <v>34.900001525878899</v>
      </c>
      <c r="G507" s="138">
        <v>34.9</v>
      </c>
      <c r="H507" s="138">
        <v>33</v>
      </c>
      <c r="I507" s="83">
        <f t="shared" si="111"/>
        <v>0.15500144958495099</v>
      </c>
      <c r="J507" s="83">
        <f t="shared" si="112"/>
        <v>1.5258789005656581E-6</v>
      </c>
      <c r="K507" s="298" t="s">
        <v>108</v>
      </c>
      <c r="L507" s="142">
        <f t="shared" si="113"/>
        <v>45825</v>
      </c>
      <c r="M507" s="142">
        <v>45811</v>
      </c>
      <c r="N507" s="142">
        <f t="shared" si="86"/>
        <v>45813</v>
      </c>
      <c r="O507" s="143">
        <f t="shared" ca="1" si="114"/>
        <v>14</v>
      </c>
      <c r="P507" s="142">
        <v>45837</v>
      </c>
      <c r="Q507" s="142">
        <v>45833</v>
      </c>
      <c r="R507" s="143">
        <f t="shared" ca="1" si="115"/>
        <v>4</v>
      </c>
      <c r="S507" s="138"/>
      <c r="T507" s="138"/>
    </row>
    <row r="508" spans="1:20" hidden="1">
      <c r="A508" s="19" t="s">
        <v>188</v>
      </c>
      <c r="B508" s="291">
        <v>180</v>
      </c>
      <c r="C508" s="291" t="s">
        <v>75</v>
      </c>
      <c r="D508" s="291" t="s">
        <v>841</v>
      </c>
      <c r="E508" s="145">
        <v>45885</v>
      </c>
      <c r="F508" s="138">
        <v>96.800003051757798</v>
      </c>
      <c r="G508" s="138">
        <v>96.8</v>
      </c>
      <c r="H508" s="138">
        <v>92</v>
      </c>
      <c r="I508" s="83">
        <f t="shared" si="111"/>
        <v>-3.9997100830092336E-2</v>
      </c>
      <c r="J508" s="83">
        <f t="shared" si="112"/>
        <v>3.0517578011313162E-6</v>
      </c>
      <c r="K508" s="298" t="s">
        <v>108</v>
      </c>
      <c r="L508" s="142">
        <f t="shared" si="113"/>
        <v>45825</v>
      </c>
      <c r="M508" s="142">
        <v>45811</v>
      </c>
      <c r="N508" s="142">
        <f t="shared" si="86"/>
        <v>45813</v>
      </c>
      <c r="O508" s="143">
        <f t="shared" ca="1" si="114"/>
        <v>14</v>
      </c>
      <c r="P508" s="142">
        <v>45837</v>
      </c>
      <c r="Q508" s="142">
        <v>45833</v>
      </c>
      <c r="R508" s="143">
        <f t="shared" ca="1" si="115"/>
        <v>4</v>
      </c>
      <c r="S508" s="138"/>
      <c r="T508" s="138"/>
    </row>
    <row r="509" spans="1:20" hidden="1">
      <c r="A509" s="19" t="s">
        <v>188</v>
      </c>
      <c r="B509" s="291">
        <v>180</v>
      </c>
      <c r="C509" s="291" t="s">
        <v>75</v>
      </c>
      <c r="D509" s="291" t="s">
        <v>840</v>
      </c>
      <c r="E509" s="145">
        <v>45885</v>
      </c>
      <c r="F509" s="138">
        <v>90.599998474121094</v>
      </c>
      <c r="G509" s="138">
        <v>90.6</v>
      </c>
      <c r="H509" s="138">
        <v>86</v>
      </c>
      <c r="I509" s="83">
        <f t="shared" si="111"/>
        <v>6.999855041503622E-2</v>
      </c>
      <c r="J509" s="83">
        <f t="shared" si="112"/>
        <v>-1.5258789005656581E-6</v>
      </c>
      <c r="K509" s="298" t="s">
        <v>108</v>
      </c>
      <c r="L509" s="142">
        <f t="shared" si="113"/>
        <v>45825</v>
      </c>
      <c r="M509" s="142">
        <v>45811</v>
      </c>
      <c r="N509" s="142">
        <f t="shared" si="86"/>
        <v>45813</v>
      </c>
      <c r="O509" s="143">
        <f t="shared" ca="1" si="114"/>
        <v>14</v>
      </c>
      <c r="P509" s="142">
        <v>45837</v>
      </c>
      <c r="Q509" s="142">
        <v>45833</v>
      </c>
      <c r="R509" s="143">
        <f t="shared" ca="1" si="115"/>
        <v>4</v>
      </c>
      <c r="S509" s="138"/>
      <c r="T509" s="138"/>
    </row>
    <row r="510" spans="1:20" hidden="1">
      <c r="A510" s="19" t="s">
        <v>188</v>
      </c>
      <c r="B510" s="291">
        <v>180</v>
      </c>
      <c r="C510" s="291" t="s">
        <v>857</v>
      </c>
      <c r="D510" s="291" t="s">
        <v>841</v>
      </c>
      <c r="E510" s="145">
        <v>45885</v>
      </c>
      <c r="F510" s="138">
        <v>111</v>
      </c>
      <c r="G510" s="138">
        <v>111</v>
      </c>
      <c r="H510" s="138">
        <v>105</v>
      </c>
      <c r="I510" s="83">
        <f t="shared" si="111"/>
        <v>0.44999999999998863</v>
      </c>
      <c r="J510" s="83">
        <f t="shared" si="112"/>
        <v>0</v>
      </c>
      <c r="K510" s="298" t="s">
        <v>108</v>
      </c>
      <c r="L510" s="142">
        <f t="shared" si="113"/>
        <v>45825</v>
      </c>
      <c r="M510" s="142">
        <v>45811</v>
      </c>
      <c r="N510" s="142">
        <f t="shared" si="86"/>
        <v>45813</v>
      </c>
      <c r="O510" s="143">
        <f t="shared" ca="1" si="114"/>
        <v>14</v>
      </c>
      <c r="P510" s="142">
        <v>45837</v>
      </c>
      <c r="Q510" s="142">
        <v>45833</v>
      </c>
      <c r="R510" s="143">
        <f t="shared" ca="1" si="115"/>
        <v>4</v>
      </c>
      <c r="S510" s="138"/>
      <c r="T510" s="138"/>
    </row>
    <row r="511" spans="1:20" hidden="1">
      <c r="A511" s="19" t="s">
        <v>188</v>
      </c>
      <c r="B511" s="291">
        <v>180</v>
      </c>
      <c r="C511" s="291" t="s">
        <v>857</v>
      </c>
      <c r="D511" s="291" t="s">
        <v>840</v>
      </c>
      <c r="E511" s="145">
        <v>45885</v>
      </c>
      <c r="F511" s="138">
        <v>103.800003051758</v>
      </c>
      <c r="G511" s="138">
        <v>103.8</v>
      </c>
      <c r="H511" s="138">
        <v>99</v>
      </c>
      <c r="I511" s="83">
        <f t="shared" si="111"/>
        <v>-0.38999710082990191</v>
      </c>
      <c r="J511" s="83">
        <f t="shared" si="112"/>
        <v>3.0517580000832822E-6</v>
      </c>
      <c r="K511" s="298" t="s">
        <v>108</v>
      </c>
      <c r="L511" s="142">
        <f t="shared" si="113"/>
        <v>45825</v>
      </c>
      <c r="M511" s="142">
        <v>45811</v>
      </c>
      <c r="N511" s="142">
        <f t="shared" si="86"/>
        <v>45813</v>
      </c>
      <c r="O511" s="143">
        <f t="shared" ca="1" si="114"/>
        <v>14</v>
      </c>
      <c r="P511" s="142">
        <v>45837</v>
      </c>
      <c r="Q511" s="142">
        <v>45833</v>
      </c>
      <c r="R511" s="143">
        <f t="shared" ca="1" si="115"/>
        <v>4</v>
      </c>
      <c r="S511" s="138"/>
      <c r="T511" s="138"/>
    </row>
    <row r="512" spans="1:20" hidden="1">
      <c r="A512" s="19" t="s">
        <v>188</v>
      </c>
      <c r="B512" s="291">
        <v>181</v>
      </c>
      <c r="C512" s="291" t="s">
        <v>75</v>
      </c>
      <c r="D512" s="291" t="s">
        <v>858</v>
      </c>
      <c r="E512" s="145">
        <v>45885</v>
      </c>
      <c r="F512" s="138">
        <v>83.5</v>
      </c>
      <c r="G512" s="138">
        <v>83.5</v>
      </c>
      <c r="H512" s="138">
        <v>79</v>
      </c>
      <c r="I512" s="83">
        <f t="shared" si="111"/>
        <v>0.32500000000000284</v>
      </c>
      <c r="J512" s="83">
        <f t="shared" si="112"/>
        <v>0</v>
      </c>
      <c r="K512" s="298" t="s">
        <v>108</v>
      </c>
      <c r="L512" s="142">
        <f t="shared" si="113"/>
        <v>45825</v>
      </c>
      <c r="M512" s="142">
        <v>45811</v>
      </c>
      <c r="N512" s="142">
        <f t="shared" si="86"/>
        <v>45813</v>
      </c>
      <c r="O512" s="143">
        <f t="shared" ca="1" si="114"/>
        <v>14</v>
      </c>
      <c r="P512" s="142">
        <v>45837</v>
      </c>
      <c r="Q512" s="142">
        <v>45826</v>
      </c>
      <c r="R512" s="143">
        <f t="shared" ca="1" si="115"/>
        <v>11</v>
      </c>
      <c r="S512" s="138"/>
      <c r="T512" s="138"/>
    </row>
    <row r="513" spans="1:20" hidden="1">
      <c r="A513" s="19" t="s">
        <v>188</v>
      </c>
      <c r="B513" s="291">
        <v>181</v>
      </c>
      <c r="C513" s="291" t="s">
        <v>75</v>
      </c>
      <c r="D513" s="291" t="s">
        <v>859</v>
      </c>
      <c r="E513" s="145">
        <v>45885</v>
      </c>
      <c r="F513" s="138">
        <v>51.200000762939503</v>
      </c>
      <c r="G513" s="138">
        <v>51.2</v>
      </c>
      <c r="H513" s="138">
        <v>49</v>
      </c>
      <c r="I513" s="83">
        <f t="shared" si="111"/>
        <v>-0.35999927520747121</v>
      </c>
      <c r="J513" s="83">
        <f t="shared" si="112"/>
        <v>7.6293950002082056E-7</v>
      </c>
      <c r="K513" s="298" t="s">
        <v>108</v>
      </c>
      <c r="L513" s="142">
        <f t="shared" si="113"/>
        <v>45825</v>
      </c>
      <c r="M513" s="142">
        <v>45811</v>
      </c>
      <c r="N513" s="142">
        <f t="shared" si="86"/>
        <v>45813</v>
      </c>
      <c r="O513" s="143">
        <f t="shared" ca="1" si="114"/>
        <v>14</v>
      </c>
      <c r="P513" s="142">
        <v>45837</v>
      </c>
      <c r="Q513" s="142">
        <v>45826</v>
      </c>
      <c r="R513" s="143">
        <f t="shared" ca="1" si="115"/>
        <v>11</v>
      </c>
      <c r="S513" s="138"/>
      <c r="T513" s="138"/>
    </row>
    <row r="514" spans="1:20" hidden="1">
      <c r="A514" s="19" t="s">
        <v>188</v>
      </c>
      <c r="B514" s="291">
        <v>181</v>
      </c>
      <c r="C514" s="291" t="s">
        <v>857</v>
      </c>
      <c r="D514" s="291" t="s">
        <v>858</v>
      </c>
      <c r="E514" s="145">
        <v>45885</v>
      </c>
      <c r="F514" s="138">
        <v>95.699996948242202</v>
      </c>
      <c r="G514" s="138">
        <v>95.7</v>
      </c>
      <c r="H514" s="138">
        <v>91</v>
      </c>
      <c r="I514" s="83">
        <f t="shared" si="111"/>
        <v>-8.5002899169907664E-2</v>
      </c>
      <c r="J514" s="83">
        <f t="shared" si="112"/>
        <v>-3.0517578011313162E-6</v>
      </c>
      <c r="K514" s="298" t="s">
        <v>108</v>
      </c>
      <c r="L514" s="142">
        <f t="shared" si="113"/>
        <v>45825</v>
      </c>
      <c r="M514" s="142">
        <v>45811</v>
      </c>
      <c r="N514" s="142">
        <f t="shared" si="86"/>
        <v>45813</v>
      </c>
      <c r="O514" s="143">
        <f t="shared" ca="1" si="114"/>
        <v>14</v>
      </c>
      <c r="P514" s="142">
        <v>45837</v>
      </c>
      <c r="Q514" s="142">
        <v>45826</v>
      </c>
      <c r="R514" s="143">
        <f t="shared" ca="1" si="115"/>
        <v>11</v>
      </c>
      <c r="S514" s="138"/>
      <c r="T514" s="138"/>
    </row>
    <row r="515" spans="1:20" hidden="1">
      <c r="A515" s="19" t="s">
        <v>188</v>
      </c>
      <c r="B515" s="291">
        <v>181</v>
      </c>
      <c r="C515" s="291" t="s">
        <v>857</v>
      </c>
      <c r="D515" s="291" t="s">
        <v>859</v>
      </c>
      <c r="E515" s="145">
        <v>45885</v>
      </c>
      <c r="F515" s="138">
        <v>58.700000762939503</v>
      </c>
      <c r="G515" s="138">
        <v>58.7</v>
      </c>
      <c r="H515" s="138">
        <v>56</v>
      </c>
      <c r="I515" s="83">
        <f t="shared" si="111"/>
        <v>-0.23499927520747832</v>
      </c>
      <c r="J515" s="83">
        <f t="shared" si="112"/>
        <v>7.6293950002082056E-7</v>
      </c>
      <c r="K515" s="298" t="s">
        <v>108</v>
      </c>
      <c r="L515" s="142">
        <f t="shared" si="113"/>
        <v>45825</v>
      </c>
      <c r="M515" s="142">
        <v>45811</v>
      </c>
      <c r="N515" s="142">
        <f t="shared" si="86"/>
        <v>45813</v>
      </c>
      <c r="O515" s="143">
        <f t="shared" ca="1" si="114"/>
        <v>14</v>
      </c>
      <c r="P515" s="142">
        <v>45837</v>
      </c>
      <c r="Q515" s="142">
        <v>45826</v>
      </c>
      <c r="R515" s="143">
        <f t="shared" ca="1" si="115"/>
        <v>11</v>
      </c>
      <c r="S515" s="138"/>
      <c r="T515" s="138"/>
    </row>
    <row r="516" spans="1:20" hidden="1">
      <c r="A516" s="19" t="s">
        <v>188</v>
      </c>
      <c r="B516" s="291">
        <v>182</v>
      </c>
      <c r="C516" s="291" t="s">
        <v>75</v>
      </c>
      <c r="D516" s="291" t="s">
        <v>841</v>
      </c>
      <c r="E516" s="145">
        <v>45885</v>
      </c>
      <c r="F516" s="138">
        <v>181.19999694824199</v>
      </c>
      <c r="G516" s="138">
        <v>181.2</v>
      </c>
      <c r="H516" s="138">
        <v>172</v>
      </c>
      <c r="I516" s="83">
        <f t="shared" si="111"/>
        <v>0.13999710082987349</v>
      </c>
      <c r="J516" s="83">
        <f t="shared" si="112"/>
        <v>-3.0517580000832822E-6</v>
      </c>
      <c r="K516" s="298" t="s">
        <v>108</v>
      </c>
      <c r="L516" s="142">
        <f t="shared" si="113"/>
        <v>45825</v>
      </c>
      <c r="M516" s="142">
        <v>45811</v>
      </c>
      <c r="N516" s="142">
        <f t="shared" si="86"/>
        <v>45813</v>
      </c>
      <c r="O516" s="143">
        <f t="shared" ca="1" si="114"/>
        <v>14</v>
      </c>
      <c r="P516" s="142">
        <v>45837</v>
      </c>
      <c r="Q516" s="142">
        <v>45833</v>
      </c>
      <c r="R516" s="143">
        <f t="shared" ca="1" si="115"/>
        <v>4</v>
      </c>
      <c r="S516" s="138"/>
      <c r="T516" s="138"/>
    </row>
    <row r="517" spans="1:20" hidden="1">
      <c r="A517" s="19" t="s">
        <v>188</v>
      </c>
      <c r="B517" s="291">
        <v>182</v>
      </c>
      <c r="C517" s="291" t="s">
        <v>75</v>
      </c>
      <c r="D517" s="291" t="s">
        <v>840</v>
      </c>
      <c r="E517" s="145">
        <v>45885</v>
      </c>
      <c r="F517" s="138">
        <v>169.60000610351599</v>
      </c>
      <c r="G517" s="138">
        <v>169.6</v>
      </c>
      <c r="H517" s="138">
        <v>161</v>
      </c>
      <c r="I517" s="83">
        <f t="shared" si="111"/>
        <v>0.12000579834017344</v>
      </c>
      <c r="J517" s="83">
        <f t="shared" si="112"/>
        <v>6.1035160001665645E-6</v>
      </c>
      <c r="K517" s="298" t="s">
        <v>108</v>
      </c>
      <c r="L517" s="142">
        <f t="shared" si="113"/>
        <v>45825</v>
      </c>
      <c r="M517" s="142">
        <v>45811</v>
      </c>
      <c r="N517" s="142">
        <f t="shared" si="86"/>
        <v>45813</v>
      </c>
      <c r="O517" s="143">
        <f t="shared" ca="1" si="114"/>
        <v>14</v>
      </c>
      <c r="P517" s="142">
        <v>45837</v>
      </c>
      <c r="Q517" s="142">
        <v>45833</v>
      </c>
      <c r="R517" s="143">
        <f t="shared" ca="1" si="115"/>
        <v>4</v>
      </c>
      <c r="S517" s="138"/>
      <c r="T517" s="138"/>
    </row>
    <row r="518" spans="1:20" hidden="1">
      <c r="A518" s="19" t="s">
        <v>188</v>
      </c>
      <c r="B518" s="291">
        <v>182</v>
      </c>
      <c r="C518" s="291" t="s">
        <v>857</v>
      </c>
      <c r="D518" s="291" t="s">
        <v>841</v>
      </c>
      <c r="E518" s="145">
        <v>45885</v>
      </c>
      <c r="F518" s="138">
        <v>207.80000305175801</v>
      </c>
      <c r="G518" s="138">
        <v>207.8</v>
      </c>
      <c r="H518" s="138">
        <v>197</v>
      </c>
      <c r="I518" s="83">
        <f t="shared" si="111"/>
        <v>0.41000289917010946</v>
      </c>
      <c r="J518" s="83">
        <f t="shared" si="112"/>
        <v>3.0517580000832822E-6</v>
      </c>
      <c r="K518" s="298" t="s">
        <v>108</v>
      </c>
      <c r="L518" s="142">
        <f t="shared" si="113"/>
        <v>45825</v>
      </c>
      <c r="M518" s="142">
        <v>45811</v>
      </c>
      <c r="N518" s="142">
        <f t="shared" si="86"/>
        <v>45813</v>
      </c>
      <c r="O518" s="143">
        <f t="shared" ca="1" si="114"/>
        <v>14</v>
      </c>
      <c r="P518" s="142">
        <v>45837</v>
      </c>
      <c r="Q518" s="142">
        <v>45833</v>
      </c>
      <c r="R518" s="143">
        <f t="shared" ca="1" si="115"/>
        <v>4</v>
      </c>
      <c r="S518" s="138"/>
      <c r="T518" s="138"/>
    </row>
    <row r="519" spans="1:20" hidden="1">
      <c r="A519" s="19" t="s">
        <v>188</v>
      </c>
      <c r="B519" s="291">
        <v>182</v>
      </c>
      <c r="C519" s="291" t="s">
        <v>857</v>
      </c>
      <c r="D519" s="291" t="s">
        <v>840</v>
      </c>
      <c r="E519" s="145">
        <v>45885</v>
      </c>
      <c r="F519" s="138">
        <v>194.39999389648401</v>
      </c>
      <c r="G519" s="138">
        <v>194.4</v>
      </c>
      <c r="H519" s="138">
        <v>185</v>
      </c>
      <c r="I519" s="83">
        <f t="shared" si="111"/>
        <v>-0.32000579834019049</v>
      </c>
      <c r="J519" s="83">
        <f t="shared" si="112"/>
        <v>-6.1035160001665645E-6</v>
      </c>
      <c r="K519" s="298" t="s">
        <v>108</v>
      </c>
      <c r="L519" s="142">
        <f t="shared" si="113"/>
        <v>45825</v>
      </c>
      <c r="M519" s="142">
        <v>45811</v>
      </c>
      <c r="N519" s="142">
        <f t="shared" si="86"/>
        <v>45813</v>
      </c>
      <c r="O519" s="143">
        <f t="shared" ca="1" si="114"/>
        <v>14</v>
      </c>
      <c r="P519" s="142">
        <v>45837</v>
      </c>
      <c r="Q519" s="142">
        <v>45833</v>
      </c>
      <c r="R519" s="143">
        <f t="shared" ca="1" si="115"/>
        <v>4</v>
      </c>
      <c r="S519" s="138"/>
      <c r="T519" s="138"/>
    </row>
    <row r="520" spans="1:20" hidden="1">
      <c r="A520" s="19" t="s">
        <v>188</v>
      </c>
      <c r="B520" s="291">
        <v>183</v>
      </c>
      <c r="C520" s="291" t="s">
        <v>79</v>
      </c>
      <c r="D520" s="291" t="s">
        <v>146</v>
      </c>
      <c r="E520" s="145">
        <v>45885</v>
      </c>
      <c r="F520" s="138">
        <v>7</v>
      </c>
      <c r="G520" s="138">
        <v>7</v>
      </c>
      <c r="H520" s="138"/>
      <c r="I520" s="83">
        <f t="shared" si="111"/>
        <v>6.6499999999999995</v>
      </c>
      <c r="J520" s="83">
        <f t="shared" si="112"/>
        <v>0</v>
      </c>
      <c r="K520" s="298" t="s">
        <v>108</v>
      </c>
      <c r="L520" s="142">
        <f t="shared" si="113"/>
        <v>45812</v>
      </c>
      <c r="M520" s="142">
        <v>45833</v>
      </c>
      <c r="N520" s="142">
        <f t="shared" si="86"/>
        <v>45835</v>
      </c>
      <c r="O520" s="143">
        <f t="shared" ca="1" si="114"/>
        <v>-21</v>
      </c>
      <c r="P520" s="142">
        <v>45824</v>
      </c>
      <c r="Q520" s="142"/>
      <c r="R520" s="143">
        <f t="shared" ca="1" si="115"/>
        <v>-16</v>
      </c>
      <c r="S520" s="138"/>
      <c r="T520" s="138"/>
    </row>
    <row r="521" spans="1:20" hidden="1">
      <c r="A521" s="19" t="s">
        <v>188</v>
      </c>
      <c r="B521" s="291">
        <v>183</v>
      </c>
      <c r="C521" s="291" t="s">
        <v>80</v>
      </c>
      <c r="D521" s="291" t="s">
        <v>146</v>
      </c>
      <c r="E521" s="145">
        <v>45885</v>
      </c>
      <c r="F521" s="138">
        <v>105.90000152587901</v>
      </c>
      <c r="G521" s="138">
        <v>105.9</v>
      </c>
      <c r="H521" s="138">
        <v>101</v>
      </c>
      <c r="I521" s="83">
        <f t="shared" si="111"/>
        <v>-0.3949985504149538</v>
      </c>
      <c r="J521" s="83">
        <f t="shared" si="112"/>
        <v>1.5258790000416411E-6</v>
      </c>
      <c r="K521" s="140" t="s">
        <v>133</v>
      </c>
      <c r="L521" s="142">
        <f t="shared" si="113"/>
        <v>45812</v>
      </c>
      <c r="M521" s="142">
        <v>45812</v>
      </c>
      <c r="N521" s="142">
        <f t="shared" ref="N521:N584" si="116">M521+2</f>
        <v>45814</v>
      </c>
      <c r="O521" s="143">
        <f t="shared" ca="1" si="114"/>
        <v>0</v>
      </c>
      <c r="P521" s="142">
        <v>45824</v>
      </c>
      <c r="Q521" s="142">
        <v>45824</v>
      </c>
      <c r="R521" s="143">
        <f t="shared" ca="1" si="115"/>
        <v>0</v>
      </c>
      <c r="S521" s="138"/>
      <c r="T521" s="138"/>
    </row>
    <row r="522" spans="1:20" hidden="1">
      <c r="A522" s="19" t="s">
        <v>188</v>
      </c>
      <c r="B522" s="291">
        <v>183</v>
      </c>
      <c r="C522" s="291" t="s">
        <v>75</v>
      </c>
      <c r="D522" s="291" t="s">
        <v>858</v>
      </c>
      <c r="E522" s="145">
        <v>45885</v>
      </c>
      <c r="F522" s="138">
        <v>66</v>
      </c>
      <c r="G522" s="138">
        <v>66</v>
      </c>
      <c r="H522" s="138">
        <v>63</v>
      </c>
      <c r="I522" s="83">
        <f t="shared" si="111"/>
        <v>-0.30000000000000426</v>
      </c>
      <c r="J522" s="83">
        <f t="shared" si="112"/>
        <v>0</v>
      </c>
      <c r="K522" s="298" t="s">
        <v>108</v>
      </c>
      <c r="L522" s="142">
        <f t="shared" si="113"/>
        <v>45825</v>
      </c>
      <c r="M522" s="142">
        <v>45811</v>
      </c>
      <c r="N522" s="142">
        <f t="shared" si="116"/>
        <v>45813</v>
      </c>
      <c r="O522" s="143">
        <f t="shared" ca="1" si="114"/>
        <v>14</v>
      </c>
      <c r="P522" s="142">
        <v>45837</v>
      </c>
      <c r="Q522" s="142">
        <v>45826</v>
      </c>
      <c r="R522" s="143">
        <f t="shared" ca="1" si="115"/>
        <v>11</v>
      </c>
      <c r="S522" s="138"/>
      <c r="T522" s="138"/>
    </row>
    <row r="523" spans="1:20" hidden="1">
      <c r="A523" s="19" t="s">
        <v>188</v>
      </c>
      <c r="B523" s="291">
        <v>183</v>
      </c>
      <c r="C523" s="291" t="s">
        <v>75</v>
      </c>
      <c r="D523" s="291" t="s">
        <v>859</v>
      </c>
      <c r="E523" s="145">
        <v>45885</v>
      </c>
      <c r="F523" s="138">
        <v>40.400001525878899</v>
      </c>
      <c r="G523" s="138">
        <v>40.4</v>
      </c>
      <c r="H523" s="138">
        <v>38</v>
      </c>
      <c r="I523" s="83">
        <f t="shared" si="111"/>
        <v>0.38000144958495241</v>
      </c>
      <c r="J523" s="83">
        <f t="shared" si="112"/>
        <v>1.5258789005656581E-6</v>
      </c>
      <c r="K523" s="298" t="s">
        <v>108</v>
      </c>
      <c r="L523" s="142">
        <f t="shared" si="113"/>
        <v>45825</v>
      </c>
      <c r="M523" s="142">
        <v>45811</v>
      </c>
      <c r="N523" s="142">
        <f t="shared" si="116"/>
        <v>45813</v>
      </c>
      <c r="O523" s="143">
        <f t="shared" ca="1" si="114"/>
        <v>14</v>
      </c>
      <c r="P523" s="142">
        <v>45837</v>
      </c>
      <c r="Q523" s="142">
        <v>45826</v>
      </c>
      <c r="R523" s="143">
        <f t="shared" ca="1" si="115"/>
        <v>11</v>
      </c>
      <c r="S523" s="138"/>
      <c r="T523" s="138"/>
    </row>
    <row r="524" spans="1:20" hidden="1">
      <c r="A524" s="19" t="s">
        <v>188</v>
      </c>
      <c r="B524" s="291">
        <v>183</v>
      </c>
      <c r="C524" s="291" t="s">
        <v>857</v>
      </c>
      <c r="D524" s="291" t="s">
        <v>858</v>
      </c>
      <c r="E524" s="145">
        <v>45885</v>
      </c>
      <c r="F524" s="138">
        <v>75.599998474121094</v>
      </c>
      <c r="G524" s="138">
        <v>75.599999999999994</v>
      </c>
      <c r="H524" s="138">
        <v>72</v>
      </c>
      <c r="I524" s="83">
        <f t="shared" si="111"/>
        <v>-0.18000144958496378</v>
      </c>
      <c r="J524" s="83">
        <f t="shared" si="112"/>
        <v>-1.5258789005656581E-6</v>
      </c>
      <c r="K524" s="298" t="s">
        <v>108</v>
      </c>
      <c r="L524" s="142">
        <f t="shared" si="113"/>
        <v>45825</v>
      </c>
      <c r="M524" s="142">
        <v>45811</v>
      </c>
      <c r="N524" s="142">
        <f t="shared" si="116"/>
        <v>45813</v>
      </c>
      <c r="O524" s="143">
        <f t="shared" ca="1" si="114"/>
        <v>14</v>
      </c>
      <c r="P524" s="142">
        <v>45837</v>
      </c>
      <c r="Q524" s="142">
        <v>45826</v>
      </c>
      <c r="R524" s="143">
        <f t="shared" ca="1" si="115"/>
        <v>11</v>
      </c>
      <c r="S524" s="138"/>
      <c r="T524" s="138"/>
    </row>
    <row r="525" spans="1:20" hidden="1">
      <c r="A525" s="19" t="s">
        <v>188</v>
      </c>
      <c r="B525" s="291">
        <v>183</v>
      </c>
      <c r="C525" s="291" t="s">
        <v>857</v>
      </c>
      <c r="D525" s="291" t="s">
        <v>859</v>
      </c>
      <c r="E525" s="145">
        <v>45885</v>
      </c>
      <c r="F525" s="138">
        <v>46.400001525878899</v>
      </c>
      <c r="G525" s="138">
        <v>46.4</v>
      </c>
      <c r="H525" s="138">
        <v>44</v>
      </c>
      <c r="I525" s="83">
        <f t="shared" si="111"/>
        <v>8.0001449584955253E-2</v>
      </c>
      <c r="J525" s="83">
        <f t="shared" si="112"/>
        <v>1.5258789005656581E-6</v>
      </c>
      <c r="K525" s="298" t="s">
        <v>108</v>
      </c>
      <c r="L525" s="142">
        <f t="shared" si="113"/>
        <v>45825</v>
      </c>
      <c r="M525" s="142">
        <v>45811</v>
      </c>
      <c r="N525" s="142">
        <f t="shared" si="116"/>
        <v>45813</v>
      </c>
      <c r="O525" s="143">
        <f t="shared" ca="1" si="114"/>
        <v>14</v>
      </c>
      <c r="P525" s="142">
        <v>45837</v>
      </c>
      <c r="Q525" s="142">
        <v>45826</v>
      </c>
      <c r="R525" s="143">
        <f t="shared" ca="1" si="115"/>
        <v>11</v>
      </c>
      <c r="S525" s="138"/>
      <c r="T525" s="138"/>
    </row>
    <row r="526" spans="1:20" hidden="1">
      <c r="A526" s="19" t="s">
        <v>188</v>
      </c>
      <c r="B526" s="291">
        <v>184</v>
      </c>
      <c r="C526" s="291" t="s">
        <v>75</v>
      </c>
      <c r="D526" s="291" t="s">
        <v>139</v>
      </c>
      <c r="E526" s="145">
        <v>45885</v>
      </c>
      <c r="F526" s="138">
        <v>86.400001525878906</v>
      </c>
      <c r="G526" s="138">
        <v>86.4</v>
      </c>
      <c r="H526" s="138">
        <v>82</v>
      </c>
      <c r="I526" s="83">
        <f t="shared" si="111"/>
        <v>8.0001449584955253E-2</v>
      </c>
      <c r="J526" s="83">
        <f t="shared" si="112"/>
        <v>1.5258789005656581E-6</v>
      </c>
      <c r="K526" s="298" t="s">
        <v>108</v>
      </c>
      <c r="L526" s="142">
        <f t="shared" si="113"/>
        <v>45825</v>
      </c>
      <c r="M526" s="142">
        <v>45818</v>
      </c>
      <c r="N526" s="142">
        <f t="shared" si="116"/>
        <v>45820</v>
      </c>
      <c r="O526" s="143">
        <f t="shared" ca="1" si="114"/>
        <v>7</v>
      </c>
      <c r="P526" s="142">
        <v>45837</v>
      </c>
      <c r="Q526" s="142">
        <v>45836</v>
      </c>
      <c r="R526" s="143">
        <f t="shared" ca="1" si="115"/>
        <v>1</v>
      </c>
      <c r="S526" s="138"/>
      <c r="T526" s="138"/>
    </row>
    <row r="527" spans="1:20" hidden="1">
      <c r="A527" s="19" t="s">
        <v>188</v>
      </c>
      <c r="B527" s="291">
        <v>184</v>
      </c>
      <c r="C527" s="291" t="s">
        <v>75</v>
      </c>
      <c r="D527" s="291" t="s">
        <v>140</v>
      </c>
      <c r="E527" s="145">
        <v>45885</v>
      </c>
      <c r="F527" s="138">
        <v>52.900001525878899</v>
      </c>
      <c r="G527" s="138">
        <v>52.9</v>
      </c>
      <c r="H527" s="138">
        <v>50</v>
      </c>
      <c r="I527" s="83">
        <f t="shared" si="111"/>
        <v>0.25500144958495241</v>
      </c>
      <c r="J527" s="83">
        <f t="shared" si="112"/>
        <v>1.5258789005656581E-6</v>
      </c>
      <c r="K527" s="298" t="s">
        <v>108</v>
      </c>
      <c r="L527" s="142">
        <f t="shared" si="113"/>
        <v>45825</v>
      </c>
      <c r="M527" s="142">
        <v>45818</v>
      </c>
      <c r="N527" s="142">
        <f t="shared" si="116"/>
        <v>45820</v>
      </c>
      <c r="O527" s="143">
        <f t="shared" ca="1" si="114"/>
        <v>7</v>
      </c>
      <c r="P527" s="142">
        <v>45837</v>
      </c>
      <c r="Q527" s="142">
        <v>45836</v>
      </c>
      <c r="R527" s="143">
        <f t="shared" ca="1" si="115"/>
        <v>1</v>
      </c>
      <c r="S527" s="138"/>
      <c r="T527" s="138"/>
    </row>
    <row r="528" spans="1:20" hidden="1">
      <c r="A528" s="19" t="s">
        <v>188</v>
      </c>
      <c r="B528" s="291">
        <v>184</v>
      </c>
      <c r="C528" s="291" t="s">
        <v>857</v>
      </c>
      <c r="D528" s="291" t="s">
        <v>139</v>
      </c>
      <c r="E528" s="145">
        <v>45885</v>
      </c>
      <c r="F528" s="138">
        <v>99</v>
      </c>
      <c r="G528" s="138">
        <v>99</v>
      </c>
      <c r="H528" s="138">
        <v>94</v>
      </c>
      <c r="I528" s="83">
        <f t="shared" si="111"/>
        <v>4.9999999999997158E-2</v>
      </c>
      <c r="J528" s="83">
        <f t="shared" si="112"/>
        <v>0</v>
      </c>
      <c r="K528" s="298" t="s">
        <v>108</v>
      </c>
      <c r="L528" s="142">
        <f t="shared" si="113"/>
        <v>45825</v>
      </c>
      <c r="M528" s="142">
        <v>45818</v>
      </c>
      <c r="N528" s="142">
        <f t="shared" si="116"/>
        <v>45820</v>
      </c>
      <c r="O528" s="143">
        <f t="shared" ca="1" si="114"/>
        <v>7</v>
      </c>
      <c r="P528" s="142">
        <v>45837</v>
      </c>
      <c r="Q528" s="142">
        <v>45836</v>
      </c>
      <c r="R528" s="143">
        <f t="shared" ca="1" si="115"/>
        <v>1</v>
      </c>
      <c r="S528" s="138"/>
      <c r="T528" s="138"/>
    </row>
    <row r="529" spans="1:20" hidden="1">
      <c r="A529" s="19" t="s">
        <v>188</v>
      </c>
      <c r="B529" s="291">
        <v>184</v>
      </c>
      <c r="C529" s="291" t="s">
        <v>857</v>
      </c>
      <c r="D529" s="291" t="s">
        <v>140</v>
      </c>
      <c r="E529" s="145">
        <v>45885</v>
      </c>
      <c r="F529" s="138">
        <v>60.700000762939503</v>
      </c>
      <c r="G529" s="138">
        <v>60.7</v>
      </c>
      <c r="H529" s="138">
        <v>58</v>
      </c>
      <c r="I529" s="83">
        <f t="shared" si="111"/>
        <v>-0.33499927520747264</v>
      </c>
      <c r="J529" s="83">
        <f t="shared" si="112"/>
        <v>7.6293950002082056E-7</v>
      </c>
      <c r="K529" s="298" t="s">
        <v>108</v>
      </c>
      <c r="L529" s="142">
        <f t="shared" si="113"/>
        <v>45825</v>
      </c>
      <c r="M529" s="142">
        <v>45818</v>
      </c>
      <c r="N529" s="142">
        <f t="shared" si="116"/>
        <v>45820</v>
      </c>
      <c r="O529" s="143">
        <f t="shared" ca="1" si="114"/>
        <v>7</v>
      </c>
      <c r="P529" s="142">
        <v>45837</v>
      </c>
      <c r="Q529" s="142">
        <v>45836</v>
      </c>
      <c r="R529" s="143">
        <f t="shared" ca="1" si="115"/>
        <v>1</v>
      </c>
      <c r="S529" s="138"/>
      <c r="T529" s="138"/>
    </row>
    <row r="530" spans="1:20" hidden="1">
      <c r="A530" s="19" t="s">
        <v>188</v>
      </c>
      <c r="B530" s="291">
        <v>185</v>
      </c>
      <c r="C530" s="291" t="s">
        <v>77</v>
      </c>
      <c r="D530" s="291" t="s">
        <v>137</v>
      </c>
      <c r="E530" s="145">
        <v>45889</v>
      </c>
      <c r="F530" s="138">
        <v>145.5</v>
      </c>
      <c r="G530" s="138">
        <v>145.5</v>
      </c>
      <c r="H530" s="138">
        <v>140</v>
      </c>
      <c r="I530" s="83">
        <f t="shared" si="111"/>
        <v>-1.7750000000000057</v>
      </c>
      <c r="J530" s="83">
        <f t="shared" si="112"/>
        <v>0</v>
      </c>
      <c r="K530" s="298" t="s">
        <v>108</v>
      </c>
      <c r="L530" s="142">
        <f t="shared" si="113"/>
        <v>45814</v>
      </c>
      <c r="M530" s="142">
        <v>45813</v>
      </c>
      <c r="N530" s="142">
        <f t="shared" si="116"/>
        <v>45815</v>
      </c>
      <c r="O530" s="143">
        <f t="shared" ca="1" si="114"/>
        <v>1</v>
      </c>
      <c r="P530" s="142">
        <v>45826</v>
      </c>
      <c r="Q530" s="142">
        <v>45825</v>
      </c>
      <c r="R530" s="143">
        <f t="shared" ca="1" si="115"/>
        <v>1</v>
      </c>
      <c r="S530" s="138"/>
      <c r="T530" s="138"/>
    </row>
    <row r="531" spans="1:20" hidden="1">
      <c r="A531" s="19" t="s">
        <v>188</v>
      </c>
      <c r="B531" s="291">
        <v>185</v>
      </c>
      <c r="C531" s="291" t="s">
        <v>75</v>
      </c>
      <c r="D531" s="291" t="s">
        <v>858</v>
      </c>
      <c r="E531" s="145">
        <v>45889</v>
      </c>
      <c r="F531" s="138">
        <v>92.400001525878906</v>
      </c>
      <c r="G531" s="138">
        <v>92.4</v>
      </c>
      <c r="H531" s="138">
        <v>88</v>
      </c>
      <c r="I531" s="83">
        <f t="shared" si="111"/>
        <v>-0.2199985504150419</v>
      </c>
      <c r="J531" s="83">
        <f t="shared" si="112"/>
        <v>1.5258789005656581E-6</v>
      </c>
      <c r="K531" s="298" t="s">
        <v>108</v>
      </c>
      <c r="L531" s="142">
        <f t="shared" si="113"/>
        <v>45829</v>
      </c>
      <c r="M531" s="142">
        <v>45811</v>
      </c>
      <c r="N531" s="142">
        <f t="shared" si="116"/>
        <v>45813</v>
      </c>
      <c r="O531" s="143">
        <f t="shared" ca="1" si="114"/>
        <v>18</v>
      </c>
      <c r="P531" s="142">
        <v>45841</v>
      </c>
      <c r="Q531" s="142">
        <v>45826</v>
      </c>
      <c r="R531" s="143">
        <f t="shared" ca="1" si="115"/>
        <v>15</v>
      </c>
      <c r="S531" s="138"/>
      <c r="T531" s="138"/>
    </row>
    <row r="532" spans="1:20" hidden="1">
      <c r="A532" s="19" t="s">
        <v>188</v>
      </c>
      <c r="B532" s="291">
        <v>185</v>
      </c>
      <c r="C532" s="291" t="s">
        <v>75</v>
      </c>
      <c r="D532" s="291" t="s">
        <v>859</v>
      </c>
      <c r="E532" s="145">
        <v>45889</v>
      </c>
      <c r="F532" s="138">
        <v>56.599998474121101</v>
      </c>
      <c r="G532" s="138">
        <v>56.6</v>
      </c>
      <c r="H532" s="138">
        <v>54</v>
      </c>
      <c r="I532" s="83">
        <f t="shared" si="111"/>
        <v>-0.23000144958495383</v>
      </c>
      <c r="J532" s="83">
        <f t="shared" si="112"/>
        <v>-1.5258789005656581E-6</v>
      </c>
      <c r="K532" s="298" t="s">
        <v>108</v>
      </c>
      <c r="L532" s="142">
        <f t="shared" si="113"/>
        <v>45829</v>
      </c>
      <c r="M532" s="142">
        <v>45811</v>
      </c>
      <c r="N532" s="142">
        <f t="shared" si="116"/>
        <v>45813</v>
      </c>
      <c r="O532" s="143">
        <f t="shared" ca="1" si="114"/>
        <v>18</v>
      </c>
      <c r="P532" s="142">
        <v>45841</v>
      </c>
      <c r="Q532" s="142">
        <v>45826</v>
      </c>
      <c r="R532" s="143">
        <f t="shared" ca="1" si="115"/>
        <v>15</v>
      </c>
      <c r="S532" s="138"/>
      <c r="T532" s="138"/>
    </row>
    <row r="533" spans="1:20" hidden="1">
      <c r="A533" s="19" t="s">
        <v>188</v>
      </c>
      <c r="B533" s="291">
        <v>185</v>
      </c>
      <c r="C533" s="291" t="s">
        <v>857</v>
      </c>
      <c r="D533" s="291" t="s">
        <v>858</v>
      </c>
      <c r="E533" s="145">
        <v>45889</v>
      </c>
      <c r="F533" s="138">
        <v>105.90000152587901</v>
      </c>
      <c r="G533" s="138">
        <v>105.9</v>
      </c>
      <c r="H533" s="138">
        <v>101</v>
      </c>
      <c r="I533" s="83">
        <f t="shared" si="111"/>
        <v>-0.3949985504149538</v>
      </c>
      <c r="J533" s="83">
        <f t="shared" si="112"/>
        <v>1.5258790000416411E-6</v>
      </c>
      <c r="K533" s="298" t="s">
        <v>108</v>
      </c>
      <c r="L533" s="142">
        <f t="shared" si="113"/>
        <v>45829</v>
      </c>
      <c r="M533" s="142">
        <v>45811</v>
      </c>
      <c r="N533" s="142">
        <f t="shared" si="116"/>
        <v>45813</v>
      </c>
      <c r="O533" s="143">
        <f t="shared" ca="1" si="114"/>
        <v>18</v>
      </c>
      <c r="P533" s="142">
        <v>45841</v>
      </c>
      <c r="Q533" s="142">
        <v>45826</v>
      </c>
      <c r="R533" s="143">
        <f t="shared" ca="1" si="115"/>
        <v>15</v>
      </c>
      <c r="S533" s="138"/>
      <c r="T533" s="138"/>
    </row>
    <row r="534" spans="1:20" hidden="1">
      <c r="A534" s="19" t="s">
        <v>188</v>
      </c>
      <c r="B534" s="291">
        <v>185</v>
      </c>
      <c r="C534" s="291" t="s">
        <v>857</v>
      </c>
      <c r="D534" s="291" t="s">
        <v>859</v>
      </c>
      <c r="E534" s="145">
        <v>45889</v>
      </c>
      <c r="F534" s="138">
        <v>64.900001525878906</v>
      </c>
      <c r="G534" s="138">
        <v>64.900000000000006</v>
      </c>
      <c r="H534" s="138">
        <v>62</v>
      </c>
      <c r="I534" s="83">
        <f t="shared" si="111"/>
        <v>-0.3449985504150419</v>
      </c>
      <c r="J534" s="83">
        <f t="shared" si="112"/>
        <v>1.5258789005656581E-6</v>
      </c>
      <c r="K534" s="298" t="s">
        <v>108</v>
      </c>
      <c r="L534" s="142">
        <f t="shared" si="113"/>
        <v>45829</v>
      </c>
      <c r="M534" s="142">
        <v>45811</v>
      </c>
      <c r="N534" s="142">
        <f t="shared" si="116"/>
        <v>45813</v>
      </c>
      <c r="O534" s="143">
        <f t="shared" ca="1" si="114"/>
        <v>18</v>
      </c>
      <c r="P534" s="142">
        <v>45841</v>
      </c>
      <c r="Q534" s="142">
        <v>45826</v>
      </c>
      <c r="R534" s="143">
        <f t="shared" ca="1" si="115"/>
        <v>15</v>
      </c>
      <c r="S534" s="138"/>
      <c r="T534" s="138"/>
    </row>
    <row r="535" spans="1:20" hidden="1">
      <c r="A535" s="19" t="s">
        <v>188</v>
      </c>
      <c r="B535" s="291">
        <v>186</v>
      </c>
      <c r="C535" s="291" t="s">
        <v>75</v>
      </c>
      <c r="D535" s="291" t="s">
        <v>841</v>
      </c>
      <c r="E535" s="145">
        <v>45892</v>
      </c>
      <c r="F535" s="138">
        <v>88.599998474121094</v>
      </c>
      <c r="G535" s="138">
        <v>88.6</v>
      </c>
      <c r="H535" s="138">
        <v>84</v>
      </c>
      <c r="I535" s="83">
        <f t="shared" si="111"/>
        <v>0.16999855041503054</v>
      </c>
      <c r="J535" s="83">
        <f t="shared" si="112"/>
        <v>-1.5258789005656581E-6</v>
      </c>
      <c r="K535" s="298" t="s">
        <v>108</v>
      </c>
      <c r="L535" s="142">
        <f t="shared" si="113"/>
        <v>45832</v>
      </c>
      <c r="M535" s="142">
        <v>45818</v>
      </c>
      <c r="N535" s="142">
        <f t="shared" si="116"/>
        <v>45820</v>
      </c>
      <c r="O535" s="143">
        <f t="shared" ca="1" si="114"/>
        <v>14</v>
      </c>
      <c r="P535" s="142">
        <v>45844</v>
      </c>
      <c r="Q535" s="142">
        <v>45833</v>
      </c>
      <c r="R535" s="143">
        <f t="shared" ca="1" si="115"/>
        <v>11</v>
      </c>
      <c r="S535" s="138"/>
      <c r="T535" s="138"/>
    </row>
    <row r="536" spans="1:20">
      <c r="A536" s="19" t="s">
        <v>188</v>
      </c>
      <c r="B536" s="291">
        <v>186</v>
      </c>
      <c r="C536" s="291" t="s">
        <v>75</v>
      </c>
      <c r="D536" s="291" t="s">
        <v>858</v>
      </c>
      <c r="E536" s="145">
        <v>45892</v>
      </c>
      <c r="F536" s="138">
        <v>83.900001525878906</v>
      </c>
      <c r="G536" s="138">
        <v>83.9</v>
      </c>
      <c r="H536" s="138"/>
      <c r="I536" s="83">
        <f t="shared" si="111"/>
        <v>79.705001449584955</v>
      </c>
      <c r="J536" s="83">
        <f t="shared" si="112"/>
        <v>1.5258789005656581E-6</v>
      </c>
      <c r="K536" s="298" t="s">
        <v>108</v>
      </c>
      <c r="L536" s="142">
        <f t="shared" si="113"/>
        <v>45832</v>
      </c>
      <c r="M536" s="142">
        <v>45818</v>
      </c>
      <c r="N536" s="142">
        <f t="shared" si="116"/>
        <v>45820</v>
      </c>
      <c r="O536" s="143">
        <f t="shared" ca="1" si="114"/>
        <v>14</v>
      </c>
      <c r="P536" s="142">
        <v>45844</v>
      </c>
      <c r="Q536" s="142"/>
      <c r="R536" s="143">
        <f t="shared" ca="1" si="115"/>
        <v>4</v>
      </c>
      <c r="S536" s="138"/>
      <c r="T536" s="138"/>
    </row>
    <row r="537" spans="1:20" hidden="1">
      <c r="A537" s="19" t="s">
        <v>188</v>
      </c>
      <c r="B537" s="291">
        <v>186</v>
      </c>
      <c r="C537" s="291" t="s">
        <v>75</v>
      </c>
      <c r="D537" s="291" t="s">
        <v>840</v>
      </c>
      <c r="E537" s="145">
        <v>45892</v>
      </c>
      <c r="F537" s="138">
        <v>83</v>
      </c>
      <c r="G537" s="138">
        <v>83</v>
      </c>
      <c r="H537" s="138">
        <v>79</v>
      </c>
      <c r="I537" s="83">
        <f t="shared" si="111"/>
        <v>-0.15000000000000568</v>
      </c>
      <c r="J537" s="83">
        <f t="shared" si="112"/>
        <v>0</v>
      </c>
      <c r="K537" s="298" t="s">
        <v>108</v>
      </c>
      <c r="L537" s="142">
        <f t="shared" si="113"/>
        <v>45832</v>
      </c>
      <c r="M537" s="142">
        <v>45818</v>
      </c>
      <c r="N537" s="142">
        <f t="shared" si="116"/>
        <v>45820</v>
      </c>
      <c r="O537" s="143">
        <f t="shared" ca="1" si="114"/>
        <v>14</v>
      </c>
      <c r="P537" s="142">
        <v>45844</v>
      </c>
      <c r="Q537" s="142">
        <v>45833</v>
      </c>
      <c r="R537" s="143">
        <f t="shared" ca="1" si="115"/>
        <v>11</v>
      </c>
      <c r="S537" s="138"/>
      <c r="T537" s="138"/>
    </row>
    <row r="538" spans="1:20" hidden="1">
      <c r="A538" s="19" t="s">
        <v>188</v>
      </c>
      <c r="B538" s="291">
        <v>186</v>
      </c>
      <c r="C538" s="291" t="s">
        <v>857</v>
      </c>
      <c r="D538" s="291" t="s">
        <v>840</v>
      </c>
      <c r="E538" s="145">
        <v>45892</v>
      </c>
      <c r="F538" s="138">
        <v>95.099998474121094</v>
      </c>
      <c r="G538" s="138">
        <v>95.1</v>
      </c>
      <c r="H538" s="138">
        <v>90</v>
      </c>
      <c r="I538" s="83">
        <f t="shared" si="111"/>
        <v>0.3449985504150419</v>
      </c>
      <c r="J538" s="83">
        <f t="shared" si="112"/>
        <v>-1.5258789005656581E-6</v>
      </c>
      <c r="K538" s="298" t="s">
        <v>108</v>
      </c>
      <c r="L538" s="142">
        <f t="shared" si="113"/>
        <v>45832</v>
      </c>
      <c r="M538" s="142">
        <v>45818</v>
      </c>
      <c r="N538" s="142">
        <f t="shared" si="116"/>
        <v>45820</v>
      </c>
      <c r="O538" s="143">
        <f t="shared" ca="1" si="114"/>
        <v>14</v>
      </c>
      <c r="P538" s="142">
        <v>45844</v>
      </c>
      <c r="Q538" s="142">
        <v>45833</v>
      </c>
      <c r="R538" s="143">
        <f t="shared" ca="1" si="115"/>
        <v>11</v>
      </c>
      <c r="S538" s="138"/>
      <c r="T538" s="138"/>
    </row>
    <row r="539" spans="1:20">
      <c r="A539" s="19" t="s">
        <v>188</v>
      </c>
      <c r="B539" s="291">
        <v>186</v>
      </c>
      <c r="C539" s="291" t="s">
        <v>857</v>
      </c>
      <c r="D539" s="291" t="s">
        <v>859</v>
      </c>
      <c r="E539" s="145">
        <v>45892</v>
      </c>
      <c r="F539" s="138">
        <v>59</v>
      </c>
      <c r="G539" s="138">
        <v>59</v>
      </c>
      <c r="H539" s="138"/>
      <c r="I539" s="83">
        <f t="shared" si="111"/>
        <v>56.05</v>
      </c>
      <c r="J539" s="83">
        <f t="shared" si="112"/>
        <v>0</v>
      </c>
      <c r="K539" s="298" t="s">
        <v>108</v>
      </c>
      <c r="L539" s="142">
        <f t="shared" si="113"/>
        <v>45832</v>
      </c>
      <c r="M539" s="142">
        <v>45818</v>
      </c>
      <c r="N539" s="142">
        <f t="shared" si="116"/>
        <v>45820</v>
      </c>
      <c r="O539" s="143">
        <f t="shared" ca="1" si="114"/>
        <v>14</v>
      </c>
      <c r="P539" s="142">
        <v>45844</v>
      </c>
      <c r="Q539" s="142"/>
      <c r="R539" s="143">
        <f t="shared" ca="1" si="115"/>
        <v>4</v>
      </c>
      <c r="S539" s="138"/>
      <c r="T539" s="138"/>
    </row>
    <row r="540" spans="1:20">
      <c r="A540" s="19" t="s">
        <v>188</v>
      </c>
      <c r="B540" s="291">
        <v>186</v>
      </c>
      <c r="C540" s="291" t="s">
        <v>75</v>
      </c>
      <c r="D540" s="291" t="s">
        <v>859</v>
      </c>
      <c r="E540" s="145">
        <v>45892</v>
      </c>
      <c r="F540" s="138">
        <v>51.400001525878899</v>
      </c>
      <c r="G540" s="138">
        <v>51.4</v>
      </c>
      <c r="H540" s="138"/>
      <c r="I540" s="83">
        <f t="shared" si="111"/>
        <v>48.830001449584955</v>
      </c>
      <c r="J540" s="83">
        <f t="shared" si="112"/>
        <v>1.5258789005656581E-6</v>
      </c>
      <c r="K540" s="298" t="s">
        <v>108</v>
      </c>
      <c r="L540" s="142">
        <f t="shared" si="113"/>
        <v>45832</v>
      </c>
      <c r="M540" s="142">
        <v>45818</v>
      </c>
      <c r="N540" s="142">
        <f t="shared" si="116"/>
        <v>45820</v>
      </c>
      <c r="O540" s="143">
        <f t="shared" ca="1" si="114"/>
        <v>14</v>
      </c>
      <c r="P540" s="142">
        <v>45844</v>
      </c>
      <c r="Q540" s="142"/>
      <c r="R540" s="143">
        <f t="shared" ca="1" si="115"/>
        <v>4</v>
      </c>
      <c r="S540" s="138"/>
      <c r="T540" s="138"/>
    </row>
    <row r="541" spans="1:20" hidden="1">
      <c r="A541" s="19" t="s">
        <v>188</v>
      </c>
      <c r="B541" s="291">
        <v>186</v>
      </c>
      <c r="C541" s="291" t="s">
        <v>857</v>
      </c>
      <c r="D541" s="291" t="s">
        <v>841</v>
      </c>
      <c r="E541" s="145">
        <v>45892</v>
      </c>
      <c r="F541" s="138">
        <v>101.59999847412099</v>
      </c>
      <c r="G541" s="138">
        <v>101.6</v>
      </c>
      <c r="H541" s="138">
        <v>97</v>
      </c>
      <c r="I541" s="83">
        <f t="shared" si="111"/>
        <v>-0.48000144958506041</v>
      </c>
      <c r="J541" s="83">
        <f t="shared" si="112"/>
        <v>-1.5258790000416411E-6</v>
      </c>
      <c r="K541" s="298" t="s">
        <v>108</v>
      </c>
      <c r="L541" s="142">
        <f t="shared" si="113"/>
        <v>45832</v>
      </c>
      <c r="M541" s="142">
        <v>45818</v>
      </c>
      <c r="N541" s="142">
        <f t="shared" si="116"/>
        <v>45820</v>
      </c>
      <c r="O541" s="143">
        <f t="shared" ca="1" si="114"/>
        <v>14</v>
      </c>
      <c r="P541" s="142">
        <v>45844</v>
      </c>
      <c r="Q541" s="142">
        <v>45833</v>
      </c>
      <c r="R541" s="143">
        <f t="shared" ca="1" si="115"/>
        <v>11</v>
      </c>
      <c r="S541" s="138"/>
      <c r="T541" s="138"/>
    </row>
    <row r="542" spans="1:20">
      <c r="A542" s="19" t="s">
        <v>188</v>
      </c>
      <c r="B542" s="291">
        <v>186</v>
      </c>
      <c r="C542" s="291" t="s">
        <v>857</v>
      </c>
      <c r="D542" s="291" t="s">
        <v>858</v>
      </c>
      <c r="E542" s="145">
        <v>45892</v>
      </c>
      <c r="F542" s="138">
        <v>96.199996948242202</v>
      </c>
      <c r="G542" s="138">
        <v>96.2</v>
      </c>
      <c r="H542" s="138"/>
      <c r="I542" s="83">
        <f t="shared" si="111"/>
        <v>91.389997100830087</v>
      </c>
      <c r="J542" s="83">
        <f t="shared" si="112"/>
        <v>-3.0517578011313162E-6</v>
      </c>
      <c r="K542" s="298" t="s">
        <v>108</v>
      </c>
      <c r="L542" s="142">
        <f t="shared" si="113"/>
        <v>45832</v>
      </c>
      <c r="M542" s="142">
        <v>45818</v>
      </c>
      <c r="N542" s="142">
        <f t="shared" si="116"/>
        <v>45820</v>
      </c>
      <c r="O542" s="143">
        <f t="shared" ca="1" si="114"/>
        <v>14</v>
      </c>
      <c r="P542" s="142">
        <v>45844</v>
      </c>
      <c r="Q542" s="142"/>
      <c r="R542" s="143">
        <f t="shared" ca="1" si="115"/>
        <v>4</v>
      </c>
      <c r="S542" s="138"/>
      <c r="T542" s="138"/>
    </row>
    <row r="543" spans="1:20" hidden="1">
      <c r="A543" s="19" t="s">
        <v>188</v>
      </c>
      <c r="B543" s="291">
        <v>187</v>
      </c>
      <c r="C543" s="291" t="s">
        <v>77</v>
      </c>
      <c r="D543" s="291" t="s">
        <v>137</v>
      </c>
      <c r="E543" s="145">
        <v>45892</v>
      </c>
      <c r="F543" s="138">
        <v>143.60000610351599</v>
      </c>
      <c r="G543" s="138">
        <v>143.6</v>
      </c>
      <c r="H543" s="138">
        <v>138</v>
      </c>
      <c r="I543" s="83">
        <f t="shared" si="111"/>
        <v>-1.5799942016598152</v>
      </c>
      <c r="J543" s="83">
        <f t="shared" si="112"/>
        <v>6.1035160001665645E-6</v>
      </c>
      <c r="K543" s="298" t="s">
        <v>108</v>
      </c>
      <c r="L543" s="142">
        <f t="shared" si="113"/>
        <v>45817</v>
      </c>
      <c r="M543" s="142">
        <v>45813</v>
      </c>
      <c r="N543" s="142">
        <f t="shared" si="116"/>
        <v>45815</v>
      </c>
      <c r="O543" s="143">
        <f t="shared" ca="1" si="114"/>
        <v>4</v>
      </c>
      <c r="P543" s="142">
        <v>45829</v>
      </c>
      <c r="Q543" s="142">
        <v>45825</v>
      </c>
      <c r="R543" s="143">
        <f t="shared" ca="1" si="115"/>
        <v>4</v>
      </c>
      <c r="S543" s="138"/>
      <c r="T543" s="138"/>
    </row>
    <row r="544" spans="1:20" hidden="1">
      <c r="A544" s="19" t="s">
        <v>188</v>
      </c>
      <c r="B544" s="291">
        <v>187</v>
      </c>
      <c r="C544" s="291" t="s">
        <v>82</v>
      </c>
      <c r="D544" s="291" t="s">
        <v>141</v>
      </c>
      <c r="E544" s="145">
        <v>45892</v>
      </c>
      <c r="F544" s="138">
        <v>69.699996948242202</v>
      </c>
      <c r="G544" s="138">
        <v>69.7</v>
      </c>
      <c r="H544" s="138">
        <v>66</v>
      </c>
      <c r="I544" s="83">
        <f t="shared" si="111"/>
        <v>0.21499710083008949</v>
      </c>
      <c r="J544" s="83">
        <f t="shared" si="112"/>
        <v>-3.0517578011313162E-6</v>
      </c>
      <c r="K544" s="298" t="s">
        <v>900</v>
      </c>
      <c r="L544" s="142">
        <f t="shared" si="113"/>
        <v>45820</v>
      </c>
      <c r="M544" s="142">
        <v>45818</v>
      </c>
      <c r="N544" s="142">
        <f t="shared" si="116"/>
        <v>45820</v>
      </c>
      <c r="O544" s="143">
        <f t="shared" ca="1" si="114"/>
        <v>2</v>
      </c>
      <c r="P544" s="142">
        <v>45832</v>
      </c>
      <c r="Q544" s="142">
        <v>45835</v>
      </c>
      <c r="R544" s="143">
        <f t="shared" ca="1" si="115"/>
        <v>-3</v>
      </c>
      <c r="S544" s="138"/>
      <c r="T544" s="138"/>
    </row>
    <row r="545" spans="1:20" hidden="1">
      <c r="A545" s="19" t="s">
        <v>188</v>
      </c>
      <c r="B545" s="291">
        <v>187</v>
      </c>
      <c r="C545" s="291" t="s">
        <v>82</v>
      </c>
      <c r="D545" s="291" t="s">
        <v>143</v>
      </c>
      <c r="E545" s="145">
        <v>45892</v>
      </c>
      <c r="F545" s="138">
        <v>69.699996948242202</v>
      </c>
      <c r="G545" s="138">
        <v>69.7</v>
      </c>
      <c r="H545" s="138">
        <v>66</v>
      </c>
      <c r="I545" s="83">
        <f t="shared" si="111"/>
        <v>0.21499710083008949</v>
      </c>
      <c r="J545" s="83">
        <f t="shared" si="112"/>
        <v>-3.0517578011313162E-6</v>
      </c>
      <c r="K545" s="298" t="s">
        <v>900</v>
      </c>
      <c r="L545" s="142">
        <f t="shared" si="113"/>
        <v>45820</v>
      </c>
      <c r="M545" s="142">
        <v>45818</v>
      </c>
      <c r="N545" s="142">
        <f t="shared" si="116"/>
        <v>45820</v>
      </c>
      <c r="O545" s="143">
        <f t="shared" ca="1" si="114"/>
        <v>2</v>
      </c>
      <c r="P545" s="142">
        <v>45832</v>
      </c>
      <c r="Q545" s="142">
        <v>45835</v>
      </c>
      <c r="R545" s="143">
        <f t="shared" ca="1" si="115"/>
        <v>-3</v>
      </c>
      <c r="S545" s="138"/>
      <c r="T545" s="138"/>
    </row>
    <row r="546" spans="1:20" hidden="1">
      <c r="A546" s="19" t="s">
        <v>188</v>
      </c>
      <c r="B546" s="291">
        <v>187</v>
      </c>
      <c r="C546" s="291" t="s">
        <v>857</v>
      </c>
      <c r="D546" s="291" t="s">
        <v>840</v>
      </c>
      <c r="E546" s="145">
        <v>45892</v>
      </c>
      <c r="F546" s="138">
        <v>103</v>
      </c>
      <c r="G546" s="138">
        <v>103</v>
      </c>
      <c r="H546" s="138">
        <v>98</v>
      </c>
      <c r="I546" s="83">
        <f t="shared" si="111"/>
        <v>-0.15000000000000568</v>
      </c>
      <c r="J546" s="83">
        <f t="shared" si="112"/>
        <v>0</v>
      </c>
      <c r="K546" s="298" t="s">
        <v>108</v>
      </c>
      <c r="L546" s="142">
        <f t="shared" si="113"/>
        <v>45832</v>
      </c>
      <c r="M546" s="142">
        <v>45818</v>
      </c>
      <c r="N546" s="142">
        <f t="shared" si="116"/>
        <v>45820</v>
      </c>
      <c r="O546" s="143">
        <f t="shared" ca="1" si="114"/>
        <v>14</v>
      </c>
      <c r="P546" s="142">
        <v>45844</v>
      </c>
      <c r="Q546" s="142">
        <v>45833</v>
      </c>
      <c r="R546" s="143">
        <f t="shared" ca="1" si="115"/>
        <v>11</v>
      </c>
      <c r="S546" s="138"/>
      <c r="T546" s="138"/>
    </row>
    <row r="547" spans="1:20" hidden="1">
      <c r="A547" s="19" t="s">
        <v>188</v>
      </c>
      <c r="B547" s="291">
        <v>187</v>
      </c>
      <c r="C547" s="291" t="s">
        <v>75</v>
      </c>
      <c r="D547" s="291" t="s">
        <v>841</v>
      </c>
      <c r="E547" s="145">
        <v>45892</v>
      </c>
      <c r="F547" s="138">
        <v>95.900001525878906</v>
      </c>
      <c r="G547" s="138">
        <v>95.9</v>
      </c>
      <c r="H547" s="138">
        <v>91</v>
      </c>
      <c r="I547" s="83">
        <f t="shared" si="111"/>
        <v>0.10500144958496094</v>
      </c>
      <c r="J547" s="83">
        <f t="shared" si="112"/>
        <v>1.5258789005656581E-6</v>
      </c>
      <c r="K547" s="298" t="s">
        <v>108</v>
      </c>
      <c r="L547" s="142">
        <f t="shared" si="113"/>
        <v>45832</v>
      </c>
      <c r="M547" s="142">
        <v>45818</v>
      </c>
      <c r="N547" s="142">
        <f t="shared" si="116"/>
        <v>45820</v>
      </c>
      <c r="O547" s="143">
        <f t="shared" ca="1" si="114"/>
        <v>14</v>
      </c>
      <c r="P547" s="142">
        <v>45844</v>
      </c>
      <c r="Q547" s="142">
        <v>45833</v>
      </c>
      <c r="R547" s="143">
        <f t="shared" ca="1" si="115"/>
        <v>11</v>
      </c>
      <c r="S547" s="138"/>
      <c r="T547" s="138"/>
    </row>
    <row r="548" spans="1:20" hidden="1">
      <c r="A548" s="19" t="s">
        <v>188</v>
      </c>
      <c r="B548" s="291">
        <v>187</v>
      </c>
      <c r="C548" s="291" t="s">
        <v>75</v>
      </c>
      <c r="D548" s="291" t="s">
        <v>840</v>
      </c>
      <c r="E548" s="145">
        <v>45892</v>
      </c>
      <c r="F548" s="138">
        <v>89.800003051757798</v>
      </c>
      <c r="G548" s="138">
        <v>89.8</v>
      </c>
      <c r="H548" s="138">
        <v>85</v>
      </c>
      <c r="I548" s="83">
        <f t="shared" si="111"/>
        <v>0.31000289916990198</v>
      </c>
      <c r="J548" s="83">
        <f t="shared" si="112"/>
        <v>3.0517578011313162E-6</v>
      </c>
      <c r="K548" s="298" t="s">
        <v>108</v>
      </c>
      <c r="L548" s="142">
        <f t="shared" si="113"/>
        <v>45832</v>
      </c>
      <c r="M548" s="142">
        <v>45818</v>
      </c>
      <c r="N548" s="142">
        <f t="shared" si="116"/>
        <v>45820</v>
      </c>
      <c r="O548" s="143">
        <f t="shared" ca="1" si="114"/>
        <v>14</v>
      </c>
      <c r="P548" s="142">
        <v>45844</v>
      </c>
      <c r="Q548" s="142">
        <v>45833</v>
      </c>
      <c r="R548" s="143">
        <f t="shared" ca="1" si="115"/>
        <v>11</v>
      </c>
      <c r="S548" s="138"/>
      <c r="T548" s="138"/>
    </row>
    <row r="549" spans="1:20" hidden="1">
      <c r="A549" s="19" t="s">
        <v>188</v>
      </c>
      <c r="B549" s="291">
        <v>187</v>
      </c>
      <c r="C549" s="291" t="s">
        <v>857</v>
      </c>
      <c r="D549" s="291" t="s">
        <v>841</v>
      </c>
      <c r="E549" s="145">
        <v>45892</v>
      </c>
      <c r="F549" s="138">
        <v>110</v>
      </c>
      <c r="G549" s="138">
        <v>110</v>
      </c>
      <c r="H549" s="138">
        <v>105</v>
      </c>
      <c r="I549" s="83">
        <f t="shared" si="111"/>
        <v>-0.5</v>
      </c>
      <c r="J549" s="83">
        <f t="shared" si="112"/>
        <v>0</v>
      </c>
      <c r="K549" s="298" t="s">
        <v>108</v>
      </c>
      <c r="L549" s="142">
        <f t="shared" si="113"/>
        <v>45832</v>
      </c>
      <c r="M549" s="142">
        <v>45818</v>
      </c>
      <c r="N549" s="142">
        <f t="shared" si="116"/>
        <v>45820</v>
      </c>
      <c r="O549" s="143">
        <f t="shared" ca="1" si="114"/>
        <v>14</v>
      </c>
      <c r="P549" s="142">
        <v>45844</v>
      </c>
      <c r="Q549" s="142">
        <v>45833</v>
      </c>
      <c r="R549" s="143">
        <f t="shared" ca="1" si="115"/>
        <v>11</v>
      </c>
      <c r="S549" s="138"/>
      <c r="T549" s="138"/>
    </row>
    <row r="550" spans="1:20" hidden="1">
      <c r="A550" s="19" t="s">
        <v>188</v>
      </c>
      <c r="B550" s="291">
        <v>187</v>
      </c>
      <c r="C550" s="291" t="s">
        <v>82</v>
      </c>
      <c r="D550" s="291" t="s">
        <v>144</v>
      </c>
      <c r="E550" s="145">
        <v>45892</v>
      </c>
      <c r="F550" s="138">
        <v>69.699996948242202</v>
      </c>
      <c r="G550" s="138">
        <v>69.7</v>
      </c>
      <c r="H550" s="138">
        <v>66</v>
      </c>
      <c r="I550" s="83">
        <f t="shared" si="111"/>
        <v>0.21499710083008949</v>
      </c>
      <c r="J550" s="83">
        <f t="shared" si="112"/>
        <v>-3.0517578011313162E-6</v>
      </c>
      <c r="K550" s="298" t="s">
        <v>900</v>
      </c>
      <c r="L550" s="142">
        <f t="shared" si="113"/>
        <v>45820</v>
      </c>
      <c r="M550" s="142">
        <v>45818</v>
      </c>
      <c r="N550" s="142">
        <f t="shared" si="116"/>
        <v>45820</v>
      </c>
      <c r="O550" s="143">
        <f t="shared" ca="1" si="114"/>
        <v>2</v>
      </c>
      <c r="P550" s="142">
        <v>45832</v>
      </c>
      <c r="Q550" s="142">
        <v>45835</v>
      </c>
      <c r="R550" s="143">
        <f t="shared" ca="1" si="115"/>
        <v>-3</v>
      </c>
      <c r="S550" s="138"/>
      <c r="T550" s="138"/>
    </row>
    <row r="551" spans="1:20">
      <c r="A551" s="19" t="s">
        <v>188</v>
      </c>
      <c r="B551" s="291">
        <v>187</v>
      </c>
      <c r="C551" s="291" t="s">
        <v>79</v>
      </c>
      <c r="D551" s="291" t="s">
        <v>145</v>
      </c>
      <c r="E551" s="145">
        <v>45892</v>
      </c>
      <c r="F551" s="138">
        <v>5.8000001907348597</v>
      </c>
      <c r="G551" s="138">
        <v>5.8</v>
      </c>
      <c r="H551" s="138"/>
      <c r="I551" s="83">
        <f t="shared" si="111"/>
        <v>5.5100001811981167</v>
      </c>
      <c r="J551" s="83">
        <f t="shared" si="112"/>
        <v>1.9073485990617201E-7</v>
      </c>
      <c r="K551" s="298" t="s">
        <v>108</v>
      </c>
      <c r="L551" s="142">
        <f t="shared" si="113"/>
        <v>45820</v>
      </c>
      <c r="M551" s="142">
        <v>45833</v>
      </c>
      <c r="N551" s="142">
        <f t="shared" si="116"/>
        <v>45835</v>
      </c>
      <c r="O551" s="143">
        <f t="shared" ca="1" si="114"/>
        <v>-13</v>
      </c>
      <c r="P551" s="142">
        <v>45832</v>
      </c>
      <c r="Q551" s="142"/>
      <c r="R551" s="143">
        <f t="shared" ca="1" si="115"/>
        <v>-8</v>
      </c>
      <c r="S551" s="138"/>
      <c r="T551" s="138"/>
    </row>
    <row r="552" spans="1:20" hidden="1">
      <c r="A552" s="19" t="s">
        <v>188</v>
      </c>
      <c r="B552" s="291">
        <v>187</v>
      </c>
      <c r="C552" s="291" t="s">
        <v>80</v>
      </c>
      <c r="D552" s="291" t="s">
        <v>146</v>
      </c>
      <c r="E552" s="145">
        <v>45892</v>
      </c>
      <c r="F552" s="138">
        <v>439</v>
      </c>
      <c r="G552" s="138">
        <v>439</v>
      </c>
      <c r="H552" s="138">
        <v>417</v>
      </c>
      <c r="I552" s="83">
        <f t="shared" si="111"/>
        <v>4.9999999999954525E-2</v>
      </c>
      <c r="J552" s="83">
        <f t="shared" si="112"/>
        <v>0</v>
      </c>
      <c r="K552" s="140" t="s">
        <v>133</v>
      </c>
      <c r="L552" s="142">
        <f t="shared" si="113"/>
        <v>45817</v>
      </c>
      <c r="M552" s="142">
        <v>45822</v>
      </c>
      <c r="N552" s="142">
        <f t="shared" si="116"/>
        <v>45824</v>
      </c>
      <c r="O552" s="143">
        <f t="shared" ca="1" si="114"/>
        <v>-5</v>
      </c>
      <c r="P552" s="142">
        <v>45829</v>
      </c>
      <c r="Q552" s="142">
        <v>45825</v>
      </c>
      <c r="R552" s="143">
        <f t="shared" ca="1" si="115"/>
        <v>4</v>
      </c>
      <c r="S552" s="138"/>
      <c r="T552" s="138"/>
    </row>
    <row r="553" spans="1:20">
      <c r="A553" s="19" t="s">
        <v>188</v>
      </c>
      <c r="B553" s="291">
        <v>188</v>
      </c>
      <c r="C553" s="291" t="s">
        <v>79</v>
      </c>
      <c r="D553" s="291" t="s">
        <v>146</v>
      </c>
      <c r="E553" s="145">
        <v>45892</v>
      </c>
      <c r="F553" s="138">
        <v>7</v>
      </c>
      <c r="G553" s="138">
        <v>7</v>
      </c>
      <c r="H553" s="138"/>
      <c r="I553" s="83">
        <f t="shared" si="111"/>
        <v>6.6499999999999995</v>
      </c>
      <c r="J553" s="83">
        <f t="shared" si="112"/>
        <v>0</v>
      </c>
      <c r="K553" s="298" t="s">
        <v>108</v>
      </c>
      <c r="L553" s="142">
        <f t="shared" si="113"/>
        <v>45824</v>
      </c>
      <c r="M553" s="142">
        <v>45833</v>
      </c>
      <c r="N553" s="142">
        <f t="shared" si="116"/>
        <v>45835</v>
      </c>
      <c r="O553" s="143">
        <f t="shared" ca="1" si="114"/>
        <v>-9</v>
      </c>
      <c r="P553" s="142">
        <v>45836</v>
      </c>
      <c r="Q553" s="142"/>
      <c r="R553" s="143">
        <f t="shared" ca="1" si="115"/>
        <v>-4</v>
      </c>
      <c r="S553" s="138"/>
      <c r="T553" s="138"/>
    </row>
    <row r="554" spans="1:20" hidden="1">
      <c r="A554" s="19" t="s">
        <v>188</v>
      </c>
      <c r="B554" s="291">
        <v>188</v>
      </c>
      <c r="C554" s="291" t="s">
        <v>80</v>
      </c>
      <c r="D554" s="291" t="s">
        <v>146</v>
      </c>
      <c r="E554" s="145">
        <v>45892</v>
      </c>
      <c r="F554" s="138">
        <v>105.90000152587901</v>
      </c>
      <c r="G554" s="138">
        <v>105.9</v>
      </c>
      <c r="H554" s="138">
        <v>101</v>
      </c>
      <c r="I554" s="83">
        <f t="shared" si="111"/>
        <v>-0.3949985504149538</v>
      </c>
      <c r="J554" s="83">
        <f t="shared" si="112"/>
        <v>1.5258790000416411E-6</v>
      </c>
      <c r="K554" s="140" t="s">
        <v>133</v>
      </c>
      <c r="L554" s="142">
        <f t="shared" si="113"/>
        <v>45824</v>
      </c>
      <c r="M554" s="142">
        <v>45822</v>
      </c>
      <c r="N554" s="142">
        <f t="shared" si="116"/>
        <v>45824</v>
      </c>
      <c r="O554" s="143">
        <f t="shared" ca="1" si="114"/>
        <v>2</v>
      </c>
      <c r="P554" s="142">
        <v>45836</v>
      </c>
      <c r="Q554" s="142">
        <v>45835</v>
      </c>
      <c r="R554" s="143">
        <f t="shared" ca="1" si="115"/>
        <v>1</v>
      </c>
      <c r="S554" s="138"/>
      <c r="T554" s="138"/>
    </row>
    <row r="555" spans="1:20" hidden="1">
      <c r="A555" s="19" t="s">
        <v>188</v>
      </c>
      <c r="B555" s="291">
        <v>189</v>
      </c>
      <c r="C555" s="291" t="s">
        <v>79</v>
      </c>
      <c r="D555" s="291" t="s">
        <v>138</v>
      </c>
      <c r="E555" s="145">
        <v>45899</v>
      </c>
      <c r="F555" s="138">
        <v>109.300003051758</v>
      </c>
      <c r="G555" s="138">
        <v>109</v>
      </c>
      <c r="H555" s="138"/>
      <c r="I555" s="83">
        <f t="shared" si="111"/>
        <v>103.83500289917009</v>
      </c>
      <c r="J555" s="83">
        <f t="shared" si="112"/>
        <v>0.30000305175799724</v>
      </c>
      <c r="K555" s="298" t="s">
        <v>108</v>
      </c>
      <c r="L555" s="142">
        <f t="shared" si="113"/>
        <v>45839</v>
      </c>
      <c r="M555" s="142">
        <v>45826</v>
      </c>
      <c r="N555" s="142">
        <f t="shared" si="116"/>
        <v>45828</v>
      </c>
      <c r="O555" s="143">
        <f t="shared" ca="1" si="114"/>
        <v>13</v>
      </c>
      <c r="P555" s="142">
        <v>45851</v>
      </c>
      <c r="Q555" s="142"/>
      <c r="R555" s="143">
        <f t="shared" ca="1" si="115"/>
        <v>11</v>
      </c>
      <c r="S555" s="138"/>
      <c r="T555" s="138"/>
    </row>
    <row r="556" spans="1:20" hidden="1">
      <c r="A556" s="19" t="s">
        <v>188</v>
      </c>
      <c r="B556" s="291">
        <v>190</v>
      </c>
      <c r="C556" s="291" t="s">
        <v>75</v>
      </c>
      <c r="D556" s="291" t="s">
        <v>858</v>
      </c>
      <c r="E556" s="145">
        <v>45899</v>
      </c>
      <c r="F556" s="138">
        <v>83.5</v>
      </c>
      <c r="G556" s="138">
        <v>83.5</v>
      </c>
      <c r="H556" s="138"/>
      <c r="I556" s="83">
        <f t="shared" si="111"/>
        <v>79.325000000000003</v>
      </c>
      <c r="J556" s="83">
        <f t="shared" si="112"/>
        <v>0</v>
      </c>
      <c r="K556" s="298" t="s">
        <v>108</v>
      </c>
      <c r="L556" s="142">
        <f t="shared" si="113"/>
        <v>45841</v>
      </c>
      <c r="M556" s="142">
        <v>45818</v>
      </c>
      <c r="N556" s="142">
        <f t="shared" si="116"/>
        <v>45820</v>
      </c>
      <c r="O556" s="143">
        <f t="shared" ca="1" si="114"/>
        <v>23</v>
      </c>
      <c r="P556" s="142">
        <v>45853</v>
      </c>
      <c r="Q556" s="142"/>
      <c r="R556" s="143">
        <f t="shared" ca="1" si="115"/>
        <v>13</v>
      </c>
      <c r="S556" s="138"/>
      <c r="T556" s="138"/>
    </row>
    <row r="557" spans="1:20" hidden="1">
      <c r="A557" s="19" t="s">
        <v>188</v>
      </c>
      <c r="B557" s="291">
        <v>190</v>
      </c>
      <c r="C557" s="291" t="s">
        <v>75</v>
      </c>
      <c r="D557" s="291" t="s">
        <v>859</v>
      </c>
      <c r="E557" s="145">
        <v>45899</v>
      </c>
      <c r="F557" s="138">
        <v>51.200000762939503</v>
      </c>
      <c r="G557" s="138">
        <v>51.2</v>
      </c>
      <c r="H557" s="138"/>
      <c r="I557" s="83">
        <f t="shared" si="111"/>
        <v>48.640000724792529</v>
      </c>
      <c r="J557" s="83">
        <f t="shared" si="112"/>
        <v>7.6293950002082056E-7</v>
      </c>
      <c r="K557" s="298" t="s">
        <v>108</v>
      </c>
      <c r="L557" s="142">
        <f t="shared" si="113"/>
        <v>45841</v>
      </c>
      <c r="M557" s="142">
        <v>45818</v>
      </c>
      <c r="N557" s="142">
        <f t="shared" si="116"/>
        <v>45820</v>
      </c>
      <c r="O557" s="143">
        <f t="shared" ca="1" si="114"/>
        <v>23</v>
      </c>
      <c r="P557" s="142">
        <v>45853</v>
      </c>
      <c r="Q557" s="142"/>
      <c r="R557" s="143">
        <f t="shared" ca="1" si="115"/>
        <v>13</v>
      </c>
      <c r="S557" s="138"/>
      <c r="T557" s="138"/>
    </row>
    <row r="558" spans="1:20" hidden="1">
      <c r="A558" s="19" t="s">
        <v>188</v>
      </c>
      <c r="B558" s="291">
        <v>190</v>
      </c>
      <c r="C558" s="291" t="s">
        <v>857</v>
      </c>
      <c r="D558" s="291" t="s">
        <v>858</v>
      </c>
      <c r="E558" s="145">
        <v>45899</v>
      </c>
      <c r="F558" s="138">
        <v>95.699996948242202</v>
      </c>
      <c r="G558" s="138">
        <v>95.7</v>
      </c>
      <c r="H558" s="138"/>
      <c r="I558" s="83">
        <f t="shared" si="111"/>
        <v>90.914997100830092</v>
      </c>
      <c r="J558" s="83">
        <f t="shared" si="112"/>
        <v>-3.0517578011313162E-6</v>
      </c>
      <c r="K558" s="298" t="s">
        <v>108</v>
      </c>
      <c r="L558" s="142">
        <f t="shared" si="113"/>
        <v>45841</v>
      </c>
      <c r="M558" s="142">
        <v>45818</v>
      </c>
      <c r="N558" s="142">
        <f t="shared" si="116"/>
        <v>45820</v>
      </c>
      <c r="O558" s="143">
        <f t="shared" ca="1" si="114"/>
        <v>23</v>
      </c>
      <c r="P558" s="142">
        <v>45853</v>
      </c>
      <c r="Q558" s="142"/>
      <c r="R558" s="143">
        <f t="shared" ca="1" si="115"/>
        <v>13</v>
      </c>
      <c r="S558" s="138"/>
      <c r="T558" s="138"/>
    </row>
    <row r="559" spans="1:20" hidden="1">
      <c r="A559" s="19" t="s">
        <v>188</v>
      </c>
      <c r="B559" s="291">
        <v>190</v>
      </c>
      <c r="C559" s="291" t="s">
        <v>857</v>
      </c>
      <c r="D559" s="291" t="s">
        <v>859</v>
      </c>
      <c r="E559" s="145">
        <v>45899</v>
      </c>
      <c r="F559" s="138">
        <v>58.700000762939503</v>
      </c>
      <c r="G559" s="138">
        <v>58.7</v>
      </c>
      <c r="H559" s="138"/>
      <c r="I559" s="83">
        <f t="shared" si="111"/>
        <v>55.765000724792522</v>
      </c>
      <c r="J559" s="83">
        <f t="shared" si="112"/>
        <v>7.6293950002082056E-7</v>
      </c>
      <c r="K559" s="298" t="s">
        <v>108</v>
      </c>
      <c r="L559" s="142">
        <f t="shared" si="113"/>
        <v>45841</v>
      </c>
      <c r="M559" s="142">
        <v>45818</v>
      </c>
      <c r="N559" s="142">
        <f t="shared" si="116"/>
        <v>45820</v>
      </c>
      <c r="O559" s="143">
        <f t="shared" ca="1" si="114"/>
        <v>23</v>
      </c>
      <c r="P559" s="142">
        <v>45853</v>
      </c>
      <c r="Q559" s="142"/>
      <c r="R559" s="143">
        <f t="shared" ca="1" si="115"/>
        <v>13</v>
      </c>
      <c r="S559" s="138"/>
      <c r="T559" s="138"/>
    </row>
    <row r="560" spans="1:20" hidden="1">
      <c r="A560" s="19" t="s">
        <v>188</v>
      </c>
      <c r="B560" s="291">
        <v>191</v>
      </c>
      <c r="C560" s="291" t="s">
        <v>80</v>
      </c>
      <c r="D560" s="291" t="s">
        <v>146</v>
      </c>
      <c r="E560" s="145">
        <v>45913</v>
      </c>
      <c r="F560" s="138">
        <v>1639</v>
      </c>
      <c r="G560" s="138">
        <v>1639</v>
      </c>
      <c r="H560" s="138">
        <v>1563</v>
      </c>
      <c r="I560" s="83">
        <f t="shared" si="111"/>
        <v>-5.9500000000000455</v>
      </c>
      <c r="J560" s="83">
        <f t="shared" si="112"/>
        <v>0</v>
      </c>
      <c r="K560" s="140" t="s">
        <v>133</v>
      </c>
      <c r="L560" s="142">
        <f t="shared" si="113"/>
        <v>45838</v>
      </c>
      <c r="M560" s="142">
        <v>45822</v>
      </c>
      <c r="N560" s="142">
        <f t="shared" si="116"/>
        <v>45824</v>
      </c>
      <c r="O560" s="143">
        <f t="shared" ca="1" si="114"/>
        <v>16</v>
      </c>
      <c r="P560" s="142">
        <v>45850</v>
      </c>
      <c r="Q560" s="142">
        <v>45835</v>
      </c>
      <c r="R560" s="143">
        <f t="shared" ca="1" si="115"/>
        <v>15</v>
      </c>
      <c r="S560" s="138"/>
      <c r="T560" s="138"/>
    </row>
    <row r="561" spans="1:20" hidden="1">
      <c r="A561" s="19" t="s">
        <v>188</v>
      </c>
      <c r="B561" s="291">
        <v>191</v>
      </c>
      <c r="C561" s="291" t="s">
        <v>75</v>
      </c>
      <c r="D561" s="291" t="s">
        <v>858</v>
      </c>
      <c r="E561" s="145">
        <v>45913</v>
      </c>
      <c r="F561" s="138">
        <v>79</v>
      </c>
      <c r="G561" s="138">
        <v>79</v>
      </c>
      <c r="H561" s="138"/>
      <c r="I561" s="83">
        <f t="shared" si="111"/>
        <v>75.05</v>
      </c>
      <c r="J561" s="83">
        <f t="shared" si="112"/>
        <v>0</v>
      </c>
      <c r="K561" s="298" t="s">
        <v>108</v>
      </c>
      <c r="L561" s="142">
        <f t="shared" si="113"/>
        <v>45853</v>
      </c>
      <c r="M561" s="142">
        <v>45831</v>
      </c>
      <c r="N561" s="142">
        <f t="shared" si="116"/>
        <v>45833</v>
      </c>
      <c r="O561" s="143">
        <f t="shared" ca="1" si="114"/>
        <v>22</v>
      </c>
      <c r="P561" s="142">
        <v>45865</v>
      </c>
      <c r="Q561" s="142"/>
      <c r="R561" s="143">
        <f t="shared" ca="1" si="115"/>
        <v>25</v>
      </c>
      <c r="S561" s="138"/>
      <c r="T561" s="138"/>
    </row>
    <row r="562" spans="1:20" hidden="1">
      <c r="A562" s="19" t="s">
        <v>188</v>
      </c>
      <c r="B562" s="291">
        <v>191</v>
      </c>
      <c r="C562" s="291" t="s">
        <v>75</v>
      </c>
      <c r="D562" s="291" t="s">
        <v>139</v>
      </c>
      <c r="E562" s="145">
        <v>45913</v>
      </c>
      <c r="F562" s="138">
        <v>83.5</v>
      </c>
      <c r="G562" s="138">
        <v>83.5</v>
      </c>
      <c r="H562" s="138"/>
      <c r="I562" s="83">
        <f t="shared" si="111"/>
        <v>79.325000000000003</v>
      </c>
      <c r="J562" s="83">
        <f t="shared" si="112"/>
        <v>0</v>
      </c>
      <c r="K562" s="298" t="s">
        <v>108</v>
      </c>
      <c r="L562" s="142">
        <f t="shared" si="113"/>
        <v>45853</v>
      </c>
      <c r="M562" s="142">
        <v>45831</v>
      </c>
      <c r="N562" s="142">
        <f t="shared" si="116"/>
        <v>45833</v>
      </c>
      <c r="O562" s="143">
        <f t="shared" ca="1" si="114"/>
        <v>22</v>
      </c>
      <c r="P562" s="142">
        <v>45865</v>
      </c>
      <c r="Q562" s="142"/>
      <c r="R562" s="143">
        <f t="shared" ca="1" si="115"/>
        <v>25</v>
      </c>
      <c r="S562" s="138"/>
      <c r="T562" s="138"/>
    </row>
    <row r="563" spans="1:20" hidden="1">
      <c r="A563" s="19" t="s">
        <v>188</v>
      </c>
      <c r="B563" s="291">
        <v>191</v>
      </c>
      <c r="C563" s="291" t="s">
        <v>857</v>
      </c>
      <c r="D563" s="291" t="s">
        <v>139</v>
      </c>
      <c r="E563" s="145">
        <v>45913</v>
      </c>
      <c r="F563" s="138">
        <v>95.699996948242202</v>
      </c>
      <c r="G563" s="138">
        <v>95.7</v>
      </c>
      <c r="H563" s="138"/>
      <c r="I563" s="83">
        <f t="shared" si="111"/>
        <v>90.914997100830092</v>
      </c>
      <c r="J563" s="83">
        <f t="shared" si="112"/>
        <v>-3.0517578011313162E-6</v>
      </c>
      <c r="K563" s="298" t="s">
        <v>108</v>
      </c>
      <c r="L563" s="142">
        <f t="shared" si="113"/>
        <v>45853</v>
      </c>
      <c r="M563" s="142">
        <v>45831</v>
      </c>
      <c r="N563" s="142">
        <f t="shared" si="116"/>
        <v>45833</v>
      </c>
      <c r="O563" s="143">
        <f t="shared" ca="1" si="114"/>
        <v>22</v>
      </c>
      <c r="P563" s="142">
        <v>45865</v>
      </c>
      <c r="Q563" s="142"/>
      <c r="R563" s="143">
        <f t="shared" ca="1" si="115"/>
        <v>25</v>
      </c>
      <c r="S563" s="138"/>
      <c r="T563" s="138"/>
    </row>
    <row r="564" spans="1:20" hidden="1">
      <c r="A564" s="19" t="s">
        <v>188</v>
      </c>
      <c r="B564" s="291">
        <v>191</v>
      </c>
      <c r="C564" s="291" t="s">
        <v>857</v>
      </c>
      <c r="D564" s="291" t="s">
        <v>859</v>
      </c>
      <c r="E564" s="145">
        <v>45913</v>
      </c>
      <c r="F564" s="138">
        <v>55.5</v>
      </c>
      <c r="G564" s="138">
        <v>55.5</v>
      </c>
      <c r="H564" s="138"/>
      <c r="I564" s="83">
        <f t="shared" si="111"/>
        <v>52.724999999999994</v>
      </c>
      <c r="J564" s="83">
        <f t="shared" si="112"/>
        <v>0</v>
      </c>
      <c r="K564" s="298" t="s">
        <v>108</v>
      </c>
      <c r="L564" s="142">
        <f t="shared" si="113"/>
        <v>45853</v>
      </c>
      <c r="M564" s="142">
        <v>45831</v>
      </c>
      <c r="N564" s="142">
        <f t="shared" si="116"/>
        <v>45833</v>
      </c>
      <c r="O564" s="143">
        <f t="shared" ca="1" si="114"/>
        <v>22</v>
      </c>
      <c r="P564" s="142">
        <v>45865</v>
      </c>
      <c r="Q564" s="142"/>
      <c r="R564" s="143">
        <f t="shared" ca="1" si="115"/>
        <v>25</v>
      </c>
      <c r="S564" s="138"/>
      <c r="T564" s="138"/>
    </row>
    <row r="565" spans="1:20" hidden="1">
      <c r="A565" s="19" t="s">
        <v>188</v>
      </c>
      <c r="B565" s="291">
        <v>191</v>
      </c>
      <c r="C565" s="291" t="s">
        <v>857</v>
      </c>
      <c r="D565" s="291" t="s">
        <v>140</v>
      </c>
      <c r="E565" s="145">
        <v>45913</v>
      </c>
      <c r="F565" s="138">
        <v>58.700000762939503</v>
      </c>
      <c r="G565" s="138">
        <v>58.7</v>
      </c>
      <c r="H565" s="138"/>
      <c r="I565" s="83">
        <f t="shared" si="111"/>
        <v>55.765000724792522</v>
      </c>
      <c r="J565" s="83">
        <f t="shared" si="112"/>
        <v>7.6293950002082056E-7</v>
      </c>
      <c r="K565" s="298" t="s">
        <v>108</v>
      </c>
      <c r="L565" s="142">
        <f t="shared" si="113"/>
        <v>45853</v>
      </c>
      <c r="M565" s="142">
        <v>45831</v>
      </c>
      <c r="N565" s="142">
        <f t="shared" si="116"/>
        <v>45833</v>
      </c>
      <c r="O565" s="143">
        <f t="shared" ca="1" si="114"/>
        <v>22</v>
      </c>
      <c r="P565" s="142">
        <v>45865</v>
      </c>
      <c r="Q565" s="142"/>
      <c r="R565" s="143">
        <f t="shared" ca="1" si="115"/>
        <v>25</v>
      </c>
      <c r="S565" s="138"/>
      <c r="T565" s="138"/>
    </row>
    <row r="566" spans="1:20" hidden="1">
      <c r="A566" s="19" t="s">
        <v>188</v>
      </c>
      <c r="B566" s="291">
        <v>191</v>
      </c>
      <c r="C566" s="291" t="s">
        <v>75</v>
      </c>
      <c r="D566" s="291" t="s">
        <v>859</v>
      </c>
      <c r="E566" s="145">
        <v>45913</v>
      </c>
      <c r="F566" s="138">
        <v>48.400001525878899</v>
      </c>
      <c r="G566" s="138">
        <v>48.4</v>
      </c>
      <c r="H566" s="138"/>
      <c r="I566" s="83">
        <f t="shared" si="111"/>
        <v>45.980001449584954</v>
      </c>
      <c r="J566" s="83">
        <f t="shared" si="112"/>
        <v>1.5258789005656581E-6</v>
      </c>
      <c r="K566" s="298" t="s">
        <v>108</v>
      </c>
      <c r="L566" s="142">
        <f t="shared" si="113"/>
        <v>45853</v>
      </c>
      <c r="M566" s="142">
        <v>45831</v>
      </c>
      <c r="N566" s="142">
        <f t="shared" si="116"/>
        <v>45833</v>
      </c>
      <c r="O566" s="143">
        <f t="shared" ca="1" si="114"/>
        <v>22</v>
      </c>
      <c r="P566" s="142">
        <v>45865</v>
      </c>
      <c r="Q566" s="142"/>
      <c r="R566" s="143">
        <f t="shared" ca="1" si="115"/>
        <v>25</v>
      </c>
      <c r="S566" s="138"/>
      <c r="T566" s="138"/>
    </row>
    <row r="567" spans="1:20" hidden="1">
      <c r="A567" s="19" t="s">
        <v>188</v>
      </c>
      <c r="B567" s="291">
        <v>191</v>
      </c>
      <c r="C567" s="291" t="s">
        <v>75</v>
      </c>
      <c r="D567" s="291" t="s">
        <v>140</v>
      </c>
      <c r="E567" s="145">
        <v>45913</v>
      </c>
      <c r="F567" s="138">
        <v>51.200000762939503</v>
      </c>
      <c r="G567" s="138">
        <v>51.2</v>
      </c>
      <c r="H567" s="138"/>
      <c r="I567" s="83">
        <f t="shared" si="111"/>
        <v>48.640000724792529</v>
      </c>
      <c r="J567" s="83">
        <f t="shared" si="112"/>
        <v>7.6293950002082056E-7</v>
      </c>
      <c r="K567" s="298" t="s">
        <v>108</v>
      </c>
      <c r="L567" s="142">
        <f t="shared" si="113"/>
        <v>45853</v>
      </c>
      <c r="M567" s="142">
        <v>45831</v>
      </c>
      <c r="N567" s="142">
        <f t="shared" si="116"/>
        <v>45833</v>
      </c>
      <c r="O567" s="143">
        <f t="shared" ca="1" si="114"/>
        <v>22</v>
      </c>
      <c r="P567" s="142">
        <v>45865</v>
      </c>
      <c r="Q567" s="142"/>
      <c r="R567" s="143">
        <f t="shared" ca="1" si="115"/>
        <v>25</v>
      </c>
      <c r="S567" s="138"/>
      <c r="T567" s="138"/>
    </row>
    <row r="568" spans="1:20" hidden="1">
      <c r="A568" s="19" t="s">
        <v>188</v>
      </c>
      <c r="B568" s="291">
        <v>191</v>
      </c>
      <c r="C568" s="291" t="s">
        <v>857</v>
      </c>
      <c r="D568" s="291" t="s">
        <v>858</v>
      </c>
      <c r="E568" s="145">
        <v>45913</v>
      </c>
      <c r="F568" s="138">
        <v>90.5</v>
      </c>
      <c r="G568" s="138">
        <v>90.5</v>
      </c>
      <c r="H568" s="138"/>
      <c r="I568" s="83">
        <f t="shared" si="111"/>
        <v>85.974999999999994</v>
      </c>
      <c r="J568" s="83">
        <f t="shared" si="112"/>
        <v>0</v>
      </c>
      <c r="K568" s="298" t="s">
        <v>108</v>
      </c>
      <c r="L568" s="142">
        <f t="shared" si="113"/>
        <v>45853</v>
      </c>
      <c r="M568" s="142">
        <v>45831</v>
      </c>
      <c r="N568" s="142">
        <f t="shared" si="116"/>
        <v>45833</v>
      </c>
      <c r="O568" s="143">
        <f t="shared" ca="1" si="114"/>
        <v>22</v>
      </c>
      <c r="P568" s="142">
        <v>45865</v>
      </c>
      <c r="Q568" s="142"/>
      <c r="R568" s="143">
        <f t="shared" ca="1" si="115"/>
        <v>25</v>
      </c>
      <c r="S568" s="138"/>
      <c r="T568" s="138"/>
    </row>
    <row r="569" spans="1:20" hidden="1">
      <c r="A569" s="19" t="s">
        <v>188</v>
      </c>
      <c r="B569" s="291">
        <v>192</v>
      </c>
      <c r="C569" s="291" t="s">
        <v>75</v>
      </c>
      <c r="D569" s="291" t="s">
        <v>841</v>
      </c>
      <c r="E569" s="145">
        <v>45913</v>
      </c>
      <c r="F569" s="138">
        <v>69.5</v>
      </c>
      <c r="G569" s="138">
        <v>69.5</v>
      </c>
      <c r="H569" s="138"/>
      <c r="I569" s="83">
        <f t="shared" ref="I569:I583" si="117">F569*95%-H569</f>
        <v>66.024999999999991</v>
      </c>
      <c r="J569" s="83">
        <f t="shared" ref="J569:J583" si="118">F569-G569</f>
        <v>0</v>
      </c>
      <c r="K569" s="298" t="s">
        <v>108</v>
      </c>
      <c r="L569" s="142">
        <f t="shared" ref="L569:L583" si="119">P569-12</f>
        <v>45853</v>
      </c>
      <c r="M569" s="142">
        <v>45831</v>
      </c>
      <c r="N569" s="142">
        <f t="shared" si="116"/>
        <v>45833</v>
      </c>
      <c r="O569" s="143">
        <f t="shared" ref="O569:O583" ca="1" si="120">+IF(M569="",L569-TODAY(),L569-M569)</f>
        <v>22</v>
      </c>
      <c r="P569" s="142">
        <v>45865</v>
      </c>
      <c r="Q569" s="142"/>
      <c r="R569" s="143">
        <f t="shared" ref="R569:R583" ca="1" si="121">+IF(Q569="",P569-TODAY(),P569-Q569)</f>
        <v>25</v>
      </c>
      <c r="S569" s="138"/>
      <c r="T569" s="138"/>
    </row>
    <row r="570" spans="1:20" hidden="1">
      <c r="A570" s="19" t="s">
        <v>188</v>
      </c>
      <c r="B570" s="291">
        <v>192</v>
      </c>
      <c r="C570" s="291" t="s">
        <v>75</v>
      </c>
      <c r="D570" s="291" t="s">
        <v>840</v>
      </c>
      <c r="E570" s="145">
        <v>45913</v>
      </c>
      <c r="F570" s="138">
        <v>65.099998474121094</v>
      </c>
      <c r="G570" s="138">
        <v>65.099999999999994</v>
      </c>
      <c r="H570" s="138"/>
      <c r="I570" s="83">
        <f t="shared" si="117"/>
        <v>61.844998550415035</v>
      </c>
      <c r="J570" s="83">
        <f t="shared" si="118"/>
        <v>-1.5258789005656581E-6</v>
      </c>
      <c r="K570" s="298" t="s">
        <v>108</v>
      </c>
      <c r="L570" s="142">
        <f t="shared" si="119"/>
        <v>45853</v>
      </c>
      <c r="M570" s="142">
        <v>45831</v>
      </c>
      <c r="N570" s="142">
        <f t="shared" si="116"/>
        <v>45833</v>
      </c>
      <c r="O570" s="143">
        <f t="shared" ca="1" si="120"/>
        <v>22</v>
      </c>
      <c r="P570" s="142">
        <v>45865</v>
      </c>
      <c r="Q570" s="142"/>
      <c r="R570" s="143">
        <f t="shared" ca="1" si="121"/>
        <v>25</v>
      </c>
      <c r="S570" s="138"/>
      <c r="T570" s="138"/>
    </row>
    <row r="571" spans="1:20" hidden="1">
      <c r="A571" s="19" t="s">
        <v>188</v>
      </c>
      <c r="B571" s="291">
        <v>192</v>
      </c>
      <c r="C571" s="291" t="s">
        <v>857</v>
      </c>
      <c r="D571" s="291" t="s">
        <v>841</v>
      </c>
      <c r="E571" s="145">
        <v>45913</v>
      </c>
      <c r="F571" s="138">
        <v>79.800003051757798</v>
      </c>
      <c r="G571" s="138">
        <v>79.8</v>
      </c>
      <c r="H571" s="138"/>
      <c r="I571" s="83">
        <f t="shared" si="117"/>
        <v>75.810002899169902</v>
      </c>
      <c r="J571" s="83">
        <f t="shared" si="118"/>
        <v>3.0517578011313162E-6</v>
      </c>
      <c r="K571" s="298" t="s">
        <v>108</v>
      </c>
      <c r="L571" s="142">
        <f t="shared" si="119"/>
        <v>45853</v>
      </c>
      <c r="M571" s="142">
        <v>45831</v>
      </c>
      <c r="N571" s="142">
        <f t="shared" si="116"/>
        <v>45833</v>
      </c>
      <c r="O571" s="143">
        <f t="shared" ca="1" si="120"/>
        <v>22</v>
      </c>
      <c r="P571" s="142">
        <v>45865</v>
      </c>
      <c r="Q571" s="142"/>
      <c r="R571" s="143">
        <f t="shared" ca="1" si="121"/>
        <v>25</v>
      </c>
      <c r="S571" s="138"/>
      <c r="T571" s="138"/>
    </row>
    <row r="572" spans="1:20" hidden="1">
      <c r="A572" s="19" t="s">
        <v>188</v>
      </c>
      <c r="B572" s="291">
        <v>192</v>
      </c>
      <c r="C572" s="291" t="s">
        <v>857</v>
      </c>
      <c r="D572" s="291" t="s">
        <v>840</v>
      </c>
      <c r="E572" s="145">
        <v>45913</v>
      </c>
      <c r="F572" s="138">
        <v>74.599998474121094</v>
      </c>
      <c r="G572" s="138">
        <v>74.599999999999994</v>
      </c>
      <c r="H572" s="138"/>
      <c r="I572" s="83">
        <f t="shared" si="117"/>
        <v>70.869998550415033</v>
      </c>
      <c r="J572" s="83">
        <f t="shared" si="118"/>
        <v>-1.5258789005656581E-6</v>
      </c>
      <c r="K572" s="298" t="s">
        <v>108</v>
      </c>
      <c r="L572" s="142">
        <f t="shared" si="119"/>
        <v>45853</v>
      </c>
      <c r="M572" s="142">
        <v>45831</v>
      </c>
      <c r="N572" s="142">
        <f t="shared" si="116"/>
        <v>45833</v>
      </c>
      <c r="O572" s="143">
        <f t="shared" ca="1" si="120"/>
        <v>22</v>
      </c>
      <c r="P572" s="142">
        <v>45865</v>
      </c>
      <c r="Q572" s="142"/>
      <c r="R572" s="143">
        <f t="shared" ca="1" si="121"/>
        <v>25</v>
      </c>
      <c r="S572" s="138"/>
      <c r="T572" s="138"/>
    </row>
    <row r="573" spans="1:20" hidden="1">
      <c r="A573" s="19" t="s">
        <v>188</v>
      </c>
      <c r="B573" s="291">
        <v>193</v>
      </c>
      <c r="C573" s="291" t="s">
        <v>77</v>
      </c>
      <c r="D573" s="291" t="s">
        <v>147</v>
      </c>
      <c r="E573" s="145">
        <v>45913</v>
      </c>
      <c r="F573" s="138">
        <v>538.90002441406295</v>
      </c>
      <c r="G573" s="138">
        <v>538.9</v>
      </c>
      <c r="H573" s="138">
        <v>512</v>
      </c>
      <c r="I573" s="83">
        <f t="shared" si="117"/>
        <v>-4.497680664019299E-2</v>
      </c>
      <c r="J573" s="83">
        <f t="shared" si="118"/>
        <v>2.4414062977484718E-5</v>
      </c>
      <c r="K573" s="298" t="s">
        <v>890</v>
      </c>
      <c r="L573" s="142">
        <f t="shared" si="119"/>
        <v>45841</v>
      </c>
      <c r="M573" s="142">
        <v>45807</v>
      </c>
      <c r="N573" s="142">
        <f t="shared" si="116"/>
        <v>45809</v>
      </c>
      <c r="O573" s="143">
        <f t="shared" ca="1" si="120"/>
        <v>34</v>
      </c>
      <c r="P573" s="142">
        <v>45853</v>
      </c>
      <c r="Q573" s="142">
        <v>45820</v>
      </c>
      <c r="R573" s="143">
        <f t="shared" ca="1" si="121"/>
        <v>33</v>
      </c>
      <c r="S573" s="138"/>
      <c r="T573" s="138"/>
    </row>
    <row r="574" spans="1:20" hidden="1">
      <c r="A574" s="19" t="s">
        <v>188</v>
      </c>
      <c r="B574" s="291">
        <v>193</v>
      </c>
      <c r="C574" s="291" t="s">
        <v>857</v>
      </c>
      <c r="D574" s="291" t="s">
        <v>859</v>
      </c>
      <c r="E574" s="145">
        <v>45913</v>
      </c>
      <c r="F574" s="138">
        <v>7.0999999046325701</v>
      </c>
      <c r="G574" s="138">
        <v>7.1</v>
      </c>
      <c r="H574" s="138"/>
      <c r="I574" s="83">
        <f t="shared" si="117"/>
        <v>6.7449999094009412</v>
      </c>
      <c r="J574" s="83">
        <f t="shared" si="118"/>
        <v>-9.5367429508996793E-8</v>
      </c>
      <c r="K574" s="298" t="s">
        <v>108</v>
      </c>
      <c r="L574" s="142">
        <f t="shared" si="119"/>
        <v>45853</v>
      </c>
      <c r="M574" s="142">
        <v>45831</v>
      </c>
      <c r="N574" s="142">
        <f t="shared" si="116"/>
        <v>45833</v>
      </c>
      <c r="O574" s="143">
        <f t="shared" ca="1" si="120"/>
        <v>22</v>
      </c>
      <c r="P574" s="142">
        <v>45865</v>
      </c>
      <c r="Q574" s="142"/>
      <c r="R574" s="143">
        <f t="shared" ca="1" si="121"/>
        <v>25</v>
      </c>
      <c r="S574" s="138"/>
      <c r="T574" s="138"/>
    </row>
    <row r="575" spans="1:20" hidden="1">
      <c r="A575" s="19" t="s">
        <v>188</v>
      </c>
      <c r="B575" s="291">
        <v>193</v>
      </c>
      <c r="C575" s="291" t="s">
        <v>857</v>
      </c>
      <c r="D575" s="291" t="s">
        <v>841</v>
      </c>
      <c r="E575" s="145">
        <v>45913</v>
      </c>
      <c r="F575" s="138">
        <v>88.5</v>
      </c>
      <c r="G575" s="138">
        <v>88.5</v>
      </c>
      <c r="H575" s="138"/>
      <c r="I575" s="83">
        <f t="shared" si="117"/>
        <v>84.075000000000003</v>
      </c>
      <c r="J575" s="83">
        <f t="shared" si="118"/>
        <v>0</v>
      </c>
      <c r="K575" s="298" t="s">
        <v>108</v>
      </c>
      <c r="L575" s="142">
        <f t="shared" si="119"/>
        <v>45853</v>
      </c>
      <c r="M575" s="142">
        <v>45831</v>
      </c>
      <c r="N575" s="142">
        <f t="shared" si="116"/>
        <v>45833</v>
      </c>
      <c r="O575" s="143">
        <f t="shared" ca="1" si="120"/>
        <v>22</v>
      </c>
      <c r="P575" s="142">
        <v>45865</v>
      </c>
      <c r="Q575" s="142"/>
      <c r="R575" s="143">
        <f t="shared" ca="1" si="121"/>
        <v>25</v>
      </c>
      <c r="S575" s="138"/>
      <c r="T575" s="138"/>
    </row>
    <row r="576" spans="1:20" hidden="1">
      <c r="A576" s="19" t="s">
        <v>188</v>
      </c>
      <c r="B576" s="291">
        <v>193</v>
      </c>
      <c r="C576" s="291" t="s">
        <v>857</v>
      </c>
      <c r="D576" s="291" t="s">
        <v>858</v>
      </c>
      <c r="E576" s="145">
        <v>45913</v>
      </c>
      <c r="F576" s="138">
        <v>11.6000003814697</v>
      </c>
      <c r="G576" s="138">
        <v>11.6</v>
      </c>
      <c r="H576" s="138"/>
      <c r="I576" s="83">
        <f t="shared" si="117"/>
        <v>11.020000362396214</v>
      </c>
      <c r="J576" s="83">
        <f t="shared" si="118"/>
        <v>3.8146970027241878E-7</v>
      </c>
      <c r="K576" s="298" t="s">
        <v>108</v>
      </c>
      <c r="L576" s="142">
        <f t="shared" si="119"/>
        <v>45853</v>
      </c>
      <c r="M576" s="142">
        <v>45831</v>
      </c>
      <c r="N576" s="142">
        <f t="shared" si="116"/>
        <v>45833</v>
      </c>
      <c r="O576" s="143">
        <f t="shared" ca="1" si="120"/>
        <v>22</v>
      </c>
      <c r="P576" s="142">
        <v>45865</v>
      </c>
      <c r="Q576" s="142"/>
      <c r="R576" s="143">
        <f t="shared" ca="1" si="121"/>
        <v>25</v>
      </c>
      <c r="S576" s="138"/>
      <c r="T576" s="138"/>
    </row>
    <row r="577" spans="1:20" hidden="1">
      <c r="A577" s="19" t="s">
        <v>188</v>
      </c>
      <c r="B577" s="291">
        <v>193</v>
      </c>
      <c r="C577" s="291" t="s">
        <v>857</v>
      </c>
      <c r="D577" s="291" t="s">
        <v>840</v>
      </c>
      <c r="E577" s="145">
        <v>45913</v>
      </c>
      <c r="F577" s="138">
        <v>82.800003051757798</v>
      </c>
      <c r="G577" s="138">
        <v>82.8</v>
      </c>
      <c r="H577" s="138"/>
      <c r="I577" s="83">
        <f t="shared" si="117"/>
        <v>78.660002899169911</v>
      </c>
      <c r="J577" s="83">
        <f t="shared" si="118"/>
        <v>3.0517578011313162E-6</v>
      </c>
      <c r="K577" s="298" t="s">
        <v>108</v>
      </c>
      <c r="L577" s="142">
        <f t="shared" si="119"/>
        <v>45853</v>
      </c>
      <c r="M577" s="142">
        <v>45831</v>
      </c>
      <c r="N577" s="142">
        <f t="shared" si="116"/>
        <v>45833</v>
      </c>
      <c r="O577" s="143">
        <f t="shared" ca="1" si="120"/>
        <v>22</v>
      </c>
      <c r="P577" s="142">
        <v>45865</v>
      </c>
      <c r="Q577" s="142"/>
      <c r="R577" s="143">
        <f t="shared" ca="1" si="121"/>
        <v>25</v>
      </c>
      <c r="S577" s="138"/>
      <c r="T577" s="138"/>
    </row>
    <row r="578" spans="1:20" hidden="1">
      <c r="A578" s="19" t="s">
        <v>188</v>
      </c>
      <c r="B578" s="291">
        <v>193</v>
      </c>
      <c r="C578" s="291" t="s">
        <v>75</v>
      </c>
      <c r="D578" s="291" t="s">
        <v>858</v>
      </c>
      <c r="E578" s="145">
        <v>45913</v>
      </c>
      <c r="F578" s="138">
        <v>10.1000003814697</v>
      </c>
      <c r="G578" s="138">
        <v>10.1</v>
      </c>
      <c r="H578" s="138"/>
      <c r="I578" s="83">
        <f t="shared" si="117"/>
        <v>9.595000362396215</v>
      </c>
      <c r="J578" s="83">
        <f t="shared" si="118"/>
        <v>3.8146970027241878E-7</v>
      </c>
      <c r="K578" s="298" t="s">
        <v>108</v>
      </c>
      <c r="L578" s="142">
        <f t="shared" si="119"/>
        <v>45853</v>
      </c>
      <c r="M578" s="142">
        <v>45831</v>
      </c>
      <c r="N578" s="142">
        <f t="shared" si="116"/>
        <v>45833</v>
      </c>
      <c r="O578" s="143">
        <f t="shared" ca="1" si="120"/>
        <v>22</v>
      </c>
      <c r="P578" s="142">
        <v>45865</v>
      </c>
      <c r="Q578" s="142"/>
      <c r="R578" s="143">
        <f t="shared" ca="1" si="121"/>
        <v>25</v>
      </c>
      <c r="S578" s="138"/>
      <c r="T578" s="138"/>
    </row>
    <row r="579" spans="1:20" hidden="1">
      <c r="A579" s="19" t="s">
        <v>188</v>
      </c>
      <c r="B579" s="291">
        <v>193</v>
      </c>
      <c r="C579" s="291" t="s">
        <v>75</v>
      </c>
      <c r="D579" s="291" t="s">
        <v>840</v>
      </c>
      <c r="E579" s="145">
        <v>45913</v>
      </c>
      <c r="F579" s="138">
        <v>72.300003051757798</v>
      </c>
      <c r="G579" s="138">
        <v>72.3</v>
      </c>
      <c r="H579" s="138"/>
      <c r="I579" s="83">
        <f t="shared" si="117"/>
        <v>68.685002899169902</v>
      </c>
      <c r="J579" s="83">
        <f t="shared" si="118"/>
        <v>3.0517578011313162E-6</v>
      </c>
      <c r="K579" s="298" t="s">
        <v>108</v>
      </c>
      <c r="L579" s="142">
        <f t="shared" si="119"/>
        <v>45853</v>
      </c>
      <c r="M579" s="142">
        <v>45831</v>
      </c>
      <c r="N579" s="142">
        <f t="shared" si="116"/>
        <v>45833</v>
      </c>
      <c r="O579" s="143">
        <f t="shared" ca="1" si="120"/>
        <v>22</v>
      </c>
      <c r="P579" s="142">
        <v>45865</v>
      </c>
      <c r="Q579" s="142"/>
      <c r="R579" s="143">
        <f t="shared" ca="1" si="121"/>
        <v>25</v>
      </c>
      <c r="S579" s="138"/>
      <c r="T579" s="138"/>
    </row>
    <row r="580" spans="1:20" hidden="1">
      <c r="A580" s="19" t="s">
        <v>188</v>
      </c>
      <c r="B580" s="291">
        <v>193</v>
      </c>
      <c r="C580" s="291" t="s">
        <v>75</v>
      </c>
      <c r="D580" s="291" t="s">
        <v>859</v>
      </c>
      <c r="E580" s="145">
        <v>45913</v>
      </c>
      <c r="F580" s="138">
        <v>6.1999998092651403</v>
      </c>
      <c r="G580" s="138">
        <v>6.2</v>
      </c>
      <c r="H580" s="138"/>
      <c r="I580" s="83">
        <f t="shared" si="117"/>
        <v>5.8899998188018827</v>
      </c>
      <c r="J580" s="83">
        <f t="shared" si="118"/>
        <v>-1.9073485990617201E-7</v>
      </c>
      <c r="K580" s="298" t="s">
        <v>108</v>
      </c>
      <c r="L580" s="142">
        <f t="shared" si="119"/>
        <v>45853</v>
      </c>
      <c r="M580" s="142">
        <v>45831</v>
      </c>
      <c r="N580" s="142">
        <f t="shared" si="116"/>
        <v>45833</v>
      </c>
      <c r="O580" s="143">
        <f t="shared" ca="1" si="120"/>
        <v>22</v>
      </c>
      <c r="P580" s="142">
        <v>45865</v>
      </c>
      <c r="Q580" s="142"/>
      <c r="R580" s="143">
        <f t="shared" ca="1" si="121"/>
        <v>25</v>
      </c>
      <c r="S580" s="138"/>
      <c r="T580" s="138"/>
    </row>
    <row r="581" spans="1:20" hidden="1">
      <c r="A581" s="19" t="s">
        <v>188</v>
      </c>
      <c r="B581" s="291">
        <v>193</v>
      </c>
      <c r="C581" s="291" t="s">
        <v>77</v>
      </c>
      <c r="D581" s="291" t="s">
        <v>148</v>
      </c>
      <c r="E581" s="145">
        <v>45913</v>
      </c>
      <c r="F581" s="138">
        <v>849.5</v>
      </c>
      <c r="G581" s="138">
        <v>849.5</v>
      </c>
      <c r="H581" s="138">
        <v>807</v>
      </c>
      <c r="I581" s="83">
        <f t="shared" si="117"/>
        <v>2.4999999999977263E-2</v>
      </c>
      <c r="J581" s="83">
        <f t="shared" si="118"/>
        <v>0</v>
      </c>
      <c r="K581" s="298" t="s">
        <v>890</v>
      </c>
      <c r="L581" s="142">
        <f t="shared" si="119"/>
        <v>45841</v>
      </c>
      <c r="M581" s="142">
        <v>45807</v>
      </c>
      <c r="N581" s="142">
        <f t="shared" si="116"/>
        <v>45809</v>
      </c>
      <c r="O581" s="143">
        <f t="shared" ca="1" si="120"/>
        <v>34</v>
      </c>
      <c r="P581" s="142">
        <v>45853</v>
      </c>
      <c r="Q581" s="142">
        <v>45820</v>
      </c>
      <c r="R581" s="143">
        <f t="shared" ca="1" si="121"/>
        <v>33</v>
      </c>
      <c r="S581" s="138"/>
      <c r="T581" s="138"/>
    </row>
    <row r="582" spans="1:20" hidden="1">
      <c r="A582" s="19" t="s">
        <v>188</v>
      </c>
      <c r="B582" s="291">
        <v>193</v>
      </c>
      <c r="C582" s="291" t="s">
        <v>79</v>
      </c>
      <c r="D582" s="291" t="s">
        <v>147</v>
      </c>
      <c r="E582" s="145">
        <v>45913</v>
      </c>
      <c r="F582" s="138">
        <v>6.6999998092651403</v>
      </c>
      <c r="G582" s="138">
        <v>6.7</v>
      </c>
      <c r="H582" s="138">
        <v>6</v>
      </c>
      <c r="I582" s="83">
        <f t="shared" si="117"/>
        <v>0.36499981880188326</v>
      </c>
      <c r="J582" s="83">
        <f t="shared" si="118"/>
        <v>-1.9073485990617201E-7</v>
      </c>
      <c r="K582" s="298" t="s">
        <v>890</v>
      </c>
      <c r="L582" s="142">
        <f t="shared" si="119"/>
        <v>45841</v>
      </c>
      <c r="M582" s="142">
        <v>45807</v>
      </c>
      <c r="N582" s="142">
        <f t="shared" si="116"/>
        <v>45809</v>
      </c>
      <c r="O582" s="143">
        <f t="shared" ca="1" si="120"/>
        <v>34</v>
      </c>
      <c r="P582" s="142">
        <v>45853</v>
      </c>
      <c r="Q582" s="142">
        <v>45826</v>
      </c>
      <c r="R582" s="143">
        <f t="shared" ca="1" si="121"/>
        <v>27</v>
      </c>
      <c r="S582" s="138"/>
      <c r="T582" s="138"/>
    </row>
    <row r="583" spans="1:20" hidden="1">
      <c r="A583" s="19" t="s">
        <v>188</v>
      </c>
      <c r="B583" s="291">
        <v>193</v>
      </c>
      <c r="C583" s="291" t="s">
        <v>75</v>
      </c>
      <c r="D583" s="291" t="s">
        <v>841</v>
      </c>
      <c r="E583" s="145">
        <v>45913</v>
      </c>
      <c r="F583" s="138">
        <v>77.199996948242202</v>
      </c>
      <c r="G583" s="138">
        <v>77.2</v>
      </c>
      <c r="H583" s="138"/>
      <c r="I583" s="83">
        <f t="shared" si="117"/>
        <v>73.339997100830089</v>
      </c>
      <c r="J583" s="83">
        <f t="shared" si="118"/>
        <v>-3.0517578011313162E-6</v>
      </c>
      <c r="K583" s="298" t="s">
        <v>108</v>
      </c>
      <c r="L583" s="142">
        <f t="shared" si="119"/>
        <v>45853</v>
      </c>
      <c r="M583" s="142">
        <v>45831</v>
      </c>
      <c r="N583" s="142">
        <f t="shared" si="116"/>
        <v>45833</v>
      </c>
      <c r="O583" s="143">
        <f t="shared" ca="1" si="120"/>
        <v>22</v>
      </c>
      <c r="P583" s="142">
        <v>45865</v>
      </c>
      <c r="Q583" s="142"/>
      <c r="R583" s="143">
        <f t="shared" ca="1" si="121"/>
        <v>25</v>
      </c>
      <c r="S583" s="138"/>
      <c r="T583" s="138"/>
    </row>
    <row r="584" spans="1:20" hidden="1">
      <c r="A584" s="19" t="s">
        <v>188</v>
      </c>
      <c r="B584" s="291">
        <v>202</v>
      </c>
      <c r="C584" s="291" t="s">
        <v>77</v>
      </c>
      <c r="D584" s="291" t="s">
        <v>147</v>
      </c>
      <c r="E584" s="145">
        <v>45913</v>
      </c>
      <c r="F584" s="138">
        <v>538.5</v>
      </c>
      <c r="G584" s="138">
        <v>538.5</v>
      </c>
      <c r="H584" s="138"/>
      <c r="I584" s="83">
        <f t="shared" ref="I584" si="122">F584*95%-H584</f>
        <v>511.57499999999999</v>
      </c>
      <c r="J584" s="83">
        <f t="shared" ref="J584" si="123">F584-G584</f>
        <v>0</v>
      </c>
      <c r="K584" s="298" t="s">
        <v>133</v>
      </c>
      <c r="L584" s="142">
        <f t="shared" ref="L584" si="124">P584-12</f>
        <v>45838</v>
      </c>
      <c r="M584" s="142">
        <v>45826</v>
      </c>
      <c r="N584" s="142">
        <f t="shared" si="116"/>
        <v>45828</v>
      </c>
      <c r="O584" s="143">
        <f t="shared" ref="O584" ca="1" si="125">+IF(M584="",L584-TODAY(),L584-M584)</f>
        <v>12</v>
      </c>
      <c r="P584" s="142">
        <f>E584-34-13-16</f>
        <v>45850</v>
      </c>
      <c r="Q584" s="142"/>
      <c r="R584" s="143">
        <f t="shared" ref="R584" ca="1" si="126">+IF(Q584="",P584-TODAY(),P584-Q584)</f>
        <v>10</v>
      </c>
      <c r="S584" s="138"/>
      <c r="T584" s="138"/>
    </row>
    <row r="585" spans="1:20" hidden="1">
      <c r="A585" s="19" t="s">
        <v>188</v>
      </c>
      <c r="B585" s="291">
        <v>202</v>
      </c>
      <c r="C585" s="291" t="s">
        <v>77</v>
      </c>
      <c r="D585" s="291" t="s">
        <v>148</v>
      </c>
      <c r="E585" s="145">
        <v>45913</v>
      </c>
      <c r="F585" s="138">
        <v>849</v>
      </c>
      <c r="G585" s="138">
        <v>849</v>
      </c>
      <c r="H585" s="138"/>
      <c r="I585" s="83">
        <f t="shared" ref="I585:I648" si="127">F585*95%-H585</f>
        <v>806.55</v>
      </c>
      <c r="J585" s="83">
        <f t="shared" ref="J585:J648" si="128">F585-G585</f>
        <v>0</v>
      </c>
      <c r="K585" s="298" t="s">
        <v>133</v>
      </c>
      <c r="L585" s="142">
        <f t="shared" ref="L585:L648" si="129">P585-12</f>
        <v>45838</v>
      </c>
      <c r="M585" s="142">
        <v>45826</v>
      </c>
      <c r="N585" s="142">
        <f t="shared" ref="N585:N648" si="130">M585+2</f>
        <v>45828</v>
      </c>
      <c r="O585" s="143">
        <f t="shared" ref="O585:O648" ca="1" si="131">+IF(M585="",L585-TODAY(),L585-M585)</f>
        <v>12</v>
      </c>
      <c r="P585" s="142">
        <f>E585-34-13-16</f>
        <v>45850</v>
      </c>
      <c r="Q585" s="142"/>
      <c r="R585" s="143">
        <f t="shared" ref="R585:R643" ca="1" si="132">+IF(Q585="",P585-TODAY(),P585-Q585)</f>
        <v>10</v>
      </c>
      <c r="S585" s="138"/>
      <c r="T585" s="138"/>
    </row>
    <row r="586" spans="1:20" hidden="1">
      <c r="A586" s="19" t="s">
        <v>188</v>
      </c>
      <c r="B586" s="291">
        <v>202</v>
      </c>
      <c r="C586" s="291" t="s">
        <v>75</v>
      </c>
      <c r="D586" s="291" t="s">
        <v>841</v>
      </c>
      <c r="E586" s="145">
        <v>45913</v>
      </c>
      <c r="F586" s="138">
        <v>72.800003051757798</v>
      </c>
      <c r="G586" s="138">
        <v>72.8</v>
      </c>
      <c r="H586" s="138"/>
      <c r="I586" s="83">
        <f t="shared" si="127"/>
        <v>69.160002899169911</v>
      </c>
      <c r="J586" s="83">
        <f t="shared" si="128"/>
        <v>3.0517578011313162E-6</v>
      </c>
      <c r="K586" s="298" t="s">
        <v>108</v>
      </c>
      <c r="L586" s="142">
        <f t="shared" si="129"/>
        <v>45855</v>
      </c>
      <c r="M586" s="142">
        <v>45831</v>
      </c>
      <c r="N586" s="142">
        <f t="shared" si="130"/>
        <v>45833</v>
      </c>
      <c r="O586" s="143">
        <f t="shared" ca="1" si="131"/>
        <v>24</v>
      </c>
      <c r="P586" s="142">
        <v>45867</v>
      </c>
      <c r="Q586" s="142"/>
      <c r="R586" s="143">
        <f t="shared" ca="1" si="132"/>
        <v>27</v>
      </c>
      <c r="S586" s="138"/>
      <c r="T586" s="138"/>
    </row>
    <row r="587" spans="1:20" hidden="1">
      <c r="A587" s="19" t="s">
        <v>188</v>
      </c>
      <c r="B587" s="291">
        <v>202</v>
      </c>
      <c r="C587" s="291" t="s">
        <v>75</v>
      </c>
      <c r="D587" s="291" t="s">
        <v>840</v>
      </c>
      <c r="E587" s="145">
        <v>45913</v>
      </c>
      <c r="F587" s="138">
        <v>68.199996948242202</v>
      </c>
      <c r="G587" s="138">
        <v>68.2</v>
      </c>
      <c r="H587" s="138"/>
      <c r="I587" s="83">
        <f t="shared" si="127"/>
        <v>64.789997100830092</v>
      </c>
      <c r="J587" s="83">
        <f t="shared" si="128"/>
        <v>-3.0517578011313162E-6</v>
      </c>
      <c r="K587" s="298" t="s">
        <v>108</v>
      </c>
      <c r="L587" s="142">
        <f t="shared" si="129"/>
        <v>45856</v>
      </c>
      <c r="M587" s="142">
        <v>45831</v>
      </c>
      <c r="N587" s="142">
        <f t="shared" si="130"/>
        <v>45833</v>
      </c>
      <c r="O587" s="143">
        <f t="shared" ca="1" si="131"/>
        <v>25</v>
      </c>
      <c r="P587" s="142">
        <v>45868</v>
      </c>
      <c r="Q587" s="142"/>
      <c r="R587" s="143">
        <f t="shared" ca="1" si="132"/>
        <v>28</v>
      </c>
      <c r="S587" s="138"/>
      <c r="T587" s="138"/>
    </row>
    <row r="588" spans="1:20" hidden="1">
      <c r="A588" s="19" t="s">
        <v>188</v>
      </c>
      <c r="B588" s="291">
        <v>202</v>
      </c>
      <c r="C588" s="291" t="s">
        <v>857</v>
      </c>
      <c r="D588" s="291" t="s">
        <v>841</v>
      </c>
      <c r="E588" s="145">
        <v>45913</v>
      </c>
      <c r="F588" s="138">
        <v>83.5</v>
      </c>
      <c r="G588" s="138">
        <v>83.5</v>
      </c>
      <c r="H588" s="138"/>
      <c r="I588" s="83">
        <f t="shared" si="127"/>
        <v>79.325000000000003</v>
      </c>
      <c r="J588" s="83">
        <f t="shared" si="128"/>
        <v>0</v>
      </c>
      <c r="K588" s="298" t="s">
        <v>108</v>
      </c>
      <c r="L588" s="142">
        <f t="shared" si="129"/>
        <v>45857</v>
      </c>
      <c r="M588" s="142">
        <v>45831</v>
      </c>
      <c r="N588" s="142">
        <f t="shared" si="130"/>
        <v>45833</v>
      </c>
      <c r="O588" s="143">
        <f t="shared" ca="1" si="131"/>
        <v>26</v>
      </c>
      <c r="P588" s="142">
        <v>45869</v>
      </c>
      <c r="Q588" s="142"/>
      <c r="R588" s="143">
        <f t="shared" ca="1" si="132"/>
        <v>29</v>
      </c>
      <c r="S588" s="138"/>
      <c r="T588" s="138"/>
    </row>
    <row r="589" spans="1:20" hidden="1">
      <c r="A589" s="19" t="s">
        <v>188</v>
      </c>
      <c r="B589" s="291">
        <v>202</v>
      </c>
      <c r="C589" s="291" t="s">
        <v>857</v>
      </c>
      <c r="D589" s="291" t="s">
        <v>840</v>
      </c>
      <c r="E589" s="145">
        <v>45913</v>
      </c>
      <c r="F589" s="138">
        <v>78.099998474121094</v>
      </c>
      <c r="G589" s="138">
        <v>78.099999999999994</v>
      </c>
      <c r="H589" s="138"/>
      <c r="I589" s="83">
        <f t="shared" si="127"/>
        <v>74.194998550415036</v>
      </c>
      <c r="J589" s="83">
        <f t="shared" si="128"/>
        <v>-1.5258789005656581E-6</v>
      </c>
      <c r="K589" s="298" t="s">
        <v>108</v>
      </c>
      <c r="L589" s="142">
        <f t="shared" si="129"/>
        <v>45858</v>
      </c>
      <c r="M589" s="142">
        <v>45831</v>
      </c>
      <c r="N589" s="142">
        <f t="shared" si="130"/>
        <v>45833</v>
      </c>
      <c r="O589" s="143">
        <f t="shared" ca="1" si="131"/>
        <v>27</v>
      </c>
      <c r="P589" s="142">
        <v>45870</v>
      </c>
      <c r="Q589" s="142"/>
      <c r="R589" s="143">
        <f t="shared" ca="1" si="132"/>
        <v>30</v>
      </c>
      <c r="S589" s="138"/>
      <c r="T589" s="138"/>
    </row>
    <row r="590" spans="1:20" hidden="1">
      <c r="A590" s="19" t="s">
        <v>74</v>
      </c>
      <c r="B590" s="291">
        <v>176</v>
      </c>
      <c r="C590" s="291" t="s">
        <v>860</v>
      </c>
      <c r="D590" s="291" t="s">
        <v>912</v>
      </c>
      <c r="E590" s="145">
        <v>45868</v>
      </c>
      <c r="F590" s="138">
        <v>199</v>
      </c>
      <c r="G590" s="138">
        <v>199</v>
      </c>
      <c r="H590" s="138">
        <v>189</v>
      </c>
      <c r="I590" s="83">
        <f t="shared" si="127"/>
        <v>4.9999999999982947E-2</v>
      </c>
      <c r="J590" s="83">
        <f t="shared" si="128"/>
        <v>0</v>
      </c>
      <c r="K590" s="298" t="s">
        <v>108</v>
      </c>
      <c r="L590" s="142">
        <f t="shared" si="129"/>
        <v>45816</v>
      </c>
      <c r="M590" s="142">
        <v>45815</v>
      </c>
      <c r="N590" s="142">
        <f t="shared" si="130"/>
        <v>45817</v>
      </c>
      <c r="O590" s="143">
        <f ca="1">+IF(M590="",L590-TODAY(),L590-M590)</f>
        <v>1</v>
      </c>
      <c r="P590" s="142">
        <f t="shared" ref="P590:P596" si="133">E590-30-10</f>
        <v>45828</v>
      </c>
      <c r="Q590" s="142">
        <v>45829</v>
      </c>
      <c r="R590" s="143">
        <f t="shared" ca="1" si="132"/>
        <v>-1</v>
      </c>
      <c r="S590" s="138"/>
      <c r="T590" s="138"/>
    </row>
    <row r="591" spans="1:20" hidden="1">
      <c r="A591" s="19" t="s">
        <v>74</v>
      </c>
      <c r="B591" s="291">
        <v>176</v>
      </c>
      <c r="C591" s="291" t="s">
        <v>860</v>
      </c>
      <c r="D591" s="291" t="s">
        <v>913</v>
      </c>
      <c r="E591" s="145">
        <v>45868</v>
      </c>
      <c r="F591" s="138">
        <v>30</v>
      </c>
      <c r="G591" s="138">
        <v>30</v>
      </c>
      <c r="H591" s="138">
        <v>29</v>
      </c>
      <c r="I591" s="83">
        <f t="shared" si="127"/>
        <v>-0.5</v>
      </c>
      <c r="J591" s="83">
        <f t="shared" si="128"/>
        <v>0</v>
      </c>
      <c r="K591" s="298" t="s">
        <v>108</v>
      </c>
      <c r="L591" s="142">
        <f t="shared" si="129"/>
        <v>45816</v>
      </c>
      <c r="M591" s="142">
        <v>45815</v>
      </c>
      <c r="N591" s="142">
        <f t="shared" si="130"/>
        <v>45817</v>
      </c>
      <c r="O591" s="143">
        <f t="shared" ca="1" si="131"/>
        <v>1</v>
      </c>
      <c r="P591" s="142">
        <f t="shared" si="133"/>
        <v>45828</v>
      </c>
      <c r="Q591" s="142">
        <v>45829</v>
      </c>
      <c r="R591" s="143">
        <f t="shared" ca="1" si="132"/>
        <v>-1</v>
      </c>
      <c r="S591" s="138"/>
      <c r="T591" s="138"/>
    </row>
    <row r="592" spans="1:20" hidden="1">
      <c r="A592" s="19" t="s">
        <v>74</v>
      </c>
      <c r="B592" s="291">
        <v>176</v>
      </c>
      <c r="C592" s="291" t="s">
        <v>78</v>
      </c>
      <c r="D592" s="291" t="s">
        <v>914</v>
      </c>
      <c r="E592" s="145">
        <v>45868</v>
      </c>
      <c r="F592" s="138">
        <v>34</v>
      </c>
      <c r="G592" s="138">
        <v>34</v>
      </c>
      <c r="H592" s="138">
        <v>32</v>
      </c>
      <c r="I592" s="83">
        <f t="shared" si="127"/>
        <v>0.29999999999999716</v>
      </c>
      <c r="J592" s="83">
        <f t="shared" si="128"/>
        <v>0</v>
      </c>
      <c r="K592" s="298" t="s">
        <v>108</v>
      </c>
      <c r="L592" s="142">
        <f t="shared" si="129"/>
        <v>45816</v>
      </c>
      <c r="M592" s="142">
        <v>45815</v>
      </c>
      <c r="N592" s="142">
        <f t="shared" si="130"/>
        <v>45817</v>
      </c>
      <c r="O592" s="143">
        <f t="shared" ca="1" si="131"/>
        <v>1</v>
      </c>
      <c r="P592" s="142">
        <f t="shared" si="133"/>
        <v>45828</v>
      </c>
      <c r="Q592" s="142">
        <v>45829</v>
      </c>
      <c r="R592" s="143">
        <f t="shared" ca="1" si="132"/>
        <v>-1</v>
      </c>
      <c r="S592" s="138"/>
      <c r="T592" s="138"/>
    </row>
    <row r="593" spans="1:20" hidden="1">
      <c r="A593" s="19" t="s">
        <v>74</v>
      </c>
      <c r="B593" s="291">
        <v>176</v>
      </c>
      <c r="C593" s="291" t="s">
        <v>78</v>
      </c>
      <c r="D593" s="291" t="s">
        <v>913</v>
      </c>
      <c r="E593" s="145">
        <v>45868</v>
      </c>
      <c r="F593" s="138">
        <v>5.5</v>
      </c>
      <c r="G593" s="138">
        <v>5.5</v>
      </c>
      <c r="H593" s="138">
        <v>5</v>
      </c>
      <c r="I593" s="83">
        <f t="shared" si="127"/>
        <v>0.22499999999999964</v>
      </c>
      <c r="J593" s="83">
        <f t="shared" si="128"/>
        <v>0</v>
      </c>
      <c r="K593" s="298" t="s">
        <v>108</v>
      </c>
      <c r="L593" s="142">
        <f t="shared" si="129"/>
        <v>45816</v>
      </c>
      <c r="M593" s="142">
        <v>45815</v>
      </c>
      <c r="N593" s="142">
        <f t="shared" si="130"/>
        <v>45817</v>
      </c>
      <c r="O593" s="143">
        <f t="shared" ca="1" si="131"/>
        <v>1</v>
      </c>
      <c r="P593" s="142">
        <f t="shared" si="133"/>
        <v>45828</v>
      </c>
      <c r="Q593" s="142">
        <v>45829</v>
      </c>
      <c r="R593" s="143">
        <f t="shared" ca="1" si="132"/>
        <v>-1</v>
      </c>
      <c r="S593" s="138"/>
      <c r="T593" s="138"/>
    </row>
    <row r="594" spans="1:20" hidden="1">
      <c r="A594" s="19" t="s">
        <v>74</v>
      </c>
      <c r="B594" s="291">
        <v>176</v>
      </c>
      <c r="C594" s="291" t="s">
        <v>908</v>
      </c>
      <c r="D594" s="291" t="s">
        <v>915</v>
      </c>
      <c r="E594" s="145">
        <v>45868</v>
      </c>
      <c r="F594" s="138">
        <v>126.5</v>
      </c>
      <c r="G594" s="138">
        <v>126.5</v>
      </c>
      <c r="H594" s="138">
        <v>120</v>
      </c>
      <c r="I594" s="83">
        <f t="shared" si="127"/>
        <v>0.17499999999999716</v>
      </c>
      <c r="J594" s="83">
        <f t="shared" si="128"/>
        <v>0</v>
      </c>
      <c r="K594" s="298" t="s">
        <v>108</v>
      </c>
      <c r="L594" s="142">
        <f t="shared" si="129"/>
        <v>45816</v>
      </c>
      <c r="M594" s="142">
        <v>45815</v>
      </c>
      <c r="N594" s="142">
        <f t="shared" si="130"/>
        <v>45817</v>
      </c>
      <c r="O594" s="143">
        <f t="shared" ca="1" si="131"/>
        <v>1</v>
      </c>
      <c r="P594" s="142">
        <f t="shared" si="133"/>
        <v>45828</v>
      </c>
      <c r="Q594" s="142">
        <v>45832</v>
      </c>
      <c r="R594" s="143">
        <f t="shared" ca="1" si="132"/>
        <v>-4</v>
      </c>
      <c r="S594" s="138"/>
      <c r="T594" s="138"/>
    </row>
    <row r="595" spans="1:20" hidden="1">
      <c r="A595" s="19" t="s">
        <v>74</v>
      </c>
      <c r="B595" s="291">
        <v>176</v>
      </c>
      <c r="C595" s="291" t="s">
        <v>908</v>
      </c>
      <c r="D595" s="291" t="s">
        <v>916</v>
      </c>
      <c r="E595" s="145">
        <v>45868</v>
      </c>
      <c r="F595" s="138">
        <v>45.5</v>
      </c>
      <c r="G595" s="138">
        <v>45.5</v>
      </c>
      <c r="H595" s="138">
        <v>43</v>
      </c>
      <c r="I595" s="83">
        <f t="shared" si="127"/>
        <v>0.22500000000000142</v>
      </c>
      <c r="J595" s="83">
        <f t="shared" si="128"/>
        <v>0</v>
      </c>
      <c r="K595" s="298" t="s">
        <v>108</v>
      </c>
      <c r="L595" s="142">
        <f t="shared" si="129"/>
        <v>45816</v>
      </c>
      <c r="M595" s="142">
        <v>45815</v>
      </c>
      <c r="N595" s="142">
        <f t="shared" si="130"/>
        <v>45817</v>
      </c>
      <c r="O595" s="143">
        <f t="shared" ca="1" si="131"/>
        <v>1</v>
      </c>
      <c r="P595" s="142">
        <f t="shared" si="133"/>
        <v>45828</v>
      </c>
      <c r="Q595" s="142">
        <v>45829</v>
      </c>
      <c r="R595" s="143">
        <f t="shared" ca="1" si="132"/>
        <v>-1</v>
      </c>
      <c r="S595" s="138"/>
      <c r="T595" s="138"/>
    </row>
    <row r="596" spans="1:20" hidden="1">
      <c r="A596" s="19" t="s">
        <v>74</v>
      </c>
      <c r="B596" s="291">
        <v>176</v>
      </c>
      <c r="C596" s="291" t="s">
        <v>908</v>
      </c>
      <c r="D596" s="291" t="s">
        <v>912</v>
      </c>
      <c r="E596" s="145">
        <v>45868</v>
      </c>
      <c r="F596" s="138">
        <v>26.100000381469702</v>
      </c>
      <c r="G596" s="138">
        <v>26.1</v>
      </c>
      <c r="H596" s="138">
        <v>25</v>
      </c>
      <c r="I596" s="83">
        <f t="shared" si="127"/>
        <v>-0.20499963760378392</v>
      </c>
      <c r="J596" s="83">
        <f t="shared" si="128"/>
        <v>3.8146970027241878E-7</v>
      </c>
      <c r="K596" s="298" t="s">
        <v>108</v>
      </c>
      <c r="L596" s="142">
        <f t="shared" si="129"/>
        <v>45816</v>
      </c>
      <c r="M596" s="142">
        <v>45815</v>
      </c>
      <c r="N596" s="142">
        <f t="shared" si="130"/>
        <v>45817</v>
      </c>
      <c r="O596" s="143">
        <f t="shared" ca="1" si="131"/>
        <v>1</v>
      </c>
      <c r="P596" s="142">
        <f t="shared" si="133"/>
        <v>45828</v>
      </c>
      <c r="Q596" s="142">
        <v>45829</v>
      </c>
      <c r="R596" s="143">
        <f t="shared" ca="1" si="132"/>
        <v>-1</v>
      </c>
      <c r="S596" s="138"/>
      <c r="T596" s="138"/>
    </row>
    <row r="597" spans="1:20" hidden="1">
      <c r="A597" s="19" t="s">
        <v>74</v>
      </c>
      <c r="B597" s="291">
        <v>177</v>
      </c>
      <c r="C597" s="291" t="s">
        <v>860</v>
      </c>
      <c r="D597" s="291" t="s">
        <v>912</v>
      </c>
      <c r="E597" s="145">
        <v>45950</v>
      </c>
      <c r="F597" s="138">
        <v>195</v>
      </c>
      <c r="G597" s="138">
        <v>195</v>
      </c>
      <c r="H597" s="138">
        <v>185</v>
      </c>
      <c r="I597" s="83">
        <f t="shared" si="127"/>
        <v>0.25</v>
      </c>
      <c r="J597" s="83">
        <f t="shared" si="128"/>
        <v>0</v>
      </c>
      <c r="K597" s="298" t="s">
        <v>108</v>
      </c>
      <c r="L597" s="142">
        <f t="shared" si="129"/>
        <v>45866</v>
      </c>
      <c r="M597" s="142">
        <v>45818</v>
      </c>
      <c r="N597" s="142">
        <f t="shared" si="130"/>
        <v>45820</v>
      </c>
      <c r="O597" s="143">
        <f t="shared" ca="1" si="131"/>
        <v>48</v>
      </c>
      <c r="P597" s="142">
        <v>45878</v>
      </c>
      <c r="Q597" s="142">
        <v>45829</v>
      </c>
      <c r="R597" s="143">
        <f t="shared" ca="1" si="132"/>
        <v>49</v>
      </c>
      <c r="S597" s="138"/>
      <c r="T597" s="138"/>
    </row>
    <row r="598" spans="1:20" hidden="1">
      <c r="A598" s="19" t="s">
        <v>74</v>
      </c>
      <c r="B598" s="291">
        <v>177</v>
      </c>
      <c r="C598" s="291" t="s">
        <v>860</v>
      </c>
      <c r="D598" s="291" t="s">
        <v>913</v>
      </c>
      <c r="E598" s="145">
        <v>45950</v>
      </c>
      <c r="F598" s="138">
        <v>32.299999237060497</v>
      </c>
      <c r="G598" s="138">
        <v>32.299999999999997</v>
      </c>
      <c r="H598" s="138">
        <v>31</v>
      </c>
      <c r="I598" s="83">
        <f t="shared" si="127"/>
        <v>-0.3150007247925295</v>
      </c>
      <c r="J598" s="83">
        <f t="shared" si="128"/>
        <v>-7.6293950002082056E-7</v>
      </c>
      <c r="K598" s="298" t="s">
        <v>108</v>
      </c>
      <c r="L598" s="142">
        <f t="shared" si="129"/>
        <v>45867</v>
      </c>
      <c r="M598" s="142">
        <v>45818</v>
      </c>
      <c r="N598" s="142">
        <f t="shared" si="130"/>
        <v>45820</v>
      </c>
      <c r="O598" s="143">
        <f t="shared" ca="1" si="131"/>
        <v>49</v>
      </c>
      <c r="P598" s="142">
        <v>45879</v>
      </c>
      <c r="Q598" s="142">
        <v>45829</v>
      </c>
      <c r="R598" s="143">
        <f t="shared" ca="1" si="132"/>
        <v>50</v>
      </c>
      <c r="S598" s="138"/>
      <c r="T598" s="138"/>
    </row>
    <row r="599" spans="1:20" hidden="1">
      <c r="A599" s="19" t="s">
        <v>74</v>
      </c>
      <c r="B599" s="291">
        <v>177</v>
      </c>
      <c r="C599" s="291" t="s">
        <v>78</v>
      </c>
      <c r="D599" s="291" t="s">
        <v>914</v>
      </c>
      <c r="E599" s="145">
        <v>45950</v>
      </c>
      <c r="F599" s="138">
        <v>37</v>
      </c>
      <c r="G599" s="138">
        <v>37</v>
      </c>
      <c r="H599" s="138">
        <v>35</v>
      </c>
      <c r="I599" s="83">
        <f t="shared" si="127"/>
        <v>0.14999999999999858</v>
      </c>
      <c r="J599" s="83">
        <f t="shared" si="128"/>
        <v>0</v>
      </c>
      <c r="K599" s="298" t="s">
        <v>108</v>
      </c>
      <c r="L599" s="142">
        <f t="shared" si="129"/>
        <v>45868</v>
      </c>
      <c r="M599" s="142">
        <v>45818</v>
      </c>
      <c r="N599" s="142">
        <f t="shared" si="130"/>
        <v>45820</v>
      </c>
      <c r="O599" s="143">
        <f t="shared" ca="1" si="131"/>
        <v>50</v>
      </c>
      <c r="P599" s="142">
        <v>45880</v>
      </c>
      <c r="Q599" s="142">
        <v>45829</v>
      </c>
      <c r="R599" s="143">
        <f t="shared" ca="1" si="132"/>
        <v>51</v>
      </c>
      <c r="S599" s="138"/>
      <c r="T599" s="138"/>
    </row>
    <row r="600" spans="1:20" hidden="1">
      <c r="A600" s="19" t="s">
        <v>74</v>
      </c>
      <c r="B600" s="291">
        <v>177</v>
      </c>
      <c r="C600" s="291" t="s">
        <v>78</v>
      </c>
      <c r="D600" s="291" t="s">
        <v>913</v>
      </c>
      <c r="E600" s="145">
        <v>45950</v>
      </c>
      <c r="F600" s="138">
        <v>6</v>
      </c>
      <c r="G600" s="138">
        <v>6</v>
      </c>
      <c r="H600" s="138">
        <v>6</v>
      </c>
      <c r="I600" s="83">
        <f t="shared" si="127"/>
        <v>-0.30000000000000071</v>
      </c>
      <c r="J600" s="83">
        <f t="shared" si="128"/>
        <v>0</v>
      </c>
      <c r="K600" s="298" t="s">
        <v>108</v>
      </c>
      <c r="L600" s="142">
        <f t="shared" si="129"/>
        <v>45869</v>
      </c>
      <c r="M600" s="142">
        <v>45818</v>
      </c>
      <c r="N600" s="142">
        <f t="shared" si="130"/>
        <v>45820</v>
      </c>
      <c r="O600" s="143">
        <f t="shared" ca="1" si="131"/>
        <v>51</v>
      </c>
      <c r="P600" s="142">
        <v>45881</v>
      </c>
      <c r="Q600" s="142">
        <v>45829</v>
      </c>
      <c r="R600" s="143">
        <f t="shared" ca="1" si="132"/>
        <v>52</v>
      </c>
      <c r="S600" s="138"/>
      <c r="T600" s="138"/>
    </row>
    <row r="601" spans="1:20" hidden="1">
      <c r="A601" s="19" t="s">
        <v>74</v>
      </c>
      <c r="B601" s="291">
        <v>177</v>
      </c>
      <c r="C601" s="291" t="s">
        <v>908</v>
      </c>
      <c r="D601" s="291" t="s">
        <v>915</v>
      </c>
      <c r="E601" s="145">
        <v>45950</v>
      </c>
      <c r="F601" s="138">
        <v>113</v>
      </c>
      <c r="G601" s="138">
        <v>113</v>
      </c>
      <c r="H601" s="138">
        <v>107</v>
      </c>
      <c r="I601" s="83">
        <f t="shared" si="127"/>
        <v>0.34999999999999432</v>
      </c>
      <c r="J601" s="83">
        <f t="shared" si="128"/>
        <v>0</v>
      </c>
      <c r="K601" s="298" t="s">
        <v>108</v>
      </c>
      <c r="L601" s="142">
        <f t="shared" si="129"/>
        <v>45870</v>
      </c>
      <c r="M601" s="142">
        <v>45818</v>
      </c>
      <c r="N601" s="142">
        <f t="shared" si="130"/>
        <v>45820</v>
      </c>
      <c r="O601" s="143">
        <f t="shared" ca="1" si="131"/>
        <v>52</v>
      </c>
      <c r="P601" s="142">
        <v>45882</v>
      </c>
      <c r="Q601" s="142">
        <v>45832</v>
      </c>
      <c r="R601" s="143">
        <f t="shared" ca="1" si="132"/>
        <v>50</v>
      </c>
      <c r="S601" s="138"/>
      <c r="T601" s="138"/>
    </row>
    <row r="602" spans="1:20" hidden="1">
      <c r="A602" s="19" t="s">
        <v>74</v>
      </c>
      <c r="B602" s="291">
        <v>177</v>
      </c>
      <c r="C602" s="291" t="s">
        <v>908</v>
      </c>
      <c r="D602" s="291" t="s">
        <v>916</v>
      </c>
      <c r="E602" s="145">
        <v>45950</v>
      </c>
      <c r="F602" s="138">
        <v>48</v>
      </c>
      <c r="G602" s="138">
        <v>48</v>
      </c>
      <c r="H602" s="138">
        <v>46</v>
      </c>
      <c r="I602" s="83">
        <f t="shared" si="127"/>
        <v>-0.40000000000000568</v>
      </c>
      <c r="J602" s="83">
        <f t="shared" si="128"/>
        <v>0</v>
      </c>
      <c r="K602" s="298" t="s">
        <v>108</v>
      </c>
      <c r="L602" s="142">
        <f t="shared" si="129"/>
        <v>45871</v>
      </c>
      <c r="M602" s="142">
        <v>45818</v>
      </c>
      <c r="N602" s="142">
        <f t="shared" si="130"/>
        <v>45820</v>
      </c>
      <c r="O602" s="143">
        <f t="shared" ca="1" si="131"/>
        <v>53</v>
      </c>
      <c r="P602" s="142">
        <v>45883</v>
      </c>
      <c r="Q602" s="142">
        <v>45829</v>
      </c>
      <c r="R602" s="143">
        <f t="shared" ca="1" si="132"/>
        <v>54</v>
      </c>
      <c r="S602" s="138"/>
      <c r="T602" s="138"/>
    </row>
    <row r="603" spans="1:20" hidden="1">
      <c r="A603" s="19" t="s">
        <v>74</v>
      </c>
      <c r="B603" s="291">
        <v>177</v>
      </c>
      <c r="C603" s="291" t="s">
        <v>908</v>
      </c>
      <c r="D603" s="291" t="s">
        <v>912</v>
      </c>
      <c r="E603" s="145">
        <v>45950</v>
      </c>
      <c r="F603" s="138">
        <v>24.399999618530298</v>
      </c>
      <c r="G603" s="138">
        <v>24.4</v>
      </c>
      <c r="H603" s="138">
        <v>23</v>
      </c>
      <c r="I603" s="83">
        <f t="shared" si="127"/>
        <v>0.17999963760378179</v>
      </c>
      <c r="J603" s="83">
        <f t="shared" si="128"/>
        <v>-3.8146970027241878E-7</v>
      </c>
      <c r="K603" s="298" t="s">
        <v>108</v>
      </c>
      <c r="L603" s="142">
        <f t="shared" si="129"/>
        <v>45872</v>
      </c>
      <c r="M603" s="142">
        <v>45818</v>
      </c>
      <c r="N603" s="142">
        <f t="shared" si="130"/>
        <v>45820</v>
      </c>
      <c r="O603" s="143">
        <f t="shared" ca="1" si="131"/>
        <v>54</v>
      </c>
      <c r="P603" s="142">
        <v>45884</v>
      </c>
      <c r="Q603" s="142">
        <v>45829</v>
      </c>
      <c r="R603" s="143">
        <f t="shared" ca="1" si="132"/>
        <v>55</v>
      </c>
      <c r="S603" s="138"/>
      <c r="T603" s="138"/>
    </row>
    <row r="604" spans="1:20">
      <c r="A604" s="19" t="s">
        <v>188</v>
      </c>
      <c r="B604" s="291">
        <v>196</v>
      </c>
      <c r="C604" s="291" t="s">
        <v>75</v>
      </c>
      <c r="D604" s="291" t="s">
        <v>841</v>
      </c>
      <c r="E604" s="145">
        <v>45892</v>
      </c>
      <c r="F604" s="138">
        <v>74.300003051757798</v>
      </c>
      <c r="G604" s="138">
        <v>74.3</v>
      </c>
      <c r="H604" s="138"/>
      <c r="I604" s="83">
        <f t="shared" si="127"/>
        <v>70.585002899169908</v>
      </c>
      <c r="J604" s="83">
        <f t="shared" si="128"/>
        <v>3.0517578011313162E-6</v>
      </c>
      <c r="K604" s="298" t="s">
        <v>108</v>
      </c>
      <c r="L604" s="142">
        <f t="shared" si="129"/>
        <v>45830</v>
      </c>
      <c r="M604" s="142">
        <v>45818</v>
      </c>
      <c r="N604" s="142">
        <f t="shared" si="130"/>
        <v>45820</v>
      </c>
      <c r="O604" s="143">
        <f t="shared" ca="1" si="131"/>
        <v>12</v>
      </c>
      <c r="P604" s="142">
        <f>E604-34-16</f>
        <v>45842</v>
      </c>
      <c r="Q604" s="142"/>
      <c r="R604" s="143">
        <f t="shared" ca="1" si="132"/>
        <v>2</v>
      </c>
      <c r="S604" s="138"/>
      <c r="T604" s="138"/>
    </row>
    <row r="605" spans="1:20">
      <c r="A605" s="19" t="s">
        <v>188</v>
      </c>
      <c r="B605" s="291">
        <v>196</v>
      </c>
      <c r="C605" s="291" t="s">
        <v>75</v>
      </c>
      <c r="D605" s="291" t="s">
        <v>840</v>
      </c>
      <c r="E605" s="145">
        <v>45892</v>
      </c>
      <c r="F605" s="138">
        <v>69.5</v>
      </c>
      <c r="G605" s="138">
        <v>69.5</v>
      </c>
      <c r="H605" s="138"/>
      <c r="I605" s="83">
        <f t="shared" si="127"/>
        <v>66.024999999999991</v>
      </c>
      <c r="J605" s="83">
        <f t="shared" si="128"/>
        <v>0</v>
      </c>
      <c r="K605" s="298" t="s">
        <v>108</v>
      </c>
      <c r="L605" s="142">
        <f t="shared" ref="L605:L608" si="134">P605-12</f>
        <v>45830</v>
      </c>
      <c r="M605" s="142">
        <v>45818</v>
      </c>
      <c r="N605" s="142">
        <f t="shared" si="130"/>
        <v>45820</v>
      </c>
      <c r="O605" s="143">
        <f t="shared" ref="O605:O608" ca="1" si="135">+IF(M605="",L605-TODAY(),L605-M605)</f>
        <v>12</v>
      </c>
      <c r="P605" s="142">
        <f>E605-34-16</f>
        <v>45842</v>
      </c>
      <c r="Q605" s="142"/>
      <c r="R605" s="143">
        <f t="shared" ca="1" si="132"/>
        <v>2</v>
      </c>
      <c r="S605" s="138"/>
      <c r="T605" s="138"/>
    </row>
    <row r="606" spans="1:20">
      <c r="A606" s="19" t="s">
        <v>188</v>
      </c>
      <c r="B606" s="291">
        <v>196</v>
      </c>
      <c r="C606" s="291" t="s">
        <v>857</v>
      </c>
      <c r="D606" s="291" t="s">
        <v>841</v>
      </c>
      <c r="E606" s="145">
        <v>45892</v>
      </c>
      <c r="F606" s="138">
        <v>85.199996948242202</v>
      </c>
      <c r="G606" s="138">
        <v>85.2</v>
      </c>
      <c r="H606" s="138"/>
      <c r="I606" s="83">
        <f t="shared" si="127"/>
        <v>80.939997100830084</v>
      </c>
      <c r="J606" s="83">
        <f t="shared" si="128"/>
        <v>-3.0517578011313162E-6</v>
      </c>
      <c r="K606" s="298" t="s">
        <v>108</v>
      </c>
      <c r="L606" s="142">
        <f t="shared" si="134"/>
        <v>45830</v>
      </c>
      <c r="M606" s="142">
        <v>45818</v>
      </c>
      <c r="N606" s="142">
        <f t="shared" si="130"/>
        <v>45820</v>
      </c>
      <c r="O606" s="143">
        <f t="shared" ca="1" si="135"/>
        <v>12</v>
      </c>
      <c r="P606" s="142">
        <f>E606-34-16</f>
        <v>45842</v>
      </c>
      <c r="Q606" s="142"/>
      <c r="R606" s="143">
        <f t="shared" ca="1" si="132"/>
        <v>2</v>
      </c>
      <c r="S606" s="138"/>
      <c r="T606" s="138"/>
    </row>
    <row r="607" spans="1:20">
      <c r="A607" s="19" t="s">
        <v>188</v>
      </c>
      <c r="B607" s="291">
        <v>196</v>
      </c>
      <c r="C607" s="291" t="s">
        <v>857</v>
      </c>
      <c r="D607" s="291" t="s">
        <v>840</v>
      </c>
      <c r="E607" s="145">
        <v>45892</v>
      </c>
      <c r="F607" s="138">
        <v>79.699996948242202</v>
      </c>
      <c r="G607" s="138">
        <v>79.7</v>
      </c>
      <c r="H607" s="138"/>
      <c r="I607" s="83">
        <f t="shared" si="127"/>
        <v>75.714997100830089</v>
      </c>
      <c r="J607" s="83">
        <f t="shared" si="128"/>
        <v>-3.0517578011313162E-6</v>
      </c>
      <c r="K607" s="298" t="s">
        <v>108</v>
      </c>
      <c r="L607" s="142">
        <f t="shared" si="134"/>
        <v>45830</v>
      </c>
      <c r="M607" s="142">
        <v>45818</v>
      </c>
      <c r="N607" s="142">
        <f t="shared" si="130"/>
        <v>45820</v>
      </c>
      <c r="O607" s="143">
        <f t="shared" ca="1" si="135"/>
        <v>12</v>
      </c>
      <c r="P607" s="142">
        <f>E607-34-16</f>
        <v>45842</v>
      </c>
      <c r="Q607" s="142"/>
      <c r="R607" s="143">
        <f t="shared" ca="1" si="132"/>
        <v>2</v>
      </c>
      <c r="S607" s="138"/>
      <c r="T607" s="138"/>
    </row>
    <row r="608" spans="1:20" hidden="1">
      <c r="A608" s="19" t="s">
        <v>188</v>
      </c>
      <c r="B608" s="291">
        <v>197</v>
      </c>
      <c r="C608" s="291" t="s">
        <v>77</v>
      </c>
      <c r="D608" s="291" t="s">
        <v>137</v>
      </c>
      <c r="E608" s="145">
        <v>45899</v>
      </c>
      <c r="F608" s="138">
        <v>145.5</v>
      </c>
      <c r="G608" s="138">
        <v>145.5</v>
      </c>
      <c r="H608" s="138">
        <v>141</v>
      </c>
      <c r="I608" s="83">
        <f t="shared" si="127"/>
        <v>-2.7750000000000057</v>
      </c>
      <c r="J608" s="83">
        <f t="shared" si="128"/>
        <v>0</v>
      </c>
      <c r="K608" s="298" t="s">
        <v>108</v>
      </c>
      <c r="L608" s="142">
        <f t="shared" si="134"/>
        <v>45837</v>
      </c>
      <c r="M608" s="142">
        <v>45826</v>
      </c>
      <c r="N608" s="142">
        <f t="shared" si="130"/>
        <v>45828</v>
      </c>
      <c r="O608" s="143">
        <f t="shared" ca="1" si="135"/>
        <v>11</v>
      </c>
      <c r="P608" s="142">
        <f>E608-34-16</f>
        <v>45849</v>
      </c>
      <c r="Q608" s="142">
        <v>45836</v>
      </c>
      <c r="R608" s="143">
        <f t="shared" ca="1" si="132"/>
        <v>13</v>
      </c>
      <c r="S608" s="138"/>
      <c r="T608" s="138"/>
    </row>
    <row r="609" spans="1:20" hidden="1">
      <c r="A609" s="19" t="s">
        <v>188</v>
      </c>
      <c r="B609" s="291">
        <v>197</v>
      </c>
      <c r="C609" s="291" t="s">
        <v>77</v>
      </c>
      <c r="D609" s="291" t="s">
        <v>147</v>
      </c>
      <c r="E609" s="145">
        <v>45899</v>
      </c>
      <c r="F609" s="138">
        <v>498.20001220703102</v>
      </c>
      <c r="G609" s="138">
        <v>498.2</v>
      </c>
      <c r="H609" s="138">
        <v>488</v>
      </c>
      <c r="I609" s="83">
        <f t="shared" si="127"/>
        <v>-14.709988403320551</v>
      </c>
      <c r="J609" s="83">
        <f t="shared" si="128"/>
        <v>1.2207031033995008E-5</v>
      </c>
      <c r="K609" s="298" t="s">
        <v>900</v>
      </c>
      <c r="L609" s="142">
        <f t="shared" si="129"/>
        <v>45824</v>
      </c>
      <c r="M609" s="142">
        <v>45818</v>
      </c>
      <c r="N609" s="142">
        <f t="shared" si="130"/>
        <v>45820</v>
      </c>
      <c r="O609" s="143">
        <f t="shared" ca="1" si="131"/>
        <v>6</v>
      </c>
      <c r="P609" s="142">
        <f>E609-34-13-16</f>
        <v>45836</v>
      </c>
      <c r="Q609" s="142">
        <v>45838</v>
      </c>
      <c r="R609" s="143">
        <f t="shared" ca="1" si="132"/>
        <v>-2</v>
      </c>
      <c r="S609" s="138"/>
      <c r="T609" s="138"/>
    </row>
    <row r="610" spans="1:20" hidden="1">
      <c r="A610" s="19" t="s">
        <v>188</v>
      </c>
      <c r="B610" s="291">
        <v>197</v>
      </c>
      <c r="C610" s="291" t="s">
        <v>77</v>
      </c>
      <c r="D610" s="291" t="s">
        <v>148</v>
      </c>
      <c r="E610" s="145">
        <v>45899</v>
      </c>
      <c r="F610" s="138">
        <v>785.29998779296898</v>
      </c>
      <c r="G610" s="138">
        <v>785.3</v>
      </c>
      <c r="H610" s="138">
        <v>750</v>
      </c>
      <c r="I610" s="83">
        <f t="shared" si="127"/>
        <v>-3.9650115966794601</v>
      </c>
      <c r="J610" s="83">
        <f t="shared" si="128"/>
        <v>-1.2207030977151589E-5</v>
      </c>
      <c r="K610" s="298" t="s">
        <v>900</v>
      </c>
      <c r="L610" s="142">
        <f t="shared" si="129"/>
        <v>45824</v>
      </c>
      <c r="M610" s="142">
        <v>45818</v>
      </c>
      <c r="N610" s="142">
        <f t="shared" si="130"/>
        <v>45820</v>
      </c>
      <c r="O610" s="143">
        <f t="shared" ca="1" si="131"/>
        <v>6</v>
      </c>
      <c r="P610" s="142">
        <f>E610-34-13-16</f>
        <v>45836</v>
      </c>
      <c r="Q610" s="142">
        <v>45838</v>
      </c>
      <c r="R610" s="143">
        <f t="shared" ca="1" si="132"/>
        <v>-2</v>
      </c>
      <c r="S610" s="138"/>
      <c r="T610" s="138"/>
    </row>
    <row r="611" spans="1:20" hidden="1">
      <c r="A611" s="19" t="s">
        <v>188</v>
      </c>
      <c r="B611" s="291">
        <v>197</v>
      </c>
      <c r="C611" s="291" t="s">
        <v>75</v>
      </c>
      <c r="D611" s="291" t="s">
        <v>841</v>
      </c>
      <c r="E611" s="145">
        <v>45899</v>
      </c>
      <c r="F611" s="138">
        <v>32.400001525878899</v>
      </c>
      <c r="G611" s="138">
        <v>32.4</v>
      </c>
      <c r="H611" s="138"/>
      <c r="I611" s="83">
        <f t="shared" si="127"/>
        <v>30.780001449584951</v>
      </c>
      <c r="J611" s="83">
        <f t="shared" si="128"/>
        <v>1.5258789005656581E-6</v>
      </c>
      <c r="K611" s="298" t="s">
        <v>108</v>
      </c>
      <c r="L611" s="142">
        <f t="shared" ref="L611:L613" si="136">P611-12</f>
        <v>45837</v>
      </c>
      <c r="M611" s="142">
        <v>45818</v>
      </c>
      <c r="N611" s="142">
        <f t="shared" si="130"/>
        <v>45820</v>
      </c>
      <c r="O611" s="143">
        <f t="shared" ref="O611:O613" ca="1" si="137">+IF(M611="",L611-TODAY(),L611-M611)</f>
        <v>19</v>
      </c>
      <c r="P611" s="142">
        <f t="shared" ref="P611:P618" si="138">E611-34-16</f>
        <v>45849</v>
      </c>
      <c r="Q611" s="142"/>
      <c r="R611" s="143">
        <f t="shared" ca="1" si="132"/>
        <v>9</v>
      </c>
      <c r="S611" s="138"/>
      <c r="T611" s="138"/>
    </row>
    <row r="612" spans="1:20" hidden="1">
      <c r="A612" s="19" t="s">
        <v>188</v>
      </c>
      <c r="B612" s="291">
        <v>197</v>
      </c>
      <c r="C612" s="291" t="s">
        <v>75</v>
      </c>
      <c r="D612" s="291" t="s">
        <v>858</v>
      </c>
      <c r="E612" s="145">
        <v>45899</v>
      </c>
      <c r="F612" s="138">
        <v>83.5</v>
      </c>
      <c r="G612" s="138">
        <v>83.5</v>
      </c>
      <c r="H612" s="138"/>
      <c r="I612" s="83">
        <f t="shared" si="127"/>
        <v>79.325000000000003</v>
      </c>
      <c r="J612" s="83">
        <f t="shared" si="128"/>
        <v>0</v>
      </c>
      <c r="K612" s="298" t="s">
        <v>108</v>
      </c>
      <c r="L612" s="142">
        <f t="shared" si="136"/>
        <v>45837</v>
      </c>
      <c r="M612" s="142">
        <v>45818</v>
      </c>
      <c r="N612" s="142">
        <f t="shared" si="130"/>
        <v>45820</v>
      </c>
      <c r="O612" s="143">
        <f t="shared" ca="1" si="137"/>
        <v>19</v>
      </c>
      <c r="P612" s="142">
        <f t="shared" si="138"/>
        <v>45849</v>
      </c>
      <c r="Q612" s="142"/>
      <c r="R612" s="143">
        <f t="shared" ca="1" si="132"/>
        <v>9</v>
      </c>
      <c r="S612" s="138"/>
      <c r="T612" s="138"/>
    </row>
    <row r="613" spans="1:20" hidden="1">
      <c r="A613" s="19" t="s">
        <v>188</v>
      </c>
      <c r="B613" s="291">
        <v>197</v>
      </c>
      <c r="C613" s="291" t="s">
        <v>75</v>
      </c>
      <c r="D613" s="291" t="s">
        <v>840</v>
      </c>
      <c r="E613" s="145">
        <v>45899</v>
      </c>
      <c r="F613" s="138">
        <v>30.299999237060501</v>
      </c>
      <c r="G613" s="138">
        <v>30.3</v>
      </c>
      <c r="H613" s="138"/>
      <c r="I613" s="83">
        <f t="shared" si="127"/>
        <v>28.784999275207475</v>
      </c>
      <c r="J613" s="83">
        <f t="shared" si="128"/>
        <v>-7.6293950002082056E-7</v>
      </c>
      <c r="K613" s="298" t="s">
        <v>108</v>
      </c>
      <c r="L613" s="142">
        <f t="shared" si="136"/>
        <v>45837</v>
      </c>
      <c r="M613" s="142">
        <v>45818</v>
      </c>
      <c r="N613" s="142">
        <f t="shared" si="130"/>
        <v>45820</v>
      </c>
      <c r="O613" s="143">
        <f t="shared" ca="1" si="137"/>
        <v>19</v>
      </c>
      <c r="P613" s="142">
        <f t="shared" si="138"/>
        <v>45849</v>
      </c>
      <c r="Q613" s="142"/>
      <c r="R613" s="143">
        <f t="shared" ca="1" si="132"/>
        <v>9</v>
      </c>
      <c r="S613" s="138"/>
      <c r="T613" s="138"/>
    </row>
    <row r="614" spans="1:20" hidden="1">
      <c r="A614" s="19" t="s">
        <v>188</v>
      </c>
      <c r="B614" s="291">
        <v>197</v>
      </c>
      <c r="C614" s="291" t="s">
        <v>75</v>
      </c>
      <c r="D614" s="291" t="s">
        <v>859</v>
      </c>
      <c r="E614" s="145">
        <v>45899</v>
      </c>
      <c r="F614" s="138">
        <v>51.200000762939503</v>
      </c>
      <c r="G614" s="138">
        <v>51.2</v>
      </c>
      <c r="H614" s="138"/>
      <c r="I614" s="83">
        <f t="shared" si="127"/>
        <v>48.640000724792529</v>
      </c>
      <c r="J614" s="83">
        <f t="shared" si="128"/>
        <v>7.6293950002082056E-7</v>
      </c>
      <c r="K614" s="298" t="s">
        <v>108</v>
      </c>
      <c r="L614" s="142">
        <f t="shared" ref="L614:L618" si="139">P614-12</f>
        <v>45837</v>
      </c>
      <c r="M614" s="142">
        <v>45818</v>
      </c>
      <c r="N614" s="142">
        <f t="shared" si="130"/>
        <v>45820</v>
      </c>
      <c r="O614" s="143">
        <f t="shared" ref="O614:O618" ca="1" si="140">+IF(M614="",L614-TODAY(),L614-M614)</f>
        <v>19</v>
      </c>
      <c r="P614" s="142">
        <f t="shared" si="138"/>
        <v>45849</v>
      </c>
      <c r="Q614" s="142"/>
      <c r="R614" s="143">
        <f t="shared" ca="1" si="132"/>
        <v>9</v>
      </c>
      <c r="S614" s="138"/>
      <c r="T614" s="138"/>
    </row>
    <row r="615" spans="1:20" hidden="1">
      <c r="A615" s="19" t="s">
        <v>188</v>
      </c>
      <c r="B615" s="291">
        <v>197</v>
      </c>
      <c r="C615" s="291" t="s">
        <v>857</v>
      </c>
      <c r="D615" s="291" t="s">
        <v>841</v>
      </c>
      <c r="E615" s="145">
        <v>45899</v>
      </c>
      <c r="F615" s="138">
        <v>37.099998474121101</v>
      </c>
      <c r="G615" s="138">
        <v>37.1</v>
      </c>
      <c r="H615" s="138"/>
      <c r="I615" s="83">
        <f t="shared" si="127"/>
        <v>35.244998550415048</v>
      </c>
      <c r="J615" s="83">
        <f t="shared" si="128"/>
        <v>-1.5258789005656581E-6</v>
      </c>
      <c r="K615" s="298" t="s">
        <v>108</v>
      </c>
      <c r="L615" s="142">
        <f t="shared" si="139"/>
        <v>45837</v>
      </c>
      <c r="M615" s="142">
        <v>45818</v>
      </c>
      <c r="N615" s="142">
        <f t="shared" si="130"/>
        <v>45820</v>
      </c>
      <c r="O615" s="143">
        <f t="shared" ca="1" si="140"/>
        <v>19</v>
      </c>
      <c r="P615" s="142">
        <f t="shared" si="138"/>
        <v>45849</v>
      </c>
      <c r="Q615" s="142"/>
      <c r="R615" s="143">
        <f t="shared" ca="1" si="132"/>
        <v>9</v>
      </c>
      <c r="S615" s="138"/>
      <c r="T615" s="138"/>
    </row>
    <row r="616" spans="1:20" hidden="1">
      <c r="A616" s="19" t="s">
        <v>188</v>
      </c>
      <c r="B616" s="291">
        <v>197</v>
      </c>
      <c r="C616" s="291" t="s">
        <v>857</v>
      </c>
      <c r="D616" s="291" t="s">
        <v>858</v>
      </c>
      <c r="E616" s="145">
        <v>45899</v>
      </c>
      <c r="F616" s="138">
        <v>95.699996948242202</v>
      </c>
      <c r="G616" s="138">
        <v>95.7</v>
      </c>
      <c r="H616" s="138"/>
      <c r="I616" s="83">
        <f t="shared" si="127"/>
        <v>90.914997100830092</v>
      </c>
      <c r="J616" s="83">
        <f t="shared" si="128"/>
        <v>-3.0517578011313162E-6</v>
      </c>
      <c r="K616" s="298" t="s">
        <v>108</v>
      </c>
      <c r="L616" s="142">
        <f t="shared" si="139"/>
        <v>45837</v>
      </c>
      <c r="M616" s="142">
        <v>45818</v>
      </c>
      <c r="N616" s="142">
        <f t="shared" si="130"/>
        <v>45820</v>
      </c>
      <c r="O616" s="143">
        <f t="shared" ca="1" si="140"/>
        <v>19</v>
      </c>
      <c r="P616" s="142">
        <f t="shared" si="138"/>
        <v>45849</v>
      </c>
      <c r="Q616" s="142"/>
      <c r="R616" s="143">
        <f t="shared" ca="1" si="132"/>
        <v>9</v>
      </c>
      <c r="S616" s="138"/>
      <c r="T616" s="138"/>
    </row>
    <row r="617" spans="1:20" hidden="1">
      <c r="A617" s="19" t="s">
        <v>188</v>
      </c>
      <c r="B617" s="291">
        <v>197</v>
      </c>
      <c r="C617" s="291" t="s">
        <v>857</v>
      </c>
      <c r="D617" s="291" t="s">
        <v>840</v>
      </c>
      <c r="E617" s="145">
        <v>45899</v>
      </c>
      <c r="F617" s="138">
        <v>34.700000762939503</v>
      </c>
      <c r="G617" s="138">
        <v>34.700000000000003</v>
      </c>
      <c r="H617" s="138"/>
      <c r="I617" s="83">
        <f t="shared" si="127"/>
        <v>32.965000724792525</v>
      </c>
      <c r="J617" s="83">
        <f t="shared" si="128"/>
        <v>7.6293950002082056E-7</v>
      </c>
      <c r="K617" s="298" t="s">
        <v>108</v>
      </c>
      <c r="L617" s="142">
        <f t="shared" si="139"/>
        <v>45837</v>
      </c>
      <c r="M617" s="142">
        <v>45818</v>
      </c>
      <c r="N617" s="142">
        <f t="shared" si="130"/>
        <v>45820</v>
      </c>
      <c r="O617" s="143">
        <f t="shared" ca="1" si="140"/>
        <v>19</v>
      </c>
      <c r="P617" s="142">
        <f t="shared" si="138"/>
        <v>45849</v>
      </c>
      <c r="Q617" s="142"/>
      <c r="R617" s="143">
        <f t="shared" ca="1" si="132"/>
        <v>9</v>
      </c>
      <c r="S617" s="138"/>
      <c r="T617" s="138"/>
    </row>
    <row r="618" spans="1:20" hidden="1">
      <c r="A618" s="19" t="s">
        <v>188</v>
      </c>
      <c r="B618" s="291">
        <v>197</v>
      </c>
      <c r="C618" s="291" t="s">
        <v>857</v>
      </c>
      <c r="D618" s="291" t="s">
        <v>859</v>
      </c>
      <c r="E618" s="145">
        <v>45899</v>
      </c>
      <c r="F618" s="138">
        <v>58.700000762939503</v>
      </c>
      <c r="G618" s="138">
        <v>58.7</v>
      </c>
      <c r="H618" s="138"/>
      <c r="I618" s="83">
        <f t="shared" si="127"/>
        <v>55.765000724792522</v>
      </c>
      <c r="J618" s="83">
        <f t="shared" si="128"/>
        <v>7.6293950002082056E-7</v>
      </c>
      <c r="K618" s="298" t="s">
        <v>108</v>
      </c>
      <c r="L618" s="142">
        <f t="shared" si="139"/>
        <v>45837</v>
      </c>
      <c r="M618" s="142">
        <v>45818</v>
      </c>
      <c r="N618" s="142">
        <f t="shared" si="130"/>
        <v>45820</v>
      </c>
      <c r="O618" s="143">
        <f t="shared" ca="1" si="140"/>
        <v>19</v>
      </c>
      <c r="P618" s="142">
        <f t="shared" si="138"/>
        <v>45849</v>
      </c>
      <c r="Q618" s="142"/>
      <c r="R618" s="143">
        <f t="shared" ca="1" si="132"/>
        <v>9</v>
      </c>
      <c r="S618" s="138"/>
      <c r="T618" s="138"/>
    </row>
    <row r="619" spans="1:20" hidden="1">
      <c r="A619" s="19" t="s">
        <v>188</v>
      </c>
      <c r="B619" s="291">
        <v>198</v>
      </c>
      <c r="C619" s="291" t="s">
        <v>80</v>
      </c>
      <c r="D619" s="291" t="s">
        <v>146</v>
      </c>
      <c r="E619" s="145">
        <v>45899</v>
      </c>
      <c r="F619" s="138">
        <v>402.5</v>
      </c>
      <c r="G619" s="138">
        <v>402.5</v>
      </c>
      <c r="H619" s="138">
        <v>382</v>
      </c>
      <c r="I619" s="83">
        <f t="shared" si="127"/>
        <v>0.375</v>
      </c>
      <c r="J619" s="83">
        <f t="shared" si="128"/>
        <v>0</v>
      </c>
      <c r="K619" s="298" t="s">
        <v>133</v>
      </c>
      <c r="L619" s="142">
        <f t="shared" si="129"/>
        <v>45824</v>
      </c>
      <c r="M619" s="142">
        <v>45822</v>
      </c>
      <c r="N619" s="142">
        <f t="shared" si="130"/>
        <v>45824</v>
      </c>
      <c r="O619" s="143">
        <f t="shared" ca="1" si="131"/>
        <v>2</v>
      </c>
      <c r="P619" s="142">
        <f>E619-34-13-16</f>
        <v>45836</v>
      </c>
      <c r="Q619" s="142">
        <v>45829</v>
      </c>
      <c r="R619" s="143">
        <f t="shared" ca="1" si="132"/>
        <v>7</v>
      </c>
      <c r="S619" s="138"/>
      <c r="T619" s="138"/>
    </row>
    <row r="620" spans="1:20" hidden="1">
      <c r="A620" s="19" t="s">
        <v>188</v>
      </c>
      <c r="B620" s="291">
        <v>198</v>
      </c>
      <c r="C620" s="291" t="s">
        <v>75</v>
      </c>
      <c r="D620" s="291" t="s">
        <v>858</v>
      </c>
      <c r="E620" s="145">
        <v>45899</v>
      </c>
      <c r="F620" s="138">
        <v>83.5</v>
      </c>
      <c r="G620" s="138">
        <v>83.5</v>
      </c>
      <c r="H620" s="138"/>
      <c r="I620" s="83">
        <f t="shared" si="127"/>
        <v>79.325000000000003</v>
      </c>
      <c r="J620" s="83">
        <f t="shared" si="128"/>
        <v>0</v>
      </c>
      <c r="K620" s="298" t="s">
        <v>108</v>
      </c>
      <c r="L620" s="142">
        <f t="shared" ref="L620:L622" si="141">P620-12</f>
        <v>45837</v>
      </c>
      <c r="M620" s="142">
        <v>45818</v>
      </c>
      <c r="N620" s="142">
        <f t="shared" si="130"/>
        <v>45820</v>
      </c>
      <c r="O620" s="143">
        <f t="shared" ref="O620:O622" ca="1" si="142">+IF(M620="",L620-TODAY(),L620-M620)</f>
        <v>19</v>
      </c>
      <c r="P620" s="142">
        <f t="shared" ref="P620:P627" si="143">E620-34-16</f>
        <v>45849</v>
      </c>
      <c r="Q620" s="142"/>
      <c r="R620" s="143">
        <f t="shared" ca="1" si="132"/>
        <v>9</v>
      </c>
      <c r="S620" s="138"/>
      <c r="T620" s="138"/>
    </row>
    <row r="621" spans="1:20" hidden="1">
      <c r="A621" s="19" t="s">
        <v>188</v>
      </c>
      <c r="B621" s="291">
        <v>198</v>
      </c>
      <c r="C621" s="291" t="s">
        <v>75</v>
      </c>
      <c r="D621" s="291" t="s">
        <v>139</v>
      </c>
      <c r="E621" s="145">
        <v>45899</v>
      </c>
      <c r="F621" s="138">
        <v>83.5</v>
      </c>
      <c r="G621" s="138">
        <v>83.5</v>
      </c>
      <c r="H621" s="138"/>
      <c r="I621" s="83">
        <f t="shared" si="127"/>
        <v>79.325000000000003</v>
      </c>
      <c r="J621" s="83">
        <f t="shared" si="128"/>
        <v>0</v>
      </c>
      <c r="K621" s="298" t="s">
        <v>108</v>
      </c>
      <c r="L621" s="142">
        <f t="shared" si="141"/>
        <v>45837</v>
      </c>
      <c r="M621" s="142">
        <v>45818</v>
      </c>
      <c r="N621" s="142">
        <f t="shared" si="130"/>
        <v>45820</v>
      </c>
      <c r="O621" s="143">
        <f t="shared" ca="1" si="142"/>
        <v>19</v>
      </c>
      <c r="P621" s="142">
        <f t="shared" si="143"/>
        <v>45849</v>
      </c>
      <c r="Q621" s="142"/>
      <c r="R621" s="143">
        <f t="shared" ca="1" si="132"/>
        <v>9</v>
      </c>
      <c r="S621" s="138"/>
      <c r="T621" s="138"/>
    </row>
    <row r="622" spans="1:20" hidden="1">
      <c r="A622" s="19" t="s">
        <v>188</v>
      </c>
      <c r="B622" s="291">
        <v>198</v>
      </c>
      <c r="C622" s="291" t="s">
        <v>75</v>
      </c>
      <c r="D622" s="291" t="s">
        <v>859</v>
      </c>
      <c r="E622" s="145">
        <v>45899</v>
      </c>
      <c r="F622" s="138">
        <v>51.200000762939503</v>
      </c>
      <c r="G622" s="138">
        <v>51.2</v>
      </c>
      <c r="H622" s="138"/>
      <c r="I622" s="83">
        <f t="shared" si="127"/>
        <v>48.640000724792529</v>
      </c>
      <c r="J622" s="83">
        <f t="shared" si="128"/>
        <v>7.6293950002082056E-7</v>
      </c>
      <c r="K622" s="298" t="s">
        <v>108</v>
      </c>
      <c r="L622" s="142">
        <f t="shared" si="141"/>
        <v>45837</v>
      </c>
      <c r="M622" s="142">
        <v>45818</v>
      </c>
      <c r="N622" s="142">
        <f t="shared" si="130"/>
        <v>45820</v>
      </c>
      <c r="O622" s="143">
        <f t="shared" ca="1" si="142"/>
        <v>19</v>
      </c>
      <c r="P622" s="142">
        <f t="shared" si="143"/>
        <v>45849</v>
      </c>
      <c r="Q622" s="142"/>
      <c r="R622" s="143">
        <f t="shared" ca="1" si="132"/>
        <v>9</v>
      </c>
      <c r="S622" s="138"/>
      <c r="T622" s="138"/>
    </row>
    <row r="623" spans="1:20" hidden="1">
      <c r="A623" s="19" t="s">
        <v>188</v>
      </c>
      <c r="B623" s="291">
        <v>198</v>
      </c>
      <c r="C623" s="291" t="s">
        <v>75</v>
      </c>
      <c r="D623" s="291" t="s">
        <v>140</v>
      </c>
      <c r="E623" s="145">
        <v>45899</v>
      </c>
      <c r="F623" s="138">
        <v>51.200000762939503</v>
      </c>
      <c r="G623" s="138">
        <v>51.2</v>
      </c>
      <c r="H623" s="138"/>
      <c r="I623" s="83">
        <f t="shared" si="127"/>
        <v>48.640000724792529</v>
      </c>
      <c r="J623" s="83">
        <f t="shared" si="128"/>
        <v>7.6293950002082056E-7</v>
      </c>
      <c r="K623" s="298" t="s">
        <v>108</v>
      </c>
      <c r="L623" s="142">
        <f t="shared" ref="L623:L627" si="144">P623-12</f>
        <v>45837</v>
      </c>
      <c r="M623" s="142">
        <v>45818</v>
      </c>
      <c r="N623" s="142">
        <f t="shared" si="130"/>
        <v>45820</v>
      </c>
      <c r="O623" s="143">
        <f t="shared" ref="O623:O627" ca="1" si="145">+IF(M623="",L623-TODAY(),L623-M623)</f>
        <v>19</v>
      </c>
      <c r="P623" s="142">
        <f t="shared" si="143"/>
        <v>45849</v>
      </c>
      <c r="Q623" s="142"/>
      <c r="R623" s="143">
        <f t="shared" ref="R623:R627" ca="1" si="146">+IF(Q623="",P623-TODAY(),P623-Q623)</f>
        <v>9</v>
      </c>
      <c r="S623" s="138"/>
      <c r="T623" s="138"/>
    </row>
    <row r="624" spans="1:20" hidden="1">
      <c r="A624" s="19" t="s">
        <v>188</v>
      </c>
      <c r="B624" s="291">
        <v>198</v>
      </c>
      <c r="C624" s="291" t="s">
        <v>857</v>
      </c>
      <c r="D624" s="291" t="s">
        <v>858</v>
      </c>
      <c r="E624" s="145">
        <v>45899</v>
      </c>
      <c r="F624" s="138">
        <v>95.699996948242202</v>
      </c>
      <c r="G624" s="138">
        <v>95.7</v>
      </c>
      <c r="H624" s="138"/>
      <c r="I624" s="83">
        <f t="shared" si="127"/>
        <v>90.914997100830092</v>
      </c>
      <c r="J624" s="83">
        <f t="shared" si="128"/>
        <v>-3.0517578011313162E-6</v>
      </c>
      <c r="K624" s="298" t="s">
        <v>108</v>
      </c>
      <c r="L624" s="142">
        <f t="shared" si="144"/>
        <v>45837</v>
      </c>
      <c r="M624" s="142">
        <v>45818</v>
      </c>
      <c r="N624" s="142">
        <f t="shared" si="130"/>
        <v>45820</v>
      </c>
      <c r="O624" s="143">
        <f t="shared" ca="1" si="145"/>
        <v>19</v>
      </c>
      <c r="P624" s="142">
        <f t="shared" si="143"/>
        <v>45849</v>
      </c>
      <c r="Q624" s="142"/>
      <c r="R624" s="143">
        <f t="shared" ca="1" si="146"/>
        <v>9</v>
      </c>
      <c r="S624" s="138"/>
      <c r="T624" s="138"/>
    </row>
    <row r="625" spans="1:20" hidden="1">
      <c r="A625" s="19" t="s">
        <v>188</v>
      </c>
      <c r="B625" s="291">
        <v>198</v>
      </c>
      <c r="C625" s="291" t="s">
        <v>857</v>
      </c>
      <c r="D625" s="291" t="s">
        <v>139</v>
      </c>
      <c r="E625" s="145">
        <v>45899</v>
      </c>
      <c r="F625" s="138">
        <v>95.699996948242202</v>
      </c>
      <c r="G625" s="138">
        <v>95.7</v>
      </c>
      <c r="H625" s="138"/>
      <c r="I625" s="83">
        <f t="shared" si="127"/>
        <v>90.914997100830092</v>
      </c>
      <c r="J625" s="83">
        <f t="shared" si="128"/>
        <v>-3.0517578011313162E-6</v>
      </c>
      <c r="K625" s="298" t="s">
        <v>108</v>
      </c>
      <c r="L625" s="142">
        <f t="shared" si="144"/>
        <v>45837</v>
      </c>
      <c r="M625" s="142">
        <v>45818</v>
      </c>
      <c r="N625" s="142">
        <f t="shared" si="130"/>
        <v>45820</v>
      </c>
      <c r="O625" s="143">
        <f t="shared" ca="1" si="145"/>
        <v>19</v>
      </c>
      <c r="P625" s="142">
        <f t="shared" si="143"/>
        <v>45849</v>
      </c>
      <c r="Q625" s="142"/>
      <c r="R625" s="143">
        <f t="shared" ca="1" si="146"/>
        <v>9</v>
      </c>
      <c r="S625" s="138"/>
      <c r="T625" s="138"/>
    </row>
    <row r="626" spans="1:20" hidden="1">
      <c r="A626" s="19" t="s">
        <v>188</v>
      </c>
      <c r="B626" s="291">
        <v>198</v>
      </c>
      <c r="C626" s="291" t="s">
        <v>857</v>
      </c>
      <c r="D626" s="291" t="s">
        <v>859</v>
      </c>
      <c r="E626" s="145">
        <v>45899</v>
      </c>
      <c r="F626" s="138">
        <v>58.700000762939503</v>
      </c>
      <c r="G626" s="138">
        <v>58.7</v>
      </c>
      <c r="H626" s="138"/>
      <c r="I626" s="83">
        <f t="shared" si="127"/>
        <v>55.765000724792522</v>
      </c>
      <c r="J626" s="83">
        <f t="shared" si="128"/>
        <v>7.6293950002082056E-7</v>
      </c>
      <c r="K626" s="298" t="s">
        <v>108</v>
      </c>
      <c r="L626" s="142">
        <f t="shared" si="144"/>
        <v>45837</v>
      </c>
      <c r="M626" s="142">
        <v>45818</v>
      </c>
      <c r="N626" s="142">
        <f t="shared" si="130"/>
        <v>45820</v>
      </c>
      <c r="O626" s="143">
        <f t="shared" ca="1" si="145"/>
        <v>19</v>
      </c>
      <c r="P626" s="142">
        <f t="shared" si="143"/>
        <v>45849</v>
      </c>
      <c r="Q626" s="142"/>
      <c r="R626" s="143">
        <f t="shared" ca="1" si="146"/>
        <v>9</v>
      </c>
      <c r="S626" s="138"/>
      <c r="T626" s="138"/>
    </row>
    <row r="627" spans="1:20" hidden="1">
      <c r="A627" s="19" t="s">
        <v>188</v>
      </c>
      <c r="B627" s="291">
        <v>198</v>
      </c>
      <c r="C627" s="291" t="s">
        <v>857</v>
      </c>
      <c r="D627" s="291" t="s">
        <v>140</v>
      </c>
      <c r="E627" s="145">
        <v>45899</v>
      </c>
      <c r="F627" s="138">
        <v>58.700000762939503</v>
      </c>
      <c r="G627" s="138">
        <v>58.7</v>
      </c>
      <c r="H627" s="138"/>
      <c r="I627" s="83">
        <f t="shared" si="127"/>
        <v>55.765000724792522</v>
      </c>
      <c r="J627" s="83">
        <f t="shared" si="128"/>
        <v>7.6293950002082056E-7</v>
      </c>
      <c r="K627" s="298" t="s">
        <v>108</v>
      </c>
      <c r="L627" s="142">
        <f t="shared" si="144"/>
        <v>45837</v>
      </c>
      <c r="M627" s="142">
        <v>45818</v>
      </c>
      <c r="N627" s="142">
        <f t="shared" si="130"/>
        <v>45820</v>
      </c>
      <c r="O627" s="143">
        <f t="shared" ca="1" si="145"/>
        <v>19</v>
      </c>
      <c r="P627" s="142">
        <f t="shared" si="143"/>
        <v>45849</v>
      </c>
      <c r="Q627" s="142"/>
      <c r="R627" s="143">
        <f t="shared" ca="1" si="146"/>
        <v>9</v>
      </c>
      <c r="S627" s="138"/>
      <c r="T627" s="138"/>
    </row>
    <row r="628" spans="1:20" hidden="1">
      <c r="A628" s="19" t="s">
        <v>188</v>
      </c>
      <c r="B628" s="291">
        <v>199</v>
      </c>
      <c r="C628" s="291" t="s">
        <v>80</v>
      </c>
      <c r="D628" s="291" t="s">
        <v>146</v>
      </c>
      <c r="E628" s="145">
        <v>45899</v>
      </c>
      <c r="F628" s="138">
        <v>345.29998779296898</v>
      </c>
      <c r="G628" s="138">
        <v>345</v>
      </c>
      <c r="H628" s="138">
        <v>328</v>
      </c>
      <c r="I628" s="83">
        <f t="shared" si="127"/>
        <v>3.4988403320539874E-2</v>
      </c>
      <c r="J628" s="83">
        <f t="shared" si="128"/>
        <v>0.29998779296897737</v>
      </c>
      <c r="K628" s="298" t="s">
        <v>133</v>
      </c>
      <c r="L628" s="142">
        <f t="shared" si="129"/>
        <v>45824</v>
      </c>
      <c r="M628" s="142">
        <v>45822</v>
      </c>
      <c r="N628" s="142">
        <f t="shared" si="130"/>
        <v>45824</v>
      </c>
      <c r="O628" s="143">
        <f t="shared" ca="1" si="131"/>
        <v>2</v>
      </c>
      <c r="P628" s="142">
        <f>E628-34-13-16</f>
        <v>45836</v>
      </c>
      <c r="Q628" s="142">
        <v>45829</v>
      </c>
      <c r="R628" s="143">
        <f t="shared" ca="1" si="132"/>
        <v>7</v>
      </c>
      <c r="S628" s="138"/>
      <c r="T628" s="138"/>
    </row>
    <row r="629" spans="1:20" hidden="1">
      <c r="A629" s="19" t="s">
        <v>188</v>
      </c>
      <c r="B629" s="291">
        <v>199</v>
      </c>
      <c r="C629" s="291" t="s">
        <v>75</v>
      </c>
      <c r="D629" s="291" t="s">
        <v>858</v>
      </c>
      <c r="E629" s="145">
        <v>45906</v>
      </c>
      <c r="F629" s="138">
        <v>52.700000762939503</v>
      </c>
      <c r="G629" s="138">
        <v>52.7</v>
      </c>
      <c r="H629" s="138"/>
      <c r="I629" s="83">
        <f t="shared" si="127"/>
        <v>50.065000724792526</v>
      </c>
      <c r="J629" s="83">
        <f t="shared" si="128"/>
        <v>7.6293950002082056E-7</v>
      </c>
      <c r="K629" s="298" t="s">
        <v>108</v>
      </c>
      <c r="L629" s="142">
        <f t="shared" si="129"/>
        <v>45844</v>
      </c>
      <c r="M629" s="142">
        <v>45831</v>
      </c>
      <c r="N629" s="142">
        <f t="shared" si="130"/>
        <v>45833</v>
      </c>
      <c r="O629" s="143">
        <f t="shared" ca="1" si="131"/>
        <v>13</v>
      </c>
      <c r="P629" s="142">
        <f>E629-34-16</f>
        <v>45856</v>
      </c>
      <c r="Q629" s="142"/>
      <c r="R629" s="143">
        <f t="shared" ref="R629:R632" ca="1" si="147">+IF(Q629="",P629-TODAY(),P629-Q629)</f>
        <v>16</v>
      </c>
      <c r="S629" s="138"/>
      <c r="T629" s="138"/>
    </row>
    <row r="630" spans="1:20" hidden="1">
      <c r="A630" s="19" t="s">
        <v>188</v>
      </c>
      <c r="B630" s="291">
        <v>199</v>
      </c>
      <c r="C630" s="291" t="s">
        <v>75</v>
      </c>
      <c r="D630" s="291" t="s">
        <v>859</v>
      </c>
      <c r="E630" s="145">
        <v>45906</v>
      </c>
      <c r="F630" s="138">
        <v>32.299999237060497</v>
      </c>
      <c r="G630" s="138">
        <v>32.299999999999997</v>
      </c>
      <c r="H630" s="138"/>
      <c r="I630" s="83">
        <f t="shared" si="127"/>
        <v>30.684999275207471</v>
      </c>
      <c r="J630" s="83">
        <f t="shared" si="128"/>
        <v>-7.6293950002082056E-7</v>
      </c>
      <c r="K630" s="298" t="s">
        <v>108</v>
      </c>
      <c r="L630" s="142">
        <f t="shared" si="129"/>
        <v>45844</v>
      </c>
      <c r="M630" s="142">
        <v>45831</v>
      </c>
      <c r="N630" s="142">
        <f t="shared" si="130"/>
        <v>45833</v>
      </c>
      <c r="O630" s="143">
        <f t="shared" ca="1" si="131"/>
        <v>13</v>
      </c>
      <c r="P630" s="142">
        <f>E630-34-16</f>
        <v>45856</v>
      </c>
      <c r="Q630" s="142"/>
      <c r="R630" s="143">
        <f t="shared" ca="1" si="147"/>
        <v>16</v>
      </c>
      <c r="S630" s="138"/>
      <c r="T630" s="138"/>
    </row>
    <row r="631" spans="1:20" hidden="1">
      <c r="A631" s="19" t="s">
        <v>188</v>
      </c>
      <c r="B631" s="291">
        <v>199</v>
      </c>
      <c r="C631" s="291" t="s">
        <v>857</v>
      </c>
      <c r="D631" s="291" t="s">
        <v>858</v>
      </c>
      <c r="E631" s="145">
        <v>45906</v>
      </c>
      <c r="F631" s="138">
        <v>60.400001525878899</v>
      </c>
      <c r="G631" s="138">
        <v>60.4</v>
      </c>
      <c r="H631" s="138"/>
      <c r="I631" s="83">
        <f t="shared" si="127"/>
        <v>57.380001449584952</v>
      </c>
      <c r="J631" s="83">
        <f t="shared" si="128"/>
        <v>1.5258789005656581E-6</v>
      </c>
      <c r="K631" s="298" t="s">
        <v>108</v>
      </c>
      <c r="L631" s="142">
        <f t="shared" si="129"/>
        <v>45844</v>
      </c>
      <c r="M631" s="142">
        <v>45831</v>
      </c>
      <c r="N631" s="142">
        <f t="shared" si="130"/>
        <v>45833</v>
      </c>
      <c r="O631" s="143">
        <f t="shared" ca="1" si="131"/>
        <v>13</v>
      </c>
      <c r="P631" s="142">
        <f>E631-34-16</f>
        <v>45856</v>
      </c>
      <c r="Q631" s="142"/>
      <c r="R631" s="143">
        <f t="shared" ca="1" si="147"/>
        <v>16</v>
      </c>
      <c r="S631" s="138"/>
      <c r="T631" s="138"/>
    </row>
    <row r="632" spans="1:20" hidden="1">
      <c r="A632" s="19" t="s">
        <v>188</v>
      </c>
      <c r="B632" s="291">
        <v>199</v>
      </c>
      <c r="C632" s="291" t="s">
        <v>857</v>
      </c>
      <c r="D632" s="291" t="s">
        <v>859</v>
      </c>
      <c r="E632" s="145">
        <v>45906</v>
      </c>
      <c r="F632" s="138">
        <v>37.099998474121101</v>
      </c>
      <c r="G632" s="138">
        <v>37.1</v>
      </c>
      <c r="H632" s="138"/>
      <c r="I632" s="83">
        <f t="shared" si="127"/>
        <v>35.244998550415048</v>
      </c>
      <c r="J632" s="83">
        <f t="shared" si="128"/>
        <v>-1.5258789005656581E-6</v>
      </c>
      <c r="K632" s="298" t="s">
        <v>108</v>
      </c>
      <c r="L632" s="142">
        <f t="shared" si="129"/>
        <v>45844</v>
      </c>
      <c r="M632" s="142">
        <v>45831</v>
      </c>
      <c r="N632" s="142">
        <f t="shared" si="130"/>
        <v>45833</v>
      </c>
      <c r="O632" s="143">
        <f t="shared" ca="1" si="131"/>
        <v>13</v>
      </c>
      <c r="P632" s="142">
        <f>E632-34-16</f>
        <v>45856</v>
      </c>
      <c r="Q632" s="142"/>
      <c r="R632" s="143">
        <f t="shared" ca="1" si="147"/>
        <v>16</v>
      </c>
      <c r="S632" s="138"/>
      <c r="T632" s="138"/>
    </row>
    <row r="633" spans="1:20" hidden="1">
      <c r="A633" s="19" t="s">
        <v>188</v>
      </c>
      <c r="B633" s="291">
        <v>200</v>
      </c>
      <c r="C633" s="291" t="s">
        <v>77</v>
      </c>
      <c r="D633" s="291" t="s">
        <v>137</v>
      </c>
      <c r="E633" s="145">
        <v>45906</v>
      </c>
      <c r="F633" s="138">
        <v>145.5</v>
      </c>
      <c r="G633" s="138">
        <v>145.5</v>
      </c>
      <c r="H633" s="138">
        <v>141</v>
      </c>
      <c r="I633" s="83">
        <f t="shared" si="127"/>
        <v>-2.7750000000000057</v>
      </c>
      <c r="J633" s="83">
        <f t="shared" si="128"/>
        <v>0</v>
      </c>
      <c r="K633" s="298" t="s">
        <v>108</v>
      </c>
      <c r="L633" s="142">
        <f t="shared" si="129"/>
        <v>45844</v>
      </c>
      <c r="M633" s="142">
        <v>45826</v>
      </c>
      <c r="N633" s="142">
        <f t="shared" si="130"/>
        <v>45828</v>
      </c>
      <c r="O633" s="143">
        <f t="shared" ca="1" si="131"/>
        <v>18</v>
      </c>
      <c r="P633" s="142">
        <f>E633-34-16</f>
        <v>45856</v>
      </c>
      <c r="Q633" s="142">
        <v>45836</v>
      </c>
      <c r="R633" s="143">
        <f t="shared" ref="R633" ca="1" si="148">+IF(Q633="",P633-TODAY(),P633-Q633)</f>
        <v>20</v>
      </c>
      <c r="S633" s="138"/>
      <c r="T633" s="138"/>
    </row>
    <row r="634" spans="1:20" hidden="1">
      <c r="A634" s="19" t="s">
        <v>188</v>
      </c>
      <c r="B634" s="291">
        <v>200</v>
      </c>
      <c r="C634" s="291" t="s">
        <v>80</v>
      </c>
      <c r="D634" s="291" t="s">
        <v>146</v>
      </c>
      <c r="E634" s="145">
        <v>45906</v>
      </c>
      <c r="F634" s="138">
        <v>414.20001220703102</v>
      </c>
      <c r="G634" s="138">
        <v>414.2</v>
      </c>
      <c r="H634" s="138">
        <v>393</v>
      </c>
      <c r="I634" s="83">
        <f t="shared" si="127"/>
        <v>0.49001159667943739</v>
      </c>
      <c r="J634" s="83">
        <f t="shared" si="128"/>
        <v>1.2207031033995008E-5</v>
      </c>
      <c r="K634" s="298" t="s">
        <v>133</v>
      </c>
      <c r="L634" s="142">
        <f t="shared" si="129"/>
        <v>45831</v>
      </c>
      <c r="M634" s="142">
        <v>45822</v>
      </c>
      <c r="N634" s="142">
        <f t="shared" si="130"/>
        <v>45824</v>
      </c>
      <c r="O634" s="143">
        <f t="shared" ca="1" si="131"/>
        <v>9</v>
      </c>
      <c r="P634" s="142">
        <f>E634-34-13-16</f>
        <v>45843</v>
      </c>
      <c r="Q634" s="142">
        <v>45829</v>
      </c>
      <c r="R634" s="143">
        <f t="shared" ca="1" si="132"/>
        <v>14</v>
      </c>
      <c r="S634" s="138"/>
      <c r="T634" s="138"/>
    </row>
    <row r="635" spans="1:20" hidden="1">
      <c r="A635" s="19" t="s">
        <v>188</v>
      </c>
      <c r="B635" s="291">
        <v>200</v>
      </c>
      <c r="C635" s="291" t="s">
        <v>75</v>
      </c>
      <c r="D635" s="291" t="s">
        <v>841</v>
      </c>
      <c r="E635" s="145">
        <v>45906</v>
      </c>
      <c r="F635" s="138">
        <v>28.100000381469702</v>
      </c>
      <c r="G635" s="138">
        <v>28.1</v>
      </c>
      <c r="H635" s="138"/>
      <c r="I635" s="83">
        <f t="shared" si="127"/>
        <v>26.695000362396215</v>
      </c>
      <c r="J635" s="83">
        <f t="shared" si="128"/>
        <v>3.8146970027241878E-7</v>
      </c>
      <c r="K635" s="298" t="s">
        <v>108</v>
      </c>
      <c r="L635" s="142">
        <f t="shared" si="129"/>
        <v>45844</v>
      </c>
      <c r="M635" s="142">
        <v>45831</v>
      </c>
      <c r="N635" s="142">
        <f t="shared" si="130"/>
        <v>45833</v>
      </c>
      <c r="O635" s="143">
        <f t="shared" ca="1" si="131"/>
        <v>13</v>
      </c>
      <c r="P635" s="142">
        <f t="shared" ref="P635:P642" si="149">E635-34-16</f>
        <v>45856</v>
      </c>
      <c r="Q635" s="142"/>
      <c r="R635" s="143">
        <f t="shared" ref="R635:R642" ca="1" si="150">+IF(Q635="",P635-TODAY(),P635-Q635)</f>
        <v>16</v>
      </c>
      <c r="S635" s="138"/>
      <c r="T635" s="138"/>
    </row>
    <row r="636" spans="1:20" hidden="1">
      <c r="A636" s="19" t="s">
        <v>188</v>
      </c>
      <c r="B636" s="291">
        <v>200</v>
      </c>
      <c r="C636" s="291" t="s">
        <v>75</v>
      </c>
      <c r="D636" s="291" t="s">
        <v>840</v>
      </c>
      <c r="E636" s="145">
        <v>45906</v>
      </c>
      <c r="F636" s="138">
        <v>26.299999237060501</v>
      </c>
      <c r="G636" s="138">
        <v>26.3</v>
      </c>
      <c r="H636" s="138"/>
      <c r="I636" s="83">
        <f t="shared" si="127"/>
        <v>24.984999275207475</v>
      </c>
      <c r="J636" s="83">
        <f t="shared" si="128"/>
        <v>-7.6293950002082056E-7</v>
      </c>
      <c r="K636" s="298" t="s">
        <v>108</v>
      </c>
      <c r="L636" s="142">
        <f t="shared" si="129"/>
        <v>45844</v>
      </c>
      <c r="M636" s="142">
        <v>45831</v>
      </c>
      <c r="N636" s="142">
        <f t="shared" si="130"/>
        <v>45833</v>
      </c>
      <c r="O636" s="143">
        <f t="shared" ca="1" si="131"/>
        <v>13</v>
      </c>
      <c r="P636" s="142">
        <f t="shared" si="149"/>
        <v>45856</v>
      </c>
      <c r="Q636" s="142"/>
      <c r="R636" s="143">
        <f t="shared" ca="1" si="150"/>
        <v>16</v>
      </c>
      <c r="S636" s="138"/>
      <c r="T636" s="138"/>
    </row>
    <row r="637" spans="1:20" hidden="1">
      <c r="A637" s="19" t="s">
        <v>188</v>
      </c>
      <c r="B637" s="291">
        <v>200</v>
      </c>
      <c r="C637" s="291" t="s">
        <v>857</v>
      </c>
      <c r="D637" s="291" t="s">
        <v>841</v>
      </c>
      <c r="E637" s="145">
        <v>45906</v>
      </c>
      <c r="F637" s="138">
        <v>32.200000762939503</v>
      </c>
      <c r="G637" s="138">
        <v>32.200000000000003</v>
      </c>
      <c r="H637" s="138"/>
      <c r="I637" s="83">
        <f t="shared" si="127"/>
        <v>30.590000724792525</v>
      </c>
      <c r="J637" s="83">
        <f t="shared" si="128"/>
        <v>7.6293950002082056E-7</v>
      </c>
      <c r="K637" s="298" t="s">
        <v>108</v>
      </c>
      <c r="L637" s="142">
        <f t="shared" si="129"/>
        <v>45844</v>
      </c>
      <c r="M637" s="142">
        <v>45831</v>
      </c>
      <c r="N637" s="142">
        <f t="shared" si="130"/>
        <v>45833</v>
      </c>
      <c r="O637" s="143">
        <f t="shared" ca="1" si="131"/>
        <v>13</v>
      </c>
      <c r="P637" s="142">
        <f t="shared" si="149"/>
        <v>45856</v>
      </c>
      <c r="Q637" s="142"/>
      <c r="R637" s="143">
        <f t="shared" ca="1" si="150"/>
        <v>16</v>
      </c>
      <c r="S637" s="138"/>
      <c r="T637" s="138"/>
    </row>
    <row r="638" spans="1:20" hidden="1">
      <c r="A638" s="19" t="s">
        <v>188</v>
      </c>
      <c r="B638" s="291">
        <v>200</v>
      </c>
      <c r="C638" s="291" t="s">
        <v>857</v>
      </c>
      <c r="D638" s="291" t="s">
        <v>840</v>
      </c>
      <c r="E638" s="145">
        <v>45906</v>
      </c>
      <c r="F638" s="138">
        <v>30.200000762939499</v>
      </c>
      <c r="G638" s="138">
        <v>30.2</v>
      </c>
      <c r="H638" s="138"/>
      <c r="I638" s="83">
        <f t="shared" si="127"/>
        <v>28.690000724792522</v>
      </c>
      <c r="J638" s="83">
        <f t="shared" si="128"/>
        <v>7.6293950002082056E-7</v>
      </c>
      <c r="K638" s="298" t="s">
        <v>108</v>
      </c>
      <c r="L638" s="142">
        <f t="shared" si="129"/>
        <v>45844</v>
      </c>
      <c r="M638" s="142">
        <v>45831</v>
      </c>
      <c r="N638" s="142">
        <f t="shared" si="130"/>
        <v>45833</v>
      </c>
      <c r="O638" s="143">
        <f t="shared" ca="1" si="131"/>
        <v>13</v>
      </c>
      <c r="P638" s="142">
        <f t="shared" si="149"/>
        <v>45856</v>
      </c>
      <c r="Q638" s="142"/>
      <c r="R638" s="143">
        <f t="shared" ca="1" si="150"/>
        <v>16</v>
      </c>
      <c r="S638" s="138"/>
      <c r="T638" s="138"/>
    </row>
    <row r="639" spans="1:20" hidden="1">
      <c r="A639" s="19" t="s">
        <v>188</v>
      </c>
      <c r="B639" s="291">
        <v>201</v>
      </c>
      <c r="C639" s="291" t="s">
        <v>82</v>
      </c>
      <c r="D639" s="291" t="s">
        <v>141</v>
      </c>
      <c r="E639" s="145">
        <v>45913</v>
      </c>
      <c r="F639" s="138">
        <v>68.699996948242202</v>
      </c>
      <c r="G639" s="138">
        <v>68.7</v>
      </c>
      <c r="H639" s="138">
        <v>65</v>
      </c>
      <c r="I639" s="83">
        <f t="shared" si="127"/>
        <v>0.26499710083008665</v>
      </c>
      <c r="J639" s="83">
        <f t="shared" si="128"/>
        <v>-3.0517578011313162E-6</v>
      </c>
      <c r="K639" s="298" t="s">
        <v>900</v>
      </c>
      <c r="L639" s="142">
        <f t="shared" si="129"/>
        <v>45851</v>
      </c>
      <c r="M639" s="142">
        <v>45818</v>
      </c>
      <c r="N639" s="142">
        <f t="shared" si="130"/>
        <v>45820</v>
      </c>
      <c r="O639" s="143">
        <f t="shared" ca="1" si="131"/>
        <v>33</v>
      </c>
      <c r="P639" s="142">
        <f t="shared" si="149"/>
        <v>45863</v>
      </c>
      <c r="Q639" s="142">
        <v>45835</v>
      </c>
      <c r="R639" s="143">
        <f t="shared" ca="1" si="150"/>
        <v>28</v>
      </c>
      <c r="S639" s="138"/>
      <c r="T639" s="138"/>
    </row>
    <row r="640" spans="1:20" hidden="1">
      <c r="A640" s="19" t="s">
        <v>188</v>
      </c>
      <c r="B640" s="291">
        <v>201</v>
      </c>
      <c r="C640" s="291" t="s">
        <v>82</v>
      </c>
      <c r="D640" s="291" t="s">
        <v>143</v>
      </c>
      <c r="E640" s="145">
        <v>45913</v>
      </c>
      <c r="F640" s="138">
        <v>68.699996948242202</v>
      </c>
      <c r="G640" s="138">
        <v>68.7</v>
      </c>
      <c r="H640" s="138">
        <v>65</v>
      </c>
      <c r="I640" s="83">
        <f t="shared" si="127"/>
        <v>0.26499710083008665</v>
      </c>
      <c r="J640" s="83">
        <f t="shared" si="128"/>
        <v>-3.0517578011313162E-6</v>
      </c>
      <c r="K640" s="298" t="s">
        <v>900</v>
      </c>
      <c r="L640" s="142">
        <f t="shared" si="129"/>
        <v>45851</v>
      </c>
      <c r="M640" s="142">
        <v>45818</v>
      </c>
      <c r="N640" s="142">
        <f t="shared" si="130"/>
        <v>45820</v>
      </c>
      <c r="O640" s="143">
        <f t="shared" ca="1" si="131"/>
        <v>33</v>
      </c>
      <c r="P640" s="142">
        <f t="shared" si="149"/>
        <v>45863</v>
      </c>
      <c r="Q640" s="142">
        <v>45835</v>
      </c>
      <c r="R640" s="143">
        <f t="shared" ca="1" si="150"/>
        <v>28</v>
      </c>
      <c r="S640" s="138"/>
      <c r="T640" s="138"/>
    </row>
    <row r="641" spans="1:20" hidden="1">
      <c r="A641" s="19" t="s">
        <v>188</v>
      </c>
      <c r="B641" s="291">
        <v>201</v>
      </c>
      <c r="C641" s="291" t="s">
        <v>82</v>
      </c>
      <c r="D641" s="291" t="s">
        <v>144</v>
      </c>
      <c r="E641" s="145">
        <v>45913</v>
      </c>
      <c r="F641" s="138">
        <v>68.699996948242202</v>
      </c>
      <c r="G641" s="138">
        <v>68.7</v>
      </c>
      <c r="H641" s="138">
        <v>65</v>
      </c>
      <c r="I641" s="83">
        <f t="shared" si="127"/>
        <v>0.26499710083008665</v>
      </c>
      <c r="J641" s="83">
        <f t="shared" si="128"/>
        <v>-3.0517578011313162E-6</v>
      </c>
      <c r="K641" s="298" t="s">
        <v>900</v>
      </c>
      <c r="L641" s="142">
        <f t="shared" si="129"/>
        <v>45851</v>
      </c>
      <c r="M641" s="142">
        <v>45818</v>
      </c>
      <c r="N641" s="142">
        <f t="shared" si="130"/>
        <v>45820</v>
      </c>
      <c r="O641" s="143">
        <f t="shared" ca="1" si="131"/>
        <v>33</v>
      </c>
      <c r="P641" s="142">
        <f t="shared" si="149"/>
        <v>45863</v>
      </c>
      <c r="Q641" s="142">
        <v>45835</v>
      </c>
      <c r="R641" s="143">
        <f t="shared" ca="1" si="150"/>
        <v>28</v>
      </c>
      <c r="S641" s="138"/>
      <c r="T641" s="138"/>
    </row>
    <row r="642" spans="1:20" hidden="1">
      <c r="A642" s="19" t="s">
        <v>188</v>
      </c>
      <c r="B642" s="291">
        <v>201</v>
      </c>
      <c r="C642" s="291" t="s">
        <v>79</v>
      </c>
      <c r="D642" s="291" t="s">
        <v>145</v>
      </c>
      <c r="E642" s="145">
        <v>45913</v>
      </c>
      <c r="F642" s="138">
        <v>5.6999998092651403</v>
      </c>
      <c r="G642" s="138">
        <v>5.7</v>
      </c>
      <c r="H642" s="138"/>
      <c r="I642" s="83">
        <f t="shared" si="127"/>
        <v>5.4149998188018831</v>
      </c>
      <c r="J642" s="83">
        <f t="shared" si="128"/>
        <v>-1.9073485990617201E-7</v>
      </c>
      <c r="K642" s="298" t="s">
        <v>108</v>
      </c>
      <c r="L642" s="142">
        <f t="shared" si="129"/>
        <v>45851</v>
      </c>
      <c r="M642" s="142">
        <v>45833</v>
      </c>
      <c r="N642" s="142">
        <f t="shared" si="130"/>
        <v>45835</v>
      </c>
      <c r="O642" s="143">
        <f t="shared" ca="1" si="131"/>
        <v>18</v>
      </c>
      <c r="P642" s="142">
        <f t="shared" si="149"/>
        <v>45863</v>
      </c>
      <c r="Q642" s="142"/>
      <c r="R642" s="143">
        <f t="shared" ca="1" si="150"/>
        <v>23</v>
      </c>
      <c r="S642" s="138"/>
      <c r="T642" s="138"/>
    </row>
    <row r="643" spans="1:20" hidden="1">
      <c r="A643" s="19" t="s">
        <v>188</v>
      </c>
      <c r="B643" s="291">
        <v>201</v>
      </c>
      <c r="C643" s="291" t="s">
        <v>80</v>
      </c>
      <c r="D643" s="291" t="s">
        <v>146</v>
      </c>
      <c r="E643" s="145">
        <v>45913</v>
      </c>
      <c r="F643" s="138">
        <v>402.60000610351602</v>
      </c>
      <c r="G643" s="138">
        <v>402.6</v>
      </c>
      <c r="H643" s="138">
        <v>382</v>
      </c>
      <c r="I643" s="83">
        <f t="shared" si="127"/>
        <v>0.47000579834019618</v>
      </c>
      <c r="J643" s="83">
        <f t="shared" si="128"/>
        <v>6.1035160001665645E-6</v>
      </c>
      <c r="K643" s="298" t="s">
        <v>133</v>
      </c>
      <c r="L643" s="142">
        <f t="shared" si="129"/>
        <v>45838</v>
      </c>
      <c r="M643" s="142">
        <v>45822</v>
      </c>
      <c r="N643" s="142">
        <f t="shared" si="130"/>
        <v>45824</v>
      </c>
      <c r="O643" s="143">
        <f t="shared" ca="1" si="131"/>
        <v>16</v>
      </c>
      <c r="P643" s="142">
        <f>E643-34-13-16</f>
        <v>45850</v>
      </c>
      <c r="Q643" s="142">
        <v>45832</v>
      </c>
      <c r="R643" s="143">
        <f t="shared" ca="1" si="132"/>
        <v>18</v>
      </c>
      <c r="S643" s="138"/>
      <c r="T643" s="138"/>
    </row>
    <row r="644" spans="1:20" hidden="1">
      <c r="A644" s="19" t="s">
        <v>188</v>
      </c>
      <c r="B644" s="291">
        <v>201</v>
      </c>
      <c r="C644" s="291" t="s">
        <v>75</v>
      </c>
      <c r="D644" s="291" t="s">
        <v>841</v>
      </c>
      <c r="E644" s="145">
        <v>45913</v>
      </c>
      <c r="F644" s="138">
        <v>37.299999237060497</v>
      </c>
      <c r="G644" s="138">
        <v>37.299999999999997</v>
      </c>
      <c r="H644" s="138"/>
      <c r="I644" s="83">
        <f t="shared" si="127"/>
        <v>35.434999275207474</v>
      </c>
      <c r="J644" s="83">
        <f t="shared" si="128"/>
        <v>-7.6293950002082056E-7</v>
      </c>
      <c r="K644" s="298" t="s">
        <v>108</v>
      </c>
      <c r="L644" s="142">
        <f t="shared" si="129"/>
        <v>45851</v>
      </c>
      <c r="M644" s="142">
        <v>45831</v>
      </c>
      <c r="N644" s="142">
        <f t="shared" si="130"/>
        <v>45833</v>
      </c>
      <c r="O644" s="143">
        <f t="shared" ca="1" si="131"/>
        <v>20</v>
      </c>
      <c r="P644" s="142">
        <f t="shared" ref="P644:P691" si="151">E644-34-16</f>
        <v>45863</v>
      </c>
      <c r="Q644" s="142"/>
      <c r="R644" s="143">
        <f t="shared" ref="R644:R678" ca="1" si="152">+IF(Q644="",P644-TODAY(),P644-Q644)</f>
        <v>23</v>
      </c>
      <c r="S644" s="138"/>
      <c r="T644" s="138"/>
    </row>
    <row r="645" spans="1:20" hidden="1">
      <c r="A645" s="19" t="s">
        <v>188</v>
      </c>
      <c r="B645" s="291">
        <v>201</v>
      </c>
      <c r="C645" s="291" t="s">
        <v>75</v>
      </c>
      <c r="D645" s="291" t="s">
        <v>858</v>
      </c>
      <c r="E645" s="145">
        <v>45913</v>
      </c>
      <c r="F645" s="138">
        <v>83.5</v>
      </c>
      <c r="G645" s="138">
        <v>83.5</v>
      </c>
      <c r="H645" s="138"/>
      <c r="I645" s="83">
        <f t="shared" si="127"/>
        <v>79.325000000000003</v>
      </c>
      <c r="J645" s="83">
        <f t="shared" si="128"/>
        <v>0</v>
      </c>
      <c r="K645" s="298" t="s">
        <v>108</v>
      </c>
      <c r="L645" s="142">
        <f t="shared" si="129"/>
        <v>45851</v>
      </c>
      <c r="M645" s="142">
        <v>45831</v>
      </c>
      <c r="N645" s="142">
        <f t="shared" si="130"/>
        <v>45833</v>
      </c>
      <c r="O645" s="143">
        <f t="shared" ca="1" si="131"/>
        <v>20</v>
      </c>
      <c r="P645" s="142">
        <f t="shared" si="151"/>
        <v>45863</v>
      </c>
      <c r="Q645" s="142"/>
      <c r="R645" s="143">
        <f t="shared" ca="1" si="152"/>
        <v>23</v>
      </c>
      <c r="S645" s="138"/>
      <c r="T645" s="138"/>
    </row>
    <row r="646" spans="1:20" hidden="1">
      <c r="A646" s="19" t="s">
        <v>188</v>
      </c>
      <c r="B646" s="291">
        <v>201</v>
      </c>
      <c r="C646" s="291" t="s">
        <v>75</v>
      </c>
      <c r="D646" s="291" t="s">
        <v>139</v>
      </c>
      <c r="E646" s="145">
        <v>45913</v>
      </c>
      <c r="F646" s="138">
        <v>83.5</v>
      </c>
      <c r="G646" s="138">
        <v>83.5</v>
      </c>
      <c r="H646" s="138"/>
      <c r="I646" s="83">
        <f t="shared" si="127"/>
        <v>79.325000000000003</v>
      </c>
      <c r="J646" s="83">
        <f t="shared" si="128"/>
        <v>0</v>
      </c>
      <c r="K646" s="298" t="s">
        <v>108</v>
      </c>
      <c r="L646" s="142">
        <f t="shared" si="129"/>
        <v>45851</v>
      </c>
      <c r="M646" s="142">
        <v>45831</v>
      </c>
      <c r="N646" s="142">
        <f t="shared" si="130"/>
        <v>45833</v>
      </c>
      <c r="O646" s="143">
        <f t="shared" ca="1" si="131"/>
        <v>20</v>
      </c>
      <c r="P646" s="142">
        <f t="shared" si="151"/>
        <v>45863</v>
      </c>
      <c r="Q646" s="142"/>
      <c r="R646" s="143">
        <f t="shared" ca="1" si="152"/>
        <v>23</v>
      </c>
      <c r="S646" s="138"/>
      <c r="T646" s="138"/>
    </row>
    <row r="647" spans="1:20" hidden="1">
      <c r="A647" s="19" t="s">
        <v>188</v>
      </c>
      <c r="B647" s="291">
        <v>201</v>
      </c>
      <c r="C647" s="291" t="s">
        <v>75</v>
      </c>
      <c r="D647" s="291" t="s">
        <v>840</v>
      </c>
      <c r="E647" s="145">
        <v>45913</v>
      </c>
      <c r="F647" s="138">
        <v>35</v>
      </c>
      <c r="G647" s="138">
        <v>35</v>
      </c>
      <c r="H647" s="138"/>
      <c r="I647" s="83">
        <f t="shared" si="127"/>
        <v>33.25</v>
      </c>
      <c r="J647" s="83">
        <f t="shared" si="128"/>
        <v>0</v>
      </c>
      <c r="K647" s="298" t="s">
        <v>108</v>
      </c>
      <c r="L647" s="142">
        <f t="shared" si="129"/>
        <v>45851</v>
      </c>
      <c r="M647" s="142">
        <v>45831</v>
      </c>
      <c r="N647" s="142">
        <f t="shared" si="130"/>
        <v>45833</v>
      </c>
      <c r="O647" s="143">
        <f t="shared" ca="1" si="131"/>
        <v>20</v>
      </c>
      <c r="P647" s="142">
        <f t="shared" si="151"/>
        <v>45863</v>
      </c>
      <c r="Q647" s="142"/>
      <c r="R647" s="143">
        <f t="shared" ca="1" si="152"/>
        <v>23</v>
      </c>
      <c r="S647" s="138"/>
      <c r="T647" s="138"/>
    </row>
    <row r="648" spans="1:20" hidden="1">
      <c r="A648" s="19" t="s">
        <v>188</v>
      </c>
      <c r="B648" s="291">
        <v>201</v>
      </c>
      <c r="C648" s="291" t="s">
        <v>75</v>
      </c>
      <c r="D648" s="291" t="s">
        <v>859</v>
      </c>
      <c r="E648" s="145">
        <v>45913</v>
      </c>
      <c r="F648" s="138">
        <v>51.200000762939503</v>
      </c>
      <c r="G648" s="138">
        <v>51.2</v>
      </c>
      <c r="H648" s="138"/>
      <c r="I648" s="83">
        <f t="shared" si="127"/>
        <v>48.640000724792529</v>
      </c>
      <c r="J648" s="83">
        <f t="shared" si="128"/>
        <v>7.6293950002082056E-7</v>
      </c>
      <c r="K648" s="298" t="s">
        <v>108</v>
      </c>
      <c r="L648" s="142">
        <f t="shared" si="129"/>
        <v>45851</v>
      </c>
      <c r="M648" s="142">
        <v>45831</v>
      </c>
      <c r="N648" s="142">
        <f t="shared" si="130"/>
        <v>45833</v>
      </c>
      <c r="O648" s="143">
        <f t="shared" ca="1" si="131"/>
        <v>20</v>
      </c>
      <c r="P648" s="142">
        <f t="shared" si="151"/>
        <v>45863</v>
      </c>
      <c r="Q648" s="142"/>
      <c r="R648" s="143">
        <f t="shared" ca="1" si="152"/>
        <v>23</v>
      </c>
      <c r="S648" s="138"/>
      <c r="T648" s="138"/>
    </row>
    <row r="649" spans="1:20" hidden="1">
      <c r="A649" s="19" t="s">
        <v>188</v>
      </c>
      <c r="B649" s="291">
        <v>201</v>
      </c>
      <c r="C649" s="291" t="s">
        <v>75</v>
      </c>
      <c r="D649" s="291" t="s">
        <v>140</v>
      </c>
      <c r="E649" s="145">
        <v>45913</v>
      </c>
      <c r="F649" s="138">
        <v>51.200000762939503</v>
      </c>
      <c r="G649" s="138">
        <v>51.2</v>
      </c>
      <c r="H649" s="138"/>
      <c r="I649" s="83">
        <f t="shared" ref="I649:I712" si="153">F649*95%-H649</f>
        <v>48.640000724792529</v>
      </c>
      <c r="J649" s="83">
        <f t="shared" ref="J649:J712" si="154">F649-G649</f>
        <v>7.6293950002082056E-7</v>
      </c>
      <c r="K649" s="298" t="s">
        <v>108</v>
      </c>
      <c r="L649" s="142">
        <f t="shared" ref="L649:L678" si="155">P649-12</f>
        <v>45851</v>
      </c>
      <c r="M649" s="142">
        <v>45831</v>
      </c>
      <c r="N649" s="142">
        <f t="shared" ref="N649:N712" si="156">M649+2</f>
        <v>45833</v>
      </c>
      <c r="O649" s="143">
        <f t="shared" ref="O649:O678" ca="1" si="157">+IF(M649="",L649-TODAY(),L649-M649)</f>
        <v>20</v>
      </c>
      <c r="P649" s="142">
        <f t="shared" si="151"/>
        <v>45863</v>
      </c>
      <c r="Q649" s="142"/>
      <c r="R649" s="143">
        <f t="shared" ca="1" si="152"/>
        <v>23</v>
      </c>
      <c r="S649" s="138"/>
      <c r="T649" s="138"/>
    </row>
    <row r="650" spans="1:20" hidden="1">
      <c r="A650" s="19" t="s">
        <v>188</v>
      </c>
      <c r="B650" s="291">
        <v>201</v>
      </c>
      <c r="C650" s="291" t="s">
        <v>857</v>
      </c>
      <c r="D650" s="291" t="s">
        <v>841</v>
      </c>
      <c r="E650" s="145">
        <v>45913</v>
      </c>
      <c r="F650" s="138">
        <v>42.799999237060497</v>
      </c>
      <c r="G650" s="138">
        <v>42.8</v>
      </c>
      <c r="H650" s="138"/>
      <c r="I650" s="83">
        <f t="shared" si="153"/>
        <v>40.659999275207468</v>
      </c>
      <c r="J650" s="83">
        <f t="shared" si="154"/>
        <v>-7.6293950002082056E-7</v>
      </c>
      <c r="K650" s="298" t="s">
        <v>108</v>
      </c>
      <c r="L650" s="142">
        <f t="shared" si="155"/>
        <v>45851</v>
      </c>
      <c r="M650" s="142">
        <v>45831</v>
      </c>
      <c r="N650" s="142">
        <f t="shared" si="156"/>
        <v>45833</v>
      </c>
      <c r="O650" s="143">
        <f t="shared" ca="1" si="157"/>
        <v>20</v>
      </c>
      <c r="P650" s="142">
        <f t="shared" si="151"/>
        <v>45863</v>
      </c>
      <c r="Q650" s="142"/>
      <c r="R650" s="143">
        <f t="shared" ca="1" si="152"/>
        <v>23</v>
      </c>
      <c r="S650" s="138"/>
      <c r="T650" s="138"/>
    </row>
    <row r="651" spans="1:20" hidden="1">
      <c r="A651" s="19" t="s">
        <v>188</v>
      </c>
      <c r="B651" s="291">
        <v>201</v>
      </c>
      <c r="C651" s="291" t="s">
        <v>857</v>
      </c>
      <c r="D651" s="291" t="s">
        <v>858</v>
      </c>
      <c r="E651" s="145">
        <v>45913</v>
      </c>
      <c r="F651" s="138">
        <v>96.699996948242202</v>
      </c>
      <c r="G651" s="138">
        <v>96.7</v>
      </c>
      <c r="H651" s="138"/>
      <c r="I651" s="83">
        <f t="shared" si="153"/>
        <v>91.864997100830081</v>
      </c>
      <c r="J651" s="83">
        <f t="shared" si="154"/>
        <v>-3.0517578011313162E-6</v>
      </c>
      <c r="K651" s="298" t="s">
        <v>108</v>
      </c>
      <c r="L651" s="142">
        <f t="shared" si="155"/>
        <v>45851</v>
      </c>
      <c r="M651" s="142">
        <v>45831</v>
      </c>
      <c r="N651" s="142">
        <f t="shared" si="156"/>
        <v>45833</v>
      </c>
      <c r="O651" s="143">
        <f t="shared" ca="1" si="157"/>
        <v>20</v>
      </c>
      <c r="P651" s="142">
        <f t="shared" si="151"/>
        <v>45863</v>
      </c>
      <c r="Q651" s="142"/>
      <c r="R651" s="143">
        <f t="shared" ca="1" si="152"/>
        <v>23</v>
      </c>
      <c r="S651" s="138"/>
      <c r="T651" s="138"/>
    </row>
    <row r="652" spans="1:20" hidden="1">
      <c r="A652" s="19" t="s">
        <v>188</v>
      </c>
      <c r="B652" s="291">
        <v>201</v>
      </c>
      <c r="C652" s="291" t="s">
        <v>857</v>
      </c>
      <c r="D652" s="291" t="s">
        <v>139</v>
      </c>
      <c r="E652" s="145">
        <v>45913</v>
      </c>
      <c r="F652" s="138">
        <v>95.699996948242202</v>
      </c>
      <c r="G652" s="138">
        <v>95.7</v>
      </c>
      <c r="H652" s="138"/>
      <c r="I652" s="83">
        <f t="shared" si="153"/>
        <v>90.914997100830092</v>
      </c>
      <c r="J652" s="83">
        <f t="shared" si="154"/>
        <v>-3.0517578011313162E-6</v>
      </c>
      <c r="K652" s="298" t="s">
        <v>108</v>
      </c>
      <c r="L652" s="142">
        <f t="shared" si="155"/>
        <v>45851</v>
      </c>
      <c r="M652" s="142">
        <v>45831</v>
      </c>
      <c r="N652" s="142">
        <f t="shared" si="156"/>
        <v>45833</v>
      </c>
      <c r="O652" s="143">
        <f t="shared" ca="1" si="157"/>
        <v>20</v>
      </c>
      <c r="P652" s="142">
        <f t="shared" si="151"/>
        <v>45863</v>
      </c>
      <c r="Q652" s="142"/>
      <c r="R652" s="143">
        <f t="shared" ca="1" si="152"/>
        <v>23</v>
      </c>
      <c r="S652" s="138"/>
      <c r="T652" s="138"/>
    </row>
    <row r="653" spans="1:20" hidden="1">
      <c r="A653" s="19" t="s">
        <v>188</v>
      </c>
      <c r="B653" s="291">
        <v>201</v>
      </c>
      <c r="C653" s="291" t="s">
        <v>857</v>
      </c>
      <c r="D653" s="291" t="s">
        <v>840</v>
      </c>
      <c r="E653" s="145">
        <v>45913</v>
      </c>
      <c r="F653" s="138">
        <v>40.099998474121101</v>
      </c>
      <c r="G653" s="138">
        <v>40.1</v>
      </c>
      <c r="H653" s="138"/>
      <c r="I653" s="83">
        <f t="shared" si="153"/>
        <v>38.094998550415042</v>
      </c>
      <c r="J653" s="83">
        <f t="shared" si="154"/>
        <v>-1.5258789005656581E-6</v>
      </c>
      <c r="K653" s="298" t="s">
        <v>108</v>
      </c>
      <c r="L653" s="142">
        <f t="shared" si="155"/>
        <v>45851</v>
      </c>
      <c r="M653" s="142">
        <v>45831</v>
      </c>
      <c r="N653" s="142">
        <f t="shared" si="156"/>
        <v>45833</v>
      </c>
      <c r="O653" s="143">
        <f t="shared" ca="1" si="157"/>
        <v>20</v>
      </c>
      <c r="P653" s="142">
        <f t="shared" si="151"/>
        <v>45863</v>
      </c>
      <c r="Q653" s="142"/>
      <c r="R653" s="143">
        <f t="shared" ca="1" si="152"/>
        <v>23</v>
      </c>
      <c r="S653" s="138"/>
      <c r="T653" s="138"/>
    </row>
    <row r="654" spans="1:20" hidden="1">
      <c r="A654" s="19" t="s">
        <v>188</v>
      </c>
      <c r="B654" s="291">
        <v>201</v>
      </c>
      <c r="C654" s="291" t="s">
        <v>857</v>
      </c>
      <c r="D654" s="291" t="s">
        <v>859</v>
      </c>
      <c r="E654" s="145">
        <v>45913</v>
      </c>
      <c r="F654" s="138">
        <v>58.700000762939503</v>
      </c>
      <c r="G654" s="138">
        <v>58.7</v>
      </c>
      <c r="H654" s="138"/>
      <c r="I654" s="83">
        <f t="shared" si="153"/>
        <v>55.765000724792522</v>
      </c>
      <c r="J654" s="83">
        <f t="shared" si="154"/>
        <v>7.6293950002082056E-7</v>
      </c>
      <c r="K654" s="298" t="s">
        <v>108</v>
      </c>
      <c r="L654" s="142">
        <f t="shared" si="155"/>
        <v>45851</v>
      </c>
      <c r="M654" s="142">
        <v>45831</v>
      </c>
      <c r="N654" s="142">
        <f t="shared" si="156"/>
        <v>45833</v>
      </c>
      <c r="O654" s="143">
        <f t="shared" ca="1" si="157"/>
        <v>20</v>
      </c>
      <c r="P654" s="142">
        <f t="shared" si="151"/>
        <v>45863</v>
      </c>
      <c r="Q654" s="142"/>
      <c r="R654" s="143">
        <f t="shared" ca="1" si="152"/>
        <v>23</v>
      </c>
      <c r="S654" s="138"/>
      <c r="T654" s="138"/>
    </row>
    <row r="655" spans="1:20" hidden="1">
      <c r="A655" s="19" t="s">
        <v>188</v>
      </c>
      <c r="B655" s="291">
        <v>201</v>
      </c>
      <c r="C655" s="291" t="s">
        <v>857</v>
      </c>
      <c r="D655" s="291" t="s">
        <v>140</v>
      </c>
      <c r="E655" s="145">
        <v>45913</v>
      </c>
      <c r="F655" s="138">
        <v>58.700000762939503</v>
      </c>
      <c r="G655" s="138">
        <v>58.7</v>
      </c>
      <c r="H655" s="138"/>
      <c r="I655" s="83">
        <f t="shared" si="153"/>
        <v>55.765000724792522</v>
      </c>
      <c r="J655" s="83">
        <f t="shared" si="154"/>
        <v>7.6293950002082056E-7</v>
      </c>
      <c r="K655" s="298" t="s">
        <v>108</v>
      </c>
      <c r="L655" s="142">
        <f t="shared" si="155"/>
        <v>45851</v>
      </c>
      <c r="M655" s="142">
        <v>45831</v>
      </c>
      <c r="N655" s="142">
        <f t="shared" si="156"/>
        <v>45833</v>
      </c>
      <c r="O655" s="143">
        <f t="shared" ca="1" si="157"/>
        <v>20</v>
      </c>
      <c r="P655" s="142">
        <f t="shared" si="151"/>
        <v>45863</v>
      </c>
      <c r="Q655" s="142"/>
      <c r="R655" s="143">
        <f t="shared" ca="1" si="152"/>
        <v>23</v>
      </c>
      <c r="S655" s="138"/>
      <c r="T655" s="138"/>
    </row>
    <row r="656" spans="1:20" hidden="1">
      <c r="A656" s="19" t="s">
        <v>188</v>
      </c>
      <c r="B656" s="291">
        <v>203</v>
      </c>
      <c r="C656" s="291" t="s">
        <v>75</v>
      </c>
      <c r="D656" s="291" t="s">
        <v>841</v>
      </c>
      <c r="E656" s="145">
        <v>45913</v>
      </c>
      <c r="F656" s="138">
        <v>71.699996948242202</v>
      </c>
      <c r="G656" s="138">
        <v>71.7</v>
      </c>
      <c r="H656" s="138"/>
      <c r="I656" s="83">
        <f t="shared" si="153"/>
        <v>68.114997100830095</v>
      </c>
      <c r="J656" s="83">
        <f t="shared" si="154"/>
        <v>-3.0517578011313162E-6</v>
      </c>
      <c r="K656" s="298" t="s">
        <v>108</v>
      </c>
      <c r="L656" s="142">
        <f t="shared" si="155"/>
        <v>45851</v>
      </c>
      <c r="M656" s="142">
        <v>45831</v>
      </c>
      <c r="N656" s="142">
        <f t="shared" si="156"/>
        <v>45833</v>
      </c>
      <c r="O656" s="143">
        <f t="shared" ca="1" si="157"/>
        <v>20</v>
      </c>
      <c r="P656" s="142">
        <f t="shared" si="151"/>
        <v>45863</v>
      </c>
      <c r="Q656" s="142"/>
      <c r="R656" s="143">
        <f t="shared" ca="1" si="152"/>
        <v>23</v>
      </c>
      <c r="S656" s="138"/>
      <c r="T656" s="138"/>
    </row>
    <row r="657" spans="1:20" hidden="1">
      <c r="A657" s="19" t="s">
        <v>188</v>
      </c>
      <c r="B657" s="291">
        <v>203</v>
      </c>
      <c r="C657" s="291" t="s">
        <v>75</v>
      </c>
      <c r="D657" s="291" t="s">
        <v>858</v>
      </c>
      <c r="E657" s="145">
        <v>45913</v>
      </c>
      <c r="F657" s="138">
        <v>96.599998474121094</v>
      </c>
      <c r="G657" s="138">
        <v>96.6</v>
      </c>
      <c r="H657" s="138"/>
      <c r="I657" s="83">
        <f t="shared" si="153"/>
        <v>91.769998550415039</v>
      </c>
      <c r="J657" s="83">
        <f t="shared" si="154"/>
        <v>-1.5258789005656581E-6</v>
      </c>
      <c r="K657" s="298" t="s">
        <v>108</v>
      </c>
      <c r="L657" s="142">
        <f t="shared" si="155"/>
        <v>45851</v>
      </c>
      <c r="M657" s="142">
        <v>45831</v>
      </c>
      <c r="N657" s="142">
        <f t="shared" si="156"/>
        <v>45833</v>
      </c>
      <c r="O657" s="143">
        <f t="shared" ca="1" si="157"/>
        <v>20</v>
      </c>
      <c r="P657" s="142">
        <f t="shared" si="151"/>
        <v>45863</v>
      </c>
      <c r="Q657" s="142"/>
      <c r="R657" s="143">
        <f t="shared" ca="1" si="152"/>
        <v>23</v>
      </c>
      <c r="S657" s="138"/>
      <c r="T657" s="138"/>
    </row>
    <row r="658" spans="1:20" hidden="1">
      <c r="A658" s="19" t="s">
        <v>188</v>
      </c>
      <c r="B658" s="291">
        <v>203</v>
      </c>
      <c r="C658" s="291" t="s">
        <v>75</v>
      </c>
      <c r="D658" s="291" t="s">
        <v>840</v>
      </c>
      <c r="E658" s="145">
        <v>45913</v>
      </c>
      <c r="F658" s="138">
        <v>67.199996948242202</v>
      </c>
      <c r="G658" s="138">
        <v>67.2</v>
      </c>
      <c r="H658" s="138"/>
      <c r="I658" s="83">
        <f t="shared" si="153"/>
        <v>63.839997100830089</v>
      </c>
      <c r="J658" s="83">
        <f t="shared" si="154"/>
        <v>-3.0517578011313162E-6</v>
      </c>
      <c r="K658" s="298" t="s">
        <v>108</v>
      </c>
      <c r="L658" s="142">
        <f t="shared" si="155"/>
        <v>45851</v>
      </c>
      <c r="M658" s="142">
        <v>45831</v>
      </c>
      <c r="N658" s="142">
        <f t="shared" si="156"/>
        <v>45833</v>
      </c>
      <c r="O658" s="143">
        <f t="shared" ca="1" si="157"/>
        <v>20</v>
      </c>
      <c r="P658" s="142">
        <f t="shared" si="151"/>
        <v>45863</v>
      </c>
      <c r="Q658" s="142"/>
      <c r="R658" s="143">
        <f t="shared" ca="1" si="152"/>
        <v>23</v>
      </c>
      <c r="S658" s="138"/>
      <c r="T658" s="138"/>
    </row>
    <row r="659" spans="1:20" hidden="1">
      <c r="A659" s="19" t="s">
        <v>188</v>
      </c>
      <c r="B659" s="291">
        <v>203</v>
      </c>
      <c r="C659" s="291" t="s">
        <v>75</v>
      </c>
      <c r="D659" s="291" t="s">
        <v>859</v>
      </c>
      <c r="E659" s="145">
        <v>45913</v>
      </c>
      <c r="F659" s="138">
        <v>59.200000762939503</v>
      </c>
      <c r="G659" s="138">
        <v>59.2</v>
      </c>
      <c r="H659" s="138"/>
      <c r="I659" s="83">
        <f t="shared" si="153"/>
        <v>56.240000724792523</v>
      </c>
      <c r="J659" s="83">
        <f t="shared" si="154"/>
        <v>7.6293950002082056E-7</v>
      </c>
      <c r="K659" s="298" t="s">
        <v>108</v>
      </c>
      <c r="L659" s="142">
        <f t="shared" si="155"/>
        <v>45851</v>
      </c>
      <c r="M659" s="142">
        <v>45831</v>
      </c>
      <c r="N659" s="142">
        <f t="shared" si="156"/>
        <v>45833</v>
      </c>
      <c r="O659" s="143">
        <f t="shared" ca="1" si="157"/>
        <v>20</v>
      </c>
      <c r="P659" s="142">
        <f t="shared" si="151"/>
        <v>45863</v>
      </c>
      <c r="Q659" s="142"/>
      <c r="R659" s="143">
        <f t="shared" ca="1" si="152"/>
        <v>23</v>
      </c>
      <c r="S659" s="138"/>
      <c r="T659" s="138"/>
    </row>
    <row r="660" spans="1:20" hidden="1">
      <c r="A660" s="19" t="s">
        <v>188</v>
      </c>
      <c r="B660" s="291">
        <v>203</v>
      </c>
      <c r="C660" s="291" t="s">
        <v>857</v>
      </c>
      <c r="D660" s="291" t="s">
        <v>841</v>
      </c>
      <c r="E660" s="145">
        <v>45913</v>
      </c>
      <c r="F660" s="138">
        <v>82.300003051757798</v>
      </c>
      <c r="G660" s="138">
        <v>82.3</v>
      </c>
      <c r="H660" s="138"/>
      <c r="I660" s="83">
        <f t="shared" si="153"/>
        <v>78.185002899169902</v>
      </c>
      <c r="J660" s="83">
        <f t="shared" si="154"/>
        <v>3.0517578011313162E-6</v>
      </c>
      <c r="K660" s="298" t="s">
        <v>108</v>
      </c>
      <c r="L660" s="142">
        <f t="shared" si="155"/>
        <v>45851</v>
      </c>
      <c r="M660" s="142">
        <v>45831</v>
      </c>
      <c r="N660" s="142">
        <f t="shared" si="156"/>
        <v>45833</v>
      </c>
      <c r="O660" s="143">
        <f t="shared" ca="1" si="157"/>
        <v>20</v>
      </c>
      <c r="P660" s="142">
        <f t="shared" si="151"/>
        <v>45863</v>
      </c>
      <c r="Q660" s="142"/>
      <c r="R660" s="143">
        <f t="shared" ca="1" si="152"/>
        <v>23</v>
      </c>
      <c r="S660" s="138"/>
      <c r="T660" s="138"/>
    </row>
    <row r="661" spans="1:20" hidden="1">
      <c r="A661" s="19" t="s">
        <v>188</v>
      </c>
      <c r="B661" s="291">
        <v>203</v>
      </c>
      <c r="C661" s="291" t="s">
        <v>857</v>
      </c>
      <c r="D661" s="291" t="s">
        <v>858</v>
      </c>
      <c r="E661" s="145">
        <v>45913</v>
      </c>
      <c r="F661" s="138">
        <v>110.800003051758</v>
      </c>
      <c r="G661" s="138">
        <v>110.8</v>
      </c>
      <c r="H661" s="138"/>
      <c r="I661" s="83">
        <f t="shared" si="153"/>
        <v>105.26000289917009</v>
      </c>
      <c r="J661" s="83">
        <f t="shared" si="154"/>
        <v>3.0517580000832822E-6</v>
      </c>
      <c r="K661" s="298" t="s">
        <v>108</v>
      </c>
      <c r="L661" s="142">
        <f t="shared" si="155"/>
        <v>45851</v>
      </c>
      <c r="M661" s="142">
        <v>45831</v>
      </c>
      <c r="N661" s="142">
        <f t="shared" si="156"/>
        <v>45833</v>
      </c>
      <c r="O661" s="143">
        <f t="shared" ca="1" si="157"/>
        <v>20</v>
      </c>
      <c r="P661" s="142">
        <f t="shared" si="151"/>
        <v>45863</v>
      </c>
      <c r="Q661" s="142"/>
      <c r="R661" s="143">
        <f t="shared" ca="1" si="152"/>
        <v>23</v>
      </c>
      <c r="S661" s="138"/>
      <c r="T661" s="138"/>
    </row>
    <row r="662" spans="1:20" hidden="1">
      <c r="A662" s="19" t="s">
        <v>188</v>
      </c>
      <c r="B662" s="291">
        <v>203</v>
      </c>
      <c r="C662" s="291" t="s">
        <v>857</v>
      </c>
      <c r="D662" s="291" t="s">
        <v>840</v>
      </c>
      <c r="E662" s="145">
        <v>45913</v>
      </c>
      <c r="F662" s="138">
        <v>77</v>
      </c>
      <c r="G662" s="138">
        <v>77</v>
      </c>
      <c r="H662" s="138"/>
      <c r="I662" s="83">
        <f t="shared" si="153"/>
        <v>73.149999999999991</v>
      </c>
      <c r="J662" s="83">
        <f t="shared" si="154"/>
        <v>0</v>
      </c>
      <c r="K662" s="298" t="s">
        <v>108</v>
      </c>
      <c r="L662" s="142">
        <f t="shared" si="155"/>
        <v>45851</v>
      </c>
      <c r="M662" s="142">
        <v>45831</v>
      </c>
      <c r="N662" s="142">
        <f t="shared" si="156"/>
        <v>45833</v>
      </c>
      <c r="O662" s="143">
        <f t="shared" ca="1" si="157"/>
        <v>20</v>
      </c>
      <c r="P662" s="142">
        <f t="shared" si="151"/>
        <v>45863</v>
      </c>
      <c r="Q662" s="142"/>
      <c r="R662" s="143">
        <f t="shared" ca="1" si="152"/>
        <v>23</v>
      </c>
      <c r="S662" s="138"/>
      <c r="T662" s="138"/>
    </row>
    <row r="663" spans="1:20" hidden="1">
      <c r="A663" s="19" t="s">
        <v>188</v>
      </c>
      <c r="B663" s="291">
        <v>203</v>
      </c>
      <c r="C663" s="291" t="s">
        <v>857</v>
      </c>
      <c r="D663" s="291" t="s">
        <v>859</v>
      </c>
      <c r="E663" s="145">
        <v>45913</v>
      </c>
      <c r="F663" s="138">
        <v>67.900001525878906</v>
      </c>
      <c r="G663" s="138">
        <v>67.900000000000006</v>
      </c>
      <c r="H663" s="138"/>
      <c r="I663" s="83">
        <f t="shared" si="153"/>
        <v>64.505001449584952</v>
      </c>
      <c r="J663" s="83">
        <f t="shared" si="154"/>
        <v>1.5258789005656581E-6</v>
      </c>
      <c r="K663" s="298" t="s">
        <v>108</v>
      </c>
      <c r="L663" s="142">
        <f t="shared" si="155"/>
        <v>45851</v>
      </c>
      <c r="M663" s="142">
        <v>45831</v>
      </c>
      <c r="N663" s="142">
        <f t="shared" si="156"/>
        <v>45833</v>
      </c>
      <c r="O663" s="143">
        <f t="shared" ca="1" si="157"/>
        <v>20</v>
      </c>
      <c r="P663" s="142">
        <f t="shared" si="151"/>
        <v>45863</v>
      </c>
      <c r="Q663" s="142"/>
      <c r="R663" s="143">
        <f t="shared" ca="1" si="152"/>
        <v>23</v>
      </c>
      <c r="S663" s="138"/>
      <c r="T663" s="138"/>
    </row>
    <row r="664" spans="1:20" hidden="1">
      <c r="A664" s="19" t="s">
        <v>188</v>
      </c>
      <c r="B664" s="291">
        <v>204</v>
      </c>
      <c r="C664" s="291" t="s">
        <v>75</v>
      </c>
      <c r="D664" s="291" t="s">
        <v>858</v>
      </c>
      <c r="E664" s="145">
        <v>45913</v>
      </c>
      <c r="F664" s="138">
        <v>95</v>
      </c>
      <c r="G664" s="138">
        <v>95</v>
      </c>
      <c r="H664" s="138"/>
      <c r="I664" s="83">
        <f t="shared" si="153"/>
        <v>90.25</v>
      </c>
      <c r="J664" s="83">
        <f t="shared" si="154"/>
        <v>0</v>
      </c>
      <c r="K664" s="298" t="s">
        <v>108</v>
      </c>
      <c r="L664" s="142">
        <f t="shared" si="155"/>
        <v>45851</v>
      </c>
      <c r="M664" s="142">
        <v>45831</v>
      </c>
      <c r="N664" s="142">
        <f t="shared" si="156"/>
        <v>45833</v>
      </c>
      <c r="O664" s="143">
        <f t="shared" ca="1" si="157"/>
        <v>20</v>
      </c>
      <c r="P664" s="142">
        <f t="shared" si="151"/>
        <v>45863</v>
      </c>
      <c r="Q664" s="142"/>
      <c r="R664" s="143">
        <f t="shared" ca="1" si="152"/>
        <v>23</v>
      </c>
      <c r="S664" s="138"/>
      <c r="T664" s="138"/>
    </row>
    <row r="665" spans="1:20" hidden="1">
      <c r="A665" s="19" t="s">
        <v>188</v>
      </c>
      <c r="B665" s="291">
        <v>204</v>
      </c>
      <c r="C665" s="291" t="s">
        <v>75</v>
      </c>
      <c r="D665" s="291" t="s">
        <v>859</v>
      </c>
      <c r="E665" s="145">
        <v>45913</v>
      </c>
      <c r="F665" s="138">
        <v>58.099998474121101</v>
      </c>
      <c r="G665" s="138">
        <v>58.1</v>
      </c>
      <c r="H665" s="138"/>
      <c r="I665" s="83">
        <f t="shared" si="153"/>
        <v>55.194998550415043</v>
      </c>
      <c r="J665" s="83">
        <f t="shared" si="154"/>
        <v>-1.5258789005656581E-6</v>
      </c>
      <c r="K665" s="298" t="s">
        <v>108</v>
      </c>
      <c r="L665" s="142">
        <f t="shared" si="155"/>
        <v>45851</v>
      </c>
      <c r="M665" s="142">
        <v>45831</v>
      </c>
      <c r="N665" s="142">
        <f t="shared" si="156"/>
        <v>45833</v>
      </c>
      <c r="O665" s="143">
        <f t="shared" ca="1" si="157"/>
        <v>20</v>
      </c>
      <c r="P665" s="142">
        <f t="shared" si="151"/>
        <v>45863</v>
      </c>
      <c r="Q665" s="142"/>
      <c r="R665" s="143">
        <f t="shared" ca="1" si="152"/>
        <v>23</v>
      </c>
      <c r="S665" s="138"/>
      <c r="T665" s="138"/>
    </row>
    <row r="666" spans="1:20" hidden="1">
      <c r="A666" s="19" t="s">
        <v>188</v>
      </c>
      <c r="B666" s="291">
        <v>204</v>
      </c>
      <c r="C666" s="291" t="s">
        <v>857</v>
      </c>
      <c r="D666" s="291" t="s">
        <v>858</v>
      </c>
      <c r="E666" s="145">
        <v>45913</v>
      </c>
      <c r="F666" s="138">
        <v>108.800003051758</v>
      </c>
      <c r="G666" s="138">
        <v>108.8</v>
      </c>
      <c r="H666" s="138"/>
      <c r="I666" s="83">
        <f t="shared" si="153"/>
        <v>103.3600028991701</v>
      </c>
      <c r="J666" s="83">
        <f t="shared" si="154"/>
        <v>3.0517580000832822E-6</v>
      </c>
      <c r="K666" s="298" t="s">
        <v>108</v>
      </c>
      <c r="L666" s="142">
        <f t="shared" si="155"/>
        <v>45851</v>
      </c>
      <c r="M666" s="142">
        <v>45831</v>
      </c>
      <c r="N666" s="142">
        <f t="shared" si="156"/>
        <v>45833</v>
      </c>
      <c r="O666" s="143">
        <f t="shared" ca="1" si="157"/>
        <v>20</v>
      </c>
      <c r="P666" s="142">
        <f t="shared" si="151"/>
        <v>45863</v>
      </c>
      <c r="Q666" s="142"/>
      <c r="R666" s="143">
        <f t="shared" ca="1" si="152"/>
        <v>23</v>
      </c>
      <c r="S666" s="138"/>
      <c r="T666" s="138"/>
    </row>
    <row r="667" spans="1:20" hidden="1">
      <c r="A667" s="19" t="s">
        <v>188</v>
      </c>
      <c r="B667" s="291">
        <v>204</v>
      </c>
      <c r="C667" s="291" t="s">
        <v>857</v>
      </c>
      <c r="D667" s="291" t="s">
        <v>859</v>
      </c>
      <c r="E667" s="145">
        <v>45913</v>
      </c>
      <c r="F667" s="138">
        <v>66.699996948242202</v>
      </c>
      <c r="G667" s="138">
        <v>67</v>
      </c>
      <c r="H667" s="138"/>
      <c r="I667" s="83">
        <f t="shared" si="153"/>
        <v>63.364997100830088</v>
      </c>
      <c r="J667" s="83">
        <f t="shared" si="154"/>
        <v>-0.30000305175779829</v>
      </c>
      <c r="K667" s="298" t="s">
        <v>108</v>
      </c>
      <c r="L667" s="142">
        <f t="shared" si="155"/>
        <v>45851</v>
      </c>
      <c r="M667" s="142">
        <v>45831</v>
      </c>
      <c r="N667" s="142">
        <f t="shared" si="156"/>
        <v>45833</v>
      </c>
      <c r="O667" s="143">
        <f t="shared" ca="1" si="157"/>
        <v>20</v>
      </c>
      <c r="P667" s="142">
        <f t="shared" si="151"/>
        <v>45863</v>
      </c>
      <c r="Q667" s="142"/>
      <c r="R667" s="143">
        <f t="shared" ca="1" si="152"/>
        <v>23</v>
      </c>
      <c r="S667" s="138"/>
      <c r="T667" s="138"/>
    </row>
    <row r="668" spans="1:20" hidden="1">
      <c r="A668" s="19" t="s">
        <v>188</v>
      </c>
      <c r="B668" s="291">
        <v>205</v>
      </c>
      <c r="C668" s="291" t="s">
        <v>77</v>
      </c>
      <c r="D668" s="291" t="s">
        <v>137</v>
      </c>
      <c r="E668" s="145">
        <v>45913</v>
      </c>
      <c r="F668" s="138">
        <v>124.59999847412099</v>
      </c>
      <c r="G668" s="138">
        <v>124.6</v>
      </c>
      <c r="H668" s="138">
        <v>121</v>
      </c>
      <c r="I668" s="83">
        <f t="shared" si="153"/>
        <v>-2.6300014495850661</v>
      </c>
      <c r="J668" s="83">
        <f t="shared" si="154"/>
        <v>-1.5258790000416411E-6</v>
      </c>
      <c r="K668" s="298" t="s">
        <v>108</v>
      </c>
      <c r="L668" s="142">
        <f t="shared" si="155"/>
        <v>45851</v>
      </c>
      <c r="M668" s="142">
        <v>45826</v>
      </c>
      <c r="N668" s="142">
        <f t="shared" si="156"/>
        <v>45828</v>
      </c>
      <c r="O668" s="143">
        <f t="shared" ca="1" si="157"/>
        <v>25</v>
      </c>
      <c r="P668" s="142">
        <f t="shared" si="151"/>
        <v>45863</v>
      </c>
      <c r="Q668" s="142">
        <v>45836</v>
      </c>
      <c r="R668" s="143">
        <f t="shared" ca="1" si="152"/>
        <v>27</v>
      </c>
      <c r="S668" s="138"/>
      <c r="T668" s="138"/>
    </row>
    <row r="669" spans="1:20" hidden="1">
      <c r="A669" s="19" t="s">
        <v>188</v>
      </c>
      <c r="B669" s="291">
        <v>205</v>
      </c>
      <c r="C669" s="291" t="s">
        <v>75</v>
      </c>
      <c r="D669" s="291" t="s">
        <v>858</v>
      </c>
      <c r="E669" s="145">
        <v>45913</v>
      </c>
      <c r="F669" s="138">
        <v>74</v>
      </c>
      <c r="G669" s="138">
        <v>74</v>
      </c>
      <c r="H669" s="138"/>
      <c r="I669" s="83">
        <f t="shared" si="153"/>
        <v>70.3</v>
      </c>
      <c r="J669" s="83">
        <f t="shared" si="154"/>
        <v>0</v>
      </c>
      <c r="K669" s="298" t="s">
        <v>108</v>
      </c>
      <c r="L669" s="142">
        <f t="shared" si="155"/>
        <v>45851</v>
      </c>
      <c r="M669" s="142">
        <v>45831</v>
      </c>
      <c r="N669" s="142">
        <f t="shared" si="156"/>
        <v>45833</v>
      </c>
      <c r="O669" s="143">
        <f t="shared" ca="1" si="157"/>
        <v>20</v>
      </c>
      <c r="P669" s="142">
        <f t="shared" si="151"/>
        <v>45863</v>
      </c>
      <c r="Q669" s="142"/>
      <c r="R669" s="143">
        <f t="shared" ca="1" si="152"/>
        <v>23</v>
      </c>
      <c r="S669" s="138"/>
      <c r="T669" s="138"/>
    </row>
    <row r="670" spans="1:20" hidden="1">
      <c r="A670" s="19" t="s">
        <v>188</v>
      </c>
      <c r="B670" s="291">
        <v>205</v>
      </c>
      <c r="C670" s="291" t="s">
        <v>75</v>
      </c>
      <c r="D670" s="291" t="s">
        <v>859</v>
      </c>
      <c r="E670" s="145">
        <v>45913</v>
      </c>
      <c r="F670" s="138">
        <v>45.299999237060497</v>
      </c>
      <c r="G670" s="138">
        <v>45.3</v>
      </c>
      <c r="H670" s="138"/>
      <c r="I670" s="83">
        <f t="shared" si="153"/>
        <v>43.034999275207468</v>
      </c>
      <c r="J670" s="83">
        <f t="shared" si="154"/>
        <v>-7.6293950002082056E-7</v>
      </c>
      <c r="K670" s="298" t="s">
        <v>108</v>
      </c>
      <c r="L670" s="142">
        <f t="shared" si="155"/>
        <v>45851</v>
      </c>
      <c r="M670" s="142">
        <v>45831</v>
      </c>
      <c r="N670" s="142">
        <f t="shared" si="156"/>
        <v>45833</v>
      </c>
      <c r="O670" s="143">
        <f t="shared" ca="1" si="157"/>
        <v>20</v>
      </c>
      <c r="P670" s="142">
        <f t="shared" si="151"/>
        <v>45863</v>
      </c>
      <c r="Q670" s="142"/>
      <c r="R670" s="143">
        <f t="shared" ca="1" si="152"/>
        <v>23</v>
      </c>
      <c r="S670" s="138"/>
      <c r="T670" s="138"/>
    </row>
    <row r="671" spans="1:20" hidden="1">
      <c r="A671" s="19" t="s">
        <v>188</v>
      </c>
      <c r="B671" s="291">
        <v>205</v>
      </c>
      <c r="C671" s="291" t="s">
        <v>857</v>
      </c>
      <c r="D671" s="291" t="s">
        <v>858</v>
      </c>
      <c r="E671" s="145">
        <v>45913</v>
      </c>
      <c r="F671" s="138">
        <v>84.800003051757798</v>
      </c>
      <c r="G671" s="138">
        <v>85</v>
      </c>
      <c r="H671" s="138"/>
      <c r="I671" s="83">
        <f t="shared" si="153"/>
        <v>80.560002899169902</v>
      </c>
      <c r="J671" s="83">
        <f t="shared" si="154"/>
        <v>-0.19999694824220171</v>
      </c>
      <c r="K671" s="298" t="s">
        <v>108</v>
      </c>
      <c r="L671" s="142">
        <f t="shared" si="155"/>
        <v>45851</v>
      </c>
      <c r="M671" s="142">
        <v>45831</v>
      </c>
      <c r="N671" s="142">
        <f t="shared" si="156"/>
        <v>45833</v>
      </c>
      <c r="O671" s="143">
        <f t="shared" ca="1" si="157"/>
        <v>20</v>
      </c>
      <c r="P671" s="142">
        <f t="shared" si="151"/>
        <v>45863</v>
      </c>
      <c r="Q671" s="142"/>
      <c r="R671" s="143">
        <f t="shared" ca="1" si="152"/>
        <v>23</v>
      </c>
      <c r="S671" s="138"/>
      <c r="T671" s="138"/>
    </row>
    <row r="672" spans="1:20" hidden="1">
      <c r="A672" s="19" t="s">
        <v>188</v>
      </c>
      <c r="B672" s="291">
        <v>205</v>
      </c>
      <c r="C672" s="291" t="s">
        <v>857</v>
      </c>
      <c r="D672" s="291" t="s">
        <v>859</v>
      </c>
      <c r="E672" s="145">
        <v>45913</v>
      </c>
      <c r="F672" s="138">
        <v>52</v>
      </c>
      <c r="G672" s="138">
        <v>52</v>
      </c>
      <c r="H672" s="138"/>
      <c r="I672" s="83">
        <f t="shared" si="153"/>
        <v>49.4</v>
      </c>
      <c r="J672" s="83">
        <f t="shared" si="154"/>
        <v>0</v>
      </c>
      <c r="K672" s="298" t="s">
        <v>108</v>
      </c>
      <c r="L672" s="142">
        <f t="shared" si="155"/>
        <v>45851</v>
      </c>
      <c r="M672" s="142">
        <v>45831</v>
      </c>
      <c r="N672" s="142">
        <f t="shared" si="156"/>
        <v>45833</v>
      </c>
      <c r="O672" s="143">
        <f t="shared" ca="1" si="157"/>
        <v>20</v>
      </c>
      <c r="P672" s="142">
        <f t="shared" si="151"/>
        <v>45863</v>
      </c>
      <c r="Q672" s="142"/>
      <c r="R672" s="143">
        <f t="shared" ca="1" si="152"/>
        <v>23</v>
      </c>
      <c r="S672" s="138"/>
      <c r="T672" s="138"/>
    </row>
    <row r="673" spans="1:20" hidden="1">
      <c r="A673" s="19" t="s">
        <v>188</v>
      </c>
      <c r="B673" s="291">
        <v>206</v>
      </c>
      <c r="C673" s="291" t="s">
        <v>79</v>
      </c>
      <c r="D673" s="291" t="s">
        <v>138</v>
      </c>
      <c r="E673" s="145">
        <v>45920</v>
      </c>
      <c r="F673" s="138">
        <v>168.39999389648401</v>
      </c>
      <c r="G673" s="138">
        <v>168.4</v>
      </c>
      <c r="H673" s="138"/>
      <c r="I673" s="83">
        <f t="shared" si="153"/>
        <v>159.97999420165979</v>
      </c>
      <c r="J673" s="83">
        <f t="shared" si="154"/>
        <v>-6.1035160001665645E-6</v>
      </c>
      <c r="K673" s="298" t="s">
        <v>108</v>
      </c>
      <c r="L673" s="142">
        <f t="shared" si="155"/>
        <v>45858</v>
      </c>
      <c r="M673" s="142">
        <v>45826</v>
      </c>
      <c r="N673" s="142">
        <f t="shared" si="156"/>
        <v>45828</v>
      </c>
      <c r="O673" s="143">
        <f t="shared" ca="1" si="157"/>
        <v>32</v>
      </c>
      <c r="P673" s="142">
        <f t="shared" si="151"/>
        <v>45870</v>
      </c>
      <c r="Q673" s="142"/>
      <c r="R673" s="143">
        <f t="shared" ca="1" si="152"/>
        <v>30</v>
      </c>
      <c r="S673" s="138"/>
      <c r="T673" s="138"/>
    </row>
    <row r="674" spans="1:20" hidden="1">
      <c r="A674" s="19" t="s">
        <v>188</v>
      </c>
      <c r="B674" s="291">
        <v>206</v>
      </c>
      <c r="C674" s="291" t="s">
        <v>75</v>
      </c>
      <c r="D674" s="291" t="s">
        <v>139</v>
      </c>
      <c r="E674" s="145">
        <v>45920</v>
      </c>
      <c r="F674" s="138">
        <v>58.299999237060497</v>
      </c>
      <c r="G674" s="138">
        <v>58.3</v>
      </c>
      <c r="H674" s="138"/>
      <c r="I674" s="83">
        <f t="shared" si="153"/>
        <v>55.38499927520747</v>
      </c>
      <c r="J674" s="83">
        <f t="shared" si="154"/>
        <v>-7.6293950002082056E-7</v>
      </c>
      <c r="K674" s="298" t="s">
        <v>108</v>
      </c>
      <c r="L674" s="142">
        <f t="shared" si="155"/>
        <v>45858</v>
      </c>
      <c r="M674" s="142">
        <v>45831</v>
      </c>
      <c r="N674" s="142">
        <f t="shared" si="156"/>
        <v>45833</v>
      </c>
      <c r="O674" s="143">
        <f t="shared" ca="1" si="157"/>
        <v>27</v>
      </c>
      <c r="P674" s="142">
        <f t="shared" si="151"/>
        <v>45870</v>
      </c>
      <c r="Q674" s="142"/>
      <c r="R674" s="143">
        <f t="shared" ca="1" si="152"/>
        <v>30</v>
      </c>
      <c r="S674" s="138"/>
      <c r="T674" s="138"/>
    </row>
    <row r="675" spans="1:20" hidden="1">
      <c r="A675" s="19" t="s">
        <v>188</v>
      </c>
      <c r="B675" s="291">
        <v>206</v>
      </c>
      <c r="C675" s="291" t="s">
        <v>75</v>
      </c>
      <c r="D675" s="291" t="s">
        <v>140</v>
      </c>
      <c r="E675" s="145">
        <v>45920</v>
      </c>
      <c r="F675" s="138">
        <v>35.700000762939503</v>
      </c>
      <c r="G675" s="138">
        <v>35.700000000000003</v>
      </c>
      <c r="H675" s="138"/>
      <c r="I675" s="83">
        <f t="shared" si="153"/>
        <v>33.915000724792527</v>
      </c>
      <c r="J675" s="83">
        <f t="shared" si="154"/>
        <v>7.6293950002082056E-7</v>
      </c>
      <c r="K675" s="298" t="s">
        <v>108</v>
      </c>
      <c r="L675" s="142">
        <f t="shared" si="155"/>
        <v>45858</v>
      </c>
      <c r="M675" s="142">
        <v>45831</v>
      </c>
      <c r="N675" s="142">
        <f t="shared" si="156"/>
        <v>45833</v>
      </c>
      <c r="O675" s="143">
        <f t="shared" ca="1" si="157"/>
        <v>27</v>
      </c>
      <c r="P675" s="142">
        <f t="shared" si="151"/>
        <v>45870</v>
      </c>
      <c r="Q675" s="142"/>
      <c r="R675" s="143">
        <f t="shared" ca="1" si="152"/>
        <v>30</v>
      </c>
      <c r="S675" s="138"/>
      <c r="T675" s="138"/>
    </row>
    <row r="676" spans="1:20" hidden="1">
      <c r="A676" s="19" t="s">
        <v>188</v>
      </c>
      <c r="B676" s="291">
        <v>206</v>
      </c>
      <c r="C676" s="291" t="s">
        <v>857</v>
      </c>
      <c r="D676" s="291" t="s">
        <v>139</v>
      </c>
      <c r="E676" s="145">
        <v>45920</v>
      </c>
      <c r="F676" s="138">
        <v>66.800003051757798</v>
      </c>
      <c r="G676" s="138">
        <v>66.8</v>
      </c>
      <c r="H676" s="138"/>
      <c r="I676" s="83">
        <f t="shared" si="153"/>
        <v>63.460002899169908</v>
      </c>
      <c r="J676" s="83">
        <f t="shared" si="154"/>
        <v>3.0517578011313162E-6</v>
      </c>
      <c r="K676" s="298" t="s">
        <v>108</v>
      </c>
      <c r="L676" s="142">
        <f t="shared" si="155"/>
        <v>45858</v>
      </c>
      <c r="M676" s="142">
        <v>45831</v>
      </c>
      <c r="N676" s="142">
        <f t="shared" si="156"/>
        <v>45833</v>
      </c>
      <c r="O676" s="143">
        <f t="shared" ca="1" si="157"/>
        <v>27</v>
      </c>
      <c r="P676" s="142">
        <f t="shared" si="151"/>
        <v>45870</v>
      </c>
      <c r="Q676" s="142"/>
      <c r="R676" s="143">
        <f t="shared" ca="1" si="152"/>
        <v>30</v>
      </c>
      <c r="S676" s="138"/>
      <c r="T676" s="138"/>
    </row>
    <row r="677" spans="1:20" hidden="1">
      <c r="A677" s="19" t="s">
        <v>188</v>
      </c>
      <c r="B677" s="291">
        <v>206</v>
      </c>
      <c r="C677" s="291" t="s">
        <v>857</v>
      </c>
      <c r="D677" s="291" t="s">
        <v>140</v>
      </c>
      <c r="E677" s="145">
        <v>45920</v>
      </c>
      <c r="F677" s="138">
        <v>40.900001525878899</v>
      </c>
      <c r="G677" s="138">
        <v>40.9</v>
      </c>
      <c r="H677" s="138"/>
      <c r="I677" s="83">
        <f t="shared" si="153"/>
        <v>38.855001449584954</v>
      </c>
      <c r="J677" s="83">
        <f t="shared" si="154"/>
        <v>1.5258789005656581E-6</v>
      </c>
      <c r="K677" s="298" t="s">
        <v>108</v>
      </c>
      <c r="L677" s="142">
        <f t="shared" si="155"/>
        <v>45858</v>
      </c>
      <c r="M677" s="142">
        <v>45831</v>
      </c>
      <c r="N677" s="142">
        <f t="shared" si="156"/>
        <v>45833</v>
      </c>
      <c r="O677" s="143">
        <f t="shared" ca="1" si="157"/>
        <v>27</v>
      </c>
      <c r="P677" s="142">
        <f t="shared" si="151"/>
        <v>45870</v>
      </c>
      <c r="Q677" s="142"/>
      <c r="R677" s="143">
        <f t="shared" ca="1" si="152"/>
        <v>30</v>
      </c>
      <c r="S677" s="138"/>
      <c r="T677" s="138"/>
    </row>
    <row r="678" spans="1:20" hidden="1">
      <c r="A678" s="19" t="s">
        <v>188</v>
      </c>
      <c r="B678" s="291">
        <v>207</v>
      </c>
      <c r="C678" s="291" t="s">
        <v>77</v>
      </c>
      <c r="D678" s="291" t="s">
        <v>137</v>
      </c>
      <c r="E678" s="145">
        <v>45920</v>
      </c>
      <c r="F678" s="138">
        <v>162.89999389648401</v>
      </c>
      <c r="G678" s="138">
        <v>162.9</v>
      </c>
      <c r="H678" s="138">
        <v>158</v>
      </c>
      <c r="I678" s="83">
        <f t="shared" si="153"/>
        <v>-3.2450057983402019</v>
      </c>
      <c r="J678" s="83">
        <f t="shared" si="154"/>
        <v>-6.1035160001665645E-6</v>
      </c>
      <c r="K678" s="298" t="s">
        <v>108</v>
      </c>
      <c r="L678" s="142">
        <f t="shared" si="155"/>
        <v>45858</v>
      </c>
      <c r="M678" s="142">
        <v>45826</v>
      </c>
      <c r="N678" s="142">
        <f t="shared" si="156"/>
        <v>45828</v>
      </c>
      <c r="O678" s="143">
        <f t="shared" ca="1" si="157"/>
        <v>32</v>
      </c>
      <c r="P678" s="142">
        <f t="shared" si="151"/>
        <v>45870</v>
      </c>
      <c r="Q678" s="142">
        <v>45836</v>
      </c>
      <c r="R678" s="143">
        <f t="shared" ca="1" si="152"/>
        <v>34</v>
      </c>
      <c r="S678" s="138"/>
      <c r="T678" s="138"/>
    </row>
    <row r="679" spans="1:20" hidden="1">
      <c r="A679" s="19" t="s">
        <v>188</v>
      </c>
      <c r="B679" s="291">
        <v>207</v>
      </c>
      <c r="C679" s="291" t="s">
        <v>82</v>
      </c>
      <c r="D679" s="291" t="s">
        <v>141</v>
      </c>
      <c r="E679" s="145">
        <v>45920</v>
      </c>
      <c r="F679" s="138">
        <v>61.099998474121101</v>
      </c>
      <c r="G679" s="138">
        <v>61.1</v>
      </c>
      <c r="H679" s="138">
        <v>58</v>
      </c>
      <c r="I679" s="83">
        <f t="shared" si="153"/>
        <v>4.4998550415044747E-2</v>
      </c>
      <c r="J679" s="83">
        <f t="shared" si="154"/>
        <v>-1.5258789005656581E-6</v>
      </c>
      <c r="K679" s="298" t="s">
        <v>900</v>
      </c>
      <c r="L679" s="142">
        <f t="shared" ref="L679:L691" si="158">P679-12</f>
        <v>45858</v>
      </c>
      <c r="M679" s="142">
        <v>45818</v>
      </c>
      <c r="N679" s="142">
        <f t="shared" si="156"/>
        <v>45820</v>
      </c>
      <c r="O679" s="143">
        <f t="shared" ref="O679:O691" ca="1" si="159">+IF(M679="",L679-TODAY(),L679-M679)</f>
        <v>40</v>
      </c>
      <c r="P679" s="142">
        <f t="shared" si="151"/>
        <v>45870</v>
      </c>
      <c r="Q679" s="142">
        <v>45835</v>
      </c>
      <c r="R679" s="143">
        <f t="shared" ref="R679:R691" ca="1" si="160">+IF(Q679="",P679-TODAY(),P679-Q679)</f>
        <v>35</v>
      </c>
      <c r="S679" s="138"/>
      <c r="T679" s="138"/>
    </row>
    <row r="680" spans="1:20" hidden="1">
      <c r="A680" s="19" t="s">
        <v>188</v>
      </c>
      <c r="B680" s="291">
        <v>207</v>
      </c>
      <c r="C680" s="291" t="s">
        <v>82</v>
      </c>
      <c r="D680" s="291" t="s">
        <v>143</v>
      </c>
      <c r="E680" s="145">
        <v>45920</v>
      </c>
      <c r="F680" s="138">
        <v>61.099998474121101</v>
      </c>
      <c r="G680" s="138">
        <v>61.1</v>
      </c>
      <c r="H680" s="138">
        <v>58</v>
      </c>
      <c r="I680" s="83">
        <f t="shared" si="153"/>
        <v>4.4998550415044747E-2</v>
      </c>
      <c r="J680" s="83">
        <f t="shared" si="154"/>
        <v>-1.5258789005656581E-6</v>
      </c>
      <c r="K680" s="298" t="s">
        <v>900</v>
      </c>
      <c r="L680" s="142">
        <f t="shared" si="158"/>
        <v>45858</v>
      </c>
      <c r="M680" s="142">
        <v>45818</v>
      </c>
      <c r="N680" s="142">
        <f t="shared" si="156"/>
        <v>45820</v>
      </c>
      <c r="O680" s="143">
        <f t="shared" ca="1" si="159"/>
        <v>40</v>
      </c>
      <c r="P680" s="142">
        <f t="shared" si="151"/>
        <v>45870</v>
      </c>
      <c r="Q680" s="142">
        <v>45835</v>
      </c>
      <c r="R680" s="143">
        <f t="shared" ca="1" si="160"/>
        <v>35</v>
      </c>
      <c r="S680" s="138"/>
      <c r="T680" s="138"/>
    </row>
    <row r="681" spans="1:20" hidden="1">
      <c r="A681" s="19" t="s">
        <v>188</v>
      </c>
      <c r="B681" s="291">
        <v>207</v>
      </c>
      <c r="C681" s="291" t="s">
        <v>82</v>
      </c>
      <c r="D681" s="291" t="s">
        <v>144</v>
      </c>
      <c r="E681" s="145">
        <v>45920</v>
      </c>
      <c r="F681" s="138">
        <v>61.099998474121101</v>
      </c>
      <c r="G681" s="138">
        <v>61.1</v>
      </c>
      <c r="H681" s="138">
        <v>58</v>
      </c>
      <c r="I681" s="83">
        <f t="shared" si="153"/>
        <v>4.4998550415044747E-2</v>
      </c>
      <c r="J681" s="83">
        <f t="shared" si="154"/>
        <v>-1.5258789005656581E-6</v>
      </c>
      <c r="K681" s="298" t="s">
        <v>900</v>
      </c>
      <c r="L681" s="142">
        <f t="shared" si="158"/>
        <v>45858</v>
      </c>
      <c r="M681" s="142">
        <v>45818</v>
      </c>
      <c r="N681" s="142">
        <f t="shared" si="156"/>
        <v>45820</v>
      </c>
      <c r="O681" s="143">
        <f t="shared" ca="1" si="159"/>
        <v>40</v>
      </c>
      <c r="P681" s="142">
        <f t="shared" si="151"/>
        <v>45870</v>
      </c>
      <c r="Q681" s="142">
        <v>45835</v>
      </c>
      <c r="R681" s="143">
        <f t="shared" ca="1" si="160"/>
        <v>35</v>
      </c>
      <c r="S681" s="138"/>
      <c r="T681" s="138"/>
    </row>
    <row r="682" spans="1:20" hidden="1">
      <c r="A682" s="19" t="s">
        <v>188</v>
      </c>
      <c r="B682" s="291">
        <v>207</v>
      </c>
      <c r="C682" s="291" t="s">
        <v>79</v>
      </c>
      <c r="D682" s="291" t="s">
        <v>145</v>
      </c>
      <c r="E682" s="145">
        <v>45920</v>
      </c>
      <c r="F682" s="138">
        <v>5.0999999046325701</v>
      </c>
      <c r="G682" s="138">
        <v>5.0999999999999996</v>
      </c>
      <c r="H682" s="138"/>
      <c r="I682" s="83">
        <f t="shared" si="153"/>
        <v>4.8449999094009417</v>
      </c>
      <c r="J682" s="83">
        <f t="shared" si="154"/>
        <v>-9.5367429508996793E-8</v>
      </c>
      <c r="K682" s="298" t="s">
        <v>108</v>
      </c>
      <c r="L682" s="142">
        <f t="shared" si="158"/>
        <v>45858</v>
      </c>
      <c r="M682" s="142">
        <v>45833</v>
      </c>
      <c r="N682" s="142">
        <f t="shared" si="156"/>
        <v>45835</v>
      </c>
      <c r="O682" s="143">
        <f t="shared" ca="1" si="159"/>
        <v>25</v>
      </c>
      <c r="P682" s="142">
        <f t="shared" si="151"/>
        <v>45870</v>
      </c>
      <c r="Q682" s="142"/>
      <c r="R682" s="143">
        <f t="shared" ca="1" si="160"/>
        <v>30</v>
      </c>
      <c r="S682" s="138"/>
      <c r="T682" s="138"/>
    </row>
    <row r="683" spans="1:20" hidden="1">
      <c r="A683" s="19" t="s">
        <v>188</v>
      </c>
      <c r="B683" s="291">
        <v>207</v>
      </c>
      <c r="C683" s="291" t="s">
        <v>75</v>
      </c>
      <c r="D683" s="291" t="s">
        <v>841</v>
      </c>
      <c r="E683" s="145">
        <v>45920</v>
      </c>
      <c r="F683" s="138">
        <v>36.900001525878899</v>
      </c>
      <c r="G683" s="138">
        <v>37</v>
      </c>
      <c r="H683" s="138"/>
      <c r="I683" s="83">
        <f t="shared" si="153"/>
        <v>35.05500144958495</v>
      </c>
      <c r="J683" s="83">
        <f t="shared" si="154"/>
        <v>-9.9998474121100855E-2</v>
      </c>
      <c r="K683" s="298" t="s">
        <v>108</v>
      </c>
      <c r="L683" s="142">
        <f t="shared" si="158"/>
        <v>45858</v>
      </c>
      <c r="M683" s="142">
        <v>45831</v>
      </c>
      <c r="N683" s="142">
        <f t="shared" si="156"/>
        <v>45833</v>
      </c>
      <c r="O683" s="143">
        <f t="shared" ca="1" si="159"/>
        <v>27</v>
      </c>
      <c r="P683" s="142">
        <f t="shared" si="151"/>
        <v>45870</v>
      </c>
      <c r="Q683" s="142"/>
      <c r="R683" s="143">
        <f t="shared" ca="1" si="160"/>
        <v>30</v>
      </c>
      <c r="S683" s="138"/>
      <c r="T683" s="138"/>
    </row>
    <row r="684" spans="1:20" hidden="1">
      <c r="A684" s="19" t="s">
        <v>188</v>
      </c>
      <c r="B684" s="291">
        <v>207</v>
      </c>
      <c r="C684" s="291" t="s">
        <v>75</v>
      </c>
      <c r="D684" s="291" t="s">
        <v>840</v>
      </c>
      <c r="E684" s="145">
        <v>45920</v>
      </c>
      <c r="F684" s="138">
        <v>34.5</v>
      </c>
      <c r="G684" s="138">
        <v>34.5</v>
      </c>
      <c r="H684" s="138"/>
      <c r="I684" s="83">
        <f t="shared" si="153"/>
        <v>32.774999999999999</v>
      </c>
      <c r="J684" s="83">
        <f t="shared" si="154"/>
        <v>0</v>
      </c>
      <c r="K684" s="298" t="s">
        <v>108</v>
      </c>
      <c r="L684" s="142">
        <f t="shared" si="158"/>
        <v>45858</v>
      </c>
      <c r="M684" s="142">
        <v>45831</v>
      </c>
      <c r="N684" s="142">
        <f t="shared" si="156"/>
        <v>45833</v>
      </c>
      <c r="O684" s="143">
        <f t="shared" ca="1" si="159"/>
        <v>27</v>
      </c>
      <c r="P684" s="142">
        <f t="shared" si="151"/>
        <v>45870</v>
      </c>
      <c r="Q684" s="142"/>
      <c r="R684" s="143">
        <f t="shared" ca="1" si="160"/>
        <v>30</v>
      </c>
      <c r="S684" s="138"/>
      <c r="T684" s="138"/>
    </row>
    <row r="685" spans="1:20" hidden="1">
      <c r="A685" s="19" t="s">
        <v>188</v>
      </c>
      <c r="B685" s="291">
        <v>207</v>
      </c>
      <c r="C685" s="291" t="s">
        <v>857</v>
      </c>
      <c r="D685" s="291" t="s">
        <v>841</v>
      </c>
      <c r="E685" s="145">
        <v>45920</v>
      </c>
      <c r="F685" s="138">
        <v>42.299999237060497</v>
      </c>
      <c r="G685" s="138">
        <v>42.3</v>
      </c>
      <c r="H685" s="138"/>
      <c r="I685" s="83">
        <f t="shared" si="153"/>
        <v>40.184999275207467</v>
      </c>
      <c r="J685" s="83">
        <f t="shared" si="154"/>
        <v>-7.6293950002082056E-7</v>
      </c>
      <c r="K685" s="298" t="s">
        <v>108</v>
      </c>
      <c r="L685" s="142">
        <f t="shared" si="158"/>
        <v>45858</v>
      </c>
      <c r="M685" s="142">
        <v>45831</v>
      </c>
      <c r="N685" s="142">
        <f t="shared" si="156"/>
        <v>45833</v>
      </c>
      <c r="O685" s="143">
        <f t="shared" ca="1" si="159"/>
        <v>27</v>
      </c>
      <c r="P685" s="142">
        <f t="shared" si="151"/>
        <v>45870</v>
      </c>
      <c r="Q685" s="142"/>
      <c r="R685" s="143">
        <f t="shared" ca="1" si="160"/>
        <v>30</v>
      </c>
      <c r="S685" s="138"/>
      <c r="T685" s="138"/>
    </row>
    <row r="686" spans="1:20" hidden="1">
      <c r="A686" s="19" t="s">
        <v>188</v>
      </c>
      <c r="B686" s="291">
        <v>207</v>
      </c>
      <c r="C686" s="291" t="s">
        <v>857</v>
      </c>
      <c r="D686" s="291" t="s">
        <v>840</v>
      </c>
      <c r="E686" s="145">
        <v>45920</v>
      </c>
      <c r="F686" s="138">
        <v>39.599998474121101</v>
      </c>
      <c r="G686" s="138">
        <v>39.6</v>
      </c>
      <c r="H686" s="138"/>
      <c r="I686" s="83">
        <f t="shared" si="153"/>
        <v>37.619998550415048</v>
      </c>
      <c r="J686" s="83">
        <f t="shared" si="154"/>
        <v>-1.5258789005656581E-6</v>
      </c>
      <c r="K686" s="298" t="s">
        <v>108</v>
      </c>
      <c r="L686" s="142">
        <f t="shared" si="158"/>
        <v>45858</v>
      </c>
      <c r="M686" s="142">
        <v>45831</v>
      </c>
      <c r="N686" s="142">
        <f t="shared" si="156"/>
        <v>45833</v>
      </c>
      <c r="O686" s="143">
        <f t="shared" ca="1" si="159"/>
        <v>27</v>
      </c>
      <c r="P686" s="142">
        <f t="shared" si="151"/>
        <v>45870</v>
      </c>
      <c r="Q686" s="142"/>
      <c r="R686" s="143">
        <f t="shared" ca="1" si="160"/>
        <v>30</v>
      </c>
      <c r="S686" s="138"/>
      <c r="T686" s="138"/>
    </row>
    <row r="687" spans="1:20" hidden="1">
      <c r="A687" s="19" t="s">
        <v>188</v>
      </c>
      <c r="B687" s="291">
        <v>208</v>
      </c>
      <c r="C687" s="291" t="s">
        <v>77</v>
      </c>
      <c r="D687" s="291" t="s">
        <v>137</v>
      </c>
      <c r="E687" s="145">
        <v>45920</v>
      </c>
      <c r="F687" s="138">
        <v>124.59999847412099</v>
      </c>
      <c r="G687" s="138">
        <v>124.6</v>
      </c>
      <c r="H687" s="138">
        <v>121</v>
      </c>
      <c r="I687" s="83">
        <f t="shared" si="153"/>
        <v>-2.6300014495850661</v>
      </c>
      <c r="J687" s="83">
        <f t="shared" si="154"/>
        <v>-1.5258790000416411E-6</v>
      </c>
      <c r="K687" s="298" t="s">
        <v>108</v>
      </c>
      <c r="L687" s="142">
        <f t="shared" si="158"/>
        <v>45858</v>
      </c>
      <c r="M687" s="142">
        <v>45826</v>
      </c>
      <c r="N687" s="142">
        <f t="shared" si="156"/>
        <v>45828</v>
      </c>
      <c r="O687" s="143">
        <f t="shared" ca="1" si="159"/>
        <v>32</v>
      </c>
      <c r="P687" s="142">
        <f t="shared" si="151"/>
        <v>45870</v>
      </c>
      <c r="Q687" s="142">
        <v>45836</v>
      </c>
      <c r="R687" s="143">
        <f t="shared" ca="1" si="160"/>
        <v>34</v>
      </c>
      <c r="S687" s="138"/>
      <c r="T687" s="138"/>
    </row>
    <row r="688" spans="1:20" hidden="1">
      <c r="A688" s="19" t="s">
        <v>188</v>
      </c>
      <c r="B688" s="291">
        <v>208</v>
      </c>
      <c r="C688" s="291" t="s">
        <v>82</v>
      </c>
      <c r="D688" s="291" t="s">
        <v>141</v>
      </c>
      <c r="E688" s="145">
        <v>45920</v>
      </c>
      <c r="F688" s="138">
        <v>77.400001525878906</v>
      </c>
      <c r="G688" s="138">
        <v>77.400000000000006</v>
      </c>
      <c r="H688" s="138">
        <v>74</v>
      </c>
      <c r="I688" s="83">
        <f t="shared" si="153"/>
        <v>-0.4699985504150419</v>
      </c>
      <c r="J688" s="83">
        <f t="shared" si="154"/>
        <v>1.5258789005656581E-6</v>
      </c>
      <c r="K688" s="298" t="s">
        <v>900</v>
      </c>
      <c r="L688" s="142">
        <f t="shared" si="158"/>
        <v>45858</v>
      </c>
      <c r="M688" s="142">
        <v>45818</v>
      </c>
      <c r="N688" s="142">
        <f t="shared" si="156"/>
        <v>45820</v>
      </c>
      <c r="O688" s="143">
        <f t="shared" ca="1" si="159"/>
        <v>40</v>
      </c>
      <c r="P688" s="142">
        <f t="shared" si="151"/>
        <v>45870</v>
      </c>
      <c r="Q688" s="142">
        <v>45835</v>
      </c>
      <c r="R688" s="143">
        <f t="shared" ca="1" si="160"/>
        <v>35</v>
      </c>
      <c r="S688" s="138"/>
      <c r="T688" s="138"/>
    </row>
    <row r="689" spans="1:20" hidden="1">
      <c r="A689" s="19" t="s">
        <v>188</v>
      </c>
      <c r="B689" s="291">
        <v>208</v>
      </c>
      <c r="C689" s="291" t="s">
        <v>82</v>
      </c>
      <c r="D689" s="291" t="s">
        <v>143</v>
      </c>
      <c r="E689" s="145">
        <v>45920</v>
      </c>
      <c r="F689" s="138">
        <v>77.400001525878906</v>
      </c>
      <c r="G689" s="138">
        <v>77.400000000000006</v>
      </c>
      <c r="H689" s="138">
        <v>74</v>
      </c>
      <c r="I689" s="83">
        <f t="shared" si="153"/>
        <v>-0.4699985504150419</v>
      </c>
      <c r="J689" s="83">
        <f t="shared" si="154"/>
        <v>1.5258789005656581E-6</v>
      </c>
      <c r="K689" s="298" t="s">
        <v>900</v>
      </c>
      <c r="L689" s="142">
        <f t="shared" si="158"/>
        <v>45858</v>
      </c>
      <c r="M689" s="142">
        <v>45818</v>
      </c>
      <c r="N689" s="142">
        <f t="shared" si="156"/>
        <v>45820</v>
      </c>
      <c r="O689" s="143">
        <f t="shared" ca="1" si="159"/>
        <v>40</v>
      </c>
      <c r="P689" s="142">
        <f t="shared" si="151"/>
        <v>45870</v>
      </c>
      <c r="Q689" s="142">
        <v>45835</v>
      </c>
      <c r="R689" s="143">
        <f t="shared" ca="1" si="160"/>
        <v>35</v>
      </c>
      <c r="S689" s="138"/>
      <c r="T689" s="138"/>
    </row>
    <row r="690" spans="1:20" hidden="1">
      <c r="A690" s="19" t="s">
        <v>188</v>
      </c>
      <c r="B690" s="291">
        <v>208</v>
      </c>
      <c r="C690" s="291" t="s">
        <v>82</v>
      </c>
      <c r="D690" s="291" t="s">
        <v>144</v>
      </c>
      <c r="E690" s="145">
        <v>45920</v>
      </c>
      <c r="F690" s="138">
        <v>77.400001525878906</v>
      </c>
      <c r="G690" s="138">
        <v>77.400000000000006</v>
      </c>
      <c r="H690" s="138">
        <v>74</v>
      </c>
      <c r="I690" s="83">
        <f t="shared" si="153"/>
        <v>-0.4699985504150419</v>
      </c>
      <c r="J690" s="83">
        <f t="shared" si="154"/>
        <v>1.5258789005656581E-6</v>
      </c>
      <c r="K690" s="298" t="s">
        <v>900</v>
      </c>
      <c r="L690" s="142">
        <f t="shared" si="158"/>
        <v>45858</v>
      </c>
      <c r="M690" s="142">
        <v>45818</v>
      </c>
      <c r="N690" s="142">
        <f t="shared" si="156"/>
        <v>45820</v>
      </c>
      <c r="O690" s="143">
        <f t="shared" ca="1" si="159"/>
        <v>40</v>
      </c>
      <c r="P690" s="142">
        <f t="shared" si="151"/>
        <v>45870</v>
      </c>
      <c r="Q690" s="142">
        <v>45835</v>
      </c>
      <c r="R690" s="143">
        <f t="shared" ca="1" si="160"/>
        <v>35</v>
      </c>
      <c r="S690" s="138"/>
      <c r="T690" s="138"/>
    </row>
    <row r="691" spans="1:20" hidden="1">
      <c r="A691" s="19" t="s">
        <v>188</v>
      </c>
      <c r="B691" s="291">
        <v>208</v>
      </c>
      <c r="C691" s="291" t="s">
        <v>79</v>
      </c>
      <c r="D691" s="291" t="s">
        <v>145</v>
      </c>
      <c r="E691" s="145">
        <v>45920</v>
      </c>
      <c r="F691" s="138">
        <v>6.5</v>
      </c>
      <c r="G691" s="138">
        <v>6.5</v>
      </c>
      <c r="H691" s="138"/>
      <c r="I691" s="83">
        <f t="shared" si="153"/>
        <v>6.1749999999999998</v>
      </c>
      <c r="J691" s="83">
        <f t="shared" si="154"/>
        <v>0</v>
      </c>
      <c r="K691" s="298" t="s">
        <v>108</v>
      </c>
      <c r="L691" s="142">
        <f t="shared" si="158"/>
        <v>45858</v>
      </c>
      <c r="M691" s="142">
        <v>45833</v>
      </c>
      <c r="N691" s="142">
        <f t="shared" si="156"/>
        <v>45835</v>
      </c>
      <c r="O691" s="143">
        <f t="shared" ca="1" si="159"/>
        <v>25</v>
      </c>
      <c r="P691" s="142">
        <f t="shared" si="151"/>
        <v>45870</v>
      </c>
      <c r="Q691" s="142"/>
      <c r="R691" s="143">
        <f t="shared" ca="1" si="160"/>
        <v>30</v>
      </c>
      <c r="S691" s="138"/>
      <c r="T691" s="138"/>
    </row>
    <row r="692" spans="1:20" hidden="1">
      <c r="A692" s="19" t="s">
        <v>188</v>
      </c>
      <c r="B692" s="291">
        <v>208</v>
      </c>
      <c r="C692" s="291" t="s">
        <v>80</v>
      </c>
      <c r="D692" s="291" t="s">
        <v>146</v>
      </c>
      <c r="E692" s="145">
        <v>45920</v>
      </c>
      <c r="F692" s="138">
        <v>604.40002441406295</v>
      </c>
      <c r="G692" s="138">
        <v>604.4</v>
      </c>
      <c r="H692" s="138">
        <v>574</v>
      </c>
      <c r="I692" s="83">
        <f t="shared" si="153"/>
        <v>0.18002319335982975</v>
      </c>
      <c r="J692" s="83">
        <f t="shared" si="154"/>
        <v>2.4414062977484718E-5</v>
      </c>
      <c r="K692" s="298" t="s">
        <v>133</v>
      </c>
      <c r="L692" s="142">
        <f t="shared" ref="L692:L712" si="161">P692-12</f>
        <v>45845</v>
      </c>
      <c r="M692" s="142">
        <v>45822</v>
      </c>
      <c r="N692" s="142">
        <f t="shared" si="156"/>
        <v>45824</v>
      </c>
      <c r="O692" s="143">
        <f t="shared" ref="O692:O712" ca="1" si="162">+IF(M692="",L692-TODAY(),L692-M692)</f>
        <v>23</v>
      </c>
      <c r="P692" s="142">
        <f>E692-34-13-16</f>
        <v>45857</v>
      </c>
      <c r="Q692" s="142">
        <v>45832</v>
      </c>
      <c r="R692" s="143">
        <f t="shared" ref="R692:R712" ca="1" si="163">+IF(Q692="",P692-TODAY(),P692-Q692)</f>
        <v>25</v>
      </c>
      <c r="S692" s="138"/>
      <c r="T692" s="138"/>
    </row>
    <row r="693" spans="1:20" hidden="1">
      <c r="A693" s="19" t="s">
        <v>188</v>
      </c>
      <c r="B693" s="291">
        <v>208</v>
      </c>
      <c r="C693" s="291" t="s">
        <v>75</v>
      </c>
      <c r="D693" s="291" t="s">
        <v>841</v>
      </c>
      <c r="E693" s="145">
        <v>45920</v>
      </c>
      <c r="F693" s="138">
        <v>70.5</v>
      </c>
      <c r="G693" s="138">
        <v>70.5</v>
      </c>
      <c r="H693" s="138"/>
      <c r="I693" s="83">
        <f t="shared" si="153"/>
        <v>66.974999999999994</v>
      </c>
      <c r="J693" s="83">
        <f t="shared" si="154"/>
        <v>0</v>
      </c>
      <c r="K693" s="298" t="s">
        <v>108</v>
      </c>
      <c r="L693" s="142">
        <f t="shared" si="161"/>
        <v>45858</v>
      </c>
      <c r="M693" s="142">
        <v>45831</v>
      </c>
      <c r="N693" s="142">
        <f t="shared" si="156"/>
        <v>45833</v>
      </c>
      <c r="O693" s="143">
        <f t="shared" ca="1" si="162"/>
        <v>27</v>
      </c>
      <c r="P693" s="142">
        <f>E693-34-16</f>
        <v>45870</v>
      </c>
      <c r="Q693" s="142"/>
      <c r="R693" s="143">
        <f t="shared" ca="1" si="163"/>
        <v>30</v>
      </c>
      <c r="S693" s="138"/>
      <c r="T693" s="138"/>
    </row>
    <row r="694" spans="1:20" hidden="1">
      <c r="A694" s="19" t="s">
        <v>188</v>
      </c>
      <c r="B694" s="291">
        <v>208</v>
      </c>
      <c r="C694" s="291" t="s">
        <v>75</v>
      </c>
      <c r="D694" s="291" t="s">
        <v>840</v>
      </c>
      <c r="E694" s="145">
        <v>45920</v>
      </c>
      <c r="F694" s="138">
        <v>66</v>
      </c>
      <c r="G694" s="138">
        <v>66</v>
      </c>
      <c r="H694" s="138"/>
      <c r="I694" s="83">
        <f t="shared" si="153"/>
        <v>62.699999999999996</v>
      </c>
      <c r="J694" s="83">
        <f t="shared" si="154"/>
        <v>0</v>
      </c>
      <c r="K694" s="298" t="s">
        <v>108</v>
      </c>
      <c r="L694" s="142">
        <f t="shared" si="161"/>
        <v>45858</v>
      </c>
      <c r="M694" s="142">
        <v>45831</v>
      </c>
      <c r="N694" s="142">
        <f t="shared" si="156"/>
        <v>45833</v>
      </c>
      <c r="O694" s="143">
        <f t="shared" ca="1" si="162"/>
        <v>27</v>
      </c>
      <c r="P694" s="142">
        <f>E694-34-16</f>
        <v>45870</v>
      </c>
      <c r="Q694" s="142"/>
      <c r="R694" s="143">
        <f t="shared" ca="1" si="163"/>
        <v>30</v>
      </c>
      <c r="S694" s="138"/>
      <c r="T694" s="138"/>
    </row>
    <row r="695" spans="1:20" hidden="1">
      <c r="A695" s="19" t="s">
        <v>188</v>
      </c>
      <c r="B695" s="291">
        <v>208</v>
      </c>
      <c r="C695" s="291" t="s">
        <v>857</v>
      </c>
      <c r="D695" s="291" t="s">
        <v>841</v>
      </c>
      <c r="E695" s="145">
        <v>45920</v>
      </c>
      <c r="F695" s="138">
        <v>80.900001525878906</v>
      </c>
      <c r="G695" s="138">
        <v>80.900000000000006</v>
      </c>
      <c r="H695" s="138"/>
      <c r="I695" s="83">
        <f t="shared" si="153"/>
        <v>76.855001449584961</v>
      </c>
      <c r="J695" s="83">
        <f t="shared" si="154"/>
        <v>1.5258789005656581E-6</v>
      </c>
      <c r="K695" s="298" t="s">
        <v>108</v>
      </c>
      <c r="L695" s="142">
        <f t="shared" si="161"/>
        <v>45858</v>
      </c>
      <c r="M695" s="142">
        <v>45831</v>
      </c>
      <c r="N695" s="142">
        <f t="shared" si="156"/>
        <v>45833</v>
      </c>
      <c r="O695" s="143">
        <f t="shared" ca="1" si="162"/>
        <v>27</v>
      </c>
      <c r="P695" s="142">
        <f>E695-34-16</f>
        <v>45870</v>
      </c>
      <c r="Q695" s="142"/>
      <c r="R695" s="143">
        <f t="shared" ca="1" si="163"/>
        <v>30</v>
      </c>
      <c r="S695" s="138"/>
      <c r="T695" s="138"/>
    </row>
    <row r="696" spans="1:20" hidden="1">
      <c r="A696" s="19" t="s">
        <v>188</v>
      </c>
      <c r="B696" s="291">
        <v>208</v>
      </c>
      <c r="C696" s="291" t="s">
        <v>857</v>
      </c>
      <c r="D696" s="291" t="s">
        <v>840</v>
      </c>
      <c r="E696" s="145">
        <v>45920</v>
      </c>
      <c r="F696" s="138">
        <v>75.699996948242202</v>
      </c>
      <c r="G696" s="138">
        <v>75.7</v>
      </c>
      <c r="H696" s="138"/>
      <c r="I696" s="83">
        <f t="shared" si="153"/>
        <v>71.914997100830092</v>
      </c>
      <c r="J696" s="83">
        <f t="shared" si="154"/>
        <v>-3.0517578011313162E-6</v>
      </c>
      <c r="K696" s="298" t="s">
        <v>108</v>
      </c>
      <c r="L696" s="142">
        <f t="shared" si="161"/>
        <v>45858</v>
      </c>
      <c r="M696" s="142">
        <v>45831</v>
      </c>
      <c r="N696" s="142">
        <f t="shared" si="156"/>
        <v>45833</v>
      </c>
      <c r="O696" s="143">
        <f t="shared" ca="1" si="162"/>
        <v>27</v>
      </c>
      <c r="P696" s="142">
        <f>E696-34-16</f>
        <v>45870</v>
      </c>
      <c r="Q696" s="142"/>
      <c r="R696" s="143">
        <f t="shared" ca="1" si="163"/>
        <v>30</v>
      </c>
      <c r="S696" s="138"/>
      <c r="T696" s="138"/>
    </row>
    <row r="697" spans="1:20" hidden="1">
      <c r="A697" s="19" t="s">
        <v>188</v>
      </c>
      <c r="B697" s="291">
        <v>209</v>
      </c>
      <c r="C697" s="291" t="s">
        <v>79</v>
      </c>
      <c r="D697" s="291" t="s">
        <v>146</v>
      </c>
      <c r="E697" s="145">
        <v>45920</v>
      </c>
      <c r="F697" s="138">
        <v>6.1999998092651403</v>
      </c>
      <c r="G697" s="138">
        <v>6.2</v>
      </c>
      <c r="H697" s="138"/>
      <c r="I697" s="83">
        <f t="shared" si="153"/>
        <v>5.8899998188018827</v>
      </c>
      <c r="J697" s="83">
        <f t="shared" si="154"/>
        <v>-1.9073485990617201E-7</v>
      </c>
      <c r="K697" s="298" t="s">
        <v>108</v>
      </c>
      <c r="L697" s="142">
        <f t="shared" si="161"/>
        <v>45845</v>
      </c>
      <c r="M697" s="142">
        <v>45833</v>
      </c>
      <c r="N697" s="142">
        <f t="shared" si="156"/>
        <v>45835</v>
      </c>
      <c r="O697" s="143">
        <f t="shared" ca="1" si="162"/>
        <v>12</v>
      </c>
      <c r="P697" s="142">
        <f>E697-34-13-16</f>
        <v>45857</v>
      </c>
      <c r="Q697" s="142"/>
      <c r="R697" s="143">
        <f t="shared" ca="1" si="163"/>
        <v>17</v>
      </c>
      <c r="S697" s="138"/>
      <c r="T697" s="138"/>
    </row>
    <row r="698" spans="1:20" hidden="1">
      <c r="A698" s="19" t="s">
        <v>188</v>
      </c>
      <c r="B698" s="291">
        <v>209</v>
      </c>
      <c r="C698" s="291" t="s">
        <v>80</v>
      </c>
      <c r="D698" s="291" t="s">
        <v>146</v>
      </c>
      <c r="E698" s="145">
        <v>45920</v>
      </c>
      <c r="F698" s="138">
        <v>561.20001220703102</v>
      </c>
      <c r="G698" s="138">
        <v>561.20000000000005</v>
      </c>
      <c r="H698" s="138">
        <v>533</v>
      </c>
      <c r="I698" s="83">
        <f t="shared" si="153"/>
        <v>0.14001159667941465</v>
      </c>
      <c r="J698" s="83">
        <f t="shared" si="154"/>
        <v>1.2207030977151589E-5</v>
      </c>
      <c r="K698" s="298" t="s">
        <v>133</v>
      </c>
      <c r="L698" s="142">
        <f t="shared" si="161"/>
        <v>45845</v>
      </c>
      <c r="M698" s="142">
        <v>45822</v>
      </c>
      <c r="N698" s="142">
        <f t="shared" si="156"/>
        <v>45824</v>
      </c>
      <c r="O698" s="143">
        <f t="shared" ca="1" si="162"/>
        <v>23</v>
      </c>
      <c r="P698" s="142">
        <f>E698-34-13-16</f>
        <v>45857</v>
      </c>
      <c r="Q698" s="142">
        <v>45832</v>
      </c>
      <c r="R698" s="143">
        <f t="shared" ca="1" si="163"/>
        <v>25</v>
      </c>
      <c r="S698" s="138"/>
      <c r="T698" s="138"/>
    </row>
    <row r="699" spans="1:20" hidden="1">
      <c r="A699" s="19" t="s">
        <v>188</v>
      </c>
      <c r="B699" s="291">
        <v>209</v>
      </c>
      <c r="C699" s="291" t="s">
        <v>75</v>
      </c>
      <c r="D699" s="291" t="s">
        <v>858</v>
      </c>
      <c r="E699" s="145">
        <v>45920</v>
      </c>
      <c r="F699" s="138">
        <v>8.6999998092651403</v>
      </c>
      <c r="G699" s="138">
        <v>9</v>
      </c>
      <c r="H699" s="138"/>
      <c r="I699" s="83">
        <f t="shared" si="153"/>
        <v>8.2649998188018827</v>
      </c>
      <c r="J699" s="83">
        <f t="shared" si="154"/>
        <v>-0.30000019073485973</v>
      </c>
      <c r="K699" s="298" t="s">
        <v>108</v>
      </c>
      <c r="L699" s="142">
        <f t="shared" si="161"/>
        <v>45858</v>
      </c>
      <c r="M699" s="142">
        <v>45831</v>
      </c>
      <c r="N699" s="142">
        <f t="shared" si="156"/>
        <v>45833</v>
      </c>
      <c r="O699" s="143">
        <f t="shared" ca="1" si="162"/>
        <v>27</v>
      </c>
      <c r="P699" s="142">
        <f t="shared" ref="P699:P715" si="164">E699-34-16</f>
        <v>45870</v>
      </c>
      <c r="Q699" s="142"/>
      <c r="R699" s="143">
        <f t="shared" ca="1" si="163"/>
        <v>30</v>
      </c>
      <c r="S699" s="138"/>
      <c r="T699" s="138"/>
    </row>
    <row r="700" spans="1:20" hidden="1">
      <c r="A700" s="19" t="s">
        <v>188</v>
      </c>
      <c r="B700" s="291">
        <v>209</v>
      </c>
      <c r="C700" s="291" t="s">
        <v>75</v>
      </c>
      <c r="D700" s="291" t="s">
        <v>859</v>
      </c>
      <c r="E700" s="145">
        <v>45920</v>
      </c>
      <c r="F700" s="138">
        <v>5.3000001907348597</v>
      </c>
      <c r="G700" s="138">
        <v>5</v>
      </c>
      <c r="H700" s="138"/>
      <c r="I700" s="83">
        <f t="shared" si="153"/>
        <v>5.0350001811981162</v>
      </c>
      <c r="J700" s="83">
        <f t="shared" si="154"/>
        <v>0.30000019073485973</v>
      </c>
      <c r="K700" s="298" t="s">
        <v>108</v>
      </c>
      <c r="L700" s="142">
        <f t="shared" si="161"/>
        <v>45858</v>
      </c>
      <c r="M700" s="142">
        <v>45831</v>
      </c>
      <c r="N700" s="142">
        <f t="shared" si="156"/>
        <v>45833</v>
      </c>
      <c r="O700" s="143">
        <f t="shared" ca="1" si="162"/>
        <v>27</v>
      </c>
      <c r="P700" s="142">
        <f t="shared" si="164"/>
        <v>45870</v>
      </c>
      <c r="Q700" s="142"/>
      <c r="R700" s="143">
        <f t="shared" ca="1" si="163"/>
        <v>30</v>
      </c>
      <c r="S700" s="138"/>
      <c r="T700" s="138"/>
    </row>
    <row r="701" spans="1:20" hidden="1">
      <c r="A701" s="19" t="s">
        <v>188</v>
      </c>
      <c r="B701" s="291">
        <v>209</v>
      </c>
      <c r="C701" s="291" t="s">
        <v>857</v>
      </c>
      <c r="D701" s="291" t="s">
        <v>858</v>
      </c>
      <c r="E701" s="145">
        <v>45920</v>
      </c>
      <c r="F701" s="138">
        <v>10</v>
      </c>
      <c r="G701" s="138">
        <v>10</v>
      </c>
      <c r="H701" s="138"/>
      <c r="I701" s="83">
        <f t="shared" si="153"/>
        <v>9.5</v>
      </c>
      <c r="J701" s="83">
        <f t="shared" si="154"/>
        <v>0</v>
      </c>
      <c r="K701" s="298" t="s">
        <v>108</v>
      </c>
      <c r="L701" s="142">
        <f t="shared" si="161"/>
        <v>45858</v>
      </c>
      <c r="M701" s="142">
        <v>45831</v>
      </c>
      <c r="N701" s="142">
        <f t="shared" si="156"/>
        <v>45833</v>
      </c>
      <c r="O701" s="143">
        <f t="shared" ca="1" si="162"/>
        <v>27</v>
      </c>
      <c r="P701" s="142">
        <f t="shared" si="164"/>
        <v>45870</v>
      </c>
      <c r="Q701" s="142"/>
      <c r="R701" s="143">
        <f t="shared" ca="1" si="163"/>
        <v>30</v>
      </c>
      <c r="S701" s="138"/>
      <c r="T701" s="138"/>
    </row>
    <row r="702" spans="1:20" hidden="1">
      <c r="A702" s="19" t="s">
        <v>188</v>
      </c>
      <c r="B702" s="291">
        <v>209</v>
      </c>
      <c r="C702" s="291" t="s">
        <v>857</v>
      </c>
      <c r="D702" s="291" t="s">
        <v>859</v>
      </c>
      <c r="E702" s="145">
        <v>45920</v>
      </c>
      <c r="F702" s="138">
        <v>6.0999999046325701</v>
      </c>
      <c r="G702" s="138">
        <v>6.1</v>
      </c>
      <c r="H702" s="138"/>
      <c r="I702" s="83">
        <f t="shared" si="153"/>
        <v>5.794999909400941</v>
      </c>
      <c r="J702" s="83">
        <f t="shared" si="154"/>
        <v>-9.5367429508996793E-8</v>
      </c>
      <c r="K702" s="298" t="s">
        <v>108</v>
      </c>
      <c r="L702" s="142">
        <f t="shared" si="161"/>
        <v>45858</v>
      </c>
      <c r="M702" s="142">
        <v>45831</v>
      </c>
      <c r="N702" s="142">
        <f t="shared" si="156"/>
        <v>45833</v>
      </c>
      <c r="O702" s="143">
        <f t="shared" ca="1" si="162"/>
        <v>27</v>
      </c>
      <c r="P702" s="142">
        <f t="shared" si="164"/>
        <v>45870</v>
      </c>
      <c r="Q702" s="142"/>
      <c r="R702" s="143">
        <f t="shared" ca="1" si="163"/>
        <v>30</v>
      </c>
      <c r="S702" s="138"/>
      <c r="T702" s="138"/>
    </row>
    <row r="703" spans="1:20" hidden="1">
      <c r="A703" s="19" t="s">
        <v>188</v>
      </c>
      <c r="B703" s="291">
        <v>210</v>
      </c>
      <c r="C703" s="291" t="s">
        <v>75</v>
      </c>
      <c r="D703" s="291" t="s">
        <v>841</v>
      </c>
      <c r="E703" s="145">
        <v>45920</v>
      </c>
      <c r="F703" s="138">
        <v>69.5</v>
      </c>
      <c r="G703" s="138">
        <v>69.5</v>
      </c>
      <c r="H703" s="138"/>
      <c r="I703" s="83">
        <f t="shared" si="153"/>
        <v>66.024999999999991</v>
      </c>
      <c r="J703" s="83">
        <f t="shared" si="154"/>
        <v>0</v>
      </c>
      <c r="K703" s="298" t="s">
        <v>108</v>
      </c>
      <c r="L703" s="142">
        <f t="shared" si="161"/>
        <v>45858</v>
      </c>
      <c r="M703" s="142">
        <v>45831</v>
      </c>
      <c r="N703" s="142">
        <f t="shared" si="156"/>
        <v>45833</v>
      </c>
      <c r="O703" s="143">
        <f t="shared" ca="1" si="162"/>
        <v>27</v>
      </c>
      <c r="P703" s="142">
        <f t="shared" si="164"/>
        <v>45870</v>
      </c>
      <c r="Q703" s="142"/>
      <c r="R703" s="143">
        <f t="shared" ca="1" si="163"/>
        <v>30</v>
      </c>
      <c r="S703" s="138"/>
      <c r="T703" s="138"/>
    </row>
    <row r="704" spans="1:20" hidden="1">
      <c r="A704" s="19" t="s">
        <v>188</v>
      </c>
      <c r="B704" s="291">
        <v>210</v>
      </c>
      <c r="C704" s="291" t="s">
        <v>75</v>
      </c>
      <c r="D704" s="291" t="s">
        <v>858</v>
      </c>
      <c r="E704" s="145">
        <v>45920</v>
      </c>
      <c r="F704" s="138">
        <v>76.5</v>
      </c>
      <c r="G704" s="138">
        <v>76.5</v>
      </c>
      <c r="H704" s="138"/>
      <c r="I704" s="83">
        <f t="shared" si="153"/>
        <v>72.674999999999997</v>
      </c>
      <c r="J704" s="83">
        <f t="shared" si="154"/>
        <v>0</v>
      </c>
      <c r="K704" s="298" t="s">
        <v>108</v>
      </c>
      <c r="L704" s="142">
        <f t="shared" si="161"/>
        <v>45858</v>
      </c>
      <c r="M704" s="142">
        <v>45831</v>
      </c>
      <c r="N704" s="142">
        <f t="shared" si="156"/>
        <v>45833</v>
      </c>
      <c r="O704" s="143">
        <f t="shared" ca="1" si="162"/>
        <v>27</v>
      </c>
      <c r="P704" s="142">
        <f t="shared" si="164"/>
        <v>45870</v>
      </c>
      <c r="Q704" s="142"/>
      <c r="R704" s="143">
        <f t="shared" ca="1" si="163"/>
        <v>30</v>
      </c>
      <c r="S704" s="138"/>
      <c r="T704" s="138"/>
    </row>
    <row r="705" spans="1:20" hidden="1">
      <c r="A705" s="19" t="s">
        <v>188</v>
      </c>
      <c r="B705" s="291">
        <v>210</v>
      </c>
      <c r="C705" s="291" t="s">
        <v>75</v>
      </c>
      <c r="D705" s="291" t="s">
        <v>139</v>
      </c>
      <c r="E705" s="145">
        <v>45920</v>
      </c>
      <c r="F705" s="138">
        <v>83.5</v>
      </c>
      <c r="G705" s="138">
        <v>84</v>
      </c>
      <c r="H705" s="138"/>
      <c r="I705" s="83">
        <f t="shared" si="153"/>
        <v>79.325000000000003</v>
      </c>
      <c r="J705" s="83">
        <f t="shared" si="154"/>
        <v>-0.5</v>
      </c>
      <c r="K705" s="298" t="s">
        <v>108</v>
      </c>
      <c r="L705" s="142">
        <f t="shared" si="161"/>
        <v>45858</v>
      </c>
      <c r="M705" s="142">
        <v>45831</v>
      </c>
      <c r="N705" s="142">
        <f t="shared" si="156"/>
        <v>45833</v>
      </c>
      <c r="O705" s="143">
        <f t="shared" ca="1" si="162"/>
        <v>27</v>
      </c>
      <c r="P705" s="142">
        <f t="shared" si="164"/>
        <v>45870</v>
      </c>
      <c r="Q705" s="142"/>
      <c r="R705" s="143">
        <f t="shared" ca="1" si="163"/>
        <v>30</v>
      </c>
      <c r="S705" s="138"/>
      <c r="T705" s="138"/>
    </row>
    <row r="706" spans="1:20" hidden="1">
      <c r="A706" s="19" t="s">
        <v>188</v>
      </c>
      <c r="B706" s="291">
        <v>210</v>
      </c>
      <c r="C706" s="291" t="s">
        <v>75</v>
      </c>
      <c r="D706" s="291" t="s">
        <v>840</v>
      </c>
      <c r="E706" s="145">
        <v>45920</v>
      </c>
      <c r="F706" s="138">
        <v>65.099998474121094</v>
      </c>
      <c r="G706" s="138">
        <v>65</v>
      </c>
      <c r="H706" s="138"/>
      <c r="I706" s="83">
        <f t="shared" si="153"/>
        <v>61.844998550415035</v>
      </c>
      <c r="J706" s="83">
        <f t="shared" si="154"/>
        <v>9.999847412109375E-2</v>
      </c>
      <c r="K706" s="298" t="s">
        <v>108</v>
      </c>
      <c r="L706" s="142">
        <f t="shared" si="161"/>
        <v>45858</v>
      </c>
      <c r="M706" s="142">
        <v>45831</v>
      </c>
      <c r="N706" s="142">
        <f t="shared" si="156"/>
        <v>45833</v>
      </c>
      <c r="O706" s="143">
        <f t="shared" ca="1" si="162"/>
        <v>27</v>
      </c>
      <c r="P706" s="142">
        <f t="shared" si="164"/>
        <v>45870</v>
      </c>
      <c r="Q706" s="142"/>
      <c r="R706" s="143">
        <f t="shared" ca="1" si="163"/>
        <v>30</v>
      </c>
      <c r="S706" s="138"/>
      <c r="T706" s="138"/>
    </row>
    <row r="707" spans="1:20" hidden="1">
      <c r="A707" s="19" t="s">
        <v>188</v>
      </c>
      <c r="B707" s="291">
        <v>210</v>
      </c>
      <c r="C707" s="291" t="s">
        <v>75</v>
      </c>
      <c r="D707" s="291" t="s">
        <v>859</v>
      </c>
      <c r="E707" s="145">
        <v>45920</v>
      </c>
      <c r="F707" s="138">
        <v>46.900001525878899</v>
      </c>
      <c r="G707" s="138">
        <v>46.9</v>
      </c>
      <c r="H707" s="138"/>
      <c r="I707" s="83">
        <f t="shared" si="153"/>
        <v>44.55500144958495</v>
      </c>
      <c r="J707" s="83">
        <f t="shared" si="154"/>
        <v>1.5258789005656581E-6</v>
      </c>
      <c r="K707" s="298" t="s">
        <v>108</v>
      </c>
      <c r="L707" s="142">
        <f t="shared" si="161"/>
        <v>45858</v>
      </c>
      <c r="M707" s="142">
        <v>45831</v>
      </c>
      <c r="N707" s="142">
        <f t="shared" si="156"/>
        <v>45833</v>
      </c>
      <c r="O707" s="143">
        <f t="shared" ca="1" si="162"/>
        <v>27</v>
      </c>
      <c r="P707" s="142">
        <f t="shared" si="164"/>
        <v>45870</v>
      </c>
      <c r="Q707" s="142"/>
      <c r="R707" s="143">
        <f t="shared" ca="1" si="163"/>
        <v>30</v>
      </c>
      <c r="S707" s="138"/>
      <c r="T707" s="138"/>
    </row>
    <row r="708" spans="1:20" hidden="1">
      <c r="A708" s="19" t="s">
        <v>188</v>
      </c>
      <c r="B708" s="291">
        <v>210</v>
      </c>
      <c r="C708" s="291" t="s">
        <v>75</v>
      </c>
      <c r="D708" s="291" t="s">
        <v>140</v>
      </c>
      <c r="E708" s="145">
        <v>45920</v>
      </c>
      <c r="F708" s="138">
        <v>51.200000762939503</v>
      </c>
      <c r="G708" s="138">
        <v>51.2</v>
      </c>
      <c r="H708" s="138"/>
      <c r="I708" s="83">
        <f t="shared" si="153"/>
        <v>48.640000724792529</v>
      </c>
      <c r="J708" s="83">
        <f t="shared" si="154"/>
        <v>7.6293950002082056E-7</v>
      </c>
      <c r="K708" s="298" t="s">
        <v>108</v>
      </c>
      <c r="L708" s="142">
        <f t="shared" si="161"/>
        <v>45858</v>
      </c>
      <c r="M708" s="142">
        <v>45831</v>
      </c>
      <c r="N708" s="142">
        <f t="shared" si="156"/>
        <v>45833</v>
      </c>
      <c r="O708" s="143">
        <f t="shared" ca="1" si="162"/>
        <v>27</v>
      </c>
      <c r="P708" s="142">
        <f t="shared" si="164"/>
        <v>45870</v>
      </c>
      <c r="Q708" s="142"/>
      <c r="R708" s="143">
        <f t="shared" ca="1" si="163"/>
        <v>30</v>
      </c>
      <c r="S708" s="138"/>
      <c r="T708" s="138"/>
    </row>
    <row r="709" spans="1:20" hidden="1">
      <c r="A709" s="19" t="s">
        <v>188</v>
      </c>
      <c r="B709" s="291">
        <v>210</v>
      </c>
      <c r="C709" s="291" t="s">
        <v>857</v>
      </c>
      <c r="D709" s="291" t="s">
        <v>841</v>
      </c>
      <c r="E709" s="145">
        <v>45920</v>
      </c>
      <c r="F709" s="138">
        <v>79.800003051757798</v>
      </c>
      <c r="G709" s="138">
        <v>79.8</v>
      </c>
      <c r="H709" s="138"/>
      <c r="I709" s="83">
        <f t="shared" si="153"/>
        <v>75.810002899169902</v>
      </c>
      <c r="J709" s="83">
        <f t="shared" si="154"/>
        <v>3.0517578011313162E-6</v>
      </c>
      <c r="K709" s="298" t="s">
        <v>108</v>
      </c>
      <c r="L709" s="142">
        <f t="shared" si="161"/>
        <v>45858</v>
      </c>
      <c r="M709" s="142">
        <v>45831</v>
      </c>
      <c r="N709" s="142">
        <f t="shared" si="156"/>
        <v>45833</v>
      </c>
      <c r="O709" s="143">
        <f t="shared" ca="1" si="162"/>
        <v>27</v>
      </c>
      <c r="P709" s="142">
        <f t="shared" si="164"/>
        <v>45870</v>
      </c>
      <c r="Q709" s="142"/>
      <c r="R709" s="143">
        <f t="shared" ca="1" si="163"/>
        <v>30</v>
      </c>
      <c r="S709" s="138"/>
      <c r="T709" s="138"/>
    </row>
    <row r="710" spans="1:20" hidden="1">
      <c r="A710" s="19" t="s">
        <v>188</v>
      </c>
      <c r="B710" s="291">
        <v>210</v>
      </c>
      <c r="C710" s="291" t="s">
        <v>857</v>
      </c>
      <c r="D710" s="291" t="s">
        <v>858</v>
      </c>
      <c r="E710" s="145">
        <v>45920</v>
      </c>
      <c r="F710" s="138">
        <v>87.699996948242202</v>
      </c>
      <c r="G710" s="138">
        <v>87.8</v>
      </c>
      <c r="H710" s="138"/>
      <c r="I710" s="83">
        <f t="shared" si="153"/>
        <v>83.314997100830084</v>
      </c>
      <c r="J710" s="83">
        <f t="shared" si="154"/>
        <v>-0.10000305175779545</v>
      </c>
      <c r="K710" s="298" t="s">
        <v>108</v>
      </c>
      <c r="L710" s="142">
        <f t="shared" si="161"/>
        <v>45858</v>
      </c>
      <c r="M710" s="142">
        <v>45831</v>
      </c>
      <c r="N710" s="142">
        <f t="shared" si="156"/>
        <v>45833</v>
      </c>
      <c r="O710" s="143">
        <f t="shared" ca="1" si="162"/>
        <v>27</v>
      </c>
      <c r="P710" s="142">
        <f t="shared" si="164"/>
        <v>45870</v>
      </c>
      <c r="Q710" s="142"/>
      <c r="R710" s="143">
        <f t="shared" ca="1" si="163"/>
        <v>30</v>
      </c>
      <c r="S710" s="138"/>
      <c r="T710" s="138"/>
    </row>
    <row r="711" spans="1:20" hidden="1">
      <c r="A711" s="19" t="s">
        <v>188</v>
      </c>
      <c r="B711" s="291">
        <v>210</v>
      </c>
      <c r="C711" s="291" t="s">
        <v>857</v>
      </c>
      <c r="D711" s="291" t="s">
        <v>139</v>
      </c>
      <c r="E711" s="145">
        <v>45920</v>
      </c>
      <c r="F711" s="138">
        <v>95.699996948242202</v>
      </c>
      <c r="G711" s="138">
        <v>95.7</v>
      </c>
      <c r="H711" s="138"/>
      <c r="I711" s="83">
        <f t="shared" si="153"/>
        <v>90.914997100830092</v>
      </c>
      <c r="J711" s="83">
        <f t="shared" si="154"/>
        <v>-3.0517578011313162E-6</v>
      </c>
      <c r="K711" s="298" t="s">
        <v>108</v>
      </c>
      <c r="L711" s="142">
        <f t="shared" si="161"/>
        <v>45858</v>
      </c>
      <c r="M711" s="142">
        <v>45831</v>
      </c>
      <c r="N711" s="142">
        <f t="shared" si="156"/>
        <v>45833</v>
      </c>
      <c r="O711" s="143">
        <f t="shared" ca="1" si="162"/>
        <v>27</v>
      </c>
      <c r="P711" s="142">
        <f t="shared" si="164"/>
        <v>45870</v>
      </c>
      <c r="Q711" s="142"/>
      <c r="R711" s="143">
        <f t="shared" ca="1" si="163"/>
        <v>30</v>
      </c>
      <c r="S711" s="138"/>
      <c r="T711" s="138"/>
    </row>
    <row r="712" spans="1:20" hidden="1">
      <c r="A712" s="19" t="s">
        <v>188</v>
      </c>
      <c r="B712" s="291">
        <v>210</v>
      </c>
      <c r="C712" s="291" t="s">
        <v>857</v>
      </c>
      <c r="D712" s="291" t="s">
        <v>840</v>
      </c>
      <c r="E712" s="145">
        <v>45920</v>
      </c>
      <c r="F712" s="138">
        <v>74.599998474121094</v>
      </c>
      <c r="G712" s="138">
        <v>74.599999999999994</v>
      </c>
      <c r="H712" s="138"/>
      <c r="I712" s="83">
        <f t="shared" si="153"/>
        <v>70.869998550415033</v>
      </c>
      <c r="J712" s="83">
        <f t="shared" si="154"/>
        <v>-1.5258789005656581E-6</v>
      </c>
      <c r="K712" s="298" t="s">
        <v>108</v>
      </c>
      <c r="L712" s="142">
        <f t="shared" si="161"/>
        <v>45858</v>
      </c>
      <c r="M712" s="142">
        <v>45831</v>
      </c>
      <c r="N712" s="142">
        <f t="shared" si="156"/>
        <v>45833</v>
      </c>
      <c r="O712" s="143">
        <f t="shared" ca="1" si="162"/>
        <v>27</v>
      </c>
      <c r="P712" s="142">
        <f t="shared" si="164"/>
        <v>45870</v>
      </c>
      <c r="Q712" s="142"/>
      <c r="R712" s="143">
        <f t="shared" ca="1" si="163"/>
        <v>30</v>
      </c>
      <c r="S712" s="138"/>
      <c r="T712" s="138"/>
    </row>
    <row r="713" spans="1:20" hidden="1">
      <c r="A713" s="19" t="s">
        <v>188</v>
      </c>
      <c r="B713" s="291">
        <v>210</v>
      </c>
      <c r="C713" s="291" t="s">
        <v>857</v>
      </c>
      <c r="D713" s="291" t="s">
        <v>859</v>
      </c>
      <c r="E713" s="145">
        <v>45920</v>
      </c>
      <c r="F713" s="138">
        <v>53.799999237060497</v>
      </c>
      <c r="G713" s="138">
        <v>53.8</v>
      </c>
      <c r="H713" s="138"/>
      <c r="I713" s="83">
        <f t="shared" ref="I713:I738" si="165">F713*95%-H713</f>
        <v>51.109999275207471</v>
      </c>
      <c r="J713" s="83">
        <f t="shared" ref="J713:J738" si="166">F713-G713</f>
        <v>-7.6293950002082056E-7</v>
      </c>
      <c r="K713" s="298" t="s">
        <v>108</v>
      </c>
      <c r="L713" s="142">
        <f t="shared" ref="L713:L715" si="167">P713-12</f>
        <v>45858</v>
      </c>
      <c r="M713" s="142">
        <v>45831</v>
      </c>
      <c r="N713" s="142">
        <f t="shared" ref="N713:N738" si="168">M713+2</f>
        <v>45833</v>
      </c>
      <c r="O713" s="143">
        <f t="shared" ref="O713:O715" ca="1" si="169">+IF(M713="",L713-TODAY(),L713-M713)</f>
        <v>27</v>
      </c>
      <c r="P713" s="142">
        <f t="shared" si="164"/>
        <v>45870</v>
      </c>
      <c r="Q713" s="142"/>
      <c r="R713" s="143">
        <f t="shared" ref="R713:R715" ca="1" si="170">+IF(Q713="",P713-TODAY(),P713-Q713)</f>
        <v>30</v>
      </c>
      <c r="S713" s="138"/>
      <c r="T713" s="138"/>
    </row>
    <row r="714" spans="1:20" hidden="1">
      <c r="A714" s="19" t="s">
        <v>188</v>
      </c>
      <c r="B714" s="291">
        <v>210</v>
      </c>
      <c r="C714" s="291" t="s">
        <v>857</v>
      </c>
      <c r="D714" s="291" t="s">
        <v>140</v>
      </c>
      <c r="E714" s="145">
        <v>45920</v>
      </c>
      <c r="F714" s="138">
        <v>58.700000762939503</v>
      </c>
      <c r="G714" s="138">
        <v>58.7</v>
      </c>
      <c r="H714" s="138"/>
      <c r="I714" s="83">
        <f t="shared" si="165"/>
        <v>55.765000724792522</v>
      </c>
      <c r="J714" s="83">
        <f t="shared" si="166"/>
        <v>7.6293950002082056E-7</v>
      </c>
      <c r="K714" s="298" t="s">
        <v>108</v>
      </c>
      <c r="L714" s="142">
        <f t="shared" si="167"/>
        <v>45858</v>
      </c>
      <c r="M714" s="142">
        <v>45831</v>
      </c>
      <c r="N714" s="142">
        <f t="shared" si="168"/>
        <v>45833</v>
      </c>
      <c r="O714" s="143">
        <f t="shared" ca="1" si="169"/>
        <v>27</v>
      </c>
      <c r="P714" s="142">
        <f t="shared" si="164"/>
        <v>45870</v>
      </c>
      <c r="Q714" s="142"/>
      <c r="R714" s="143">
        <f t="shared" ca="1" si="170"/>
        <v>30</v>
      </c>
      <c r="S714" s="138"/>
      <c r="T714" s="138"/>
    </row>
    <row r="715" spans="1:20" hidden="1">
      <c r="A715" s="19" t="s">
        <v>188</v>
      </c>
      <c r="B715" s="291">
        <v>212</v>
      </c>
      <c r="C715" s="291" t="s">
        <v>79</v>
      </c>
      <c r="D715" s="291" t="s">
        <v>138</v>
      </c>
      <c r="E715" s="145">
        <v>45927</v>
      </c>
      <c r="F715" s="138">
        <v>33.5</v>
      </c>
      <c r="G715" s="138">
        <v>33.5</v>
      </c>
      <c r="H715" s="138"/>
      <c r="I715" s="83">
        <f t="shared" si="165"/>
        <v>31.824999999999999</v>
      </c>
      <c r="J715" s="83">
        <f t="shared" si="166"/>
        <v>0</v>
      </c>
      <c r="K715" s="298" t="s">
        <v>108</v>
      </c>
      <c r="L715" s="142">
        <f t="shared" si="167"/>
        <v>45865</v>
      </c>
      <c r="M715" s="142">
        <v>45826</v>
      </c>
      <c r="N715" s="142">
        <f t="shared" si="168"/>
        <v>45828</v>
      </c>
      <c r="O715" s="143">
        <f t="shared" ca="1" si="169"/>
        <v>39</v>
      </c>
      <c r="P715" s="142">
        <f t="shared" si="164"/>
        <v>45877</v>
      </c>
      <c r="Q715" s="142"/>
      <c r="R715" s="143">
        <f t="shared" ca="1" si="170"/>
        <v>37</v>
      </c>
      <c r="S715" s="138"/>
      <c r="T715" s="138"/>
    </row>
    <row r="716" spans="1:20" hidden="1">
      <c r="A716" s="19" t="s">
        <v>188</v>
      </c>
      <c r="B716" s="291">
        <v>212</v>
      </c>
      <c r="C716" s="291" t="s">
        <v>80</v>
      </c>
      <c r="D716" s="291" t="s">
        <v>146</v>
      </c>
      <c r="E716" s="145">
        <v>45927</v>
      </c>
      <c r="F716" s="138">
        <v>373.70001220703102</v>
      </c>
      <c r="G716" s="138">
        <v>373.7</v>
      </c>
      <c r="H716" s="138">
        <v>355</v>
      </c>
      <c r="I716" s="83">
        <f t="shared" si="165"/>
        <v>1.5011596679471495E-2</v>
      </c>
      <c r="J716" s="83">
        <f t="shared" si="166"/>
        <v>1.2207031033995008E-5</v>
      </c>
      <c r="K716" s="298" t="s">
        <v>133</v>
      </c>
      <c r="L716" s="142">
        <f t="shared" ref="L716:L738" si="171">P716-12</f>
        <v>45852</v>
      </c>
      <c r="M716" s="142">
        <v>45822</v>
      </c>
      <c r="N716" s="142">
        <f t="shared" si="168"/>
        <v>45824</v>
      </c>
      <c r="O716" s="143">
        <f t="shared" ref="O716:O738" ca="1" si="172">+IF(M716="",L716-TODAY(),L716-M716)</f>
        <v>30</v>
      </c>
      <c r="P716" s="142">
        <f>E716-34-13-16</f>
        <v>45864</v>
      </c>
      <c r="Q716" s="142">
        <v>45832</v>
      </c>
      <c r="R716" s="143">
        <f t="shared" ref="R716:R738" ca="1" si="173">+IF(Q716="",P716-TODAY(),P716-Q716)</f>
        <v>32</v>
      </c>
      <c r="S716" s="138"/>
      <c r="T716" s="138"/>
    </row>
    <row r="717" spans="1:20" hidden="1">
      <c r="A717" s="19" t="s">
        <v>188</v>
      </c>
      <c r="B717" s="291">
        <v>212</v>
      </c>
      <c r="C717" s="291" t="s">
        <v>75</v>
      </c>
      <c r="D717" s="291" t="s">
        <v>841</v>
      </c>
      <c r="E717" s="145">
        <v>45927</v>
      </c>
      <c r="F717" s="138">
        <v>73.400001525878906</v>
      </c>
      <c r="G717" s="138">
        <v>73.400000000000006</v>
      </c>
      <c r="H717" s="138"/>
      <c r="I717" s="83">
        <f t="shared" si="165"/>
        <v>69.730001449584961</v>
      </c>
      <c r="J717" s="83">
        <f t="shared" si="166"/>
        <v>1.5258789005656581E-6</v>
      </c>
      <c r="K717" s="298" t="s">
        <v>108</v>
      </c>
      <c r="L717" s="142">
        <f t="shared" si="171"/>
        <v>45865</v>
      </c>
      <c r="M717" s="142">
        <v>45831</v>
      </c>
      <c r="N717" s="142">
        <f t="shared" si="168"/>
        <v>45833</v>
      </c>
      <c r="O717" s="143">
        <f t="shared" ca="1" si="172"/>
        <v>34</v>
      </c>
      <c r="P717" s="142">
        <f t="shared" ref="P717:P730" si="174">E717-34-16</f>
        <v>45877</v>
      </c>
      <c r="Q717" s="142"/>
      <c r="R717" s="143">
        <f t="shared" ca="1" si="173"/>
        <v>37</v>
      </c>
      <c r="S717" s="138"/>
      <c r="T717" s="138"/>
    </row>
    <row r="718" spans="1:20" hidden="1">
      <c r="A718" s="19" t="s">
        <v>188</v>
      </c>
      <c r="B718" s="291">
        <v>212</v>
      </c>
      <c r="C718" s="291" t="s">
        <v>75</v>
      </c>
      <c r="D718" s="291" t="s">
        <v>858</v>
      </c>
      <c r="E718" s="145">
        <v>45927</v>
      </c>
      <c r="F718" s="138">
        <v>21.100000381469702</v>
      </c>
      <c r="G718" s="138">
        <v>21</v>
      </c>
      <c r="H718" s="138"/>
      <c r="I718" s="83">
        <f t="shared" si="165"/>
        <v>20.045000362396216</v>
      </c>
      <c r="J718" s="83">
        <f t="shared" si="166"/>
        <v>0.10000038146970169</v>
      </c>
      <c r="K718" s="298" t="s">
        <v>108</v>
      </c>
      <c r="L718" s="142">
        <f t="shared" si="171"/>
        <v>45865</v>
      </c>
      <c r="M718" s="142">
        <v>45831</v>
      </c>
      <c r="N718" s="142">
        <f t="shared" si="168"/>
        <v>45833</v>
      </c>
      <c r="O718" s="143">
        <f t="shared" ca="1" si="172"/>
        <v>34</v>
      </c>
      <c r="P718" s="142">
        <f t="shared" si="174"/>
        <v>45877</v>
      </c>
      <c r="Q718" s="142"/>
      <c r="R718" s="143">
        <f t="shared" ca="1" si="173"/>
        <v>37</v>
      </c>
      <c r="S718" s="138"/>
      <c r="T718" s="138"/>
    </row>
    <row r="719" spans="1:20" hidden="1">
      <c r="A719" s="19" t="s">
        <v>188</v>
      </c>
      <c r="B719" s="291">
        <v>212</v>
      </c>
      <c r="C719" s="291" t="s">
        <v>75</v>
      </c>
      <c r="D719" s="291" t="s">
        <v>139</v>
      </c>
      <c r="E719" s="145">
        <v>45927</v>
      </c>
      <c r="F719" s="138">
        <v>79</v>
      </c>
      <c r="G719" s="138">
        <v>79</v>
      </c>
      <c r="H719" s="138"/>
      <c r="I719" s="83">
        <f t="shared" si="165"/>
        <v>75.05</v>
      </c>
      <c r="J719" s="83">
        <f t="shared" si="166"/>
        <v>0</v>
      </c>
      <c r="K719" s="298" t="s">
        <v>108</v>
      </c>
      <c r="L719" s="142">
        <f t="shared" si="171"/>
        <v>45865</v>
      </c>
      <c r="M719" s="142">
        <v>45831</v>
      </c>
      <c r="N719" s="142">
        <f t="shared" si="168"/>
        <v>45833</v>
      </c>
      <c r="O719" s="143">
        <f t="shared" ca="1" si="172"/>
        <v>34</v>
      </c>
      <c r="P719" s="142">
        <f t="shared" si="174"/>
        <v>45877</v>
      </c>
      <c r="Q719" s="142"/>
      <c r="R719" s="143">
        <f t="shared" ca="1" si="173"/>
        <v>37</v>
      </c>
      <c r="S719" s="138"/>
      <c r="T719" s="138"/>
    </row>
    <row r="720" spans="1:20" hidden="1">
      <c r="A720" s="19" t="s">
        <v>188</v>
      </c>
      <c r="B720" s="291">
        <v>212</v>
      </c>
      <c r="C720" s="291" t="s">
        <v>75</v>
      </c>
      <c r="D720" s="291" t="s">
        <v>840</v>
      </c>
      <c r="E720" s="145">
        <v>45927</v>
      </c>
      <c r="F720" s="138">
        <v>68.800003051757798</v>
      </c>
      <c r="G720" s="138">
        <v>68.8</v>
      </c>
      <c r="H720" s="138"/>
      <c r="I720" s="83">
        <f t="shared" si="165"/>
        <v>65.360002899169899</v>
      </c>
      <c r="J720" s="83">
        <f t="shared" si="166"/>
        <v>3.0517578011313162E-6</v>
      </c>
      <c r="K720" s="298" t="s">
        <v>108</v>
      </c>
      <c r="L720" s="142">
        <f t="shared" si="171"/>
        <v>45865</v>
      </c>
      <c r="M720" s="142">
        <v>45831</v>
      </c>
      <c r="N720" s="142">
        <f t="shared" si="168"/>
        <v>45833</v>
      </c>
      <c r="O720" s="143">
        <f t="shared" ca="1" si="172"/>
        <v>34</v>
      </c>
      <c r="P720" s="142">
        <f t="shared" si="174"/>
        <v>45877</v>
      </c>
      <c r="Q720" s="142"/>
      <c r="R720" s="143">
        <f t="shared" ca="1" si="173"/>
        <v>37</v>
      </c>
      <c r="S720" s="138"/>
      <c r="T720" s="138"/>
    </row>
    <row r="721" spans="1:20" hidden="1">
      <c r="A721" s="19" t="s">
        <v>188</v>
      </c>
      <c r="B721" s="291">
        <v>212</v>
      </c>
      <c r="C721" s="291" t="s">
        <v>75</v>
      </c>
      <c r="D721" s="291" t="s">
        <v>859</v>
      </c>
      <c r="E721" s="145">
        <v>45927</v>
      </c>
      <c r="F721" s="138">
        <v>12.8999996185303</v>
      </c>
      <c r="G721" s="138">
        <v>12.9</v>
      </c>
      <c r="H721" s="138"/>
      <c r="I721" s="83">
        <f t="shared" si="165"/>
        <v>12.254999637603785</v>
      </c>
      <c r="J721" s="83">
        <f t="shared" si="166"/>
        <v>-3.8146970027241878E-7</v>
      </c>
      <c r="K721" s="298" t="s">
        <v>108</v>
      </c>
      <c r="L721" s="142">
        <f t="shared" si="171"/>
        <v>45865</v>
      </c>
      <c r="M721" s="142">
        <v>45831</v>
      </c>
      <c r="N721" s="142">
        <f t="shared" si="168"/>
        <v>45833</v>
      </c>
      <c r="O721" s="143">
        <f t="shared" ca="1" si="172"/>
        <v>34</v>
      </c>
      <c r="P721" s="142">
        <f t="shared" si="174"/>
        <v>45877</v>
      </c>
      <c r="Q721" s="142"/>
      <c r="R721" s="143">
        <f t="shared" ca="1" si="173"/>
        <v>37</v>
      </c>
      <c r="S721" s="138"/>
      <c r="T721" s="138"/>
    </row>
    <row r="722" spans="1:20" hidden="1">
      <c r="A722" s="19" t="s">
        <v>188</v>
      </c>
      <c r="B722" s="291">
        <v>212</v>
      </c>
      <c r="C722" s="291" t="s">
        <v>75</v>
      </c>
      <c r="D722" s="291" t="s">
        <v>140</v>
      </c>
      <c r="E722" s="145">
        <v>45927</v>
      </c>
      <c r="F722" s="138">
        <v>48.400001525878899</v>
      </c>
      <c r="G722" s="138">
        <v>48.4</v>
      </c>
      <c r="H722" s="138"/>
      <c r="I722" s="83">
        <f t="shared" si="165"/>
        <v>45.980001449584954</v>
      </c>
      <c r="J722" s="83">
        <f t="shared" si="166"/>
        <v>1.5258789005656581E-6</v>
      </c>
      <c r="K722" s="298" t="s">
        <v>108</v>
      </c>
      <c r="L722" s="142">
        <f t="shared" si="171"/>
        <v>45865</v>
      </c>
      <c r="M722" s="142">
        <v>45831</v>
      </c>
      <c r="N722" s="142">
        <f t="shared" si="168"/>
        <v>45833</v>
      </c>
      <c r="O722" s="143">
        <f t="shared" ca="1" si="172"/>
        <v>34</v>
      </c>
      <c r="P722" s="142">
        <f t="shared" si="174"/>
        <v>45877</v>
      </c>
      <c r="Q722" s="142"/>
      <c r="R722" s="143">
        <f t="shared" ca="1" si="173"/>
        <v>37</v>
      </c>
      <c r="S722" s="138"/>
      <c r="T722" s="138"/>
    </row>
    <row r="723" spans="1:20" hidden="1">
      <c r="A723" s="19" t="s">
        <v>188</v>
      </c>
      <c r="B723" s="291">
        <v>212</v>
      </c>
      <c r="C723" s="291" t="s">
        <v>857</v>
      </c>
      <c r="D723" s="291" t="s">
        <v>841</v>
      </c>
      <c r="E723" s="145">
        <v>45927</v>
      </c>
      <c r="F723" s="138">
        <v>84.199996948242202</v>
      </c>
      <c r="G723" s="138">
        <v>84.2</v>
      </c>
      <c r="H723" s="138"/>
      <c r="I723" s="83">
        <f t="shared" si="165"/>
        <v>79.989997100830081</v>
      </c>
      <c r="J723" s="83">
        <f t="shared" si="166"/>
        <v>-3.0517578011313162E-6</v>
      </c>
      <c r="K723" s="298" t="s">
        <v>108</v>
      </c>
      <c r="L723" s="142">
        <f t="shared" si="171"/>
        <v>45865</v>
      </c>
      <c r="M723" s="142">
        <v>45831</v>
      </c>
      <c r="N723" s="142">
        <f t="shared" si="168"/>
        <v>45833</v>
      </c>
      <c r="O723" s="143">
        <f t="shared" ca="1" si="172"/>
        <v>34</v>
      </c>
      <c r="P723" s="142">
        <f t="shared" si="174"/>
        <v>45877</v>
      </c>
      <c r="Q723" s="142"/>
      <c r="R723" s="143">
        <f t="shared" ca="1" si="173"/>
        <v>37</v>
      </c>
      <c r="S723" s="138"/>
      <c r="T723" s="138"/>
    </row>
    <row r="724" spans="1:20" hidden="1">
      <c r="A724" s="19" t="s">
        <v>188</v>
      </c>
      <c r="B724" s="291">
        <v>212</v>
      </c>
      <c r="C724" s="291" t="s">
        <v>857</v>
      </c>
      <c r="D724" s="291" t="s">
        <v>858</v>
      </c>
      <c r="E724" s="145">
        <v>45927</v>
      </c>
      <c r="F724" s="138">
        <v>24.100000381469702</v>
      </c>
      <c r="G724" s="138">
        <v>24.1</v>
      </c>
      <c r="H724" s="138"/>
      <c r="I724" s="83">
        <f t="shared" si="165"/>
        <v>22.895000362396214</v>
      </c>
      <c r="J724" s="83">
        <f t="shared" si="166"/>
        <v>3.8146970027241878E-7</v>
      </c>
      <c r="K724" s="298" t="s">
        <v>108</v>
      </c>
      <c r="L724" s="142">
        <f t="shared" ref="L724:L730" si="175">P724-12</f>
        <v>45865</v>
      </c>
      <c r="M724" s="142">
        <v>45831</v>
      </c>
      <c r="N724" s="142">
        <f t="shared" si="168"/>
        <v>45833</v>
      </c>
      <c r="O724" s="143">
        <f t="shared" ref="O724:O730" ca="1" si="176">+IF(M724="",L724-TODAY(),L724-M724)</f>
        <v>34</v>
      </c>
      <c r="P724" s="142">
        <f t="shared" si="174"/>
        <v>45877</v>
      </c>
      <c r="Q724" s="142"/>
      <c r="R724" s="143">
        <f t="shared" ref="R724:R730" ca="1" si="177">+IF(Q724="",P724-TODAY(),P724-Q724)</f>
        <v>37</v>
      </c>
      <c r="S724" s="138"/>
      <c r="T724" s="138"/>
    </row>
    <row r="725" spans="1:20" hidden="1">
      <c r="A725" s="19" t="s">
        <v>188</v>
      </c>
      <c r="B725" s="291">
        <v>212</v>
      </c>
      <c r="C725" s="291" t="s">
        <v>857</v>
      </c>
      <c r="D725" s="291" t="s">
        <v>139</v>
      </c>
      <c r="E725" s="145">
        <v>45927</v>
      </c>
      <c r="F725" s="138">
        <v>90.5</v>
      </c>
      <c r="G725" s="138">
        <v>90.5</v>
      </c>
      <c r="H725" s="138"/>
      <c r="I725" s="83">
        <f t="shared" si="165"/>
        <v>85.974999999999994</v>
      </c>
      <c r="J725" s="83">
        <f t="shared" si="166"/>
        <v>0</v>
      </c>
      <c r="K725" s="298" t="s">
        <v>108</v>
      </c>
      <c r="L725" s="142">
        <f t="shared" si="175"/>
        <v>45865</v>
      </c>
      <c r="M725" s="142">
        <v>45831</v>
      </c>
      <c r="N725" s="142">
        <f t="shared" si="168"/>
        <v>45833</v>
      </c>
      <c r="O725" s="143">
        <f t="shared" ca="1" si="176"/>
        <v>34</v>
      </c>
      <c r="P725" s="142">
        <f t="shared" si="174"/>
        <v>45877</v>
      </c>
      <c r="Q725" s="142"/>
      <c r="R725" s="143">
        <f t="shared" ca="1" si="177"/>
        <v>37</v>
      </c>
      <c r="S725" s="138"/>
      <c r="T725" s="138"/>
    </row>
    <row r="726" spans="1:20" hidden="1">
      <c r="A726" s="19" t="s">
        <v>188</v>
      </c>
      <c r="B726" s="291">
        <v>212</v>
      </c>
      <c r="C726" s="291" t="s">
        <v>857</v>
      </c>
      <c r="D726" s="291" t="s">
        <v>840</v>
      </c>
      <c r="E726" s="145">
        <v>45927</v>
      </c>
      <c r="F726" s="138">
        <v>78.800003051757798</v>
      </c>
      <c r="G726" s="138">
        <v>78.8</v>
      </c>
      <c r="H726" s="138"/>
      <c r="I726" s="83">
        <f t="shared" si="165"/>
        <v>74.860002899169899</v>
      </c>
      <c r="J726" s="83">
        <f t="shared" si="166"/>
        <v>3.0517578011313162E-6</v>
      </c>
      <c r="K726" s="298" t="s">
        <v>108</v>
      </c>
      <c r="L726" s="142">
        <f t="shared" si="175"/>
        <v>45865</v>
      </c>
      <c r="M726" s="142">
        <v>45831</v>
      </c>
      <c r="N726" s="142">
        <f t="shared" si="168"/>
        <v>45833</v>
      </c>
      <c r="O726" s="143">
        <f t="shared" ca="1" si="176"/>
        <v>34</v>
      </c>
      <c r="P726" s="142">
        <f t="shared" si="174"/>
        <v>45877</v>
      </c>
      <c r="Q726" s="142"/>
      <c r="R726" s="143">
        <f t="shared" ca="1" si="177"/>
        <v>37</v>
      </c>
      <c r="S726" s="138"/>
      <c r="T726" s="138"/>
    </row>
    <row r="727" spans="1:20" hidden="1">
      <c r="A727" s="19" t="s">
        <v>188</v>
      </c>
      <c r="B727" s="291">
        <v>212</v>
      </c>
      <c r="C727" s="291" t="s">
        <v>857</v>
      </c>
      <c r="D727" s="291" t="s">
        <v>859</v>
      </c>
      <c r="E727" s="145">
        <v>45927</v>
      </c>
      <c r="F727" s="138">
        <v>14.800000190734901</v>
      </c>
      <c r="G727" s="138">
        <v>14.8</v>
      </c>
      <c r="H727" s="138"/>
      <c r="I727" s="83">
        <f t="shared" si="165"/>
        <v>14.060000181198156</v>
      </c>
      <c r="J727" s="83">
        <f t="shared" si="166"/>
        <v>1.9073489987420089E-7</v>
      </c>
      <c r="K727" s="298" t="s">
        <v>108</v>
      </c>
      <c r="L727" s="142">
        <f t="shared" si="175"/>
        <v>45865</v>
      </c>
      <c r="M727" s="142">
        <v>45831</v>
      </c>
      <c r="N727" s="142">
        <f t="shared" si="168"/>
        <v>45833</v>
      </c>
      <c r="O727" s="143">
        <f t="shared" ca="1" si="176"/>
        <v>34</v>
      </c>
      <c r="P727" s="142">
        <f t="shared" si="174"/>
        <v>45877</v>
      </c>
      <c r="Q727" s="142"/>
      <c r="R727" s="143">
        <f t="shared" ca="1" si="177"/>
        <v>37</v>
      </c>
      <c r="S727" s="138"/>
      <c r="T727" s="138"/>
    </row>
    <row r="728" spans="1:20" hidden="1">
      <c r="A728" s="19" t="s">
        <v>188</v>
      </c>
      <c r="B728" s="291">
        <v>212</v>
      </c>
      <c r="C728" s="291" t="s">
        <v>857</v>
      </c>
      <c r="D728" s="291" t="s">
        <v>140</v>
      </c>
      <c r="E728" s="145">
        <v>45927</v>
      </c>
      <c r="F728" s="138">
        <v>55.5</v>
      </c>
      <c r="G728" s="138">
        <v>55.5</v>
      </c>
      <c r="H728" s="138"/>
      <c r="I728" s="83">
        <f t="shared" si="165"/>
        <v>52.724999999999994</v>
      </c>
      <c r="J728" s="83">
        <f t="shared" si="166"/>
        <v>0</v>
      </c>
      <c r="K728" s="298" t="s">
        <v>108</v>
      </c>
      <c r="L728" s="142">
        <f t="shared" si="175"/>
        <v>45865</v>
      </c>
      <c r="M728" s="142">
        <v>45831</v>
      </c>
      <c r="N728" s="142">
        <f t="shared" si="168"/>
        <v>45833</v>
      </c>
      <c r="O728" s="143">
        <f t="shared" ca="1" si="176"/>
        <v>34</v>
      </c>
      <c r="P728" s="142">
        <f t="shared" si="174"/>
        <v>45877</v>
      </c>
      <c r="Q728" s="142"/>
      <c r="R728" s="143">
        <f t="shared" ca="1" si="177"/>
        <v>37</v>
      </c>
      <c r="S728" s="138"/>
      <c r="T728" s="138"/>
    </row>
    <row r="729" spans="1:20" hidden="1">
      <c r="A729" s="19" t="s">
        <v>188</v>
      </c>
      <c r="B729" s="291">
        <v>213</v>
      </c>
      <c r="C729" s="291" t="s">
        <v>77</v>
      </c>
      <c r="D729" s="291" t="s">
        <v>137</v>
      </c>
      <c r="E729" s="145">
        <v>45927</v>
      </c>
      <c r="F729" s="138">
        <v>143.60000610351599</v>
      </c>
      <c r="G729" s="138">
        <v>143.6</v>
      </c>
      <c r="H729" s="138">
        <v>139</v>
      </c>
      <c r="I729" s="83">
        <f t="shared" si="165"/>
        <v>-2.5799942016598152</v>
      </c>
      <c r="J729" s="83">
        <f t="shared" si="166"/>
        <v>6.1035160001665645E-6</v>
      </c>
      <c r="K729" s="298" t="s">
        <v>108</v>
      </c>
      <c r="L729" s="142">
        <f t="shared" si="175"/>
        <v>45865</v>
      </c>
      <c r="M729" s="142">
        <v>45826</v>
      </c>
      <c r="N729" s="142">
        <f t="shared" si="168"/>
        <v>45828</v>
      </c>
      <c r="O729" s="143">
        <f t="shared" ca="1" si="176"/>
        <v>39</v>
      </c>
      <c r="P729" s="142">
        <f t="shared" si="174"/>
        <v>45877</v>
      </c>
      <c r="Q729" s="142">
        <v>45836</v>
      </c>
      <c r="R729" s="143">
        <f t="shared" ca="1" si="177"/>
        <v>41</v>
      </c>
      <c r="S729" s="138"/>
      <c r="T729" s="138"/>
    </row>
    <row r="730" spans="1:20" hidden="1">
      <c r="A730" s="19" t="s">
        <v>188</v>
      </c>
      <c r="B730" s="291">
        <v>213</v>
      </c>
      <c r="C730" s="291" t="s">
        <v>79</v>
      </c>
      <c r="D730" s="291" t="s">
        <v>138</v>
      </c>
      <c r="E730" s="145">
        <v>45927</v>
      </c>
      <c r="F730" s="138">
        <v>111.300003051758</v>
      </c>
      <c r="G730" s="138">
        <v>111.3</v>
      </c>
      <c r="H730" s="138"/>
      <c r="I730" s="83">
        <f t="shared" si="165"/>
        <v>105.7350028991701</v>
      </c>
      <c r="J730" s="83">
        <f t="shared" si="166"/>
        <v>3.0517580000832822E-6</v>
      </c>
      <c r="K730" s="298" t="s">
        <v>108</v>
      </c>
      <c r="L730" s="142">
        <f t="shared" si="175"/>
        <v>45865</v>
      </c>
      <c r="M730" s="142">
        <v>45826</v>
      </c>
      <c r="N730" s="142">
        <f t="shared" si="168"/>
        <v>45828</v>
      </c>
      <c r="O730" s="143">
        <f t="shared" ca="1" si="176"/>
        <v>39</v>
      </c>
      <c r="P730" s="142">
        <f t="shared" si="174"/>
        <v>45877</v>
      </c>
      <c r="Q730" s="142"/>
      <c r="R730" s="143">
        <f t="shared" ca="1" si="177"/>
        <v>37</v>
      </c>
      <c r="S730" s="138"/>
      <c r="T730" s="138"/>
    </row>
    <row r="731" spans="1:20" hidden="1">
      <c r="A731" s="19" t="s">
        <v>188</v>
      </c>
      <c r="B731" s="291">
        <v>213</v>
      </c>
      <c r="C731" s="291" t="s">
        <v>80</v>
      </c>
      <c r="D731" s="291" t="s">
        <v>146</v>
      </c>
      <c r="E731" s="145">
        <v>45927</v>
      </c>
      <c r="F731" s="138">
        <v>413</v>
      </c>
      <c r="G731" s="138">
        <v>413</v>
      </c>
      <c r="H731" s="138">
        <v>392</v>
      </c>
      <c r="I731" s="83">
        <f t="shared" si="165"/>
        <v>0.34999999999996589</v>
      </c>
      <c r="J731" s="83">
        <f t="shared" si="166"/>
        <v>0</v>
      </c>
      <c r="K731" s="298" t="s">
        <v>133</v>
      </c>
      <c r="L731" s="142">
        <f t="shared" si="171"/>
        <v>45852</v>
      </c>
      <c r="M731" s="142">
        <v>45822</v>
      </c>
      <c r="N731" s="142">
        <f t="shared" si="168"/>
        <v>45824</v>
      </c>
      <c r="O731" s="143">
        <f t="shared" ca="1" si="172"/>
        <v>30</v>
      </c>
      <c r="P731" s="142">
        <f>E731-34-13-16</f>
        <v>45864</v>
      </c>
      <c r="Q731" s="142">
        <v>45832</v>
      </c>
      <c r="R731" s="143">
        <f t="shared" ca="1" si="173"/>
        <v>32</v>
      </c>
      <c r="S731" s="138"/>
      <c r="T731" s="138"/>
    </row>
    <row r="732" spans="1:20" hidden="1">
      <c r="A732" s="19" t="s">
        <v>188</v>
      </c>
      <c r="B732" s="291">
        <v>213</v>
      </c>
      <c r="C732" s="291" t="s">
        <v>75</v>
      </c>
      <c r="D732" s="291" t="s">
        <v>858</v>
      </c>
      <c r="E732" s="145">
        <v>45927</v>
      </c>
      <c r="F732" s="138">
        <v>31.600000381469702</v>
      </c>
      <c r="G732" s="138">
        <v>31.6</v>
      </c>
      <c r="H732" s="138"/>
      <c r="I732" s="83">
        <f t="shared" si="165"/>
        <v>30.020000362396214</v>
      </c>
      <c r="J732" s="83">
        <f t="shared" si="166"/>
        <v>3.8146970027241878E-7</v>
      </c>
      <c r="K732" s="298" t="s">
        <v>108</v>
      </c>
      <c r="L732" s="142">
        <f t="shared" ref="L732:L736" si="178">P732-12</f>
        <v>45865</v>
      </c>
      <c r="M732" s="142">
        <v>45831</v>
      </c>
      <c r="N732" s="142">
        <f t="shared" si="168"/>
        <v>45833</v>
      </c>
      <c r="O732" s="143">
        <f t="shared" ref="O732:O736" ca="1" si="179">+IF(M732="",L732-TODAY(),L732-M732)</f>
        <v>34</v>
      </c>
      <c r="P732" s="142">
        <f>E732-34-16</f>
        <v>45877</v>
      </c>
      <c r="Q732" s="142"/>
      <c r="R732" s="143">
        <f t="shared" ref="R732:R736" ca="1" si="180">+IF(Q732="",P732-TODAY(),P732-Q732)</f>
        <v>37</v>
      </c>
      <c r="S732" s="138"/>
      <c r="T732" s="138"/>
    </row>
    <row r="733" spans="1:20" hidden="1">
      <c r="A733" s="19" t="s">
        <v>188</v>
      </c>
      <c r="B733" s="291">
        <v>213</v>
      </c>
      <c r="C733" s="291" t="s">
        <v>75</v>
      </c>
      <c r="D733" s="291" t="s">
        <v>859</v>
      </c>
      <c r="E733" s="145">
        <v>45927</v>
      </c>
      <c r="F733" s="138">
        <v>19.299999237060501</v>
      </c>
      <c r="G733" s="138">
        <v>19.3</v>
      </c>
      <c r="H733" s="138"/>
      <c r="I733" s="83">
        <f t="shared" si="165"/>
        <v>18.334999275207476</v>
      </c>
      <c r="J733" s="83">
        <f t="shared" si="166"/>
        <v>-7.6293950002082056E-7</v>
      </c>
      <c r="K733" s="298" t="s">
        <v>108</v>
      </c>
      <c r="L733" s="142">
        <f t="shared" si="178"/>
        <v>45865</v>
      </c>
      <c r="M733" s="142">
        <v>45831</v>
      </c>
      <c r="N733" s="142">
        <f t="shared" si="168"/>
        <v>45833</v>
      </c>
      <c r="O733" s="143">
        <f t="shared" ca="1" si="179"/>
        <v>34</v>
      </c>
      <c r="P733" s="142">
        <f>E733-34-16</f>
        <v>45877</v>
      </c>
      <c r="Q733" s="142"/>
      <c r="R733" s="143">
        <f t="shared" ca="1" si="180"/>
        <v>37</v>
      </c>
      <c r="S733" s="138"/>
      <c r="T733" s="138"/>
    </row>
    <row r="734" spans="1:20" hidden="1">
      <c r="A734" s="19" t="s">
        <v>188</v>
      </c>
      <c r="B734" s="291">
        <v>213</v>
      </c>
      <c r="C734" s="291" t="s">
        <v>857</v>
      </c>
      <c r="D734" s="291" t="s">
        <v>858</v>
      </c>
      <c r="E734" s="145">
        <v>45927</v>
      </c>
      <c r="F734" s="138">
        <v>36.200000762939503</v>
      </c>
      <c r="G734" s="138">
        <v>36.200000000000003</v>
      </c>
      <c r="H734" s="138"/>
      <c r="I734" s="83">
        <f t="shared" si="165"/>
        <v>34.390000724792529</v>
      </c>
      <c r="J734" s="83">
        <f t="shared" si="166"/>
        <v>7.6293950002082056E-7</v>
      </c>
      <c r="K734" s="298" t="s">
        <v>108</v>
      </c>
      <c r="L734" s="142">
        <f t="shared" si="178"/>
        <v>45865</v>
      </c>
      <c r="M734" s="142">
        <v>45831</v>
      </c>
      <c r="N734" s="142">
        <f t="shared" si="168"/>
        <v>45833</v>
      </c>
      <c r="O734" s="143">
        <f t="shared" ca="1" si="179"/>
        <v>34</v>
      </c>
      <c r="P734" s="142">
        <f>E734-34-16</f>
        <v>45877</v>
      </c>
      <c r="Q734" s="142"/>
      <c r="R734" s="143">
        <f t="shared" ca="1" si="180"/>
        <v>37</v>
      </c>
      <c r="S734" s="138"/>
      <c r="T734" s="138"/>
    </row>
    <row r="735" spans="1:20" hidden="1">
      <c r="A735" s="19" t="s">
        <v>188</v>
      </c>
      <c r="B735" s="291">
        <v>213</v>
      </c>
      <c r="C735" s="291" t="s">
        <v>857</v>
      </c>
      <c r="D735" s="291" t="s">
        <v>859</v>
      </c>
      <c r="E735" s="145">
        <v>45927</v>
      </c>
      <c r="F735" s="138">
        <v>22.200000762939499</v>
      </c>
      <c r="G735" s="138">
        <v>22.2</v>
      </c>
      <c r="H735" s="138"/>
      <c r="I735" s="83">
        <f t="shared" si="165"/>
        <v>21.090000724792525</v>
      </c>
      <c r="J735" s="83">
        <f t="shared" si="166"/>
        <v>7.6293950002082056E-7</v>
      </c>
      <c r="K735" s="298" t="s">
        <v>108</v>
      </c>
      <c r="L735" s="142">
        <f t="shared" si="178"/>
        <v>45865</v>
      </c>
      <c r="M735" s="142">
        <v>45831</v>
      </c>
      <c r="N735" s="142">
        <f t="shared" si="168"/>
        <v>45833</v>
      </c>
      <c r="O735" s="143">
        <f t="shared" ca="1" si="179"/>
        <v>34</v>
      </c>
      <c r="P735" s="142">
        <f>E735-34-16</f>
        <v>45877</v>
      </c>
      <c r="Q735" s="142"/>
      <c r="R735" s="143">
        <f t="shared" ca="1" si="180"/>
        <v>37</v>
      </c>
      <c r="S735" s="138"/>
      <c r="T735" s="138"/>
    </row>
    <row r="736" spans="1:20" hidden="1">
      <c r="A736" s="19" t="s">
        <v>188</v>
      </c>
      <c r="B736" s="291">
        <v>214</v>
      </c>
      <c r="C736" s="291" t="s">
        <v>77</v>
      </c>
      <c r="D736" s="291" t="s">
        <v>137</v>
      </c>
      <c r="E736" s="145">
        <v>45927</v>
      </c>
      <c r="F736" s="138">
        <v>21</v>
      </c>
      <c r="G736" s="138">
        <v>21</v>
      </c>
      <c r="H736" s="138">
        <v>20</v>
      </c>
      <c r="I736" s="83">
        <f t="shared" si="165"/>
        <v>-5.0000000000000711E-2</v>
      </c>
      <c r="J736" s="83">
        <f t="shared" si="166"/>
        <v>0</v>
      </c>
      <c r="K736" s="298" t="s">
        <v>108</v>
      </c>
      <c r="L736" s="142">
        <f t="shared" si="178"/>
        <v>45865</v>
      </c>
      <c r="M736" s="142">
        <v>45826</v>
      </c>
      <c r="N736" s="142">
        <f t="shared" si="168"/>
        <v>45828</v>
      </c>
      <c r="O736" s="143">
        <f t="shared" ca="1" si="179"/>
        <v>39</v>
      </c>
      <c r="P736" s="142">
        <f>E736-34-16</f>
        <v>45877</v>
      </c>
      <c r="Q736" s="142">
        <v>45836</v>
      </c>
      <c r="R736" s="143">
        <f t="shared" ca="1" si="180"/>
        <v>41</v>
      </c>
      <c r="S736" s="138"/>
      <c r="T736" s="138"/>
    </row>
    <row r="737" spans="1:20" hidden="1">
      <c r="A737" s="19" t="s">
        <v>188</v>
      </c>
      <c r="B737" s="291">
        <v>214</v>
      </c>
      <c r="C737" s="291" t="s">
        <v>79</v>
      </c>
      <c r="D737" s="291" t="s">
        <v>146</v>
      </c>
      <c r="E737" s="145">
        <v>45927</v>
      </c>
      <c r="F737" s="138">
        <v>7.0999999046325701</v>
      </c>
      <c r="G737" s="138">
        <v>7.1</v>
      </c>
      <c r="H737" s="138"/>
      <c r="I737" s="83">
        <f t="shared" si="165"/>
        <v>6.7449999094009412</v>
      </c>
      <c r="J737" s="83">
        <f t="shared" si="166"/>
        <v>-9.5367429508996793E-8</v>
      </c>
      <c r="K737" s="298" t="s">
        <v>108</v>
      </c>
      <c r="L737" s="142">
        <f t="shared" si="171"/>
        <v>45852</v>
      </c>
      <c r="M737" s="142">
        <v>45833</v>
      </c>
      <c r="N737" s="142">
        <f t="shared" si="168"/>
        <v>45835</v>
      </c>
      <c r="O737" s="143">
        <f t="shared" ca="1" si="172"/>
        <v>19</v>
      </c>
      <c r="P737" s="142">
        <f>E737-34-13-16</f>
        <v>45864</v>
      </c>
      <c r="Q737" s="142"/>
      <c r="R737" s="143">
        <f t="shared" ca="1" si="173"/>
        <v>24</v>
      </c>
      <c r="S737" s="138"/>
      <c r="T737" s="138"/>
    </row>
    <row r="738" spans="1:20" hidden="1">
      <c r="A738" s="19" t="s">
        <v>188</v>
      </c>
      <c r="B738" s="291">
        <v>214</v>
      </c>
      <c r="C738" s="291" t="s">
        <v>80</v>
      </c>
      <c r="D738" s="291" t="s">
        <v>146</v>
      </c>
      <c r="E738" s="145">
        <v>45927</v>
      </c>
      <c r="F738" s="138">
        <v>106.699996948242</v>
      </c>
      <c r="G738" s="138">
        <v>106.7</v>
      </c>
      <c r="H738" s="138">
        <v>101</v>
      </c>
      <c r="I738" s="83">
        <f t="shared" si="165"/>
        <v>0.36499710082989623</v>
      </c>
      <c r="J738" s="83">
        <f t="shared" si="166"/>
        <v>-3.0517580000832822E-6</v>
      </c>
      <c r="K738" s="298" t="s">
        <v>133</v>
      </c>
      <c r="L738" s="142">
        <f t="shared" si="171"/>
        <v>45852</v>
      </c>
      <c r="M738" s="142">
        <v>45822</v>
      </c>
      <c r="N738" s="142">
        <f t="shared" si="168"/>
        <v>45824</v>
      </c>
      <c r="O738" s="143">
        <f t="shared" ca="1" si="172"/>
        <v>30</v>
      </c>
      <c r="P738" s="142">
        <f>E738-34-13-16</f>
        <v>45864</v>
      </c>
      <c r="Q738" s="142">
        <v>45832</v>
      </c>
      <c r="R738" s="143">
        <f t="shared" ca="1" si="173"/>
        <v>32</v>
      </c>
      <c r="S738" s="138"/>
      <c r="T738" s="138"/>
    </row>
    <row r="739" spans="1:20" hidden="1">
      <c r="A739" s="19" t="s">
        <v>99</v>
      </c>
      <c r="B739" s="291">
        <v>215</v>
      </c>
      <c r="C739" s="291" t="s">
        <v>846</v>
      </c>
      <c r="D739" s="291" t="s">
        <v>937</v>
      </c>
      <c r="E739" s="145">
        <v>45920</v>
      </c>
      <c r="F739" s="138">
        <v>481.29998779296898</v>
      </c>
      <c r="G739" s="138">
        <v>481</v>
      </c>
      <c r="H739" s="138"/>
      <c r="I739" s="83">
        <f t="shared" ref="I739" si="181">F739*95%-H739</f>
        <v>457.23498840332053</v>
      </c>
      <c r="J739" s="83">
        <f t="shared" ref="J739" si="182">F739-G739</f>
        <v>0.29998779296897737</v>
      </c>
      <c r="K739" s="298" t="s">
        <v>900</v>
      </c>
      <c r="L739" s="142">
        <f>P739-15</f>
        <v>45841</v>
      </c>
      <c r="M739" s="142">
        <v>45835</v>
      </c>
      <c r="N739" s="142">
        <f t="shared" ref="N739" si="183">M739+2</f>
        <v>45837</v>
      </c>
      <c r="O739" s="143">
        <f t="shared" ref="O739" ca="1" si="184">+IF(M739="",L739-TODAY(),L739-M739)</f>
        <v>6</v>
      </c>
      <c r="P739" s="142">
        <f>E739-34-13-17</f>
        <v>45856</v>
      </c>
      <c r="Q739" s="142"/>
      <c r="R739" s="143">
        <f t="shared" ref="R739" ca="1" si="185">+IF(Q739="",P739-TODAY(),P739-Q739)</f>
        <v>16</v>
      </c>
      <c r="S739" s="138"/>
      <c r="T739" s="138"/>
    </row>
    <row r="740" spans="1:20" hidden="1">
      <c r="A740" s="19" t="s">
        <v>99</v>
      </c>
      <c r="B740" s="291">
        <v>215</v>
      </c>
      <c r="C740" s="291" t="s">
        <v>846</v>
      </c>
      <c r="D740" s="291" t="s">
        <v>938</v>
      </c>
      <c r="E740" s="145">
        <v>45920</v>
      </c>
      <c r="F740" s="138">
        <v>2615</v>
      </c>
      <c r="G740" s="138">
        <v>2615</v>
      </c>
      <c r="H740" s="138"/>
      <c r="I740" s="83">
        <f t="shared" ref="I740:I741" si="186">F740*95%-H740</f>
        <v>2484.25</v>
      </c>
      <c r="J740" s="83">
        <f t="shared" ref="J740:J741" si="187">F740-G740</f>
        <v>0</v>
      </c>
      <c r="K740" s="298" t="s">
        <v>900</v>
      </c>
      <c r="L740" s="142">
        <f>P740-15</f>
        <v>45841</v>
      </c>
      <c r="M740" s="142">
        <v>45835</v>
      </c>
      <c r="N740" s="142">
        <f t="shared" ref="N740:N742" si="188">M740+2</f>
        <v>45837</v>
      </c>
      <c r="O740" s="143">
        <f t="shared" ref="O740:O742" ca="1" si="189">+IF(M740="",L740-TODAY(),L740-M740)</f>
        <v>6</v>
      </c>
      <c r="P740" s="142">
        <f>E740-34-13-17</f>
        <v>45856</v>
      </c>
      <c r="Q740" s="142"/>
      <c r="R740" s="143">
        <f t="shared" ref="R740:R742" ca="1" si="190">+IF(Q740="",P740-TODAY(),P740-Q740)</f>
        <v>16</v>
      </c>
      <c r="S740" s="138"/>
      <c r="T740" s="138"/>
    </row>
    <row r="741" spans="1:20" hidden="1">
      <c r="A741" s="19" t="s">
        <v>99</v>
      </c>
      <c r="B741" s="291">
        <v>215</v>
      </c>
      <c r="C741" s="291" t="s">
        <v>846</v>
      </c>
      <c r="D741" s="291" t="s">
        <v>939</v>
      </c>
      <c r="E741" s="145">
        <v>45920</v>
      </c>
      <c r="F741" s="138">
        <v>320.60000610351602</v>
      </c>
      <c r="G741" s="138">
        <v>320</v>
      </c>
      <c r="H741" s="138"/>
      <c r="I741" s="83">
        <f t="shared" si="186"/>
        <v>304.57000579834022</v>
      </c>
      <c r="J741" s="83">
        <f t="shared" si="187"/>
        <v>0.6000061035160229</v>
      </c>
      <c r="K741" s="298" t="s">
        <v>900</v>
      </c>
      <c r="L741" s="142">
        <f>P741-15</f>
        <v>45841</v>
      </c>
      <c r="M741" s="142">
        <v>45835</v>
      </c>
      <c r="N741" s="142">
        <f t="shared" si="188"/>
        <v>45837</v>
      </c>
      <c r="O741" s="143">
        <f t="shared" ca="1" si="189"/>
        <v>6</v>
      </c>
      <c r="P741" s="142">
        <f>E741-34-13-17</f>
        <v>45856</v>
      </c>
      <c r="Q741" s="142"/>
      <c r="R741" s="143">
        <f t="shared" ca="1" si="190"/>
        <v>16</v>
      </c>
      <c r="S741" s="138"/>
      <c r="T741" s="138"/>
    </row>
    <row r="742" spans="1:20" hidden="1">
      <c r="A742" s="19" t="s">
        <v>188</v>
      </c>
      <c r="B742" s="291">
        <v>216</v>
      </c>
      <c r="C742" s="291" t="s">
        <v>77</v>
      </c>
      <c r="D742" s="291" t="s">
        <v>147</v>
      </c>
      <c r="E742" s="145">
        <v>45899</v>
      </c>
      <c r="F742" s="138">
        <v>498.20001220703102</v>
      </c>
      <c r="G742" s="138">
        <v>498.2</v>
      </c>
      <c r="H742" s="138"/>
      <c r="I742" s="83">
        <f t="shared" ref="I742" si="191">F742*95%-H742</f>
        <v>473.29001159667945</v>
      </c>
      <c r="J742" s="83">
        <f t="shared" ref="J742" si="192">F742-G742</f>
        <v>1.2207031033995008E-5</v>
      </c>
      <c r="K742" s="298" t="s">
        <v>133</v>
      </c>
      <c r="L742" s="142">
        <f>P742-13</f>
        <v>45829</v>
      </c>
      <c r="M742" s="142">
        <v>45826</v>
      </c>
      <c r="N742" s="142">
        <f t="shared" si="188"/>
        <v>45828</v>
      </c>
      <c r="O742" s="143">
        <f t="shared" ca="1" si="189"/>
        <v>3</v>
      </c>
      <c r="P742" s="142">
        <f>E742-32-6-19</f>
        <v>45842</v>
      </c>
      <c r="Q742" s="142"/>
      <c r="R742" s="143">
        <f t="shared" ca="1" si="190"/>
        <v>2</v>
      </c>
      <c r="S742" s="138"/>
      <c r="T742" s="138"/>
    </row>
    <row r="743" spans="1:20" hidden="1">
      <c r="A743" s="19" t="s">
        <v>188</v>
      </c>
      <c r="B743" s="291">
        <v>216</v>
      </c>
      <c r="C743" s="291" t="s">
        <v>77</v>
      </c>
      <c r="D743" s="291" t="s">
        <v>148</v>
      </c>
      <c r="E743" s="145">
        <v>45899</v>
      </c>
      <c r="F743" s="138">
        <v>785.29998779296898</v>
      </c>
      <c r="G743" s="138">
        <v>785</v>
      </c>
      <c r="H743" s="138"/>
      <c r="I743" s="83">
        <f t="shared" ref="I743:I766" si="193">F743*95%-H743</f>
        <v>746.03498840332054</v>
      </c>
      <c r="J743" s="83">
        <f t="shared" ref="J743:J766" si="194">F743-G743</f>
        <v>0.29998779296897737</v>
      </c>
      <c r="K743" s="298" t="s">
        <v>133</v>
      </c>
      <c r="L743" s="142">
        <f>P743-13</f>
        <v>45829</v>
      </c>
      <c r="M743" s="142">
        <v>45826</v>
      </c>
      <c r="N743" s="142">
        <f t="shared" ref="N743:N766" si="195">M743+2</f>
        <v>45828</v>
      </c>
      <c r="O743" s="143">
        <f t="shared" ref="O743:O766" ca="1" si="196">+IF(M743="",L743-TODAY(),L743-M743)</f>
        <v>3</v>
      </c>
      <c r="P743" s="142">
        <f>E743-32-6-19</f>
        <v>45842</v>
      </c>
      <c r="Q743" s="142"/>
      <c r="R743" s="143">
        <f t="shared" ref="R743:R766" ca="1" si="197">+IF(Q743="",P743-TODAY(),P743-Q743)</f>
        <v>2</v>
      </c>
      <c r="S743" s="138"/>
      <c r="T743" s="138"/>
    </row>
    <row r="744" spans="1:20" hidden="1">
      <c r="A744" s="19" t="s">
        <v>188</v>
      </c>
      <c r="B744" s="291">
        <v>216</v>
      </c>
      <c r="C744" s="291" t="s">
        <v>79</v>
      </c>
      <c r="D744" s="291" t="s">
        <v>146</v>
      </c>
      <c r="E744" s="145">
        <v>45899</v>
      </c>
      <c r="F744" s="138">
        <v>6.1999998092651403</v>
      </c>
      <c r="G744" s="138">
        <v>6.2</v>
      </c>
      <c r="H744" s="138"/>
      <c r="I744" s="83">
        <f t="shared" si="193"/>
        <v>5.8899998188018827</v>
      </c>
      <c r="J744" s="83">
        <f t="shared" si="194"/>
        <v>-1.9073485990617201E-7</v>
      </c>
      <c r="K744" s="298" t="s">
        <v>108</v>
      </c>
      <c r="L744" s="142">
        <f>P744-12</f>
        <v>45830</v>
      </c>
      <c r="M744" s="142">
        <v>45833</v>
      </c>
      <c r="N744" s="142">
        <f t="shared" ref="N744" si="198">M744+2</f>
        <v>45835</v>
      </c>
      <c r="O744" s="143">
        <f t="shared" ref="O744" ca="1" si="199">+IF(M744="",L744-TODAY(),L744-M744)</f>
        <v>-3</v>
      </c>
      <c r="P744" s="142">
        <f>E744-34-13-10</f>
        <v>45842</v>
      </c>
      <c r="Q744" s="142"/>
      <c r="R744" s="143">
        <f t="shared" ref="R744" ca="1" si="200">+IF(Q744="",P744-TODAY(),P744-Q744)</f>
        <v>2</v>
      </c>
      <c r="S744" s="138"/>
      <c r="T744" s="138"/>
    </row>
    <row r="745" spans="1:20" hidden="1">
      <c r="A745" s="19" t="s">
        <v>188</v>
      </c>
      <c r="B745" s="291">
        <v>216</v>
      </c>
      <c r="C745" s="291" t="s">
        <v>79</v>
      </c>
      <c r="D745" s="291" t="s">
        <v>147</v>
      </c>
      <c r="E745" s="145">
        <v>45899</v>
      </c>
      <c r="F745" s="138">
        <v>6.1999998092651403</v>
      </c>
      <c r="G745" s="138">
        <v>6.2</v>
      </c>
      <c r="H745" s="138"/>
      <c r="I745" s="83">
        <f t="shared" si="193"/>
        <v>5.8899998188018827</v>
      </c>
      <c r="J745" s="83">
        <f t="shared" si="194"/>
        <v>-1.9073485990617201E-7</v>
      </c>
      <c r="K745" s="298" t="s">
        <v>133</v>
      </c>
      <c r="L745" s="142">
        <f>P745-13</f>
        <v>45829</v>
      </c>
      <c r="M745" s="142">
        <v>45826</v>
      </c>
      <c r="N745" s="142">
        <f t="shared" ref="N745" si="201">M745+2</f>
        <v>45828</v>
      </c>
      <c r="O745" s="143">
        <f t="shared" ref="O745" ca="1" si="202">+IF(M745="",L745-TODAY(),L745-M745)</f>
        <v>3</v>
      </c>
      <c r="P745" s="142">
        <f>E745-32-6-19</f>
        <v>45842</v>
      </c>
      <c r="Q745" s="142"/>
      <c r="R745" s="143">
        <f t="shared" ref="R745" ca="1" si="203">+IF(Q745="",P745-TODAY(),P745-Q745)</f>
        <v>2</v>
      </c>
      <c r="S745" s="138"/>
      <c r="T745" s="138"/>
    </row>
    <row r="746" spans="1:20" hidden="1">
      <c r="A746" s="19" t="s">
        <v>188</v>
      </c>
      <c r="B746" s="291">
        <v>216</v>
      </c>
      <c r="C746" s="291" t="s">
        <v>80</v>
      </c>
      <c r="D746" s="291" t="s">
        <v>146</v>
      </c>
      <c r="E746" s="145">
        <v>45899</v>
      </c>
      <c r="F746" s="138">
        <v>97.199996948242202</v>
      </c>
      <c r="G746" s="138">
        <v>97.2</v>
      </c>
      <c r="H746" s="138"/>
      <c r="I746" s="83">
        <f t="shared" si="193"/>
        <v>92.339997100830089</v>
      </c>
      <c r="J746" s="83">
        <f t="shared" si="194"/>
        <v>-3.0517578011313162E-6</v>
      </c>
      <c r="K746" s="298" t="s">
        <v>133</v>
      </c>
      <c r="L746" s="142">
        <f>P746-12</f>
        <v>45830</v>
      </c>
      <c r="M746" s="142">
        <v>45832</v>
      </c>
      <c r="N746" s="142">
        <f t="shared" si="195"/>
        <v>45834</v>
      </c>
      <c r="O746" s="143">
        <f t="shared" ca="1" si="196"/>
        <v>-2</v>
      </c>
      <c r="P746" s="142">
        <f>E746-34-13-10</f>
        <v>45842</v>
      </c>
      <c r="Q746" s="142"/>
      <c r="R746" s="143">
        <f t="shared" ca="1" si="197"/>
        <v>2</v>
      </c>
      <c r="S746" s="138"/>
      <c r="T746" s="138"/>
    </row>
    <row r="747" spans="1:20" hidden="1">
      <c r="A747" s="19" t="s">
        <v>188</v>
      </c>
      <c r="B747" s="291">
        <v>216</v>
      </c>
      <c r="C747" s="291" t="s">
        <v>75</v>
      </c>
      <c r="D747" s="291" t="s">
        <v>858</v>
      </c>
      <c r="E747" s="145">
        <v>45899</v>
      </c>
      <c r="F747" s="138">
        <v>86.699996948242202</v>
      </c>
      <c r="G747" s="138">
        <v>86.7</v>
      </c>
      <c r="H747" s="138"/>
      <c r="I747" s="83">
        <f t="shared" si="193"/>
        <v>82.364997100830081</v>
      </c>
      <c r="J747" s="83">
        <f t="shared" si="194"/>
        <v>-3.0517578011313162E-6</v>
      </c>
      <c r="K747" s="298" t="s">
        <v>108</v>
      </c>
      <c r="L747" s="142">
        <f t="shared" ref="L747:L766" si="204">P747-15</f>
        <v>45833</v>
      </c>
      <c r="M747" s="142">
        <v>45831</v>
      </c>
      <c r="N747" s="142">
        <f t="shared" si="195"/>
        <v>45833</v>
      </c>
      <c r="O747" s="143">
        <f t="shared" ca="1" si="196"/>
        <v>2</v>
      </c>
      <c r="P747" s="142">
        <v>45848</v>
      </c>
      <c r="Q747" s="142"/>
      <c r="R747" s="143">
        <f t="shared" ca="1" si="197"/>
        <v>8</v>
      </c>
      <c r="S747" s="138"/>
      <c r="T747" s="138"/>
    </row>
    <row r="748" spans="1:20" hidden="1">
      <c r="A748" s="19" t="s">
        <v>188</v>
      </c>
      <c r="B748" s="291">
        <v>216</v>
      </c>
      <c r="C748" s="291" t="s">
        <v>75</v>
      </c>
      <c r="D748" s="291" t="s">
        <v>859</v>
      </c>
      <c r="E748" s="145">
        <v>45899</v>
      </c>
      <c r="F748" s="138">
        <v>53.099998474121101</v>
      </c>
      <c r="G748" s="138">
        <v>53.1</v>
      </c>
      <c r="H748" s="138"/>
      <c r="I748" s="83">
        <f t="shared" si="193"/>
        <v>50.444998550415043</v>
      </c>
      <c r="J748" s="83">
        <f t="shared" si="194"/>
        <v>-1.5258789005656581E-6</v>
      </c>
      <c r="K748" s="298" t="s">
        <v>108</v>
      </c>
      <c r="L748" s="142">
        <f t="shared" si="204"/>
        <v>45833</v>
      </c>
      <c r="M748" s="142">
        <v>45831</v>
      </c>
      <c r="N748" s="142">
        <f t="shared" si="195"/>
        <v>45833</v>
      </c>
      <c r="O748" s="143">
        <f t="shared" ca="1" si="196"/>
        <v>2</v>
      </c>
      <c r="P748" s="142">
        <v>45848</v>
      </c>
      <c r="Q748" s="142"/>
      <c r="R748" s="143">
        <f t="shared" ca="1" si="197"/>
        <v>8</v>
      </c>
      <c r="S748" s="138"/>
      <c r="T748" s="138"/>
    </row>
    <row r="749" spans="1:20" hidden="1">
      <c r="A749" s="19" t="s">
        <v>188</v>
      </c>
      <c r="B749" s="291">
        <v>216</v>
      </c>
      <c r="C749" s="291" t="s">
        <v>857</v>
      </c>
      <c r="D749" s="291" t="s">
        <v>858</v>
      </c>
      <c r="E749" s="145">
        <v>45899</v>
      </c>
      <c r="F749" s="138">
        <v>99.400001525878906</v>
      </c>
      <c r="G749" s="138">
        <v>99.4</v>
      </c>
      <c r="H749" s="138"/>
      <c r="I749" s="83">
        <f t="shared" si="193"/>
        <v>94.43000144958495</v>
      </c>
      <c r="J749" s="83">
        <f t="shared" si="194"/>
        <v>1.5258789005656581E-6</v>
      </c>
      <c r="K749" s="298" t="s">
        <v>108</v>
      </c>
      <c r="L749" s="142">
        <f t="shared" si="204"/>
        <v>45833</v>
      </c>
      <c r="M749" s="142">
        <v>45831</v>
      </c>
      <c r="N749" s="142">
        <f t="shared" si="195"/>
        <v>45833</v>
      </c>
      <c r="O749" s="143">
        <f t="shared" ca="1" si="196"/>
        <v>2</v>
      </c>
      <c r="P749" s="142">
        <v>45848</v>
      </c>
      <c r="Q749" s="142"/>
      <c r="R749" s="143">
        <f t="shared" ca="1" si="197"/>
        <v>8</v>
      </c>
      <c r="S749" s="138"/>
      <c r="T749" s="138"/>
    </row>
    <row r="750" spans="1:20" hidden="1">
      <c r="A750" s="19" t="s">
        <v>188</v>
      </c>
      <c r="B750" s="291">
        <v>216</v>
      </c>
      <c r="C750" s="291" t="s">
        <v>857</v>
      </c>
      <c r="D750" s="291" t="s">
        <v>859</v>
      </c>
      <c r="E750" s="145">
        <v>45899</v>
      </c>
      <c r="F750" s="138">
        <v>60.900001525878899</v>
      </c>
      <c r="G750" s="138">
        <v>60.9</v>
      </c>
      <c r="H750" s="138"/>
      <c r="I750" s="83">
        <f t="shared" si="193"/>
        <v>57.855001449584954</v>
      </c>
      <c r="J750" s="83">
        <f t="shared" si="194"/>
        <v>1.5258789005656581E-6</v>
      </c>
      <c r="K750" s="298" t="s">
        <v>108</v>
      </c>
      <c r="L750" s="142">
        <f t="shared" si="204"/>
        <v>45833</v>
      </c>
      <c r="M750" s="142">
        <v>45831</v>
      </c>
      <c r="N750" s="142">
        <f t="shared" si="195"/>
        <v>45833</v>
      </c>
      <c r="O750" s="143">
        <f t="shared" ca="1" si="196"/>
        <v>2</v>
      </c>
      <c r="P750" s="142">
        <v>45848</v>
      </c>
      <c r="Q750" s="142"/>
      <c r="R750" s="143">
        <f t="shared" ca="1" si="197"/>
        <v>8</v>
      </c>
      <c r="S750" s="138"/>
      <c r="T750" s="138"/>
    </row>
    <row r="751" spans="1:20" hidden="1">
      <c r="A751" s="19" t="s">
        <v>188</v>
      </c>
      <c r="B751" s="291">
        <v>216</v>
      </c>
      <c r="C751" s="291" t="s">
        <v>79</v>
      </c>
      <c r="D751" s="291" t="s">
        <v>138</v>
      </c>
      <c r="E751" s="145">
        <v>45899</v>
      </c>
      <c r="F751" s="138">
        <v>169</v>
      </c>
      <c r="G751" s="138">
        <v>169</v>
      </c>
      <c r="H751" s="138"/>
      <c r="I751" s="83">
        <f t="shared" si="193"/>
        <v>160.54999999999998</v>
      </c>
      <c r="J751" s="83">
        <f t="shared" si="194"/>
        <v>0</v>
      </c>
      <c r="K751" s="298" t="s">
        <v>108</v>
      </c>
      <c r="L751" s="142">
        <f>P751-13</f>
        <v>45835</v>
      </c>
      <c r="M751" s="142">
        <v>45826</v>
      </c>
      <c r="N751" s="142">
        <f t="shared" si="195"/>
        <v>45828</v>
      </c>
      <c r="O751" s="143">
        <f t="shared" ca="1" si="196"/>
        <v>9</v>
      </c>
      <c r="P751" s="142">
        <f>E751-32-19</f>
        <v>45848</v>
      </c>
      <c r="Q751" s="142"/>
      <c r="R751" s="143">
        <f t="shared" ca="1" si="197"/>
        <v>8</v>
      </c>
      <c r="S751" s="138"/>
      <c r="T751" s="138"/>
    </row>
    <row r="752" spans="1:20" hidden="1">
      <c r="A752" s="19" t="s">
        <v>188</v>
      </c>
      <c r="B752" s="291">
        <v>217</v>
      </c>
      <c r="C752" s="291" t="s">
        <v>77</v>
      </c>
      <c r="D752" s="291" t="s">
        <v>149</v>
      </c>
      <c r="E752" s="145">
        <v>45906</v>
      </c>
      <c r="F752" s="138">
        <v>285.60000610351602</v>
      </c>
      <c r="G752" s="138"/>
      <c r="H752" s="138"/>
      <c r="I752" s="83">
        <f t="shared" si="193"/>
        <v>271.32000579834022</v>
      </c>
      <c r="J752" s="83">
        <f t="shared" si="194"/>
        <v>285.60000610351602</v>
      </c>
      <c r="K752" s="298" t="s">
        <v>890</v>
      </c>
      <c r="L752" s="142">
        <f t="shared" ref="L752:L759" si="205">P752-12</f>
        <v>45843</v>
      </c>
      <c r="M752" s="142"/>
      <c r="N752" s="142">
        <f t="shared" si="195"/>
        <v>2</v>
      </c>
      <c r="O752" s="143">
        <f t="shared" ca="1" si="196"/>
        <v>3</v>
      </c>
      <c r="P752" s="142">
        <v>45855</v>
      </c>
      <c r="Q752" s="142"/>
      <c r="R752" s="143">
        <f t="shared" ca="1" si="197"/>
        <v>15</v>
      </c>
      <c r="S752" s="138"/>
      <c r="T752" s="138"/>
    </row>
    <row r="753" spans="1:20" hidden="1">
      <c r="A753" s="19" t="s">
        <v>188</v>
      </c>
      <c r="B753" s="291">
        <v>217</v>
      </c>
      <c r="C753" s="291" t="s">
        <v>77</v>
      </c>
      <c r="D753" s="291" t="s">
        <v>150</v>
      </c>
      <c r="E753" s="145">
        <v>45906</v>
      </c>
      <c r="F753" s="138">
        <v>285.60000610351602</v>
      </c>
      <c r="G753" s="138"/>
      <c r="H753" s="138"/>
      <c r="I753" s="83">
        <f t="shared" si="193"/>
        <v>271.32000579834022</v>
      </c>
      <c r="J753" s="83">
        <f t="shared" si="194"/>
        <v>285.60000610351602</v>
      </c>
      <c r="K753" s="298" t="s">
        <v>890</v>
      </c>
      <c r="L753" s="142">
        <f t="shared" si="205"/>
        <v>45843</v>
      </c>
      <c r="M753" s="142"/>
      <c r="N753" s="142">
        <f t="shared" si="195"/>
        <v>2</v>
      </c>
      <c r="O753" s="143">
        <f t="shared" ca="1" si="196"/>
        <v>3</v>
      </c>
      <c r="P753" s="142">
        <v>45855</v>
      </c>
      <c r="Q753" s="142"/>
      <c r="R753" s="143">
        <f t="shared" ca="1" si="197"/>
        <v>15</v>
      </c>
      <c r="S753" s="138"/>
      <c r="T753" s="138"/>
    </row>
    <row r="754" spans="1:20" hidden="1">
      <c r="A754" s="19" t="s">
        <v>188</v>
      </c>
      <c r="B754" s="291">
        <v>217</v>
      </c>
      <c r="C754" s="291" t="s">
        <v>77</v>
      </c>
      <c r="D754" s="291" t="s">
        <v>151</v>
      </c>
      <c r="E754" s="145">
        <v>45906</v>
      </c>
      <c r="F754" s="138">
        <v>100.800003051758</v>
      </c>
      <c r="G754" s="138"/>
      <c r="H754" s="138"/>
      <c r="I754" s="83">
        <f t="shared" si="193"/>
        <v>95.76000289917009</v>
      </c>
      <c r="J754" s="83">
        <f t="shared" si="194"/>
        <v>100.800003051758</v>
      </c>
      <c r="K754" s="298" t="s">
        <v>890</v>
      </c>
      <c r="L754" s="142">
        <f t="shared" si="205"/>
        <v>45843</v>
      </c>
      <c r="M754" s="142"/>
      <c r="N754" s="142">
        <f t="shared" si="195"/>
        <v>2</v>
      </c>
      <c r="O754" s="143">
        <f t="shared" ca="1" si="196"/>
        <v>3</v>
      </c>
      <c r="P754" s="142">
        <v>45855</v>
      </c>
      <c r="Q754" s="142"/>
      <c r="R754" s="143">
        <f t="shared" ca="1" si="197"/>
        <v>15</v>
      </c>
      <c r="S754" s="138"/>
      <c r="T754" s="138"/>
    </row>
    <row r="755" spans="1:20" hidden="1">
      <c r="A755" s="19" t="s">
        <v>188</v>
      </c>
      <c r="B755" s="291">
        <v>217</v>
      </c>
      <c r="C755" s="291" t="s">
        <v>77</v>
      </c>
      <c r="D755" s="291" t="s">
        <v>152</v>
      </c>
      <c r="E755" s="145">
        <v>45906</v>
      </c>
      <c r="F755" s="138">
        <v>50.400001525878899</v>
      </c>
      <c r="G755" s="138"/>
      <c r="H755" s="138"/>
      <c r="I755" s="83">
        <f t="shared" si="193"/>
        <v>47.880001449584952</v>
      </c>
      <c r="J755" s="83">
        <f t="shared" si="194"/>
        <v>50.400001525878899</v>
      </c>
      <c r="K755" s="298" t="s">
        <v>890</v>
      </c>
      <c r="L755" s="142">
        <f t="shared" si="205"/>
        <v>45843</v>
      </c>
      <c r="M755" s="142"/>
      <c r="N755" s="142">
        <f t="shared" si="195"/>
        <v>2</v>
      </c>
      <c r="O755" s="143">
        <f t="shared" ca="1" si="196"/>
        <v>3</v>
      </c>
      <c r="P755" s="142">
        <v>45855</v>
      </c>
      <c r="Q755" s="142"/>
      <c r="R755" s="143">
        <f t="shared" ca="1" si="197"/>
        <v>15</v>
      </c>
      <c r="S755" s="138"/>
      <c r="T755" s="138"/>
    </row>
    <row r="756" spans="1:20" hidden="1">
      <c r="A756" s="19" t="s">
        <v>188</v>
      </c>
      <c r="B756" s="291">
        <v>217</v>
      </c>
      <c r="C756" s="291" t="s">
        <v>77</v>
      </c>
      <c r="D756" s="291" t="s">
        <v>153</v>
      </c>
      <c r="E756" s="145">
        <v>45906</v>
      </c>
      <c r="F756" s="138">
        <v>285.60000610351602</v>
      </c>
      <c r="G756" s="138"/>
      <c r="H756" s="138"/>
      <c r="I756" s="83">
        <f t="shared" si="193"/>
        <v>271.32000579834022</v>
      </c>
      <c r="J756" s="83">
        <f t="shared" si="194"/>
        <v>285.60000610351602</v>
      </c>
      <c r="K756" s="298" t="s">
        <v>890</v>
      </c>
      <c r="L756" s="142">
        <f t="shared" si="205"/>
        <v>45843</v>
      </c>
      <c r="M756" s="142"/>
      <c r="N756" s="142">
        <f t="shared" si="195"/>
        <v>2</v>
      </c>
      <c r="O756" s="143">
        <f t="shared" ca="1" si="196"/>
        <v>3</v>
      </c>
      <c r="P756" s="142">
        <v>45855</v>
      </c>
      <c r="Q756" s="142"/>
      <c r="R756" s="143">
        <f t="shared" ca="1" si="197"/>
        <v>15</v>
      </c>
      <c r="S756" s="138"/>
      <c r="T756" s="138"/>
    </row>
    <row r="757" spans="1:20" hidden="1">
      <c r="A757" s="19" t="s">
        <v>188</v>
      </c>
      <c r="B757" s="291">
        <v>217</v>
      </c>
      <c r="C757" s="291" t="s">
        <v>79</v>
      </c>
      <c r="D757" s="291" t="s">
        <v>149</v>
      </c>
      <c r="E757" s="145">
        <v>45906</v>
      </c>
      <c r="F757" s="138">
        <v>2</v>
      </c>
      <c r="G757" s="138"/>
      <c r="H757" s="138"/>
      <c r="I757" s="83">
        <f t="shared" si="193"/>
        <v>1.9</v>
      </c>
      <c r="J757" s="83">
        <f t="shared" si="194"/>
        <v>2</v>
      </c>
      <c r="K757" s="298" t="s">
        <v>890</v>
      </c>
      <c r="L757" s="142">
        <f t="shared" si="205"/>
        <v>45843</v>
      </c>
      <c r="M757" s="142"/>
      <c r="N757" s="142">
        <f t="shared" si="195"/>
        <v>2</v>
      </c>
      <c r="O757" s="143">
        <f t="shared" ca="1" si="196"/>
        <v>3</v>
      </c>
      <c r="P757" s="142">
        <v>45855</v>
      </c>
      <c r="Q757" s="142"/>
      <c r="R757" s="143">
        <f t="shared" ca="1" si="197"/>
        <v>15</v>
      </c>
      <c r="S757" s="138"/>
      <c r="T757" s="138"/>
    </row>
    <row r="758" spans="1:20" hidden="1">
      <c r="A758" s="19" t="s">
        <v>188</v>
      </c>
      <c r="B758" s="291">
        <v>217</v>
      </c>
      <c r="C758" s="291" t="s">
        <v>79</v>
      </c>
      <c r="D758" s="291" t="s">
        <v>150</v>
      </c>
      <c r="E758" s="145">
        <v>45906</v>
      </c>
      <c r="F758" s="138">
        <v>2</v>
      </c>
      <c r="G758" s="138"/>
      <c r="H758" s="138"/>
      <c r="I758" s="83">
        <f t="shared" si="193"/>
        <v>1.9</v>
      </c>
      <c r="J758" s="83">
        <f t="shared" si="194"/>
        <v>2</v>
      </c>
      <c r="K758" s="298" t="s">
        <v>890</v>
      </c>
      <c r="L758" s="142">
        <f t="shared" si="205"/>
        <v>45843</v>
      </c>
      <c r="M758" s="142"/>
      <c r="N758" s="142">
        <f t="shared" si="195"/>
        <v>2</v>
      </c>
      <c r="O758" s="143">
        <f t="shared" ca="1" si="196"/>
        <v>3</v>
      </c>
      <c r="P758" s="142">
        <v>45855</v>
      </c>
      <c r="Q758" s="142"/>
      <c r="R758" s="143">
        <f t="shared" ca="1" si="197"/>
        <v>15</v>
      </c>
      <c r="S758" s="138"/>
      <c r="T758" s="138"/>
    </row>
    <row r="759" spans="1:20" hidden="1">
      <c r="A759" s="19" t="s">
        <v>188</v>
      </c>
      <c r="B759" s="291">
        <v>217</v>
      </c>
      <c r="C759" s="291" t="s">
        <v>79</v>
      </c>
      <c r="D759" s="291" t="s">
        <v>153</v>
      </c>
      <c r="E759" s="145">
        <v>45906</v>
      </c>
      <c r="F759" s="138">
        <v>2</v>
      </c>
      <c r="G759" s="138"/>
      <c r="H759" s="138"/>
      <c r="I759" s="83">
        <f t="shared" si="193"/>
        <v>1.9</v>
      </c>
      <c r="J759" s="83">
        <f t="shared" si="194"/>
        <v>2</v>
      </c>
      <c r="K759" s="298" t="s">
        <v>890</v>
      </c>
      <c r="L759" s="142">
        <f t="shared" si="205"/>
        <v>45843</v>
      </c>
      <c r="M759" s="142"/>
      <c r="N759" s="142">
        <f t="shared" si="195"/>
        <v>2</v>
      </c>
      <c r="O759" s="143">
        <f t="shared" ca="1" si="196"/>
        <v>3</v>
      </c>
      <c r="P759" s="142">
        <v>45855</v>
      </c>
      <c r="Q759" s="142"/>
      <c r="R759" s="143">
        <f t="shared" ca="1" si="197"/>
        <v>15</v>
      </c>
      <c r="S759" s="138"/>
      <c r="T759" s="138"/>
    </row>
    <row r="760" spans="1:20" hidden="1">
      <c r="A760" s="19" t="s">
        <v>188</v>
      </c>
      <c r="B760" s="291">
        <v>217</v>
      </c>
      <c r="C760" s="291" t="s">
        <v>79</v>
      </c>
      <c r="D760" s="291" t="s">
        <v>138</v>
      </c>
      <c r="E760" s="145">
        <v>45906</v>
      </c>
      <c r="F760" s="138">
        <v>111</v>
      </c>
      <c r="G760" s="138">
        <v>111</v>
      </c>
      <c r="H760" s="138"/>
      <c r="I760" s="83">
        <f t="shared" si="193"/>
        <v>105.44999999999999</v>
      </c>
      <c r="J760" s="83">
        <f t="shared" si="194"/>
        <v>0</v>
      </c>
      <c r="K760" s="298" t="s">
        <v>108</v>
      </c>
      <c r="L760" s="142">
        <f t="shared" ref="L760" si="206">P760-15</f>
        <v>45840</v>
      </c>
      <c r="M760" s="142">
        <v>45826</v>
      </c>
      <c r="N760" s="142">
        <f t="shared" ref="N760" si="207">M760+2</f>
        <v>45828</v>
      </c>
      <c r="O760" s="143">
        <f t="shared" ref="O760" ca="1" si="208">+IF(M760="",L760-TODAY(),L760-M760)</f>
        <v>14</v>
      </c>
      <c r="P760" s="142">
        <v>45855</v>
      </c>
      <c r="Q760" s="142"/>
      <c r="R760" s="143">
        <f t="shared" ref="R760" ca="1" si="209">+IF(Q760="",P760-TODAY(),P760-Q760)</f>
        <v>15</v>
      </c>
      <c r="S760" s="138"/>
      <c r="T760" s="138"/>
    </row>
    <row r="761" spans="1:20" hidden="1">
      <c r="A761" s="19" t="s">
        <v>188</v>
      </c>
      <c r="B761" s="291">
        <v>218</v>
      </c>
      <c r="C761" s="291" t="s">
        <v>79</v>
      </c>
      <c r="D761" s="291" t="s">
        <v>146</v>
      </c>
      <c r="E761" s="145">
        <v>45906</v>
      </c>
      <c r="F761" s="138">
        <v>6.5</v>
      </c>
      <c r="G761" s="138">
        <v>6.5</v>
      </c>
      <c r="H761" s="138"/>
      <c r="I761" s="83">
        <f t="shared" si="193"/>
        <v>6.1749999999999998</v>
      </c>
      <c r="J761" s="83">
        <f t="shared" si="194"/>
        <v>0</v>
      </c>
      <c r="K761" s="298" t="s">
        <v>108</v>
      </c>
      <c r="L761" s="142">
        <f t="shared" si="204"/>
        <v>45833</v>
      </c>
      <c r="M761" s="142">
        <v>45833</v>
      </c>
      <c r="N761" s="142">
        <f t="shared" si="195"/>
        <v>45835</v>
      </c>
      <c r="O761" s="143">
        <f t="shared" ca="1" si="196"/>
        <v>0</v>
      </c>
      <c r="P761" s="142">
        <v>45848</v>
      </c>
      <c r="Q761" s="142"/>
      <c r="R761" s="143">
        <f t="shared" ca="1" si="197"/>
        <v>8</v>
      </c>
      <c r="S761" s="138"/>
      <c r="T761" s="138"/>
    </row>
    <row r="762" spans="1:20" hidden="1">
      <c r="A762" s="19" t="s">
        <v>188</v>
      </c>
      <c r="B762" s="291">
        <v>218</v>
      </c>
      <c r="C762" s="291" t="s">
        <v>80</v>
      </c>
      <c r="D762" s="291" t="s">
        <v>146</v>
      </c>
      <c r="E762" s="145">
        <v>45906</v>
      </c>
      <c r="F762" s="138">
        <v>383.29998779296898</v>
      </c>
      <c r="G762" s="138">
        <v>383.3</v>
      </c>
      <c r="H762" s="138"/>
      <c r="I762" s="83">
        <f t="shared" si="193"/>
        <v>364.13498840332051</v>
      </c>
      <c r="J762" s="83">
        <f t="shared" si="194"/>
        <v>-1.2207031033995008E-5</v>
      </c>
      <c r="K762" s="298" t="s">
        <v>133</v>
      </c>
      <c r="L762" s="142">
        <f t="shared" si="204"/>
        <v>45833</v>
      </c>
      <c r="M762" s="142">
        <v>45832</v>
      </c>
      <c r="N762" s="142">
        <f t="shared" si="195"/>
        <v>45834</v>
      </c>
      <c r="O762" s="143">
        <f t="shared" ca="1" si="196"/>
        <v>1</v>
      </c>
      <c r="P762" s="142">
        <v>45848</v>
      </c>
      <c r="Q762" s="142"/>
      <c r="R762" s="143">
        <f t="shared" ca="1" si="197"/>
        <v>8</v>
      </c>
      <c r="S762" s="138"/>
      <c r="T762" s="138"/>
    </row>
    <row r="763" spans="1:20" hidden="1">
      <c r="A763" s="19" t="s">
        <v>188</v>
      </c>
      <c r="B763" s="291">
        <v>218</v>
      </c>
      <c r="C763" s="291" t="s">
        <v>75</v>
      </c>
      <c r="D763" s="291" t="s">
        <v>858</v>
      </c>
      <c r="E763" s="145">
        <v>45906</v>
      </c>
      <c r="F763" s="138">
        <v>130.80000305175801</v>
      </c>
      <c r="G763" s="138">
        <v>130.80000000000001</v>
      </c>
      <c r="H763" s="138"/>
      <c r="I763" s="83">
        <f t="shared" si="193"/>
        <v>124.2600028991701</v>
      </c>
      <c r="J763" s="83">
        <f t="shared" si="194"/>
        <v>3.0517580000832822E-6</v>
      </c>
      <c r="K763" s="298" t="s">
        <v>108</v>
      </c>
      <c r="L763" s="142">
        <f t="shared" si="204"/>
        <v>45840</v>
      </c>
      <c r="M763" s="142">
        <v>45831</v>
      </c>
      <c r="N763" s="142">
        <f t="shared" si="195"/>
        <v>45833</v>
      </c>
      <c r="O763" s="143">
        <f t="shared" ca="1" si="196"/>
        <v>9</v>
      </c>
      <c r="P763" s="142">
        <v>45855</v>
      </c>
      <c r="Q763" s="142"/>
      <c r="R763" s="143">
        <f t="shared" ca="1" si="197"/>
        <v>15</v>
      </c>
      <c r="S763" s="138"/>
      <c r="T763" s="138"/>
    </row>
    <row r="764" spans="1:20" hidden="1">
      <c r="A764" s="19" t="s">
        <v>188</v>
      </c>
      <c r="B764" s="291">
        <v>218</v>
      </c>
      <c r="C764" s="291" t="s">
        <v>75</v>
      </c>
      <c r="D764" s="291" t="s">
        <v>859</v>
      </c>
      <c r="E764" s="145">
        <v>45906</v>
      </c>
      <c r="F764" s="138">
        <v>80.199996948242202</v>
      </c>
      <c r="G764" s="138">
        <v>80.2</v>
      </c>
      <c r="H764" s="138"/>
      <c r="I764" s="83">
        <f t="shared" si="193"/>
        <v>76.189997100830084</v>
      </c>
      <c r="J764" s="83">
        <f t="shared" si="194"/>
        <v>-3.0517578011313162E-6</v>
      </c>
      <c r="K764" s="298" t="s">
        <v>108</v>
      </c>
      <c r="L764" s="142">
        <f t="shared" si="204"/>
        <v>45840</v>
      </c>
      <c r="M764" s="142">
        <v>45831</v>
      </c>
      <c r="N764" s="142">
        <f t="shared" si="195"/>
        <v>45833</v>
      </c>
      <c r="O764" s="143">
        <f t="shared" ca="1" si="196"/>
        <v>9</v>
      </c>
      <c r="P764" s="142">
        <v>45855</v>
      </c>
      <c r="Q764" s="142"/>
      <c r="R764" s="143">
        <f t="shared" ca="1" si="197"/>
        <v>15</v>
      </c>
      <c r="S764" s="138"/>
      <c r="T764" s="138"/>
    </row>
    <row r="765" spans="1:20" hidden="1">
      <c r="A765" s="19" t="s">
        <v>188</v>
      </c>
      <c r="B765" s="291">
        <v>218</v>
      </c>
      <c r="C765" s="291" t="s">
        <v>857</v>
      </c>
      <c r="D765" s="291" t="s">
        <v>858</v>
      </c>
      <c r="E765" s="145">
        <v>45906</v>
      </c>
      <c r="F765" s="138">
        <v>150</v>
      </c>
      <c r="G765" s="138">
        <v>150</v>
      </c>
      <c r="H765" s="138"/>
      <c r="I765" s="83">
        <f t="shared" si="193"/>
        <v>142.5</v>
      </c>
      <c r="J765" s="83">
        <f t="shared" si="194"/>
        <v>0</v>
      </c>
      <c r="K765" s="298" t="s">
        <v>108</v>
      </c>
      <c r="L765" s="142">
        <f t="shared" si="204"/>
        <v>45840</v>
      </c>
      <c r="M765" s="142">
        <v>45831</v>
      </c>
      <c r="N765" s="142">
        <f t="shared" si="195"/>
        <v>45833</v>
      </c>
      <c r="O765" s="143">
        <f t="shared" ca="1" si="196"/>
        <v>9</v>
      </c>
      <c r="P765" s="142">
        <v>45855</v>
      </c>
      <c r="Q765" s="142"/>
      <c r="R765" s="143">
        <f t="shared" ca="1" si="197"/>
        <v>15</v>
      </c>
      <c r="S765" s="138"/>
      <c r="T765" s="138"/>
    </row>
    <row r="766" spans="1:20" hidden="1">
      <c r="A766" s="19" t="s">
        <v>188</v>
      </c>
      <c r="B766" s="291">
        <v>218</v>
      </c>
      <c r="C766" s="291" t="s">
        <v>857</v>
      </c>
      <c r="D766" s="291" t="s">
        <v>859</v>
      </c>
      <c r="E766" s="145">
        <v>45906</v>
      </c>
      <c r="F766" s="138">
        <v>92</v>
      </c>
      <c r="G766" s="138">
        <v>92</v>
      </c>
      <c r="H766" s="138"/>
      <c r="I766" s="83">
        <f t="shared" si="193"/>
        <v>87.399999999999991</v>
      </c>
      <c r="J766" s="83">
        <f t="shared" si="194"/>
        <v>0</v>
      </c>
      <c r="K766" s="298" t="s">
        <v>108</v>
      </c>
      <c r="L766" s="142">
        <f t="shared" si="204"/>
        <v>45840</v>
      </c>
      <c r="M766" s="142">
        <v>45831</v>
      </c>
      <c r="N766" s="142">
        <f t="shared" si="195"/>
        <v>45833</v>
      </c>
      <c r="O766" s="143">
        <f t="shared" ca="1" si="196"/>
        <v>9</v>
      </c>
      <c r="P766" s="142">
        <v>45855</v>
      </c>
      <c r="Q766" s="142"/>
      <c r="R766" s="143">
        <f t="shared" ca="1" si="197"/>
        <v>15</v>
      </c>
      <c r="S766" s="138"/>
      <c r="T766" s="138"/>
    </row>
    <row r="767" spans="1:20" hidden="1">
      <c r="A767" s="19" t="s">
        <v>188</v>
      </c>
      <c r="B767" s="291">
        <v>219</v>
      </c>
      <c r="C767" s="291" t="s">
        <v>79</v>
      </c>
      <c r="D767" s="291" t="s">
        <v>146</v>
      </c>
      <c r="E767" s="145">
        <v>45913</v>
      </c>
      <c r="F767" s="138">
        <v>6.1999998092651403</v>
      </c>
      <c r="G767" s="138">
        <v>6.2</v>
      </c>
      <c r="H767" s="138"/>
      <c r="I767" s="83">
        <f t="shared" ref="I767:I774" si="210">F767*95%-H767</f>
        <v>5.8899998188018827</v>
      </c>
      <c r="J767" s="83">
        <f t="shared" ref="J767:J774" si="211">F767-G767</f>
        <v>-1.9073485990617201E-7</v>
      </c>
      <c r="K767" s="298" t="s">
        <v>108</v>
      </c>
      <c r="L767" s="142">
        <f t="shared" ref="L767:L774" si="212">P767-15</f>
        <v>45834</v>
      </c>
      <c r="M767" s="142">
        <v>45833</v>
      </c>
      <c r="N767" s="142">
        <f t="shared" ref="N767:N774" si="213">M767+2</f>
        <v>45835</v>
      </c>
      <c r="O767" s="143">
        <f t="shared" ref="O767:O774" ca="1" si="214">+IF(M767="",L767-TODAY(),L767-M767)</f>
        <v>1</v>
      </c>
      <c r="P767" s="142">
        <f>E767-34-13-17</f>
        <v>45849</v>
      </c>
      <c r="Q767" s="142"/>
      <c r="R767" s="143">
        <f t="shared" ref="R767:R774" ca="1" si="215">+IF(Q767="",P767-TODAY(),P767-Q767)</f>
        <v>9</v>
      </c>
      <c r="S767" s="138"/>
      <c r="T767" s="138"/>
    </row>
    <row r="768" spans="1:20" hidden="1">
      <c r="A768" s="19" t="s">
        <v>188</v>
      </c>
      <c r="B768" s="291">
        <v>219</v>
      </c>
      <c r="C768" s="291" t="s">
        <v>80</v>
      </c>
      <c r="D768" s="291" t="s">
        <v>146</v>
      </c>
      <c r="E768" s="145">
        <v>45913</v>
      </c>
      <c r="F768" s="138">
        <v>612.59997558593795</v>
      </c>
      <c r="G768" s="138">
        <v>377</v>
      </c>
      <c r="H768" s="138"/>
      <c r="I768" s="83">
        <f t="shared" si="210"/>
        <v>581.96997680664106</v>
      </c>
      <c r="J768" s="83">
        <f t="shared" si="211"/>
        <v>235.59997558593795</v>
      </c>
      <c r="K768" s="298" t="s">
        <v>133</v>
      </c>
      <c r="L768" s="142">
        <f t="shared" si="212"/>
        <v>45834</v>
      </c>
      <c r="M768" s="142">
        <v>45832</v>
      </c>
      <c r="N768" s="142">
        <f t="shared" si="213"/>
        <v>45834</v>
      </c>
      <c r="O768" s="143">
        <f t="shared" ca="1" si="214"/>
        <v>2</v>
      </c>
      <c r="P768" s="142">
        <f>E768-34-13-17</f>
        <v>45849</v>
      </c>
      <c r="Q768" s="142"/>
      <c r="R768" s="143">
        <f t="shared" ca="1" si="215"/>
        <v>9</v>
      </c>
      <c r="S768" s="138"/>
      <c r="T768" s="138"/>
    </row>
    <row r="769" spans="1:20" hidden="1">
      <c r="A769" s="19" t="s">
        <v>188</v>
      </c>
      <c r="B769" s="291">
        <v>219</v>
      </c>
      <c r="C769" s="291" t="s">
        <v>75</v>
      </c>
      <c r="D769" s="291" t="s">
        <v>858</v>
      </c>
      <c r="E769" s="145">
        <v>45913</v>
      </c>
      <c r="F769" s="138">
        <v>86.699996948242202</v>
      </c>
      <c r="G769" s="138">
        <v>86.7</v>
      </c>
      <c r="H769" s="138"/>
      <c r="I769" s="83">
        <f t="shared" si="210"/>
        <v>82.364997100830081</v>
      </c>
      <c r="J769" s="83">
        <f t="shared" si="211"/>
        <v>-3.0517578011313162E-6</v>
      </c>
      <c r="K769" s="298" t="s">
        <v>108</v>
      </c>
      <c r="L769" s="142">
        <f t="shared" si="212"/>
        <v>45847</v>
      </c>
      <c r="M769" s="142">
        <v>45831</v>
      </c>
      <c r="N769" s="142">
        <f t="shared" si="213"/>
        <v>45833</v>
      </c>
      <c r="O769" s="143">
        <f t="shared" ca="1" si="214"/>
        <v>16</v>
      </c>
      <c r="P769" s="142">
        <v>45862</v>
      </c>
      <c r="Q769" s="142"/>
      <c r="R769" s="143">
        <f t="shared" ca="1" si="215"/>
        <v>22</v>
      </c>
      <c r="S769" s="138"/>
      <c r="T769" s="138"/>
    </row>
    <row r="770" spans="1:20" hidden="1">
      <c r="A770" s="19" t="s">
        <v>188</v>
      </c>
      <c r="B770" s="291">
        <v>219</v>
      </c>
      <c r="C770" s="291" t="s">
        <v>75</v>
      </c>
      <c r="D770" s="291" t="s">
        <v>859</v>
      </c>
      <c r="E770" s="145">
        <v>45913</v>
      </c>
      <c r="F770" s="138">
        <v>53.099998474121101</v>
      </c>
      <c r="G770" s="138">
        <v>53.1</v>
      </c>
      <c r="H770" s="138"/>
      <c r="I770" s="83">
        <f t="shared" si="210"/>
        <v>50.444998550415043</v>
      </c>
      <c r="J770" s="83">
        <f t="shared" si="211"/>
        <v>-1.5258789005656581E-6</v>
      </c>
      <c r="K770" s="298" t="s">
        <v>108</v>
      </c>
      <c r="L770" s="142">
        <f t="shared" si="212"/>
        <v>45847</v>
      </c>
      <c r="M770" s="142">
        <v>45831</v>
      </c>
      <c r="N770" s="142">
        <f t="shared" si="213"/>
        <v>45833</v>
      </c>
      <c r="O770" s="143">
        <f t="shared" ca="1" si="214"/>
        <v>16</v>
      </c>
      <c r="P770" s="142">
        <v>45862</v>
      </c>
      <c r="Q770" s="142"/>
      <c r="R770" s="143">
        <f t="shared" ca="1" si="215"/>
        <v>22</v>
      </c>
      <c r="S770" s="138"/>
      <c r="T770" s="138"/>
    </row>
    <row r="771" spans="1:20" hidden="1">
      <c r="A771" s="19" t="s">
        <v>188</v>
      </c>
      <c r="B771" s="291">
        <v>219</v>
      </c>
      <c r="C771" s="291" t="s">
        <v>857</v>
      </c>
      <c r="D771" s="291" t="s">
        <v>858</v>
      </c>
      <c r="E771" s="145">
        <v>45913</v>
      </c>
      <c r="F771" s="138">
        <v>99.400001525878906</v>
      </c>
      <c r="G771" s="138">
        <v>99.4</v>
      </c>
      <c r="H771" s="138"/>
      <c r="I771" s="83">
        <f t="shared" si="210"/>
        <v>94.43000144958495</v>
      </c>
      <c r="J771" s="83">
        <f t="shared" si="211"/>
        <v>1.5258789005656581E-6</v>
      </c>
      <c r="K771" s="298" t="s">
        <v>108</v>
      </c>
      <c r="L771" s="142">
        <f t="shared" si="212"/>
        <v>45847</v>
      </c>
      <c r="M771" s="142">
        <v>45831</v>
      </c>
      <c r="N771" s="142">
        <f t="shared" si="213"/>
        <v>45833</v>
      </c>
      <c r="O771" s="143">
        <f t="shared" ca="1" si="214"/>
        <v>16</v>
      </c>
      <c r="P771" s="142">
        <v>45862</v>
      </c>
      <c r="Q771" s="142"/>
      <c r="R771" s="143">
        <f t="shared" ca="1" si="215"/>
        <v>22</v>
      </c>
      <c r="S771" s="138"/>
      <c r="T771" s="138"/>
    </row>
    <row r="772" spans="1:20" hidden="1">
      <c r="A772" s="19" t="s">
        <v>188</v>
      </c>
      <c r="B772" s="291">
        <v>219</v>
      </c>
      <c r="C772" s="291" t="s">
        <v>857</v>
      </c>
      <c r="D772" s="291" t="s">
        <v>859</v>
      </c>
      <c r="E772" s="145">
        <v>45913</v>
      </c>
      <c r="F772" s="138">
        <v>60.900001525878899</v>
      </c>
      <c r="G772" s="138">
        <v>60.9</v>
      </c>
      <c r="H772" s="138"/>
      <c r="I772" s="83">
        <f t="shared" si="210"/>
        <v>57.855001449584954</v>
      </c>
      <c r="J772" s="83">
        <f t="shared" si="211"/>
        <v>1.5258789005656581E-6</v>
      </c>
      <c r="K772" s="298" t="s">
        <v>108</v>
      </c>
      <c r="L772" s="142">
        <f t="shared" si="212"/>
        <v>45847</v>
      </c>
      <c r="M772" s="142">
        <v>45831</v>
      </c>
      <c r="N772" s="142">
        <f t="shared" si="213"/>
        <v>45833</v>
      </c>
      <c r="O772" s="143">
        <f t="shared" ca="1" si="214"/>
        <v>16</v>
      </c>
      <c r="P772" s="142">
        <v>45862</v>
      </c>
      <c r="Q772" s="142"/>
      <c r="R772" s="143">
        <f t="shared" ca="1" si="215"/>
        <v>22</v>
      </c>
      <c r="S772" s="138"/>
      <c r="T772" s="138"/>
    </row>
    <row r="773" spans="1:20" hidden="1">
      <c r="A773" s="19" t="s">
        <v>188</v>
      </c>
      <c r="B773" s="291">
        <v>221</v>
      </c>
      <c r="C773" s="291" t="s">
        <v>77</v>
      </c>
      <c r="D773" s="291" t="s">
        <v>147</v>
      </c>
      <c r="E773" s="145">
        <v>45920</v>
      </c>
      <c r="F773" s="138">
        <v>498.20001220703102</v>
      </c>
      <c r="G773" s="138"/>
      <c r="H773" s="138"/>
      <c r="I773" s="83">
        <f t="shared" si="210"/>
        <v>473.29001159667945</v>
      </c>
      <c r="J773" s="83">
        <f t="shared" si="211"/>
        <v>498.20001220703102</v>
      </c>
      <c r="K773" s="298" t="s">
        <v>133</v>
      </c>
      <c r="L773" s="142">
        <f t="shared" si="212"/>
        <v>45841</v>
      </c>
      <c r="M773" s="142"/>
      <c r="N773" s="142">
        <f t="shared" si="213"/>
        <v>2</v>
      </c>
      <c r="O773" s="143">
        <f t="shared" ca="1" si="214"/>
        <v>1</v>
      </c>
      <c r="P773" s="142">
        <f>E773-34-13-17</f>
        <v>45856</v>
      </c>
      <c r="Q773" s="142"/>
      <c r="R773" s="143">
        <f t="shared" ca="1" si="215"/>
        <v>16</v>
      </c>
      <c r="S773" s="138"/>
      <c r="T773" s="138"/>
    </row>
    <row r="774" spans="1:20" hidden="1">
      <c r="A774" s="19" t="s">
        <v>188</v>
      </c>
      <c r="B774" s="291">
        <v>221</v>
      </c>
      <c r="C774" s="291" t="s">
        <v>77</v>
      </c>
      <c r="D774" s="291" t="s">
        <v>148</v>
      </c>
      <c r="E774" s="145">
        <v>45920</v>
      </c>
      <c r="F774" s="138">
        <v>785.29998779296898</v>
      </c>
      <c r="G774" s="138"/>
      <c r="H774" s="138"/>
      <c r="I774" s="83">
        <f t="shared" si="210"/>
        <v>746.03498840332054</v>
      </c>
      <c r="J774" s="83">
        <f t="shared" si="211"/>
        <v>785.29998779296898</v>
      </c>
      <c r="K774" s="298" t="s">
        <v>133</v>
      </c>
      <c r="L774" s="142">
        <f t="shared" si="212"/>
        <v>45841</v>
      </c>
      <c r="M774" s="142"/>
      <c r="N774" s="142">
        <f t="shared" si="213"/>
        <v>2</v>
      </c>
      <c r="O774" s="143">
        <f t="shared" ca="1" si="214"/>
        <v>1</v>
      </c>
      <c r="P774" s="142">
        <f>E774-34-13-17</f>
        <v>45856</v>
      </c>
      <c r="Q774" s="142"/>
      <c r="R774" s="143">
        <f t="shared" ca="1" si="215"/>
        <v>16</v>
      </c>
      <c r="S774" s="138"/>
      <c r="T774" s="138"/>
    </row>
    <row r="775" spans="1:20" hidden="1">
      <c r="A775" s="19" t="s">
        <v>188</v>
      </c>
      <c r="B775" s="291">
        <v>222</v>
      </c>
      <c r="C775" s="291" t="s">
        <v>77</v>
      </c>
      <c r="D775" s="291" t="s">
        <v>149</v>
      </c>
      <c r="E775" s="145">
        <v>45920</v>
      </c>
      <c r="F775" s="138">
        <v>362.70001220703102</v>
      </c>
      <c r="G775" s="138"/>
      <c r="H775" s="138"/>
      <c r="I775" s="83">
        <f t="shared" ref="I775:I809" si="216">F775*95%-H775</f>
        <v>344.56501159667948</v>
      </c>
      <c r="J775" s="83">
        <f t="shared" ref="J775:J809" si="217">F775-G775</f>
        <v>362.70001220703102</v>
      </c>
      <c r="K775" s="298" t="s">
        <v>890</v>
      </c>
      <c r="L775" s="142">
        <f t="shared" ref="L775:L809" si="218">P775-15</f>
        <v>45853</v>
      </c>
      <c r="M775" s="142"/>
      <c r="N775" s="142">
        <f t="shared" ref="N775:N809" si="219">M775+2</f>
        <v>2</v>
      </c>
      <c r="O775" s="143">
        <f t="shared" ref="O775:O809" ca="1" si="220">+IF(M775="",L775-TODAY(),L775-M775)</f>
        <v>13</v>
      </c>
      <c r="P775" s="142">
        <v>45868</v>
      </c>
      <c r="Q775" s="142"/>
      <c r="R775" s="143">
        <f t="shared" ref="R775:R809" ca="1" si="221">+IF(Q775="",P775-TODAY(),P775-Q775)</f>
        <v>28</v>
      </c>
      <c r="S775" s="138"/>
    </row>
    <row r="776" spans="1:20" hidden="1">
      <c r="A776" s="19" t="s">
        <v>188</v>
      </c>
      <c r="B776" s="291">
        <v>222</v>
      </c>
      <c r="C776" s="291" t="s">
        <v>77</v>
      </c>
      <c r="D776" s="291" t="s">
        <v>150</v>
      </c>
      <c r="E776" s="145">
        <v>45920</v>
      </c>
      <c r="F776" s="138">
        <v>362.70001220703102</v>
      </c>
      <c r="G776" s="138"/>
      <c r="H776" s="138"/>
      <c r="I776" s="83">
        <f t="shared" si="216"/>
        <v>344.56501159667948</v>
      </c>
      <c r="J776" s="83">
        <f t="shared" si="217"/>
        <v>362.70001220703102</v>
      </c>
      <c r="K776" s="298" t="s">
        <v>890</v>
      </c>
      <c r="L776" s="142">
        <f t="shared" si="218"/>
        <v>45853</v>
      </c>
      <c r="M776" s="142"/>
      <c r="N776" s="142">
        <f t="shared" si="219"/>
        <v>2</v>
      </c>
      <c r="O776" s="143">
        <f t="shared" ca="1" si="220"/>
        <v>13</v>
      </c>
      <c r="P776" s="142">
        <v>45868</v>
      </c>
      <c r="Q776" s="142"/>
      <c r="R776" s="143">
        <f t="shared" ca="1" si="221"/>
        <v>28</v>
      </c>
      <c r="S776" s="138"/>
    </row>
    <row r="777" spans="1:20" hidden="1">
      <c r="A777" s="19" t="s">
        <v>188</v>
      </c>
      <c r="B777" s="291">
        <v>222</v>
      </c>
      <c r="C777" s="291" t="s">
        <v>77</v>
      </c>
      <c r="D777" s="291" t="s">
        <v>151</v>
      </c>
      <c r="E777" s="145">
        <v>45920</v>
      </c>
      <c r="F777" s="138">
        <v>128.10000610351599</v>
      </c>
      <c r="G777" s="138"/>
      <c r="H777" s="138"/>
      <c r="I777" s="83">
        <f t="shared" si="216"/>
        <v>121.69500579834019</v>
      </c>
      <c r="J777" s="83">
        <f t="shared" si="217"/>
        <v>128.10000610351599</v>
      </c>
      <c r="K777" s="298" t="s">
        <v>890</v>
      </c>
      <c r="L777" s="142">
        <f t="shared" si="218"/>
        <v>45853</v>
      </c>
      <c r="M777" s="142"/>
      <c r="N777" s="142">
        <f t="shared" si="219"/>
        <v>2</v>
      </c>
      <c r="O777" s="143">
        <f t="shared" ca="1" si="220"/>
        <v>13</v>
      </c>
      <c r="P777" s="142">
        <v>45868</v>
      </c>
      <c r="Q777" s="142"/>
      <c r="R777" s="143">
        <f t="shared" ca="1" si="221"/>
        <v>28</v>
      </c>
      <c r="S777" s="138"/>
    </row>
    <row r="778" spans="1:20" hidden="1">
      <c r="A778" s="19" t="s">
        <v>188</v>
      </c>
      <c r="B778" s="291">
        <v>222</v>
      </c>
      <c r="C778" s="291" t="s">
        <v>77</v>
      </c>
      <c r="D778" s="291" t="s">
        <v>152</v>
      </c>
      <c r="E778" s="145">
        <v>45920</v>
      </c>
      <c r="F778" s="138">
        <v>64.099998474121094</v>
      </c>
      <c r="G778" s="138"/>
      <c r="H778" s="138"/>
      <c r="I778" s="83">
        <f t="shared" si="216"/>
        <v>60.894998550415039</v>
      </c>
      <c r="J778" s="83">
        <f t="shared" si="217"/>
        <v>64.099998474121094</v>
      </c>
      <c r="K778" s="298" t="s">
        <v>890</v>
      </c>
      <c r="L778" s="142">
        <f t="shared" si="218"/>
        <v>45853</v>
      </c>
      <c r="M778" s="142"/>
      <c r="N778" s="142">
        <f t="shared" si="219"/>
        <v>2</v>
      </c>
      <c r="O778" s="143">
        <f t="shared" ca="1" si="220"/>
        <v>13</v>
      </c>
      <c r="P778" s="142">
        <v>45868</v>
      </c>
      <c r="Q778" s="142"/>
      <c r="R778" s="143">
        <f t="shared" ca="1" si="221"/>
        <v>28</v>
      </c>
      <c r="S778" s="138"/>
    </row>
    <row r="779" spans="1:20" hidden="1">
      <c r="A779" s="19" t="s">
        <v>188</v>
      </c>
      <c r="B779" s="291">
        <v>222</v>
      </c>
      <c r="C779" s="291" t="s">
        <v>77</v>
      </c>
      <c r="D779" s="291" t="s">
        <v>153</v>
      </c>
      <c r="E779" s="145">
        <v>45920</v>
      </c>
      <c r="F779" s="138">
        <v>363.70001220703102</v>
      </c>
      <c r="G779" s="138"/>
      <c r="H779" s="138"/>
      <c r="I779" s="83">
        <f t="shared" si="216"/>
        <v>345.51501159667947</v>
      </c>
      <c r="J779" s="83">
        <f t="shared" si="217"/>
        <v>363.70001220703102</v>
      </c>
      <c r="K779" s="298" t="s">
        <v>890</v>
      </c>
      <c r="L779" s="142">
        <f t="shared" si="218"/>
        <v>45853</v>
      </c>
      <c r="M779" s="142"/>
      <c r="N779" s="142">
        <f t="shared" si="219"/>
        <v>2</v>
      </c>
      <c r="O779" s="143">
        <f t="shared" ca="1" si="220"/>
        <v>13</v>
      </c>
      <c r="P779" s="142">
        <v>45868</v>
      </c>
      <c r="Q779" s="142"/>
      <c r="R779" s="143">
        <f t="shared" ca="1" si="221"/>
        <v>28</v>
      </c>
      <c r="S779" s="138"/>
    </row>
    <row r="780" spans="1:20" hidden="1">
      <c r="A780" s="19" t="s">
        <v>188</v>
      </c>
      <c r="B780" s="291">
        <v>222</v>
      </c>
      <c r="C780" s="291" t="s">
        <v>79</v>
      </c>
      <c r="D780" s="291" t="s">
        <v>146</v>
      </c>
      <c r="E780" s="145">
        <v>45920</v>
      </c>
      <c r="F780" s="138">
        <v>6.8000001907348597</v>
      </c>
      <c r="G780" s="138">
        <v>6.8</v>
      </c>
      <c r="H780" s="138"/>
      <c r="I780" s="83">
        <f t="shared" si="216"/>
        <v>6.460000181198116</v>
      </c>
      <c r="J780" s="83">
        <f t="shared" si="217"/>
        <v>1.9073485990617201E-7</v>
      </c>
      <c r="K780" s="298" t="s">
        <v>108</v>
      </c>
      <c r="L780" s="142">
        <f t="shared" si="218"/>
        <v>45841</v>
      </c>
      <c r="M780" s="142">
        <v>45833</v>
      </c>
      <c r="N780" s="142">
        <f t="shared" si="219"/>
        <v>45835</v>
      </c>
      <c r="O780" s="143">
        <f t="shared" ca="1" si="220"/>
        <v>8</v>
      </c>
      <c r="P780" s="142">
        <f t="shared" ref="P780:P805" si="222">E780-34-13-17</f>
        <v>45856</v>
      </c>
      <c r="Q780" s="142"/>
      <c r="R780" s="143">
        <f t="shared" ca="1" si="221"/>
        <v>16</v>
      </c>
      <c r="S780" s="138"/>
    </row>
    <row r="781" spans="1:20" hidden="1">
      <c r="A781" s="19" t="s">
        <v>188</v>
      </c>
      <c r="B781" s="291">
        <v>222</v>
      </c>
      <c r="C781" s="291" t="s">
        <v>80</v>
      </c>
      <c r="D781" s="291" t="s">
        <v>146</v>
      </c>
      <c r="E781" s="145">
        <v>45920</v>
      </c>
      <c r="F781" s="138">
        <v>102.5</v>
      </c>
      <c r="G781" s="138">
        <v>102.5</v>
      </c>
      <c r="H781" s="138"/>
      <c r="I781" s="83">
        <f t="shared" si="216"/>
        <v>97.375</v>
      </c>
      <c r="J781" s="83">
        <f t="shared" si="217"/>
        <v>0</v>
      </c>
      <c r="K781" s="298" t="s">
        <v>133</v>
      </c>
      <c r="L781" s="142">
        <f t="shared" si="218"/>
        <v>45841</v>
      </c>
      <c r="M781" s="142">
        <v>45832</v>
      </c>
      <c r="N781" s="142">
        <f t="shared" si="219"/>
        <v>45834</v>
      </c>
      <c r="O781" s="143">
        <f t="shared" ca="1" si="220"/>
        <v>9</v>
      </c>
      <c r="P781" s="142">
        <f t="shared" si="222"/>
        <v>45856</v>
      </c>
      <c r="Q781" s="142"/>
      <c r="R781" s="143">
        <f t="shared" ca="1" si="221"/>
        <v>16</v>
      </c>
      <c r="S781" s="138"/>
    </row>
    <row r="782" spans="1:20" hidden="1">
      <c r="A782" s="19" t="s">
        <v>188</v>
      </c>
      <c r="B782" s="291">
        <v>222</v>
      </c>
      <c r="C782" s="291" t="s">
        <v>75</v>
      </c>
      <c r="D782" s="291" t="s">
        <v>858</v>
      </c>
      <c r="E782" s="145">
        <v>45920</v>
      </c>
      <c r="F782" s="138">
        <v>99.099998474121094</v>
      </c>
      <c r="G782" s="138">
        <v>99.1</v>
      </c>
      <c r="H782" s="138"/>
      <c r="I782" s="83">
        <f t="shared" si="216"/>
        <v>94.144998550415039</v>
      </c>
      <c r="J782" s="83">
        <f t="shared" si="217"/>
        <v>-1.5258789005656581E-6</v>
      </c>
      <c r="K782" s="298" t="s">
        <v>108</v>
      </c>
      <c r="L782" s="142">
        <f t="shared" si="218"/>
        <v>45853</v>
      </c>
      <c r="M782" s="142">
        <v>45831</v>
      </c>
      <c r="N782" s="142">
        <f t="shared" si="219"/>
        <v>45833</v>
      </c>
      <c r="O782" s="143">
        <f t="shared" ca="1" si="220"/>
        <v>22</v>
      </c>
      <c r="P782" s="142">
        <v>45868</v>
      </c>
      <c r="Q782" s="142"/>
      <c r="R782" s="143">
        <f t="shared" ca="1" si="221"/>
        <v>28</v>
      </c>
      <c r="S782" s="138"/>
    </row>
    <row r="783" spans="1:20" hidden="1">
      <c r="A783" s="19" t="s">
        <v>188</v>
      </c>
      <c r="B783" s="291">
        <v>222</v>
      </c>
      <c r="C783" s="291" t="s">
        <v>75</v>
      </c>
      <c r="D783" s="291" t="s">
        <v>859</v>
      </c>
      <c r="E783" s="145">
        <v>45920</v>
      </c>
      <c r="F783" s="138">
        <v>60.700000762939503</v>
      </c>
      <c r="G783" s="138">
        <v>60.7</v>
      </c>
      <c r="H783" s="138"/>
      <c r="I783" s="83">
        <f t="shared" si="216"/>
        <v>57.665000724792527</v>
      </c>
      <c r="J783" s="83">
        <f t="shared" si="217"/>
        <v>7.6293950002082056E-7</v>
      </c>
      <c r="K783" s="298" t="s">
        <v>108</v>
      </c>
      <c r="L783" s="142">
        <f t="shared" si="218"/>
        <v>45853</v>
      </c>
      <c r="M783" s="142">
        <v>45831</v>
      </c>
      <c r="N783" s="142">
        <f t="shared" si="219"/>
        <v>45833</v>
      </c>
      <c r="O783" s="143">
        <f t="shared" ca="1" si="220"/>
        <v>22</v>
      </c>
      <c r="P783" s="142">
        <v>45868</v>
      </c>
      <c r="Q783" s="142"/>
      <c r="R783" s="143">
        <f t="shared" ca="1" si="221"/>
        <v>28</v>
      </c>
      <c r="S783" s="138"/>
    </row>
    <row r="784" spans="1:20" hidden="1">
      <c r="A784" s="19" t="s">
        <v>188</v>
      </c>
      <c r="B784" s="291">
        <v>222</v>
      </c>
      <c r="C784" s="291" t="s">
        <v>857</v>
      </c>
      <c r="D784" s="291" t="s">
        <v>858</v>
      </c>
      <c r="E784" s="145">
        <v>45920</v>
      </c>
      <c r="F784" s="138">
        <v>113.59999847412099</v>
      </c>
      <c r="G784" s="138">
        <v>113.6</v>
      </c>
      <c r="H784" s="138"/>
      <c r="I784" s="83">
        <f t="shared" si="216"/>
        <v>107.91999855041495</v>
      </c>
      <c r="J784" s="83">
        <f t="shared" si="217"/>
        <v>-1.5258790000416411E-6</v>
      </c>
      <c r="K784" s="298" t="s">
        <v>108</v>
      </c>
      <c r="L784" s="142">
        <f t="shared" si="218"/>
        <v>45853</v>
      </c>
      <c r="M784" s="142">
        <v>45831</v>
      </c>
      <c r="N784" s="142">
        <f t="shared" si="219"/>
        <v>45833</v>
      </c>
      <c r="O784" s="143">
        <f t="shared" ca="1" si="220"/>
        <v>22</v>
      </c>
      <c r="P784" s="142">
        <v>45868</v>
      </c>
      <c r="Q784" s="142"/>
      <c r="R784" s="143">
        <f t="shared" ca="1" si="221"/>
        <v>28</v>
      </c>
      <c r="S784" s="138"/>
    </row>
    <row r="785" spans="1:19" hidden="1">
      <c r="A785" s="19" t="s">
        <v>188</v>
      </c>
      <c r="B785" s="291">
        <v>222</v>
      </c>
      <c r="C785" s="291" t="s">
        <v>857</v>
      </c>
      <c r="D785" s="291" t="s">
        <v>859</v>
      </c>
      <c r="E785" s="145">
        <v>45920</v>
      </c>
      <c r="F785" s="138">
        <v>69.599998474121094</v>
      </c>
      <c r="G785" s="138">
        <v>70</v>
      </c>
      <c r="H785" s="138"/>
      <c r="I785" s="83">
        <f t="shared" si="216"/>
        <v>66.119998550415033</v>
      </c>
      <c r="J785" s="83">
        <f t="shared" si="217"/>
        <v>-0.40000152587890625</v>
      </c>
      <c r="K785" s="298" t="s">
        <v>108</v>
      </c>
      <c r="L785" s="142">
        <f t="shared" si="218"/>
        <v>45853</v>
      </c>
      <c r="M785" s="142">
        <v>45831</v>
      </c>
      <c r="N785" s="142">
        <f t="shared" si="219"/>
        <v>45833</v>
      </c>
      <c r="O785" s="143">
        <f t="shared" ca="1" si="220"/>
        <v>22</v>
      </c>
      <c r="P785" s="142">
        <v>45868</v>
      </c>
      <c r="Q785" s="142"/>
      <c r="R785" s="143">
        <f t="shared" ca="1" si="221"/>
        <v>28</v>
      </c>
      <c r="S785" s="138"/>
    </row>
    <row r="786" spans="1:19" hidden="1">
      <c r="A786" s="19" t="s">
        <v>188</v>
      </c>
      <c r="B786" s="291">
        <v>222</v>
      </c>
      <c r="C786" s="291" t="s">
        <v>95</v>
      </c>
      <c r="D786" s="291" t="s">
        <v>842</v>
      </c>
      <c r="E786" s="145">
        <v>45920</v>
      </c>
      <c r="F786" s="138">
        <v>121.5</v>
      </c>
      <c r="G786" s="138"/>
      <c r="H786" s="138"/>
      <c r="I786" s="83">
        <f t="shared" si="216"/>
        <v>115.425</v>
      </c>
      <c r="J786" s="83">
        <f t="shared" si="217"/>
        <v>121.5</v>
      </c>
      <c r="K786" s="298"/>
      <c r="L786" s="142">
        <f t="shared" si="218"/>
        <v>45853</v>
      </c>
      <c r="M786" s="142"/>
      <c r="N786" s="142">
        <f t="shared" si="219"/>
        <v>2</v>
      </c>
      <c r="O786" s="143">
        <f t="shared" ca="1" si="220"/>
        <v>13</v>
      </c>
      <c r="P786" s="142">
        <v>45868</v>
      </c>
      <c r="Q786" s="142"/>
      <c r="R786" s="143">
        <f t="shared" ca="1" si="221"/>
        <v>28</v>
      </c>
      <c r="S786" s="138"/>
    </row>
    <row r="787" spans="1:19" hidden="1">
      <c r="A787" s="19" t="s">
        <v>188</v>
      </c>
      <c r="B787" s="291">
        <v>223</v>
      </c>
      <c r="C787" s="291" t="s">
        <v>77</v>
      </c>
      <c r="D787" s="291" t="s">
        <v>149</v>
      </c>
      <c r="E787" s="145">
        <v>45934</v>
      </c>
      <c r="F787" s="138">
        <v>254</v>
      </c>
      <c r="G787" s="138"/>
      <c r="H787" s="138"/>
      <c r="I787" s="83">
        <f t="shared" si="216"/>
        <v>241.29999999999998</v>
      </c>
      <c r="J787" s="83">
        <f t="shared" si="217"/>
        <v>254</v>
      </c>
      <c r="K787" s="298" t="s">
        <v>890</v>
      </c>
      <c r="L787" s="142">
        <f t="shared" si="218"/>
        <v>45868</v>
      </c>
      <c r="M787" s="142"/>
      <c r="N787" s="142">
        <f t="shared" si="219"/>
        <v>2</v>
      </c>
      <c r="O787" s="143">
        <f t="shared" ca="1" si="220"/>
        <v>28</v>
      </c>
      <c r="P787" s="142">
        <v>45883</v>
      </c>
      <c r="Q787" s="142"/>
      <c r="R787" s="143">
        <f t="shared" ca="1" si="221"/>
        <v>43</v>
      </c>
      <c r="S787" s="138"/>
    </row>
    <row r="788" spans="1:19" hidden="1">
      <c r="A788" s="19" t="s">
        <v>188</v>
      </c>
      <c r="B788" s="291">
        <v>223</v>
      </c>
      <c r="C788" s="291" t="s">
        <v>77</v>
      </c>
      <c r="D788" s="291" t="s">
        <v>150</v>
      </c>
      <c r="E788" s="145">
        <v>45934</v>
      </c>
      <c r="F788" s="138">
        <v>254</v>
      </c>
      <c r="G788" s="138"/>
      <c r="H788" s="138"/>
      <c r="I788" s="83">
        <f t="shared" si="216"/>
        <v>241.29999999999998</v>
      </c>
      <c r="J788" s="83">
        <f t="shared" si="217"/>
        <v>254</v>
      </c>
      <c r="K788" s="298" t="s">
        <v>890</v>
      </c>
      <c r="L788" s="142">
        <f t="shared" si="218"/>
        <v>45868</v>
      </c>
      <c r="M788" s="142"/>
      <c r="N788" s="142">
        <f t="shared" si="219"/>
        <v>2</v>
      </c>
      <c r="O788" s="143">
        <f t="shared" ca="1" si="220"/>
        <v>28</v>
      </c>
      <c r="P788" s="142">
        <v>45883</v>
      </c>
      <c r="Q788" s="142"/>
      <c r="R788" s="143">
        <f t="shared" ca="1" si="221"/>
        <v>43</v>
      </c>
      <c r="S788" s="138"/>
    </row>
    <row r="789" spans="1:19" hidden="1">
      <c r="A789" s="19" t="s">
        <v>188</v>
      </c>
      <c r="B789" s="291">
        <v>223</v>
      </c>
      <c r="C789" s="291" t="s">
        <v>77</v>
      </c>
      <c r="D789" s="291" t="s">
        <v>151</v>
      </c>
      <c r="E789" s="145">
        <v>45934</v>
      </c>
      <c r="F789" s="138">
        <v>90</v>
      </c>
      <c r="G789" s="138"/>
      <c r="H789" s="138"/>
      <c r="I789" s="83">
        <f t="shared" si="216"/>
        <v>85.5</v>
      </c>
      <c r="J789" s="83">
        <f t="shared" si="217"/>
        <v>90</v>
      </c>
      <c r="K789" s="298" t="s">
        <v>890</v>
      </c>
      <c r="L789" s="142">
        <f t="shared" si="218"/>
        <v>45868</v>
      </c>
      <c r="M789" s="142"/>
      <c r="N789" s="142">
        <f t="shared" si="219"/>
        <v>2</v>
      </c>
      <c r="O789" s="143">
        <f t="shared" ca="1" si="220"/>
        <v>28</v>
      </c>
      <c r="P789" s="142">
        <v>45883</v>
      </c>
      <c r="Q789" s="142"/>
      <c r="R789" s="143">
        <f t="shared" ca="1" si="221"/>
        <v>43</v>
      </c>
      <c r="S789" s="138"/>
    </row>
    <row r="790" spans="1:19" hidden="1">
      <c r="A790" s="19" t="s">
        <v>188</v>
      </c>
      <c r="B790" s="291">
        <v>223</v>
      </c>
      <c r="C790" s="291" t="s">
        <v>77</v>
      </c>
      <c r="D790" s="291" t="s">
        <v>152</v>
      </c>
      <c r="E790" s="145">
        <v>45934</v>
      </c>
      <c r="F790" s="138">
        <v>45</v>
      </c>
      <c r="G790" s="138"/>
      <c r="H790" s="138"/>
      <c r="I790" s="83">
        <f t="shared" si="216"/>
        <v>42.75</v>
      </c>
      <c r="J790" s="83">
        <f t="shared" si="217"/>
        <v>45</v>
      </c>
      <c r="K790" s="298" t="s">
        <v>890</v>
      </c>
      <c r="L790" s="142">
        <f t="shared" si="218"/>
        <v>45868</v>
      </c>
      <c r="M790" s="142"/>
      <c r="N790" s="142">
        <f t="shared" si="219"/>
        <v>2</v>
      </c>
      <c r="O790" s="143">
        <f t="shared" ca="1" si="220"/>
        <v>28</v>
      </c>
      <c r="P790" s="142">
        <v>45883</v>
      </c>
      <c r="Q790" s="142"/>
      <c r="R790" s="143">
        <f t="shared" ca="1" si="221"/>
        <v>43</v>
      </c>
      <c r="S790" s="138"/>
    </row>
    <row r="791" spans="1:19" hidden="1">
      <c r="A791" s="19" t="s">
        <v>188</v>
      </c>
      <c r="B791" s="291">
        <v>223</v>
      </c>
      <c r="C791" s="291" t="s">
        <v>77</v>
      </c>
      <c r="D791" s="291" t="s">
        <v>153</v>
      </c>
      <c r="E791" s="145">
        <v>45934</v>
      </c>
      <c r="F791" s="138">
        <v>254</v>
      </c>
      <c r="G791" s="138"/>
      <c r="H791" s="138"/>
      <c r="I791" s="83">
        <f t="shared" si="216"/>
        <v>241.29999999999998</v>
      </c>
      <c r="J791" s="83">
        <f t="shared" si="217"/>
        <v>254</v>
      </c>
      <c r="K791" s="298" t="s">
        <v>890</v>
      </c>
      <c r="L791" s="142">
        <f t="shared" si="218"/>
        <v>45868</v>
      </c>
      <c r="M791" s="142"/>
      <c r="N791" s="142">
        <f t="shared" si="219"/>
        <v>2</v>
      </c>
      <c r="O791" s="143">
        <f t="shared" ca="1" si="220"/>
        <v>28</v>
      </c>
      <c r="P791" s="142">
        <v>45883</v>
      </c>
      <c r="Q791" s="142"/>
      <c r="R791" s="143">
        <f t="shared" ca="1" si="221"/>
        <v>43</v>
      </c>
      <c r="S791" s="138"/>
    </row>
    <row r="792" spans="1:19" hidden="1">
      <c r="A792" s="19" t="s">
        <v>188</v>
      </c>
      <c r="B792" s="291">
        <v>223</v>
      </c>
      <c r="C792" s="291" t="s">
        <v>79</v>
      </c>
      <c r="D792" s="291" t="s">
        <v>146</v>
      </c>
      <c r="E792" s="145">
        <v>45934</v>
      </c>
      <c r="F792" s="138">
        <v>5.5999999046325701</v>
      </c>
      <c r="G792" s="138">
        <v>5.6</v>
      </c>
      <c r="H792" s="138"/>
      <c r="I792" s="83">
        <f t="shared" si="216"/>
        <v>5.3199999094009414</v>
      </c>
      <c r="J792" s="83">
        <f t="shared" si="217"/>
        <v>-9.5367429508996793E-8</v>
      </c>
      <c r="K792" s="298" t="s">
        <v>108</v>
      </c>
      <c r="L792" s="142">
        <f t="shared" si="218"/>
        <v>45853</v>
      </c>
      <c r="M792" s="142">
        <v>45833</v>
      </c>
      <c r="N792" s="142">
        <f t="shared" si="219"/>
        <v>45835</v>
      </c>
      <c r="O792" s="143">
        <f t="shared" ca="1" si="220"/>
        <v>20</v>
      </c>
      <c r="P792" s="142">
        <v>45868</v>
      </c>
      <c r="Q792" s="142"/>
      <c r="R792" s="143">
        <f t="shared" ca="1" si="221"/>
        <v>28</v>
      </c>
      <c r="S792" s="138"/>
    </row>
    <row r="793" spans="1:19" hidden="1">
      <c r="A793" s="19" t="s">
        <v>188</v>
      </c>
      <c r="B793" s="291">
        <v>223</v>
      </c>
      <c r="C793" s="291" t="s">
        <v>80</v>
      </c>
      <c r="D793" s="291" t="s">
        <v>146</v>
      </c>
      <c r="E793" s="145">
        <v>45934</v>
      </c>
      <c r="F793" s="138">
        <v>85</v>
      </c>
      <c r="G793" s="138">
        <v>85</v>
      </c>
      <c r="H793" s="138"/>
      <c r="I793" s="83">
        <f t="shared" si="216"/>
        <v>80.75</v>
      </c>
      <c r="J793" s="83">
        <f t="shared" si="217"/>
        <v>0</v>
      </c>
      <c r="K793" s="298" t="s">
        <v>133</v>
      </c>
      <c r="L793" s="142">
        <f t="shared" si="218"/>
        <v>45853</v>
      </c>
      <c r="M793" s="142">
        <v>45832</v>
      </c>
      <c r="N793" s="142">
        <f t="shared" si="219"/>
        <v>45834</v>
      </c>
      <c r="O793" s="143">
        <f t="shared" ca="1" si="220"/>
        <v>21</v>
      </c>
      <c r="P793" s="142">
        <v>45868</v>
      </c>
      <c r="Q793" s="142"/>
      <c r="R793" s="143">
        <f t="shared" ca="1" si="221"/>
        <v>28</v>
      </c>
      <c r="S793" s="138"/>
    </row>
    <row r="794" spans="1:19" hidden="1">
      <c r="A794" s="19" t="s">
        <v>188</v>
      </c>
      <c r="B794" s="291">
        <v>223</v>
      </c>
      <c r="C794" s="291" t="s">
        <v>75</v>
      </c>
      <c r="D794" s="291" t="s">
        <v>841</v>
      </c>
      <c r="E794" s="145">
        <v>45934</v>
      </c>
      <c r="F794" s="138">
        <v>71</v>
      </c>
      <c r="G794" s="138">
        <v>71</v>
      </c>
      <c r="H794" s="138"/>
      <c r="I794" s="83">
        <f t="shared" si="216"/>
        <v>67.45</v>
      </c>
      <c r="J794" s="83">
        <f t="shared" si="217"/>
        <v>0</v>
      </c>
      <c r="K794" s="298" t="s">
        <v>108</v>
      </c>
      <c r="L794" s="142">
        <f t="shared" si="218"/>
        <v>45868</v>
      </c>
      <c r="M794" s="142">
        <v>45831</v>
      </c>
      <c r="N794" s="142">
        <f t="shared" si="219"/>
        <v>45833</v>
      </c>
      <c r="O794" s="143">
        <f t="shared" ca="1" si="220"/>
        <v>37</v>
      </c>
      <c r="P794" s="142">
        <v>45883</v>
      </c>
      <c r="Q794" s="142"/>
      <c r="R794" s="143">
        <f t="shared" ca="1" si="221"/>
        <v>43</v>
      </c>
      <c r="S794" s="138"/>
    </row>
    <row r="795" spans="1:19" hidden="1">
      <c r="A795" s="19" t="s">
        <v>188</v>
      </c>
      <c r="B795" s="291">
        <v>223</v>
      </c>
      <c r="C795" s="291" t="s">
        <v>75</v>
      </c>
      <c r="D795" s="291" t="s">
        <v>840</v>
      </c>
      <c r="E795" s="145">
        <v>45934</v>
      </c>
      <c r="F795" s="138">
        <v>66.199996948242202</v>
      </c>
      <c r="G795" s="138">
        <v>66</v>
      </c>
      <c r="H795" s="138"/>
      <c r="I795" s="83">
        <f t="shared" si="216"/>
        <v>62.889997100830087</v>
      </c>
      <c r="J795" s="83">
        <f t="shared" si="217"/>
        <v>0.19999694824220171</v>
      </c>
      <c r="K795" s="298" t="s">
        <v>108</v>
      </c>
      <c r="L795" s="142">
        <f t="shared" si="218"/>
        <v>45868</v>
      </c>
      <c r="M795" s="142">
        <v>45831</v>
      </c>
      <c r="N795" s="142">
        <f t="shared" si="219"/>
        <v>45833</v>
      </c>
      <c r="O795" s="143">
        <f t="shared" ca="1" si="220"/>
        <v>37</v>
      </c>
      <c r="P795" s="142">
        <v>45883</v>
      </c>
      <c r="Q795" s="142"/>
      <c r="R795" s="143">
        <f t="shared" ca="1" si="221"/>
        <v>43</v>
      </c>
      <c r="S795" s="138"/>
    </row>
    <row r="796" spans="1:19" hidden="1">
      <c r="A796" s="19" t="s">
        <v>188</v>
      </c>
      <c r="B796" s="291">
        <v>223</v>
      </c>
      <c r="C796" s="291" t="s">
        <v>857</v>
      </c>
      <c r="D796" s="291" t="s">
        <v>841</v>
      </c>
      <c r="E796" s="145">
        <v>45934</v>
      </c>
      <c r="F796" s="138">
        <v>81.099998474121094</v>
      </c>
      <c r="G796" s="138">
        <v>81</v>
      </c>
      <c r="H796" s="138"/>
      <c r="I796" s="83">
        <f t="shared" si="216"/>
        <v>77.044998550415031</v>
      </c>
      <c r="J796" s="83">
        <f t="shared" si="217"/>
        <v>9.999847412109375E-2</v>
      </c>
      <c r="K796" s="298" t="s">
        <v>108</v>
      </c>
      <c r="L796" s="142">
        <f t="shared" si="218"/>
        <v>45868</v>
      </c>
      <c r="M796" s="142">
        <v>45831</v>
      </c>
      <c r="N796" s="142">
        <f t="shared" si="219"/>
        <v>45833</v>
      </c>
      <c r="O796" s="143">
        <f t="shared" ca="1" si="220"/>
        <v>37</v>
      </c>
      <c r="P796" s="142">
        <v>45883</v>
      </c>
      <c r="Q796" s="142"/>
      <c r="R796" s="143">
        <f t="shared" ca="1" si="221"/>
        <v>43</v>
      </c>
      <c r="S796" s="138"/>
    </row>
    <row r="797" spans="1:19" hidden="1">
      <c r="A797" s="19" t="s">
        <v>188</v>
      </c>
      <c r="B797" s="291">
        <v>223</v>
      </c>
      <c r="C797" s="291" t="s">
        <v>857</v>
      </c>
      <c r="D797" s="291" t="s">
        <v>840</v>
      </c>
      <c r="E797" s="145">
        <v>45934</v>
      </c>
      <c r="F797" s="138">
        <v>76</v>
      </c>
      <c r="G797" s="138">
        <v>76</v>
      </c>
      <c r="H797" s="138"/>
      <c r="I797" s="83">
        <f t="shared" si="216"/>
        <v>72.2</v>
      </c>
      <c r="J797" s="83">
        <f t="shared" si="217"/>
        <v>0</v>
      </c>
      <c r="K797" s="298" t="s">
        <v>108</v>
      </c>
      <c r="L797" s="142">
        <f t="shared" si="218"/>
        <v>45868</v>
      </c>
      <c r="M797" s="142">
        <v>45831</v>
      </c>
      <c r="N797" s="142">
        <f t="shared" si="219"/>
        <v>45833</v>
      </c>
      <c r="O797" s="143">
        <f t="shared" ca="1" si="220"/>
        <v>37</v>
      </c>
      <c r="P797" s="142">
        <v>45883</v>
      </c>
      <c r="Q797" s="142"/>
      <c r="R797" s="143">
        <f t="shared" ca="1" si="221"/>
        <v>43</v>
      </c>
      <c r="S797" s="138"/>
    </row>
    <row r="798" spans="1:19" hidden="1">
      <c r="A798" s="19" t="s">
        <v>188</v>
      </c>
      <c r="B798" s="291">
        <v>223</v>
      </c>
      <c r="C798" s="291" t="s">
        <v>95</v>
      </c>
      <c r="D798" s="291" t="s">
        <v>842</v>
      </c>
      <c r="E798" s="145">
        <v>45934</v>
      </c>
      <c r="F798" s="138">
        <v>121.5</v>
      </c>
      <c r="G798" s="138"/>
      <c r="H798" s="138"/>
      <c r="I798" s="83">
        <f t="shared" si="216"/>
        <v>115.425</v>
      </c>
      <c r="J798" s="83">
        <f t="shared" si="217"/>
        <v>121.5</v>
      </c>
      <c r="K798" s="298"/>
      <c r="L798" s="142">
        <f t="shared" si="218"/>
        <v>45868</v>
      </c>
      <c r="M798" s="142"/>
      <c r="N798" s="142">
        <f t="shared" si="219"/>
        <v>2</v>
      </c>
      <c r="O798" s="143">
        <f t="shared" ca="1" si="220"/>
        <v>28</v>
      </c>
      <c r="P798" s="142">
        <v>45883</v>
      </c>
      <c r="Q798" s="142"/>
      <c r="R798" s="143">
        <f t="shared" ca="1" si="221"/>
        <v>43</v>
      </c>
      <c r="S798" s="138"/>
    </row>
    <row r="799" spans="1:19" hidden="1">
      <c r="A799" s="19" t="s">
        <v>188</v>
      </c>
      <c r="B799" s="291">
        <v>224</v>
      </c>
      <c r="C799" s="291" t="s">
        <v>77</v>
      </c>
      <c r="D799" s="291" t="s">
        <v>149</v>
      </c>
      <c r="E799" s="145">
        <v>45941</v>
      </c>
      <c r="F799" s="138">
        <v>177</v>
      </c>
      <c r="G799" s="138"/>
      <c r="H799" s="138"/>
      <c r="I799" s="83">
        <f t="shared" si="216"/>
        <v>168.15</v>
      </c>
      <c r="J799" s="83">
        <f t="shared" si="217"/>
        <v>177</v>
      </c>
      <c r="K799" s="298" t="s">
        <v>890</v>
      </c>
      <c r="L799" s="142">
        <f t="shared" si="218"/>
        <v>45875</v>
      </c>
      <c r="M799" s="142"/>
      <c r="N799" s="142">
        <f t="shared" si="219"/>
        <v>2</v>
      </c>
      <c r="O799" s="143">
        <f t="shared" ca="1" si="220"/>
        <v>35</v>
      </c>
      <c r="P799" s="142">
        <v>45890</v>
      </c>
      <c r="Q799" s="142"/>
      <c r="R799" s="143">
        <f t="shared" ca="1" si="221"/>
        <v>50</v>
      </c>
      <c r="S799" s="138"/>
    </row>
    <row r="800" spans="1:19" hidden="1">
      <c r="A800" s="19" t="s">
        <v>188</v>
      </c>
      <c r="B800" s="291">
        <v>224</v>
      </c>
      <c r="C800" s="291" t="s">
        <v>77</v>
      </c>
      <c r="D800" s="291" t="s">
        <v>150</v>
      </c>
      <c r="E800" s="145">
        <v>45941</v>
      </c>
      <c r="F800" s="138">
        <v>177</v>
      </c>
      <c r="G800" s="138"/>
      <c r="H800" s="138"/>
      <c r="I800" s="83">
        <f t="shared" si="216"/>
        <v>168.15</v>
      </c>
      <c r="J800" s="83">
        <f t="shared" si="217"/>
        <v>177</v>
      </c>
      <c r="K800" s="298" t="s">
        <v>890</v>
      </c>
      <c r="L800" s="142">
        <f t="shared" si="218"/>
        <v>45875</v>
      </c>
      <c r="M800" s="142"/>
      <c r="N800" s="142">
        <f t="shared" si="219"/>
        <v>2</v>
      </c>
      <c r="O800" s="143">
        <f t="shared" ca="1" si="220"/>
        <v>35</v>
      </c>
      <c r="P800" s="142">
        <v>45890</v>
      </c>
      <c r="Q800" s="142"/>
      <c r="R800" s="143">
        <f t="shared" ca="1" si="221"/>
        <v>50</v>
      </c>
      <c r="S800" s="138"/>
    </row>
    <row r="801" spans="1:19" hidden="1">
      <c r="A801" s="19" t="s">
        <v>188</v>
      </c>
      <c r="B801" s="291">
        <v>224</v>
      </c>
      <c r="C801" s="291" t="s">
        <v>77</v>
      </c>
      <c r="D801" s="291" t="s">
        <v>151</v>
      </c>
      <c r="E801" s="145">
        <v>45941</v>
      </c>
      <c r="F801" s="138">
        <v>62.5</v>
      </c>
      <c r="G801" s="138"/>
      <c r="H801" s="138"/>
      <c r="I801" s="83">
        <f t="shared" si="216"/>
        <v>59.375</v>
      </c>
      <c r="J801" s="83">
        <f t="shared" si="217"/>
        <v>62.5</v>
      </c>
      <c r="K801" s="298" t="s">
        <v>890</v>
      </c>
      <c r="L801" s="142">
        <f t="shared" si="218"/>
        <v>45875</v>
      </c>
      <c r="M801" s="142"/>
      <c r="N801" s="142">
        <f t="shared" si="219"/>
        <v>2</v>
      </c>
      <c r="O801" s="143">
        <f t="shared" ca="1" si="220"/>
        <v>35</v>
      </c>
      <c r="P801" s="142">
        <v>45890</v>
      </c>
      <c r="Q801" s="142"/>
      <c r="R801" s="143">
        <f t="shared" ca="1" si="221"/>
        <v>50</v>
      </c>
      <c r="S801" s="138"/>
    </row>
    <row r="802" spans="1:19" hidden="1">
      <c r="A802" s="19" t="s">
        <v>188</v>
      </c>
      <c r="B802" s="291">
        <v>224</v>
      </c>
      <c r="C802" s="291" t="s">
        <v>77</v>
      </c>
      <c r="D802" s="291" t="s">
        <v>152</v>
      </c>
      <c r="E802" s="145">
        <v>45941</v>
      </c>
      <c r="F802" s="138">
        <v>31.299999237060501</v>
      </c>
      <c r="G802" s="138"/>
      <c r="H802" s="138"/>
      <c r="I802" s="83">
        <f t="shared" si="216"/>
        <v>29.734999275207475</v>
      </c>
      <c r="J802" s="83">
        <f t="shared" si="217"/>
        <v>31.299999237060501</v>
      </c>
      <c r="K802" s="298" t="s">
        <v>890</v>
      </c>
      <c r="L802" s="142">
        <f t="shared" si="218"/>
        <v>45875</v>
      </c>
      <c r="M802" s="142"/>
      <c r="N802" s="142">
        <f t="shared" si="219"/>
        <v>2</v>
      </c>
      <c r="O802" s="143">
        <f t="shared" ca="1" si="220"/>
        <v>35</v>
      </c>
      <c r="P802" s="142">
        <v>45890</v>
      </c>
      <c r="Q802" s="142"/>
      <c r="R802" s="143">
        <f t="shared" ca="1" si="221"/>
        <v>50</v>
      </c>
      <c r="S802" s="138"/>
    </row>
    <row r="803" spans="1:19" hidden="1">
      <c r="A803" s="19" t="s">
        <v>188</v>
      </c>
      <c r="B803" s="291">
        <v>224</v>
      </c>
      <c r="C803" s="291" t="s">
        <v>77</v>
      </c>
      <c r="D803" s="291" t="s">
        <v>153</v>
      </c>
      <c r="E803" s="145">
        <v>45941</v>
      </c>
      <c r="F803" s="138">
        <v>177</v>
      </c>
      <c r="G803" s="138"/>
      <c r="H803" s="138"/>
      <c r="I803" s="83">
        <f t="shared" si="216"/>
        <v>168.15</v>
      </c>
      <c r="J803" s="83">
        <f t="shared" si="217"/>
        <v>177</v>
      </c>
      <c r="K803" s="298" t="s">
        <v>890</v>
      </c>
      <c r="L803" s="142">
        <f t="shared" si="218"/>
        <v>45875</v>
      </c>
      <c r="M803" s="142"/>
      <c r="N803" s="142">
        <f t="shared" si="219"/>
        <v>2</v>
      </c>
      <c r="O803" s="143">
        <f t="shared" ca="1" si="220"/>
        <v>35</v>
      </c>
      <c r="P803" s="142">
        <v>45890</v>
      </c>
      <c r="Q803" s="142"/>
      <c r="R803" s="143">
        <f t="shared" ca="1" si="221"/>
        <v>50</v>
      </c>
      <c r="S803" s="138"/>
    </row>
    <row r="804" spans="1:19" hidden="1">
      <c r="A804" s="19" t="s">
        <v>188</v>
      </c>
      <c r="B804" s="291">
        <v>224</v>
      </c>
      <c r="C804" s="291" t="s">
        <v>79</v>
      </c>
      <c r="D804" s="291" t="s">
        <v>146</v>
      </c>
      <c r="E804" s="145">
        <v>45941</v>
      </c>
      <c r="F804" s="138">
        <v>6.6999998092651403</v>
      </c>
      <c r="G804" s="138">
        <v>6.7</v>
      </c>
      <c r="H804" s="138"/>
      <c r="I804" s="83">
        <f t="shared" si="216"/>
        <v>6.3649998188018833</v>
      </c>
      <c r="J804" s="83">
        <f t="shared" si="217"/>
        <v>-1.9073485990617201E-7</v>
      </c>
      <c r="K804" s="298" t="s">
        <v>108</v>
      </c>
      <c r="L804" s="142">
        <f t="shared" si="218"/>
        <v>45862</v>
      </c>
      <c r="M804" s="142">
        <v>45833</v>
      </c>
      <c r="N804" s="142">
        <f t="shared" si="219"/>
        <v>45835</v>
      </c>
      <c r="O804" s="143">
        <f t="shared" ca="1" si="220"/>
        <v>29</v>
      </c>
      <c r="P804" s="142">
        <f t="shared" si="222"/>
        <v>45877</v>
      </c>
      <c r="Q804" s="142"/>
      <c r="R804" s="143">
        <f t="shared" ca="1" si="221"/>
        <v>37</v>
      </c>
      <c r="S804" s="138"/>
    </row>
    <row r="805" spans="1:19" hidden="1">
      <c r="A805" s="19" t="s">
        <v>188</v>
      </c>
      <c r="B805" s="291">
        <v>224</v>
      </c>
      <c r="C805" s="291" t="s">
        <v>80</v>
      </c>
      <c r="D805" s="291" t="s">
        <v>146</v>
      </c>
      <c r="E805" s="145">
        <v>45941</v>
      </c>
      <c r="F805" s="138">
        <v>451</v>
      </c>
      <c r="G805" s="138"/>
      <c r="H805" s="138"/>
      <c r="I805" s="83">
        <f t="shared" si="216"/>
        <v>428.45</v>
      </c>
      <c r="J805" s="83">
        <f t="shared" si="217"/>
        <v>451</v>
      </c>
      <c r="K805" s="298" t="s">
        <v>133</v>
      </c>
      <c r="L805" s="142">
        <f t="shared" si="218"/>
        <v>45862</v>
      </c>
      <c r="M805" s="142"/>
      <c r="N805" s="142">
        <f t="shared" si="219"/>
        <v>2</v>
      </c>
      <c r="O805" s="143">
        <f t="shared" ca="1" si="220"/>
        <v>22</v>
      </c>
      <c r="P805" s="142">
        <f t="shared" si="222"/>
        <v>45877</v>
      </c>
      <c r="Q805" s="142"/>
      <c r="R805" s="143">
        <f t="shared" ca="1" si="221"/>
        <v>37</v>
      </c>
      <c r="S805" s="138"/>
    </row>
    <row r="806" spans="1:19" hidden="1">
      <c r="A806" s="19" t="s">
        <v>188</v>
      </c>
      <c r="B806" s="291">
        <v>224</v>
      </c>
      <c r="C806" s="291" t="s">
        <v>75</v>
      </c>
      <c r="D806" s="291" t="s">
        <v>841</v>
      </c>
      <c r="E806" s="145">
        <v>45941</v>
      </c>
      <c r="F806" s="138">
        <v>70</v>
      </c>
      <c r="G806" s="138">
        <v>70</v>
      </c>
      <c r="H806" s="138"/>
      <c r="I806" s="83">
        <f t="shared" si="216"/>
        <v>66.5</v>
      </c>
      <c r="J806" s="83">
        <f t="shared" si="217"/>
        <v>0</v>
      </c>
      <c r="K806" s="298" t="s">
        <v>108</v>
      </c>
      <c r="L806" s="142">
        <f t="shared" si="218"/>
        <v>45875</v>
      </c>
      <c r="M806" s="142">
        <v>45831</v>
      </c>
      <c r="N806" s="142">
        <f t="shared" si="219"/>
        <v>45833</v>
      </c>
      <c r="O806" s="143">
        <f t="shared" ca="1" si="220"/>
        <v>44</v>
      </c>
      <c r="P806" s="142">
        <v>45890</v>
      </c>
      <c r="Q806" s="142"/>
      <c r="R806" s="143">
        <f t="shared" ca="1" si="221"/>
        <v>50</v>
      </c>
      <c r="S806" s="138"/>
    </row>
    <row r="807" spans="1:19" hidden="1">
      <c r="A807" s="19" t="s">
        <v>188</v>
      </c>
      <c r="B807" s="291">
        <v>224</v>
      </c>
      <c r="C807" s="291" t="s">
        <v>75</v>
      </c>
      <c r="D807" s="291" t="s">
        <v>840</v>
      </c>
      <c r="E807" s="145">
        <v>45941</v>
      </c>
      <c r="F807" s="138">
        <v>65.099998474121094</v>
      </c>
      <c r="G807" s="138">
        <v>65</v>
      </c>
      <c r="H807" s="138"/>
      <c r="I807" s="83">
        <f t="shared" si="216"/>
        <v>61.844998550415035</v>
      </c>
      <c r="J807" s="83">
        <f t="shared" si="217"/>
        <v>9.999847412109375E-2</v>
      </c>
      <c r="K807" s="298" t="s">
        <v>108</v>
      </c>
      <c r="L807" s="142">
        <f t="shared" si="218"/>
        <v>45875</v>
      </c>
      <c r="M807" s="142">
        <v>45831</v>
      </c>
      <c r="N807" s="142">
        <f t="shared" si="219"/>
        <v>45833</v>
      </c>
      <c r="O807" s="143">
        <f t="shared" ca="1" si="220"/>
        <v>44</v>
      </c>
      <c r="P807" s="142">
        <v>45890</v>
      </c>
      <c r="Q807" s="142"/>
      <c r="R807" s="143">
        <f t="shared" ca="1" si="221"/>
        <v>50</v>
      </c>
      <c r="S807" s="138"/>
    </row>
    <row r="808" spans="1:19" hidden="1">
      <c r="A808" s="19" t="s">
        <v>188</v>
      </c>
      <c r="B808" s="291">
        <v>224</v>
      </c>
      <c r="C808" s="291" t="s">
        <v>857</v>
      </c>
      <c r="D808" s="291" t="s">
        <v>841</v>
      </c>
      <c r="E808" s="145">
        <v>45941</v>
      </c>
      <c r="F808" s="138">
        <v>80</v>
      </c>
      <c r="G808" s="138">
        <v>80</v>
      </c>
      <c r="H808" s="138"/>
      <c r="I808" s="83">
        <f t="shared" si="216"/>
        <v>76</v>
      </c>
      <c r="J808" s="83">
        <f t="shared" si="217"/>
        <v>0</v>
      </c>
      <c r="K808" s="298" t="s">
        <v>108</v>
      </c>
      <c r="L808" s="142">
        <f t="shared" si="218"/>
        <v>45875</v>
      </c>
      <c r="M808" s="142">
        <v>45831</v>
      </c>
      <c r="N808" s="142">
        <f t="shared" si="219"/>
        <v>45833</v>
      </c>
      <c r="O808" s="143">
        <f t="shared" ca="1" si="220"/>
        <v>44</v>
      </c>
      <c r="P808" s="142">
        <v>45890</v>
      </c>
      <c r="Q808" s="142"/>
      <c r="R808" s="143">
        <f t="shared" ca="1" si="221"/>
        <v>50</v>
      </c>
      <c r="S808" s="138"/>
    </row>
    <row r="809" spans="1:19" hidden="1">
      <c r="A809" s="19" t="s">
        <v>188</v>
      </c>
      <c r="B809" s="291">
        <v>224</v>
      </c>
      <c r="C809" s="291" t="s">
        <v>857</v>
      </c>
      <c r="D809" s="291" t="s">
        <v>840</v>
      </c>
      <c r="E809" s="145">
        <v>45941</v>
      </c>
      <c r="F809" s="138">
        <v>75</v>
      </c>
      <c r="G809" s="138">
        <v>75</v>
      </c>
      <c r="H809" s="138"/>
      <c r="I809" s="83">
        <f t="shared" si="216"/>
        <v>71.25</v>
      </c>
      <c r="J809" s="83">
        <f t="shared" si="217"/>
        <v>0</v>
      </c>
      <c r="K809" s="298" t="s">
        <v>108</v>
      </c>
      <c r="L809" s="142">
        <f t="shared" si="218"/>
        <v>45875</v>
      </c>
      <c r="M809" s="142">
        <v>45831</v>
      </c>
      <c r="N809" s="142">
        <f t="shared" si="219"/>
        <v>45833</v>
      </c>
      <c r="O809" s="143">
        <f t="shared" ca="1" si="220"/>
        <v>44</v>
      </c>
      <c r="P809" s="142">
        <v>45890</v>
      </c>
      <c r="Q809" s="142"/>
      <c r="R809" s="143">
        <f t="shared" ca="1" si="221"/>
        <v>50</v>
      </c>
      <c r="S809" s="138"/>
    </row>
    <row r="810" spans="1:19" hidden="1">
      <c r="A810" s="19" t="s">
        <v>188</v>
      </c>
      <c r="B810" s="291">
        <v>225</v>
      </c>
      <c r="C810" s="291" t="s">
        <v>79</v>
      </c>
      <c r="D810" s="291" t="s">
        <v>138</v>
      </c>
      <c r="E810" s="145">
        <v>45912</v>
      </c>
      <c r="F810" s="138">
        <v>116.300003051758</v>
      </c>
      <c r="G810" s="138"/>
      <c r="H810" s="138"/>
      <c r="I810" s="83">
        <f t="shared" ref="I810" si="223">F810*95%-H810</f>
        <v>110.4850028991701</v>
      </c>
      <c r="J810" s="83">
        <f t="shared" ref="J810" si="224">F810-G810</f>
        <v>116.300003051758</v>
      </c>
      <c r="K810" s="298"/>
      <c r="L810" s="142">
        <f t="shared" ref="L810" si="225">P810-15</f>
        <v>45846</v>
      </c>
      <c r="M810" s="142"/>
      <c r="N810" s="142">
        <f t="shared" ref="N810" si="226">M810+2</f>
        <v>2</v>
      </c>
      <c r="O810" s="143">
        <f t="shared" ref="O810" ca="1" si="227">+IF(M810="",L810-TODAY(),L810-M810)</f>
        <v>6</v>
      </c>
      <c r="P810" s="142">
        <v>45861</v>
      </c>
      <c r="Q810" s="142"/>
      <c r="R810" s="143">
        <f t="shared" ref="R810" ca="1" si="228">+IF(Q810="",P810-TODAY(),P810-Q810)</f>
        <v>21</v>
      </c>
      <c r="S810" s="138"/>
    </row>
    <row r="811" spans="1:19" hidden="1">
      <c r="A811" s="19" t="s">
        <v>188</v>
      </c>
      <c r="B811" s="291">
        <v>225</v>
      </c>
      <c r="C811" s="291" t="s">
        <v>75</v>
      </c>
      <c r="D811" s="291" t="s">
        <v>841</v>
      </c>
      <c r="E811" s="145">
        <v>45912</v>
      </c>
      <c r="F811" s="138">
        <v>73.800003051757798</v>
      </c>
      <c r="G811" s="138"/>
      <c r="H811" s="138"/>
      <c r="I811" s="83">
        <f t="shared" ref="I811:I851" si="229">F811*95%-H811</f>
        <v>70.110002899169899</v>
      </c>
      <c r="J811" s="83">
        <f t="shared" ref="J811:J851" si="230">F811-G811</f>
        <v>73.800003051757798</v>
      </c>
      <c r="K811" s="298"/>
      <c r="L811" s="142">
        <f t="shared" ref="L811:L851" si="231">P811-15</f>
        <v>45846</v>
      </c>
      <c r="M811" s="142"/>
      <c r="N811" s="142">
        <f t="shared" ref="N811:N851" si="232">M811+2</f>
        <v>2</v>
      </c>
      <c r="O811" s="143">
        <f t="shared" ref="O811:O851" ca="1" si="233">+IF(M811="",L811-TODAY(),L811-M811)</f>
        <v>6</v>
      </c>
      <c r="P811" s="142">
        <v>45861</v>
      </c>
      <c r="Q811" s="142"/>
      <c r="R811" s="143">
        <f t="shared" ref="R811:R851" ca="1" si="234">+IF(Q811="",P811-TODAY(),P811-Q811)</f>
        <v>21</v>
      </c>
      <c r="S811" s="138"/>
    </row>
    <row r="812" spans="1:19" hidden="1">
      <c r="A812" s="19" t="s">
        <v>188</v>
      </c>
      <c r="B812" s="291">
        <v>225</v>
      </c>
      <c r="C812" s="291" t="s">
        <v>75</v>
      </c>
      <c r="D812" s="291" t="s">
        <v>840</v>
      </c>
      <c r="E812" s="145">
        <v>45912</v>
      </c>
      <c r="F812" s="138">
        <v>69.099998474121094</v>
      </c>
      <c r="G812" s="138"/>
      <c r="H812" s="138"/>
      <c r="I812" s="83">
        <f t="shared" si="229"/>
        <v>65.644998550415039</v>
      </c>
      <c r="J812" s="83">
        <f t="shared" si="230"/>
        <v>69.099998474121094</v>
      </c>
      <c r="K812" s="298"/>
      <c r="L812" s="142">
        <f t="shared" si="231"/>
        <v>45846</v>
      </c>
      <c r="M812" s="142"/>
      <c r="N812" s="142">
        <f t="shared" si="232"/>
        <v>2</v>
      </c>
      <c r="O812" s="143">
        <f t="shared" ca="1" si="233"/>
        <v>6</v>
      </c>
      <c r="P812" s="142">
        <v>45861</v>
      </c>
      <c r="Q812" s="142"/>
      <c r="R812" s="143">
        <f t="shared" ca="1" si="234"/>
        <v>21</v>
      </c>
      <c r="S812" s="138"/>
    </row>
    <row r="813" spans="1:19" hidden="1">
      <c r="A813" s="19" t="s">
        <v>188</v>
      </c>
      <c r="B813" s="291">
        <v>225</v>
      </c>
      <c r="C813" s="291" t="s">
        <v>857</v>
      </c>
      <c r="D813" s="291" t="s">
        <v>841</v>
      </c>
      <c r="E813" s="145">
        <v>45912</v>
      </c>
      <c r="F813" s="138">
        <v>84.599998474121094</v>
      </c>
      <c r="G813" s="138"/>
      <c r="H813" s="138"/>
      <c r="I813" s="83">
        <f t="shared" si="229"/>
        <v>80.369998550415033</v>
      </c>
      <c r="J813" s="83">
        <f t="shared" si="230"/>
        <v>84.599998474121094</v>
      </c>
      <c r="K813" s="298"/>
      <c r="L813" s="142">
        <f t="shared" si="231"/>
        <v>45846</v>
      </c>
      <c r="M813" s="142"/>
      <c r="N813" s="142">
        <f t="shared" si="232"/>
        <v>2</v>
      </c>
      <c r="O813" s="143">
        <f t="shared" ca="1" si="233"/>
        <v>6</v>
      </c>
      <c r="P813" s="142">
        <v>45861</v>
      </c>
      <c r="Q813" s="142"/>
      <c r="R813" s="143">
        <f t="shared" ca="1" si="234"/>
        <v>21</v>
      </c>
      <c r="S813" s="138"/>
    </row>
    <row r="814" spans="1:19" hidden="1">
      <c r="A814" s="19" t="s">
        <v>188</v>
      </c>
      <c r="B814" s="291">
        <v>225</v>
      </c>
      <c r="C814" s="291" t="s">
        <v>857</v>
      </c>
      <c r="D814" s="291" t="s">
        <v>840</v>
      </c>
      <c r="E814" s="145">
        <v>45912</v>
      </c>
      <c r="F814" s="138">
        <v>79.199996948242202</v>
      </c>
      <c r="G814" s="138"/>
      <c r="H814" s="138"/>
      <c r="I814" s="83">
        <f t="shared" si="229"/>
        <v>75.239997100830095</v>
      </c>
      <c r="J814" s="83">
        <f t="shared" si="230"/>
        <v>79.199996948242202</v>
      </c>
      <c r="K814" s="298"/>
      <c r="L814" s="142">
        <f t="shared" si="231"/>
        <v>45846</v>
      </c>
      <c r="M814" s="142"/>
      <c r="N814" s="142">
        <f t="shared" si="232"/>
        <v>2</v>
      </c>
      <c r="O814" s="143">
        <f t="shared" ca="1" si="233"/>
        <v>6</v>
      </c>
      <c r="P814" s="142">
        <v>45861</v>
      </c>
      <c r="Q814" s="142"/>
      <c r="R814" s="143">
        <f t="shared" ca="1" si="234"/>
        <v>21</v>
      </c>
      <c r="S814" s="138"/>
    </row>
    <row r="815" spans="1:19" hidden="1">
      <c r="A815" s="19" t="s">
        <v>188</v>
      </c>
      <c r="B815" s="291">
        <v>226</v>
      </c>
      <c r="C815" s="291" t="s">
        <v>75</v>
      </c>
      <c r="D815" s="291" t="s">
        <v>841</v>
      </c>
      <c r="E815" s="145">
        <v>45919</v>
      </c>
      <c r="F815" s="138">
        <v>123</v>
      </c>
      <c r="G815" s="138"/>
      <c r="H815" s="138"/>
      <c r="I815" s="83">
        <f t="shared" si="229"/>
        <v>116.85</v>
      </c>
      <c r="J815" s="83">
        <f t="shared" si="230"/>
        <v>123</v>
      </c>
      <c r="K815" s="298" t="s">
        <v>108</v>
      </c>
      <c r="L815" s="142">
        <f t="shared" si="231"/>
        <v>45853</v>
      </c>
      <c r="M815" s="142"/>
      <c r="N815" s="142">
        <f t="shared" si="232"/>
        <v>2</v>
      </c>
      <c r="O815" s="143">
        <f t="shared" ca="1" si="233"/>
        <v>13</v>
      </c>
      <c r="P815" s="142">
        <v>45868</v>
      </c>
      <c r="Q815" s="142"/>
      <c r="R815" s="143">
        <f t="shared" ca="1" si="234"/>
        <v>28</v>
      </c>
      <c r="S815" s="138"/>
    </row>
    <row r="816" spans="1:19" hidden="1">
      <c r="A816" s="19" t="s">
        <v>188</v>
      </c>
      <c r="B816" s="291">
        <v>226</v>
      </c>
      <c r="C816" s="291" t="s">
        <v>75</v>
      </c>
      <c r="D816" s="291" t="s">
        <v>139</v>
      </c>
      <c r="E816" s="145">
        <v>45919</v>
      </c>
      <c r="F816" s="138">
        <v>95</v>
      </c>
      <c r="G816" s="138"/>
      <c r="H816" s="138"/>
      <c r="I816" s="83">
        <f t="shared" si="229"/>
        <v>90.25</v>
      </c>
      <c r="J816" s="83">
        <f t="shared" si="230"/>
        <v>95</v>
      </c>
      <c r="K816" s="298" t="s">
        <v>108</v>
      </c>
      <c r="L816" s="142">
        <f t="shared" si="231"/>
        <v>45853</v>
      </c>
      <c r="M816" s="142"/>
      <c r="N816" s="142">
        <f t="shared" si="232"/>
        <v>2</v>
      </c>
      <c r="O816" s="143">
        <f t="shared" ca="1" si="233"/>
        <v>13</v>
      </c>
      <c r="P816" s="142">
        <v>45868</v>
      </c>
      <c r="Q816" s="142"/>
      <c r="R816" s="143">
        <f t="shared" ca="1" si="234"/>
        <v>28</v>
      </c>
      <c r="S816" s="138"/>
    </row>
    <row r="817" spans="1:19" hidden="1">
      <c r="A817" s="19" t="s">
        <v>188</v>
      </c>
      <c r="B817" s="291">
        <v>226</v>
      </c>
      <c r="C817" s="291" t="s">
        <v>75</v>
      </c>
      <c r="D817" s="291" t="s">
        <v>840</v>
      </c>
      <c r="E817" s="145">
        <v>45919</v>
      </c>
      <c r="F817" s="138">
        <v>115</v>
      </c>
      <c r="G817" s="138"/>
      <c r="H817" s="138"/>
      <c r="I817" s="83">
        <f t="shared" si="229"/>
        <v>109.25</v>
      </c>
      <c r="J817" s="83">
        <f t="shared" si="230"/>
        <v>115</v>
      </c>
      <c r="K817" s="298" t="s">
        <v>108</v>
      </c>
      <c r="L817" s="142">
        <f t="shared" si="231"/>
        <v>45853</v>
      </c>
      <c r="M817" s="142"/>
      <c r="N817" s="142">
        <f t="shared" si="232"/>
        <v>2</v>
      </c>
      <c r="O817" s="143">
        <f t="shared" ca="1" si="233"/>
        <v>13</v>
      </c>
      <c r="P817" s="142">
        <v>45868</v>
      </c>
      <c r="Q817" s="142"/>
      <c r="R817" s="143">
        <f t="shared" ca="1" si="234"/>
        <v>28</v>
      </c>
      <c r="S817" s="138"/>
    </row>
    <row r="818" spans="1:19" hidden="1">
      <c r="A818" s="19" t="s">
        <v>188</v>
      </c>
      <c r="B818" s="291">
        <v>226</v>
      </c>
      <c r="C818" s="291" t="s">
        <v>75</v>
      </c>
      <c r="D818" s="291" t="s">
        <v>140</v>
      </c>
      <c r="E818" s="145">
        <v>45919</v>
      </c>
      <c r="F818" s="138">
        <v>58</v>
      </c>
      <c r="G818" s="138"/>
      <c r="H818" s="138"/>
      <c r="I818" s="83">
        <f t="shared" si="229"/>
        <v>55.099999999999994</v>
      </c>
      <c r="J818" s="83">
        <f t="shared" si="230"/>
        <v>58</v>
      </c>
      <c r="K818" s="298" t="s">
        <v>108</v>
      </c>
      <c r="L818" s="142">
        <f t="shared" si="231"/>
        <v>45853</v>
      </c>
      <c r="M818" s="142"/>
      <c r="N818" s="142">
        <f t="shared" si="232"/>
        <v>2</v>
      </c>
      <c r="O818" s="143">
        <f t="shared" ca="1" si="233"/>
        <v>13</v>
      </c>
      <c r="P818" s="142">
        <v>45868</v>
      </c>
      <c r="Q818" s="142"/>
      <c r="R818" s="143">
        <f t="shared" ca="1" si="234"/>
        <v>28</v>
      </c>
      <c r="S818" s="138"/>
    </row>
    <row r="819" spans="1:19" hidden="1">
      <c r="A819" s="19" t="s">
        <v>188</v>
      </c>
      <c r="B819" s="291">
        <v>226</v>
      </c>
      <c r="C819" s="291" t="s">
        <v>857</v>
      </c>
      <c r="D819" s="291" t="s">
        <v>841</v>
      </c>
      <c r="E819" s="145">
        <v>45919</v>
      </c>
      <c r="F819" s="138">
        <v>141</v>
      </c>
      <c r="G819" s="138"/>
      <c r="H819" s="138"/>
      <c r="I819" s="83">
        <f t="shared" si="229"/>
        <v>133.94999999999999</v>
      </c>
      <c r="J819" s="83">
        <f t="shared" si="230"/>
        <v>141</v>
      </c>
      <c r="K819" s="298" t="s">
        <v>108</v>
      </c>
      <c r="L819" s="142">
        <f t="shared" si="231"/>
        <v>45853</v>
      </c>
      <c r="M819" s="142"/>
      <c r="N819" s="142">
        <f t="shared" si="232"/>
        <v>2</v>
      </c>
      <c r="O819" s="143">
        <f t="shared" ca="1" si="233"/>
        <v>13</v>
      </c>
      <c r="P819" s="142">
        <v>45868</v>
      </c>
      <c r="Q819" s="142"/>
      <c r="R819" s="143">
        <f t="shared" ca="1" si="234"/>
        <v>28</v>
      </c>
      <c r="S819" s="138"/>
    </row>
    <row r="820" spans="1:19" hidden="1">
      <c r="A820" s="19" t="s">
        <v>188</v>
      </c>
      <c r="B820" s="291">
        <v>226</v>
      </c>
      <c r="C820" s="291" t="s">
        <v>857</v>
      </c>
      <c r="D820" s="291" t="s">
        <v>139</v>
      </c>
      <c r="E820" s="145">
        <v>45919</v>
      </c>
      <c r="F820" s="138">
        <v>108.59999847412099</v>
      </c>
      <c r="G820" s="138"/>
      <c r="H820" s="138"/>
      <c r="I820" s="83">
        <f t="shared" si="229"/>
        <v>103.16999855041495</v>
      </c>
      <c r="J820" s="83">
        <f t="shared" si="230"/>
        <v>108.59999847412099</v>
      </c>
      <c r="K820" s="298" t="s">
        <v>108</v>
      </c>
      <c r="L820" s="142">
        <f t="shared" si="231"/>
        <v>45853</v>
      </c>
      <c r="M820" s="142"/>
      <c r="N820" s="142">
        <f t="shared" si="232"/>
        <v>2</v>
      </c>
      <c r="O820" s="143">
        <f t="shared" ca="1" si="233"/>
        <v>13</v>
      </c>
      <c r="P820" s="142">
        <v>45868</v>
      </c>
      <c r="Q820" s="142"/>
      <c r="R820" s="143">
        <f t="shared" ca="1" si="234"/>
        <v>28</v>
      </c>
      <c r="S820" s="138"/>
    </row>
    <row r="821" spans="1:19" hidden="1">
      <c r="A821" s="19" t="s">
        <v>188</v>
      </c>
      <c r="B821" s="291">
        <v>226</v>
      </c>
      <c r="C821" s="291" t="s">
        <v>857</v>
      </c>
      <c r="D821" s="291" t="s">
        <v>840</v>
      </c>
      <c r="E821" s="145">
        <v>45919</v>
      </c>
      <c r="F821" s="138">
        <v>132</v>
      </c>
      <c r="G821" s="138"/>
      <c r="H821" s="138"/>
      <c r="I821" s="83">
        <f t="shared" si="229"/>
        <v>125.39999999999999</v>
      </c>
      <c r="J821" s="83">
        <f t="shared" si="230"/>
        <v>132</v>
      </c>
      <c r="K821" s="298" t="s">
        <v>108</v>
      </c>
      <c r="L821" s="142">
        <f t="shared" si="231"/>
        <v>45853</v>
      </c>
      <c r="M821" s="142"/>
      <c r="N821" s="142">
        <f t="shared" si="232"/>
        <v>2</v>
      </c>
      <c r="O821" s="143">
        <f t="shared" ca="1" si="233"/>
        <v>13</v>
      </c>
      <c r="P821" s="142">
        <v>45868</v>
      </c>
      <c r="Q821" s="142"/>
      <c r="R821" s="143">
        <f t="shared" ca="1" si="234"/>
        <v>28</v>
      </c>
      <c r="S821" s="138"/>
    </row>
    <row r="822" spans="1:19" hidden="1">
      <c r="A822" s="19" t="s">
        <v>188</v>
      </c>
      <c r="B822" s="291">
        <v>226</v>
      </c>
      <c r="C822" s="291" t="s">
        <v>857</v>
      </c>
      <c r="D822" s="291" t="s">
        <v>140</v>
      </c>
      <c r="E822" s="145">
        <v>45919</v>
      </c>
      <c r="F822" s="138">
        <v>66.599998474121094</v>
      </c>
      <c r="G822" s="138"/>
      <c r="H822" s="138"/>
      <c r="I822" s="83">
        <f t="shared" si="229"/>
        <v>63.269998550415039</v>
      </c>
      <c r="J822" s="83">
        <f t="shared" si="230"/>
        <v>66.599998474121094</v>
      </c>
      <c r="K822" s="298" t="s">
        <v>108</v>
      </c>
      <c r="L822" s="142">
        <f t="shared" si="231"/>
        <v>45853</v>
      </c>
      <c r="M822" s="142"/>
      <c r="N822" s="142">
        <f t="shared" si="232"/>
        <v>2</v>
      </c>
      <c r="O822" s="143">
        <f t="shared" ca="1" si="233"/>
        <v>13</v>
      </c>
      <c r="P822" s="142">
        <v>45868</v>
      </c>
      <c r="Q822" s="142"/>
      <c r="R822" s="143">
        <f t="shared" ca="1" si="234"/>
        <v>28</v>
      </c>
      <c r="S822" s="138"/>
    </row>
    <row r="823" spans="1:19" hidden="1">
      <c r="A823" s="19" t="s">
        <v>188</v>
      </c>
      <c r="B823" s="291">
        <v>227</v>
      </c>
      <c r="C823" s="291" t="s">
        <v>77</v>
      </c>
      <c r="D823" s="291" t="s">
        <v>147</v>
      </c>
      <c r="E823" s="145">
        <v>45947</v>
      </c>
      <c r="F823" s="138">
        <v>538.29998779296898</v>
      </c>
      <c r="G823" s="138"/>
      <c r="H823" s="138"/>
      <c r="I823" s="83">
        <f t="shared" si="229"/>
        <v>511.38498840332051</v>
      </c>
      <c r="J823" s="83">
        <f t="shared" si="230"/>
        <v>538.29998779296898</v>
      </c>
      <c r="K823" s="298"/>
      <c r="L823" s="142">
        <f t="shared" si="231"/>
        <v>45866</v>
      </c>
      <c r="M823" s="142"/>
      <c r="N823" s="142">
        <f t="shared" si="232"/>
        <v>2</v>
      </c>
      <c r="O823" s="143">
        <f t="shared" ca="1" si="233"/>
        <v>26</v>
      </c>
      <c r="P823" s="142">
        <v>45881</v>
      </c>
      <c r="Q823" s="142"/>
      <c r="R823" s="143">
        <f t="shared" ca="1" si="234"/>
        <v>41</v>
      </c>
      <c r="S823" s="138"/>
    </row>
    <row r="824" spans="1:19" hidden="1">
      <c r="A824" s="19" t="s">
        <v>188</v>
      </c>
      <c r="B824" s="291">
        <v>227</v>
      </c>
      <c r="C824" s="291" t="s">
        <v>77</v>
      </c>
      <c r="D824" s="291" t="s">
        <v>148</v>
      </c>
      <c r="E824" s="145">
        <v>45947</v>
      </c>
      <c r="F824" s="138">
        <v>848.59997558593795</v>
      </c>
      <c r="G824" s="138"/>
      <c r="H824" s="138"/>
      <c r="I824" s="83">
        <f t="shared" si="229"/>
        <v>806.16997680664099</v>
      </c>
      <c r="J824" s="83">
        <f t="shared" si="230"/>
        <v>848.59997558593795</v>
      </c>
      <c r="K824" s="298"/>
      <c r="L824" s="142">
        <f t="shared" si="231"/>
        <v>45866</v>
      </c>
      <c r="M824" s="142"/>
      <c r="N824" s="142">
        <f t="shared" si="232"/>
        <v>2</v>
      </c>
      <c r="O824" s="143">
        <f t="shared" ca="1" si="233"/>
        <v>26</v>
      </c>
      <c r="P824" s="142">
        <v>45881</v>
      </c>
      <c r="Q824" s="142"/>
      <c r="R824" s="143">
        <f t="shared" ca="1" si="234"/>
        <v>41</v>
      </c>
      <c r="S824" s="138"/>
    </row>
    <row r="825" spans="1:19" hidden="1">
      <c r="A825" s="19" t="s">
        <v>188</v>
      </c>
      <c r="B825" s="291">
        <v>227</v>
      </c>
      <c r="C825" s="291" t="s">
        <v>79</v>
      </c>
      <c r="D825" s="291" t="s">
        <v>147</v>
      </c>
      <c r="E825" s="145">
        <v>45947</v>
      </c>
      <c r="F825" s="138">
        <v>6.5999999046325701</v>
      </c>
      <c r="G825" s="138"/>
      <c r="H825" s="138"/>
      <c r="I825" s="83">
        <f t="shared" si="229"/>
        <v>6.2699999094009415</v>
      </c>
      <c r="J825" s="83">
        <f t="shared" si="230"/>
        <v>6.5999999046325701</v>
      </c>
      <c r="K825" s="298"/>
      <c r="L825" s="142">
        <f t="shared" si="231"/>
        <v>45866</v>
      </c>
      <c r="M825" s="142"/>
      <c r="N825" s="142">
        <f t="shared" si="232"/>
        <v>2</v>
      </c>
      <c r="O825" s="143">
        <f t="shared" ca="1" si="233"/>
        <v>26</v>
      </c>
      <c r="P825" s="142">
        <v>45881</v>
      </c>
      <c r="Q825" s="142"/>
      <c r="R825" s="143">
        <f t="shared" ca="1" si="234"/>
        <v>41</v>
      </c>
      <c r="S825" s="138"/>
    </row>
    <row r="826" spans="1:19" hidden="1">
      <c r="A826" s="19" t="s">
        <v>188</v>
      </c>
      <c r="B826" s="291">
        <v>227</v>
      </c>
      <c r="C826" s="291" t="s">
        <v>80</v>
      </c>
      <c r="D826" s="291" t="s">
        <v>146</v>
      </c>
      <c r="E826" s="145">
        <v>45947</v>
      </c>
      <c r="F826" s="138">
        <v>506</v>
      </c>
      <c r="G826" s="138"/>
      <c r="H826" s="138"/>
      <c r="I826" s="83">
        <f t="shared" si="229"/>
        <v>480.7</v>
      </c>
      <c r="J826" s="83">
        <f t="shared" si="230"/>
        <v>506</v>
      </c>
      <c r="K826" s="298"/>
      <c r="L826" s="142">
        <f t="shared" si="231"/>
        <v>45866</v>
      </c>
      <c r="M826" s="142"/>
      <c r="N826" s="142">
        <f t="shared" si="232"/>
        <v>2</v>
      </c>
      <c r="O826" s="143">
        <f t="shared" ca="1" si="233"/>
        <v>26</v>
      </c>
      <c r="P826" s="142">
        <v>45881</v>
      </c>
      <c r="Q826" s="142"/>
      <c r="R826" s="143">
        <f t="shared" ca="1" si="234"/>
        <v>41</v>
      </c>
      <c r="S826" s="138"/>
    </row>
    <row r="827" spans="1:19" hidden="1">
      <c r="A827" s="19" t="s">
        <v>188</v>
      </c>
      <c r="B827" s="291">
        <v>227</v>
      </c>
      <c r="C827" s="291" t="s">
        <v>75</v>
      </c>
      <c r="D827" s="291" t="s">
        <v>841</v>
      </c>
      <c r="E827" s="145">
        <v>45947</v>
      </c>
      <c r="F827" s="138">
        <v>104.09999847412099</v>
      </c>
      <c r="G827" s="138"/>
      <c r="H827" s="138"/>
      <c r="I827" s="83">
        <f t="shared" si="229"/>
        <v>98.89499855041494</v>
      </c>
      <c r="J827" s="83">
        <f t="shared" si="230"/>
        <v>104.09999847412099</v>
      </c>
      <c r="K827" s="298"/>
      <c r="L827" s="142">
        <f t="shared" si="231"/>
        <v>45873</v>
      </c>
      <c r="M827" s="142"/>
      <c r="N827" s="142">
        <f t="shared" si="232"/>
        <v>2</v>
      </c>
      <c r="O827" s="143">
        <f t="shared" ca="1" si="233"/>
        <v>33</v>
      </c>
      <c r="P827" s="142">
        <v>45888</v>
      </c>
      <c r="Q827" s="142"/>
      <c r="R827" s="143">
        <f t="shared" ca="1" si="234"/>
        <v>48</v>
      </c>
      <c r="S827" s="138"/>
    </row>
    <row r="828" spans="1:19" hidden="1">
      <c r="A828" s="19" t="s">
        <v>188</v>
      </c>
      <c r="B828" s="291">
        <v>227</v>
      </c>
      <c r="C828" s="291" t="s">
        <v>75</v>
      </c>
      <c r="D828" s="291" t="s">
        <v>858</v>
      </c>
      <c r="E828" s="145">
        <v>45947</v>
      </c>
      <c r="F828" s="138">
        <v>46.5</v>
      </c>
      <c r="G828" s="138"/>
      <c r="H828" s="138"/>
      <c r="I828" s="83">
        <f t="shared" si="229"/>
        <v>44.174999999999997</v>
      </c>
      <c r="J828" s="83">
        <f t="shared" si="230"/>
        <v>46.5</v>
      </c>
      <c r="K828" s="298"/>
      <c r="L828" s="142">
        <f t="shared" si="231"/>
        <v>45873</v>
      </c>
      <c r="M828" s="142"/>
      <c r="N828" s="142">
        <f t="shared" si="232"/>
        <v>2</v>
      </c>
      <c r="O828" s="143">
        <f t="shared" ca="1" si="233"/>
        <v>33</v>
      </c>
      <c r="P828" s="142">
        <v>45888</v>
      </c>
      <c r="Q828" s="142"/>
      <c r="R828" s="143">
        <f t="shared" ca="1" si="234"/>
        <v>48</v>
      </c>
      <c r="S828" s="138"/>
    </row>
    <row r="829" spans="1:19" hidden="1">
      <c r="A829" s="19" t="s">
        <v>188</v>
      </c>
      <c r="B829" s="291">
        <v>227</v>
      </c>
      <c r="C829" s="291" t="s">
        <v>75</v>
      </c>
      <c r="D829" s="291" t="s">
        <v>840</v>
      </c>
      <c r="E829" s="145">
        <v>45947</v>
      </c>
      <c r="F829" s="138">
        <v>96.900001525878906</v>
      </c>
      <c r="G829" s="138"/>
      <c r="H829" s="138"/>
      <c r="I829" s="83">
        <f t="shared" si="229"/>
        <v>92.05500144958495</v>
      </c>
      <c r="J829" s="83">
        <f t="shared" si="230"/>
        <v>96.900001525878906</v>
      </c>
      <c r="K829" s="298"/>
      <c r="L829" s="142">
        <f t="shared" si="231"/>
        <v>45873</v>
      </c>
      <c r="M829" s="142"/>
      <c r="N829" s="142">
        <f t="shared" si="232"/>
        <v>2</v>
      </c>
      <c r="O829" s="143">
        <f t="shared" ca="1" si="233"/>
        <v>33</v>
      </c>
      <c r="P829" s="142">
        <v>45888</v>
      </c>
      <c r="Q829" s="142"/>
      <c r="R829" s="143">
        <f t="shared" ca="1" si="234"/>
        <v>48</v>
      </c>
      <c r="S829" s="138"/>
    </row>
    <row r="830" spans="1:19" hidden="1">
      <c r="A830" s="19" t="s">
        <v>188</v>
      </c>
      <c r="B830" s="291">
        <v>227</v>
      </c>
      <c r="C830" s="291" t="s">
        <v>75</v>
      </c>
      <c r="D830" s="291" t="s">
        <v>859</v>
      </c>
      <c r="E830" s="145">
        <v>45947</v>
      </c>
      <c r="F830" s="138">
        <v>28.399999618530298</v>
      </c>
      <c r="G830" s="138"/>
      <c r="H830" s="138"/>
      <c r="I830" s="83">
        <f t="shared" si="229"/>
        <v>26.979999637603783</v>
      </c>
      <c r="J830" s="83">
        <f t="shared" si="230"/>
        <v>28.399999618530298</v>
      </c>
      <c r="K830" s="298"/>
      <c r="L830" s="142">
        <f t="shared" si="231"/>
        <v>45873</v>
      </c>
      <c r="M830" s="142"/>
      <c r="N830" s="142">
        <f t="shared" si="232"/>
        <v>2</v>
      </c>
      <c r="O830" s="143">
        <f t="shared" ca="1" si="233"/>
        <v>33</v>
      </c>
      <c r="P830" s="142">
        <v>45888</v>
      </c>
      <c r="Q830" s="142"/>
      <c r="R830" s="143">
        <f t="shared" ca="1" si="234"/>
        <v>48</v>
      </c>
      <c r="S830" s="138"/>
    </row>
    <row r="831" spans="1:19" hidden="1">
      <c r="A831" s="19" t="s">
        <v>188</v>
      </c>
      <c r="B831" s="291">
        <v>227</v>
      </c>
      <c r="C831" s="291" t="s">
        <v>857</v>
      </c>
      <c r="D831" s="291" t="s">
        <v>841</v>
      </c>
      <c r="E831" s="145">
        <v>45947</v>
      </c>
      <c r="F831" s="138">
        <v>119.300003051758</v>
      </c>
      <c r="G831" s="138"/>
      <c r="H831" s="138"/>
      <c r="I831" s="83">
        <f t="shared" si="229"/>
        <v>113.33500289917009</v>
      </c>
      <c r="J831" s="83">
        <f t="shared" si="230"/>
        <v>119.300003051758</v>
      </c>
      <c r="K831" s="298"/>
      <c r="L831" s="142">
        <f t="shared" si="231"/>
        <v>45873</v>
      </c>
      <c r="M831" s="142"/>
      <c r="N831" s="142">
        <f t="shared" si="232"/>
        <v>2</v>
      </c>
      <c r="O831" s="143">
        <f t="shared" ca="1" si="233"/>
        <v>33</v>
      </c>
      <c r="P831" s="142">
        <v>45888</v>
      </c>
      <c r="Q831" s="142"/>
      <c r="R831" s="143">
        <f t="shared" ca="1" si="234"/>
        <v>48</v>
      </c>
      <c r="S831" s="138"/>
    </row>
    <row r="832" spans="1:19" hidden="1">
      <c r="A832" s="19" t="s">
        <v>188</v>
      </c>
      <c r="B832" s="291">
        <v>227</v>
      </c>
      <c r="C832" s="291" t="s">
        <v>857</v>
      </c>
      <c r="D832" s="291" t="s">
        <v>858</v>
      </c>
      <c r="E832" s="145">
        <v>45947</v>
      </c>
      <c r="F832" s="138">
        <v>53</v>
      </c>
      <c r="G832" s="138"/>
      <c r="H832" s="138"/>
      <c r="I832" s="83">
        <f t="shared" si="229"/>
        <v>50.349999999999994</v>
      </c>
      <c r="J832" s="83">
        <f t="shared" si="230"/>
        <v>53</v>
      </c>
      <c r="K832" s="298"/>
      <c r="L832" s="142">
        <f t="shared" si="231"/>
        <v>45873</v>
      </c>
      <c r="M832" s="142"/>
      <c r="N832" s="142">
        <f t="shared" si="232"/>
        <v>2</v>
      </c>
      <c r="O832" s="143">
        <f t="shared" ca="1" si="233"/>
        <v>33</v>
      </c>
      <c r="P832" s="142">
        <v>45888</v>
      </c>
      <c r="Q832" s="142"/>
      <c r="R832" s="143">
        <f t="shared" ca="1" si="234"/>
        <v>48</v>
      </c>
      <c r="S832" s="138"/>
    </row>
    <row r="833" spans="1:19" hidden="1">
      <c r="A833" s="19" t="s">
        <v>188</v>
      </c>
      <c r="B833" s="291">
        <v>227</v>
      </c>
      <c r="C833" s="291" t="s">
        <v>857</v>
      </c>
      <c r="D833" s="291" t="s">
        <v>840</v>
      </c>
      <c r="E833" s="145">
        <v>45947</v>
      </c>
      <c r="F833" s="138">
        <v>110.699996948242</v>
      </c>
      <c r="G833" s="138"/>
      <c r="H833" s="138"/>
      <c r="I833" s="83">
        <f t="shared" si="229"/>
        <v>105.16499710082989</v>
      </c>
      <c r="J833" s="83">
        <f t="shared" si="230"/>
        <v>110.699996948242</v>
      </c>
      <c r="K833" s="298"/>
      <c r="L833" s="142">
        <f t="shared" si="231"/>
        <v>45873</v>
      </c>
      <c r="M833" s="142"/>
      <c r="N833" s="142">
        <f t="shared" si="232"/>
        <v>2</v>
      </c>
      <c r="O833" s="143">
        <f t="shared" ca="1" si="233"/>
        <v>33</v>
      </c>
      <c r="P833" s="142">
        <v>45888</v>
      </c>
      <c r="Q833" s="142"/>
      <c r="R833" s="143">
        <f t="shared" ca="1" si="234"/>
        <v>48</v>
      </c>
      <c r="S833" s="138"/>
    </row>
    <row r="834" spans="1:19" hidden="1">
      <c r="A834" s="19" t="s">
        <v>188</v>
      </c>
      <c r="B834" s="291">
        <v>227</v>
      </c>
      <c r="C834" s="291" t="s">
        <v>857</v>
      </c>
      <c r="D834" s="291" t="s">
        <v>859</v>
      </c>
      <c r="E834" s="145">
        <v>45947</v>
      </c>
      <c r="F834" s="138">
        <v>32.299999237060497</v>
      </c>
      <c r="G834" s="138"/>
      <c r="H834" s="138"/>
      <c r="I834" s="83">
        <f t="shared" si="229"/>
        <v>30.684999275207471</v>
      </c>
      <c r="J834" s="83">
        <f t="shared" si="230"/>
        <v>32.299999237060497</v>
      </c>
      <c r="K834" s="298"/>
      <c r="L834" s="142">
        <f t="shared" si="231"/>
        <v>45873</v>
      </c>
      <c r="M834" s="142"/>
      <c r="N834" s="142">
        <f t="shared" si="232"/>
        <v>2</v>
      </c>
      <c r="O834" s="143">
        <f t="shared" ca="1" si="233"/>
        <v>33</v>
      </c>
      <c r="P834" s="142">
        <v>45888</v>
      </c>
      <c r="Q834" s="142"/>
      <c r="R834" s="143">
        <f t="shared" ca="1" si="234"/>
        <v>48</v>
      </c>
      <c r="S834" s="138"/>
    </row>
    <row r="835" spans="1:19" hidden="1">
      <c r="A835" s="19" t="s">
        <v>188</v>
      </c>
      <c r="B835" s="291">
        <v>228</v>
      </c>
      <c r="C835" s="291" t="s">
        <v>77</v>
      </c>
      <c r="D835" s="291" t="s">
        <v>137</v>
      </c>
      <c r="E835" s="145">
        <v>45926</v>
      </c>
      <c r="F835" s="138">
        <v>134.10000610351599</v>
      </c>
      <c r="G835" s="138"/>
      <c r="H835" s="138"/>
      <c r="I835" s="83">
        <f t="shared" si="229"/>
        <v>127.39500579834019</v>
      </c>
      <c r="J835" s="83">
        <f t="shared" si="230"/>
        <v>134.10000610351599</v>
      </c>
      <c r="K835" s="298"/>
      <c r="L835" s="142">
        <f t="shared" si="231"/>
        <v>45853</v>
      </c>
      <c r="M835" s="142"/>
      <c r="N835" s="142">
        <f t="shared" si="232"/>
        <v>2</v>
      </c>
      <c r="O835" s="143">
        <f t="shared" ca="1" si="233"/>
        <v>13</v>
      </c>
      <c r="P835" s="142">
        <v>45868</v>
      </c>
      <c r="Q835" s="142"/>
      <c r="R835" s="143">
        <f t="shared" ca="1" si="234"/>
        <v>28</v>
      </c>
      <c r="S835" s="138"/>
    </row>
    <row r="836" spans="1:19" hidden="1">
      <c r="A836" s="19" t="s">
        <v>188</v>
      </c>
      <c r="B836" s="291">
        <v>228</v>
      </c>
      <c r="C836" s="291" t="s">
        <v>80</v>
      </c>
      <c r="D836" s="291" t="s">
        <v>146</v>
      </c>
      <c r="E836" s="145">
        <v>45926</v>
      </c>
      <c r="F836" s="138">
        <v>312</v>
      </c>
      <c r="G836" s="138"/>
      <c r="H836" s="138"/>
      <c r="I836" s="83">
        <f t="shared" si="229"/>
        <v>296.39999999999998</v>
      </c>
      <c r="J836" s="83">
        <f t="shared" si="230"/>
        <v>312</v>
      </c>
      <c r="K836" s="298"/>
      <c r="L836" s="142">
        <f t="shared" si="231"/>
        <v>45845</v>
      </c>
      <c r="M836" s="142"/>
      <c r="N836" s="142">
        <f t="shared" si="232"/>
        <v>2</v>
      </c>
      <c r="O836" s="143">
        <f t="shared" ca="1" si="233"/>
        <v>5</v>
      </c>
      <c r="P836" s="142">
        <v>45860</v>
      </c>
      <c r="Q836" s="142"/>
      <c r="R836" s="143">
        <f t="shared" ca="1" si="234"/>
        <v>20</v>
      </c>
      <c r="S836" s="138"/>
    </row>
    <row r="837" spans="1:19" hidden="1">
      <c r="A837" s="19" t="s">
        <v>188</v>
      </c>
      <c r="B837" s="291">
        <v>228</v>
      </c>
      <c r="C837" s="291" t="s">
        <v>93</v>
      </c>
      <c r="D837" s="291" t="s">
        <v>844</v>
      </c>
      <c r="E837" s="145">
        <v>45926</v>
      </c>
      <c r="F837" s="138">
        <v>130</v>
      </c>
      <c r="G837" s="138"/>
      <c r="H837" s="138"/>
      <c r="I837" s="83">
        <f t="shared" si="229"/>
        <v>123.5</v>
      </c>
      <c r="J837" s="83">
        <f t="shared" si="230"/>
        <v>130</v>
      </c>
      <c r="K837" s="298"/>
      <c r="L837" s="142">
        <f t="shared" si="231"/>
        <v>45845</v>
      </c>
      <c r="M837" s="142"/>
      <c r="N837" s="142">
        <f t="shared" si="232"/>
        <v>2</v>
      </c>
      <c r="O837" s="143">
        <f t="shared" ca="1" si="233"/>
        <v>5</v>
      </c>
      <c r="P837" s="142">
        <v>45860</v>
      </c>
      <c r="Q837" s="142"/>
      <c r="R837" s="143">
        <f t="shared" ca="1" si="234"/>
        <v>20</v>
      </c>
      <c r="S837" s="138"/>
    </row>
    <row r="838" spans="1:19" hidden="1">
      <c r="A838" s="19" t="s">
        <v>188</v>
      </c>
      <c r="B838" s="291">
        <v>228</v>
      </c>
      <c r="C838" s="291" t="s">
        <v>93</v>
      </c>
      <c r="D838" s="291" t="s">
        <v>843</v>
      </c>
      <c r="E838" s="145">
        <v>45926</v>
      </c>
      <c r="F838" s="138">
        <v>155.5</v>
      </c>
      <c r="G838" s="138"/>
      <c r="H838" s="138"/>
      <c r="I838" s="83">
        <f t="shared" si="229"/>
        <v>147.72499999999999</v>
      </c>
      <c r="J838" s="83">
        <f t="shared" si="230"/>
        <v>155.5</v>
      </c>
      <c r="K838" s="298"/>
      <c r="L838" s="142">
        <f t="shared" si="231"/>
        <v>45845</v>
      </c>
      <c r="M838" s="142"/>
      <c r="N838" s="142">
        <f t="shared" si="232"/>
        <v>2</v>
      </c>
      <c r="O838" s="143">
        <f t="shared" ca="1" si="233"/>
        <v>5</v>
      </c>
      <c r="P838" s="142">
        <v>45860</v>
      </c>
      <c r="Q838" s="142"/>
      <c r="R838" s="143">
        <f t="shared" ca="1" si="234"/>
        <v>20</v>
      </c>
      <c r="S838" s="138"/>
    </row>
    <row r="839" spans="1:19" hidden="1">
      <c r="A839" s="19" t="s">
        <v>188</v>
      </c>
      <c r="B839" s="291">
        <v>229</v>
      </c>
      <c r="C839" s="291" t="s">
        <v>77</v>
      </c>
      <c r="D839" s="291" t="s">
        <v>149</v>
      </c>
      <c r="E839" s="145">
        <v>45940</v>
      </c>
      <c r="F839" s="138">
        <v>254</v>
      </c>
      <c r="G839" s="138"/>
      <c r="H839" s="138"/>
      <c r="I839" s="83">
        <f t="shared" si="229"/>
        <v>241.29999999999998</v>
      </c>
      <c r="J839" s="83">
        <f t="shared" si="230"/>
        <v>254</v>
      </c>
      <c r="K839" s="298"/>
      <c r="L839" s="142">
        <f t="shared" si="231"/>
        <v>45866</v>
      </c>
      <c r="M839" s="142"/>
      <c r="N839" s="142">
        <f t="shared" si="232"/>
        <v>2</v>
      </c>
      <c r="O839" s="143">
        <f t="shared" ca="1" si="233"/>
        <v>26</v>
      </c>
      <c r="P839" s="142">
        <v>45881</v>
      </c>
      <c r="Q839" s="142"/>
      <c r="R839" s="143">
        <f t="shared" ca="1" si="234"/>
        <v>41</v>
      </c>
      <c r="S839" s="138"/>
    </row>
    <row r="840" spans="1:19" hidden="1">
      <c r="A840" s="19" t="s">
        <v>188</v>
      </c>
      <c r="B840" s="291">
        <v>229</v>
      </c>
      <c r="C840" s="291" t="s">
        <v>77</v>
      </c>
      <c r="D840" s="291" t="s">
        <v>150</v>
      </c>
      <c r="E840" s="145">
        <v>45940</v>
      </c>
      <c r="F840" s="138">
        <v>254</v>
      </c>
      <c r="G840" s="138"/>
      <c r="H840" s="138"/>
      <c r="I840" s="83">
        <f t="shared" si="229"/>
        <v>241.29999999999998</v>
      </c>
      <c r="J840" s="83">
        <f t="shared" si="230"/>
        <v>254</v>
      </c>
      <c r="K840" s="298"/>
      <c r="L840" s="142">
        <f t="shared" si="231"/>
        <v>45866</v>
      </c>
      <c r="M840" s="142"/>
      <c r="N840" s="142">
        <f t="shared" si="232"/>
        <v>2</v>
      </c>
      <c r="O840" s="143">
        <f t="shared" ca="1" si="233"/>
        <v>26</v>
      </c>
      <c r="P840" s="142">
        <v>45881</v>
      </c>
      <c r="Q840" s="142"/>
      <c r="R840" s="143">
        <f t="shared" ca="1" si="234"/>
        <v>41</v>
      </c>
      <c r="S840" s="138"/>
    </row>
    <row r="841" spans="1:19" hidden="1">
      <c r="A841" s="19" t="s">
        <v>188</v>
      </c>
      <c r="B841" s="291">
        <v>229</v>
      </c>
      <c r="C841" s="291" t="s">
        <v>77</v>
      </c>
      <c r="D841" s="291" t="s">
        <v>151</v>
      </c>
      <c r="E841" s="145">
        <v>45940</v>
      </c>
      <c r="F841" s="138">
        <v>89.5</v>
      </c>
      <c r="G841" s="138"/>
      <c r="H841" s="138"/>
      <c r="I841" s="83">
        <f t="shared" si="229"/>
        <v>85.024999999999991</v>
      </c>
      <c r="J841" s="83">
        <f t="shared" si="230"/>
        <v>89.5</v>
      </c>
      <c r="K841" s="298"/>
      <c r="L841" s="142">
        <f t="shared" si="231"/>
        <v>45866</v>
      </c>
      <c r="M841" s="142"/>
      <c r="N841" s="142">
        <f t="shared" si="232"/>
        <v>2</v>
      </c>
      <c r="O841" s="143">
        <f t="shared" ca="1" si="233"/>
        <v>26</v>
      </c>
      <c r="P841" s="142">
        <v>45881</v>
      </c>
      <c r="Q841" s="142"/>
      <c r="R841" s="143">
        <f t="shared" ca="1" si="234"/>
        <v>41</v>
      </c>
      <c r="S841" s="138"/>
    </row>
    <row r="842" spans="1:19" hidden="1">
      <c r="A842" s="19" t="s">
        <v>188</v>
      </c>
      <c r="B842" s="291">
        <v>229</v>
      </c>
      <c r="C842" s="291" t="s">
        <v>77</v>
      </c>
      <c r="D842" s="291" t="s">
        <v>152</v>
      </c>
      <c r="E842" s="145">
        <v>45940</v>
      </c>
      <c r="F842" s="138">
        <v>44.900001525878899</v>
      </c>
      <c r="G842" s="138"/>
      <c r="H842" s="138"/>
      <c r="I842" s="83">
        <f t="shared" si="229"/>
        <v>42.655001449584951</v>
      </c>
      <c r="J842" s="83">
        <f t="shared" si="230"/>
        <v>44.900001525878899</v>
      </c>
      <c r="K842" s="298"/>
      <c r="L842" s="142">
        <f t="shared" si="231"/>
        <v>45866</v>
      </c>
      <c r="M842" s="142"/>
      <c r="N842" s="142">
        <f t="shared" si="232"/>
        <v>2</v>
      </c>
      <c r="O842" s="143">
        <f t="shared" ca="1" si="233"/>
        <v>26</v>
      </c>
      <c r="P842" s="142">
        <v>45881</v>
      </c>
      <c r="Q842" s="142"/>
      <c r="R842" s="143">
        <f t="shared" ca="1" si="234"/>
        <v>41</v>
      </c>
      <c r="S842" s="138"/>
    </row>
    <row r="843" spans="1:19" hidden="1">
      <c r="A843" s="19" t="s">
        <v>188</v>
      </c>
      <c r="B843" s="291">
        <v>229</v>
      </c>
      <c r="C843" s="291" t="s">
        <v>77</v>
      </c>
      <c r="D843" s="291" t="s">
        <v>153</v>
      </c>
      <c r="E843" s="145">
        <v>45940</v>
      </c>
      <c r="F843" s="138">
        <v>254</v>
      </c>
      <c r="G843" s="138"/>
      <c r="H843" s="138"/>
      <c r="I843" s="83">
        <f t="shared" si="229"/>
        <v>241.29999999999998</v>
      </c>
      <c r="J843" s="83">
        <f t="shared" si="230"/>
        <v>254</v>
      </c>
      <c r="K843" s="298"/>
      <c r="L843" s="142">
        <f t="shared" si="231"/>
        <v>45866</v>
      </c>
      <c r="M843" s="142"/>
      <c r="N843" s="142">
        <f t="shared" si="232"/>
        <v>2</v>
      </c>
      <c r="O843" s="143">
        <f t="shared" ca="1" si="233"/>
        <v>26</v>
      </c>
      <c r="P843" s="142">
        <v>45881</v>
      </c>
      <c r="Q843" s="142"/>
      <c r="R843" s="143">
        <f t="shared" ca="1" si="234"/>
        <v>41</v>
      </c>
      <c r="S843" s="138"/>
    </row>
    <row r="844" spans="1:19" hidden="1">
      <c r="A844" s="19" t="s">
        <v>188</v>
      </c>
      <c r="B844" s="291">
        <v>229</v>
      </c>
      <c r="C844" s="291" t="s">
        <v>79</v>
      </c>
      <c r="D844" s="291" t="s">
        <v>149</v>
      </c>
      <c r="E844" s="145">
        <v>45940</v>
      </c>
      <c r="F844" s="138">
        <v>1.3999999761581401</v>
      </c>
      <c r="G844" s="138"/>
      <c r="H844" s="138"/>
      <c r="I844" s="83">
        <f t="shared" si="229"/>
        <v>1.3299999773502331</v>
      </c>
      <c r="J844" s="83">
        <f t="shared" si="230"/>
        <v>1.3999999761581401</v>
      </c>
      <c r="K844" s="298"/>
      <c r="L844" s="142">
        <f t="shared" si="231"/>
        <v>45866</v>
      </c>
      <c r="M844" s="142"/>
      <c r="N844" s="142">
        <f t="shared" si="232"/>
        <v>2</v>
      </c>
      <c r="O844" s="143">
        <f t="shared" ca="1" si="233"/>
        <v>26</v>
      </c>
      <c r="P844" s="142">
        <v>45881</v>
      </c>
      <c r="Q844" s="142"/>
      <c r="R844" s="143">
        <f t="shared" ca="1" si="234"/>
        <v>41</v>
      </c>
      <c r="S844" s="138"/>
    </row>
    <row r="845" spans="1:19" hidden="1">
      <c r="A845" s="19" t="s">
        <v>188</v>
      </c>
      <c r="B845" s="291">
        <v>229</v>
      </c>
      <c r="C845" s="291" t="s">
        <v>79</v>
      </c>
      <c r="D845" s="291" t="s">
        <v>150</v>
      </c>
      <c r="E845" s="145">
        <v>45940</v>
      </c>
      <c r="F845" s="138">
        <v>1.3999999761581401</v>
      </c>
      <c r="G845" s="138"/>
      <c r="H845" s="138"/>
      <c r="I845" s="83">
        <f t="shared" si="229"/>
        <v>1.3299999773502331</v>
      </c>
      <c r="J845" s="83">
        <f t="shared" si="230"/>
        <v>1.3999999761581401</v>
      </c>
      <c r="K845" s="298"/>
      <c r="L845" s="142">
        <f t="shared" si="231"/>
        <v>45866</v>
      </c>
      <c r="M845" s="142"/>
      <c r="N845" s="142">
        <f t="shared" si="232"/>
        <v>2</v>
      </c>
      <c r="O845" s="143">
        <f t="shared" ca="1" si="233"/>
        <v>26</v>
      </c>
      <c r="P845" s="142">
        <v>45881</v>
      </c>
      <c r="Q845" s="142"/>
      <c r="R845" s="143">
        <f t="shared" ca="1" si="234"/>
        <v>41</v>
      </c>
      <c r="S845" s="138"/>
    </row>
    <row r="846" spans="1:19" hidden="1">
      <c r="A846" s="19" t="s">
        <v>188</v>
      </c>
      <c r="B846" s="291">
        <v>229</v>
      </c>
      <c r="C846" s="291" t="s">
        <v>79</v>
      </c>
      <c r="D846" s="291" t="s">
        <v>153</v>
      </c>
      <c r="E846" s="145">
        <v>45940</v>
      </c>
      <c r="F846" s="138">
        <v>1.3999999761581401</v>
      </c>
      <c r="G846" s="138"/>
      <c r="H846" s="138"/>
      <c r="I846" s="83">
        <f t="shared" si="229"/>
        <v>1.3299999773502331</v>
      </c>
      <c r="J846" s="83">
        <f t="shared" si="230"/>
        <v>1.3999999761581401</v>
      </c>
      <c r="K846" s="298"/>
      <c r="L846" s="142">
        <f t="shared" si="231"/>
        <v>45866</v>
      </c>
      <c r="M846" s="142"/>
      <c r="N846" s="142">
        <f t="shared" si="232"/>
        <v>2</v>
      </c>
      <c r="O846" s="143">
        <f t="shared" ca="1" si="233"/>
        <v>26</v>
      </c>
      <c r="P846" s="142">
        <v>45881</v>
      </c>
      <c r="Q846" s="142"/>
      <c r="R846" s="143">
        <f t="shared" ca="1" si="234"/>
        <v>41</v>
      </c>
      <c r="S846" s="138"/>
    </row>
    <row r="847" spans="1:19" hidden="1">
      <c r="A847" s="19" t="s">
        <v>188</v>
      </c>
      <c r="B847" s="291">
        <v>229</v>
      </c>
      <c r="C847" s="291" t="s">
        <v>80</v>
      </c>
      <c r="D847" s="291" t="s">
        <v>146</v>
      </c>
      <c r="E847" s="145">
        <v>45940</v>
      </c>
      <c r="F847" s="138">
        <v>403</v>
      </c>
      <c r="G847" s="138"/>
      <c r="H847" s="138"/>
      <c r="I847" s="83">
        <f t="shared" si="229"/>
        <v>382.84999999999997</v>
      </c>
      <c r="J847" s="83">
        <f t="shared" si="230"/>
        <v>403</v>
      </c>
      <c r="K847" s="298"/>
      <c r="L847" s="142">
        <f t="shared" si="231"/>
        <v>45859</v>
      </c>
      <c r="M847" s="142"/>
      <c r="N847" s="142">
        <f t="shared" si="232"/>
        <v>2</v>
      </c>
      <c r="O847" s="143">
        <f t="shared" ca="1" si="233"/>
        <v>19</v>
      </c>
      <c r="P847" s="142">
        <v>45874</v>
      </c>
      <c r="Q847" s="142"/>
      <c r="R847" s="143">
        <f t="shared" ca="1" si="234"/>
        <v>34</v>
      </c>
      <c r="S847" s="138"/>
    </row>
    <row r="848" spans="1:19" hidden="1">
      <c r="A848" s="19" t="s">
        <v>188</v>
      </c>
      <c r="B848" s="291">
        <v>229</v>
      </c>
      <c r="C848" s="291" t="s">
        <v>75</v>
      </c>
      <c r="D848" s="291" t="s">
        <v>858</v>
      </c>
      <c r="E848" s="145">
        <v>45940</v>
      </c>
      <c r="F848" s="138">
        <v>87.300003051757798</v>
      </c>
      <c r="G848" s="138"/>
      <c r="H848" s="138"/>
      <c r="I848" s="83">
        <f t="shared" si="229"/>
        <v>82.935002899169902</v>
      </c>
      <c r="J848" s="83">
        <f t="shared" si="230"/>
        <v>87.300003051757798</v>
      </c>
      <c r="K848" s="298"/>
      <c r="L848" s="142">
        <f t="shared" si="231"/>
        <v>45866</v>
      </c>
      <c r="M848" s="142"/>
      <c r="N848" s="142">
        <f t="shared" si="232"/>
        <v>2</v>
      </c>
      <c r="O848" s="143">
        <f t="shared" ca="1" si="233"/>
        <v>26</v>
      </c>
      <c r="P848" s="142">
        <v>45881</v>
      </c>
      <c r="Q848" s="142"/>
      <c r="R848" s="143">
        <f t="shared" ca="1" si="234"/>
        <v>41</v>
      </c>
      <c r="S848" s="138"/>
    </row>
    <row r="849" spans="1:19" hidden="1">
      <c r="A849" s="19" t="s">
        <v>188</v>
      </c>
      <c r="B849" s="291">
        <v>229</v>
      </c>
      <c r="C849" s="291" t="s">
        <v>75</v>
      </c>
      <c r="D849" s="291" t="s">
        <v>859</v>
      </c>
      <c r="E849" s="145">
        <v>45940</v>
      </c>
      <c r="F849" s="138">
        <v>53.400001525878899</v>
      </c>
      <c r="G849" s="138"/>
      <c r="H849" s="138"/>
      <c r="I849" s="83">
        <f t="shared" si="229"/>
        <v>50.730001449584954</v>
      </c>
      <c r="J849" s="83">
        <f t="shared" si="230"/>
        <v>53.400001525878899</v>
      </c>
      <c r="K849" s="298"/>
      <c r="L849" s="142">
        <f t="shared" si="231"/>
        <v>45866</v>
      </c>
      <c r="M849" s="142"/>
      <c r="N849" s="142">
        <f t="shared" si="232"/>
        <v>2</v>
      </c>
      <c r="O849" s="143">
        <f t="shared" ca="1" si="233"/>
        <v>26</v>
      </c>
      <c r="P849" s="142">
        <v>45881</v>
      </c>
      <c r="Q849" s="142"/>
      <c r="R849" s="143">
        <f t="shared" ca="1" si="234"/>
        <v>41</v>
      </c>
      <c r="S849" s="138"/>
    </row>
    <row r="850" spans="1:19" hidden="1">
      <c r="A850" s="19" t="s">
        <v>188</v>
      </c>
      <c r="B850" s="291">
        <v>229</v>
      </c>
      <c r="C850" s="291" t="s">
        <v>857</v>
      </c>
      <c r="D850" s="291" t="s">
        <v>858</v>
      </c>
      <c r="E850" s="145">
        <v>45940</v>
      </c>
      <c r="F850" s="138">
        <v>99.800003051757798</v>
      </c>
      <c r="G850" s="138"/>
      <c r="H850" s="138"/>
      <c r="I850" s="83">
        <f t="shared" si="229"/>
        <v>94.810002899169902</v>
      </c>
      <c r="J850" s="83">
        <f t="shared" si="230"/>
        <v>99.800003051757798</v>
      </c>
      <c r="K850" s="298"/>
      <c r="L850" s="142">
        <f t="shared" si="231"/>
        <v>45866</v>
      </c>
      <c r="M850" s="142"/>
      <c r="N850" s="142">
        <f t="shared" si="232"/>
        <v>2</v>
      </c>
      <c r="O850" s="143">
        <f t="shared" ca="1" si="233"/>
        <v>26</v>
      </c>
      <c r="P850" s="142">
        <v>45881</v>
      </c>
      <c r="Q850" s="142"/>
      <c r="R850" s="143">
        <f t="shared" ca="1" si="234"/>
        <v>41</v>
      </c>
      <c r="S850" s="138"/>
    </row>
    <row r="851" spans="1:19" hidden="1">
      <c r="A851" s="19" t="s">
        <v>188</v>
      </c>
      <c r="B851" s="291">
        <v>229</v>
      </c>
      <c r="C851" s="291" t="s">
        <v>857</v>
      </c>
      <c r="D851" s="291" t="s">
        <v>859</v>
      </c>
      <c r="E851" s="145">
        <v>45940</v>
      </c>
      <c r="F851" s="138">
        <v>60.799999237060497</v>
      </c>
      <c r="G851" s="138"/>
      <c r="H851" s="138"/>
      <c r="I851" s="83">
        <f t="shared" si="229"/>
        <v>57.75999927520747</v>
      </c>
      <c r="J851" s="83">
        <f t="shared" si="230"/>
        <v>60.799999237060497</v>
      </c>
      <c r="K851" s="298"/>
      <c r="L851" s="142">
        <f t="shared" si="231"/>
        <v>45866</v>
      </c>
      <c r="M851" s="142"/>
      <c r="N851" s="142">
        <f t="shared" si="232"/>
        <v>2</v>
      </c>
      <c r="O851" s="143">
        <f t="shared" ca="1" si="233"/>
        <v>26</v>
      </c>
      <c r="P851" s="142">
        <v>45881</v>
      </c>
      <c r="Q851" s="142"/>
      <c r="R851" s="143">
        <f t="shared" ca="1" si="234"/>
        <v>41</v>
      </c>
      <c r="S851" s="138"/>
    </row>
  </sheetData>
  <sheetProtection selectLockedCells="1" autoFilter="0"/>
  <autoFilter ref="A2:T851">
    <filterColumn colId="4">
      <filters>
        <dateGroupItem year="2025" month="8" day="23" dateTimeGrouping="day"/>
      </filters>
    </filterColumn>
    <filterColumn colId="16">
      <filters blank="1"/>
    </filterColumn>
  </autoFilter>
  <mergeCells count="3">
    <mergeCell ref="P1:R1"/>
    <mergeCell ref="S1:T1"/>
    <mergeCell ref="L1:O1"/>
  </mergeCells>
  <phoneticPr fontId="1" type="noConversion"/>
  <conditionalFormatting sqref="F211:N750 E504:E851">
    <cfRule type="expression" dxfId="134" priority="48">
      <formula>ROW()=CELL("row")</formula>
    </cfRule>
  </conditionalFormatting>
  <conditionalFormatting sqref="F3:S210 P4:P750 C3:E468 A3:A851 I59:I774 D469:E503">
    <cfRule type="expression" dxfId="133" priority="198">
      <formula>ROW()=CELL("row")</formula>
    </cfRule>
  </conditionalFormatting>
  <conditionalFormatting sqref="F751:T774 F775:S779 F780:L780 F781:S781 F782:L785 F786:S791 F792:L792 F793:S793 F794:L797 F798:S803 F804:L804 F805:S805 F806:L851">
    <cfRule type="expression" dxfId="132" priority="122">
      <formula>ROW()=CELL("row")</formula>
    </cfRule>
  </conditionalFormatting>
  <conditionalFormatting sqref="I3:J774">
    <cfRule type="cellIs" dxfId="131" priority="213" operator="lessThanOrEqual">
      <formula>0</formula>
    </cfRule>
  </conditionalFormatting>
  <conditionalFormatting sqref="I775:J851">
    <cfRule type="cellIs" dxfId="130" priority="27" operator="lessThanOrEqual">
      <formula>0</formula>
    </cfRule>
  </conditionalFormatting>
  <conditionalFormatting sqref="L3:L851">
    <cfRule type="timePeriod" dxfId="129" priority="28" timePeriod="today">
      <formula>FLOOR(L3,1)=TODAY()</formula>
    </cfRule>
  </conditionalFormatting>
  <conditionalFormatting sqref="M780:S780 M792:S792 M804:S804">
    <cfRule type="expression" dxfId="128" priority="3">
      <formula>ROW()=CELL("row")</formula>
    </cfRule>
  </conditionalFormatting>
  <conditionalFormatting sqref="M782:S785 M794:S797 M806:S851">
    <cfRule type="expression" dxfId="127" priority="14">
      <formula>ROW()=CELL("row")</formula>
    </cfRule>
  </conditionalFormatting>
  <conditionalFormatting sqref="N2:N64138">
    <cfRule type="timePeriod" dxfId="126" priority="322" timePeriod="today">
      <formula>FLOOR(N2,1)=TODAY()</formula>
    </cfRule>
  </conditionalFormatting>
  <conditionalFormatting sqref="O3:O851 R3:R851">
    <cfRule type="cellIs" dxfId="125" priority="341" operator="greaterThanOrEqual">
      <formula>0</formula>
    </cfRule>
    <cfRule type="cellIs" dxfId="124" priority="342" operator="lessThan">
      <formula>0</formula>
    </cfRule>
  </conditionalFormatting>
  <conditionalFormatting sqref="O231:S232">
    <cfRule type="expression" dxfId="123" priority="54">
      <formula>ROW()=CELL("row")</formula>
    </cfRule>
  </conditionalFormatting>
  <conditionalFormatting sqref="O248:S248 O287:P290 O313:P316 O328:P332 O394:P397 O415:P419 R289 R290:T290 R315 R316:T316 R330 R331:T331 R396 R397:T397 R417 R418:T419">
    <cfRule type="expression" dxfId="122" priority="184">
      <formula>ROW()=CELL("row")</formula>
    </cfRule>
  </conditionalFormatting>
  <conditionalFormatting sqref="O211:T230 O233:T247">
    <cfRule type="expression" dxfId="121" priority="123">
      <formula>ROW()=CELL("row")</formula>
    </cfRule>
  </conditionalFormatting>
  <conditionalFormatting sqref="O249:T286 O333:T393">
    <cfRule type="expression" dxfId="120" priority="41">
      <formula>ROW()=CELL("row")</formula>
    </cfRule>
  </conditionalFormatting>
  <conditionalFormatting sqref="O291:T312 O317:T327 O398:T414">
    <cfRule type="expression" dxfId="119" priority="31">
      <formula>ROW()=CELL("row")</formula>
    </cfRule>
  </conditionalFormatting>
  <conditionalFormatting sqref="O420:T750 Q289:Q290 Q315:Q316 Q330:Q331 Q396:Q397 Q417:Q419">
    <cfRule type="expression" dxfId="118" priority="6">
      <formula>ROW()=CELL("row")</formula>
    </cfRule>
  </conditionalFormatting>
  <conditionalFormatting sqref="L1:L64138 P1:P1048576">
    <cfRule type="timePeriod" dxfId="117" priority="1" timePeriod="tomorrow">
      <formula>FLOOR(L1,1)=TODAY()+1</formula>
    </cfRule>
    <cfRule type="timePeriod" dxfId="116" priority="2" timePeriod="today">
      <formula>FLOOR(L1,1)=TODAY()</formula>
    </cfRule>
  </conditionalFormatting>
  <conditionalFormatting sqref="Q287:R288 Q313:R314 Q328:R329 Q394:R395 Q415:R416">
    <cfRule type="expression" dxfId="115" priority="15">
      <formula>ROW()=CELL("row")</formula>
    </cfRule>
  </conditionalFormatting>
  <conditionalFormatting sqref="Q332:T332">
    <cfRule type="expression" dxfId="114" priority="111">
      <formula>ROW()=CELL("row")</formula>
    </cfRule>
  </conditionalFormatting>
  <conditionalFormatting sqref="S287:T289 S313:T315 S328:T330 S394:T396 S415:T417">
    <cfRule type="expression" dxfId="113" priority="56">
      <formula>ROW()=CELL("row")</formula>
    </cfRule>
  </conditionalFormatting>
  <conditionalFormatting sqref="U20">
    <cfRule type="expression" dxfId="112" priority="120">
      <formula>ROW()=CELL("row")</formula>
    </cfRule>
  </conditionalFormatting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E53"/>
  <sheetViews>
    <sheetView workbookViewId="0">
      <selection activeCell="B4" sqref="B4"/>
    </sheetView>
  </sheetViews>
  <sheetFormatPr defaultRowHeight="14"/>
  <cols>
    <col min="1" max="1" width="26.4140625" bestFit="1" customWidth="1"/>
    <col min="2" max="2" width="16.83203125" bestFit="1" customWidth="1"/>
    <col min="3" max="4" width="6" bestFit="1" customWidth="1"/>
    <col min="5" max="7" width="11.4140625" bestFit="1" customWidth="1"/>
    <col min="8" max="8" width="16.4140625" bestFit="1" customWidth="1"/>
    <col min="9" max="9" width="11.4140625" bestFit="1" customWidth="1"/>
  </cols>
  <sheetData>
    <row r="3" spans="1:5">
      <c r="A3" s="3" t="s">
        <v>165</v>
      </c>
      <c r="B3" s="3" t="s">
        <v>166</v>
      </c>
    </row>
    <row r="4" spans="1:5">
      <c r="A4" s="28" t="s">
        <v>167</v>
      </c>
      <c r="B4" s="34" t="s">
        <v>83</v>
      </c>
      <c r="C4" s="29" t="s">
        <v>85</v>
      </c>
      <c r="D4" s="35" t="s">
        <v>56</v>
      </c>
      <c r="E4" s="29" t="s">
        <v>168</v>
      </c>
    </row>
    <row r="5" spans="1:5">
      <c r="A5" s="27" t="s">
        <v>114</v>
      </c>
      <c r="B5" s="25"/>
      <c r="C5" s="25">
        <v>535.97</v>
      </c>
      <c r="D5" s="25"/>
      <c r="E5" s="25">
        <v>535.97</v>
      </c>
    </row>
    <row r="6" spans="1:5">
      <c r="A6" s="27" t="s">
        <v>126</v>
      </c>
      <c r="B6" s="25"/>
      <c r="C6" s="25"/>
      <c r="D6" s="25">
        <v>221.977</v>
      </c>
      <c r="E6" s="25">
        <v>221.977</v>
      </c>
    </row>
    <row r="7" spans="1:5">
      <c r="A7" s="27" t="s">
        <v>127</v>
      </c>
      <c r="B7" s="25"/>
      <c r="C7" s="25"/>
      <c r="D7" s="25">
        <v>178.58799999999999</v>
      </c>
      <c r="E7" s="25">
        <v>178.58799999999999</v>
      </c>
    </row>
    <row r="8" spans="1:5">
      <c r="A8" s="27" t="s">
        <v>124</v>
      </c>
      <c r="B8" s="25"/>
      <c r="C8" s="25"/>
      <c r="D8" s="25">
        <v>221.977</v>
      </c>
      <c r="E8" s="25">
        <v>221.977</v>
      </c>
    </row>
    <row r="9" spans="1:5">
      <c r="A9" s="27" t="s">
        <v>125</v>
      </c>
      <c r="B9" s="25"/>
      <c r="C9" s="25"/>
      <c r="D9" s="25">
        <v>178.58799999999999</v>
      </c>
      <c r="E9" s="25">
        <v>178.58799999999999</v>
      </c>
    </row>
    <row r="10" spans="1:5">
      <c r="A10" s="27" t="s">
        <v>105</v>
      </c>
      <c r="B10" s="25"/>
      <c r="C10" s="25"/>
      <c r="D10" s="25">
        <v>7311.7120000000004</v>
      </c>
      <c r="E10" s="25">
        <v>7311.7120000000004</v>
      </c>
    </row>
    <row r="11" spans="1:5">
      <c r="A11" s="27" t="s">
        <v>121</v>
      </c>
      <c r="B11" s="25"/>
      <c r="C11" s="25"/>
      <c r="D11" s="25">
        <v>221.977</v>
      </c>
      <c r="E11" s="25">
        <v>221.977</v>
      </c>
    </row>
    <row r="12" spans="1:5">
      <c r="A12" s="27" t="s">
        <v>120</v>
      </c>
      <c r="B12" s="25"/>
      <c r="C12" s="25"/>
      <c r="D12" s="25">
        <v>178.58799999999999</v>
      </c>
      <c r="E12" s="25">
        <v>178.58799999999999</v>
      </c>
    </row>
    <row r="13" spans="1:5">
      <c r="A13" s="27" t="s">
        <v>106</v>
      </c>
      <c r="B13" s="25"/>
      <c r="C13" s="25"/>
      <c r="D13" s="25">
        <v>5585.6729999999998</v>
      </c>
      <c r="E13" s="25">
        <v>5585.6729999999998</v>
      </c>
    </row>
    <row r="14" spans="1:5">
      <c r="A14" s="27" t="s">
        <v>122</v>
      </c>
      <c r="B14" s="25"/>
      <c r="C14" s="25"/>
      <c r="D14" s="25">
        <v>78.344999999999999</v>
      </c>
      <c r="E14" s="25">
        <v>78.344999999999999</v>
      </c>
    </row>
    <row r="15" spans="1:5">
      <c r="A15" s="27" t="s">
        <v>123</v>
      </c>
      <c r="B15" s="25"/>
      <c r="C15" s="25"/>
      <c r="D15" s="25">
        <v>63.03</v>
      </c>
      <c r="E15" s="25">
        <v>63.03</v>
      </c>
    </row>
    <row r="16" spans="1:5">
      <c r="A16" s="27" t="s">
        <v>128</v>
      </c>
      <c r="B16" s="25"/>
      <c r="C16" s="25"/>
      <c r="D16" s="25">
        <v>39.173000000000002</v>
      </c>
      <c r="E16" s="25">
        <v>39.173000000000002</v>
      </c>
    </row>
    <row r="17" spans="1:5">
      <c r="A17" s="27" t="s">
        <v>129</v>
      </c>
      <c r="B17" s="25"/>
      <c r="C17" s="25"/>
      <c r="D17" s="25">
        <v>31.515000000000001</v>
      </c>
      <c r="E17" s="25">
        <v>31.515000000000001</v>
      </c>
    </row>
    <row r="18" spans="1:5">
      <c r="A18" s="27" t="s">
        <v>70</v>
      </c>
      <c r="B18" s="25"/>
      <c r="C18" s="25"/>
      <c r="D18" s="25">
        <v>125.282</v>
      </c>
      <c r="E18" s="25">
        <v>125.282</v>
      </c>
    </row>
    <row r="19" spans="1:5">
      <c r="A19" s="27" t="s">
        <v>61</v>
      </c>
      <c r="B19" s="25"/>
      <c r="C19" s="25">
        <v>964.67</v>
      </c>
      <c r="D19" s="25">
        <v>964.67</v>
      </c>
      <c r="E19" s="25">
        <v>1929.34</v>
      </c>
    </row>
    <row r="20" spans="1:5">
      <c r="A20" s="27" t="s">
        <v>132</v>
      </c>
      <c r="B20" s="25"/>
      <c r="C20" s="25"/>
      <c r="D20" s="25">
        <v>2.5169999999999999</v>
      </c>
      <c r="E20" s="25">
        <v>2.5169999999999999</v>
      </c>
    </row>
    <row r="21" spans="1:5">
      <c r="A21" s="27" t="s">
        <v>131</v>
      </c>
      <c r="B21" s="25"/>
      <c r="C21" s="25"/>
      <c r="D21" s="25">
        <v>2.5169999999999999</v>
      </c>
      <c r="E21" s="25">
        <v>2.5169999999999999</v>
      </c>
    </row>
    <row r="22" spans="1:5">
      <c r="A22" s="27" t="s">
        <v>62</v>
      </c>
      <c r="B22" s="25">
        <v>1627.89</v>
      </c>
      <c r="C22" s="25">
        <v>1447</v>
      </c>
      <c r="D22" s="25">
        <v>1447</v>
      </c>
      <c r="E22" s="25">
        <v>4521.8900000000003</v>
      </c>
    </row>
    <row r="23" spans="1:5">
      <c r="A23" s="27" t="s">
        <v>73</v>
      </c>
      <c r="B23" s="25"/>
      <c r="C23" s="25"/>
      <c r="D23" s="25">
        <v>10.006</v>
      </c>
      <c r="E23" s="25">
        <v>10.006</v>
      </c>
    </row>
    <row r="24" spans="1:5">
      <c r="A24" s="27" t="s">
        <v>169</v>
      </c>
      <c r="B24" s="25">
        <v>909.27</v>
      </c>
      <c r="C24" s="25"/>
      <c r="D24" s="25"/>
      <c r="E24" s="25">
        <v>909.27</v>
      </c>
    </row>
    <row r="25" spans="1:5">
      <c r="A25" s="27" t="s">
        <v>69</v>
      </c>
      <c r="B25" s="25">
        <v>1159.5899999999999</v>
      </c>
      <c r="C25" s="25"/>
      <c r="D25" s="25">
        <v>424.464</v>
      </c>
      <c r="E25" s="25">
        <v>1584.0539999999999</v>
      </c>
    </row>
    <row r="26" spans="1:5">
      <c r="A26" s="27" t="s">
        <v>130</v>
      </c>
      <c r="B26" s="25"/>
      <c r="C26" s="25"/>
      <c r="D26" s="25">
        <v>2.5169999999999999</v>
      </c>
      <c r="E26" s="25">
        <v>2.5169999999999999</v>
      </c>
    </row>
    <row r="27" spans="1:5">
      <c r="A27" s="27" t="s">
        <v>71</v>
      </c>
      <c r="B27" s="25"/>
      <c r="C27" s="25"/>
      <c r="D27" s="25">
        <v>125.282</v>
      </c>
      <c r="E27" s="25">
        <v>125.282</v>
      </c>
    </row>
    <row r="28" spans="1:5">
      <c r="A28" s="27" t="s">
        <v>72</v>
      </c>
      <c r="B28" s="25"/>
      <c r="C28" s="25"/>
      <c r="D28" s="25">
        <v>125.282</v>
      </c>
      <c r="E28" s="25">
        <v>125.282</v>
      </c>
    </row>
    <row r="29" spans="1:5">
      <c r="A29" s="27" t="s">
        <v>119</v>
      </c>
      <c r="B29" s="25">
        <v>1077.97</v>
      </c>
      <c r="C29" s="25">
        <v>2323.9899999999998</v>
      </c>
      <c r="D29" s="25"/>
      <c r="E29" s="25">
        <v>3401.96</v>
      </c>
    </row>
    <row r="30" spans="1:5">
      <c r="A30" s="27" t="s">
        <v>117</v>
      </c>
      <c r="B30" s="25"/>
      <c r="C30" s="25"/>
      <c r="D30" s="25">
        <v>456.84899999999999</v>
      </c>
      <c r="E30" s="25">
        <v>456.84899999999999</v>
      </c>
    </row>
    <row r="31" spans="1:5">
      <c r="A31" s="27" t="s">
        <v>109</v>
      </c>
      <c r="B31" s="25"/>
      <c r="C31" s="25"/>
      <c r="D31" s="25">
        <v>57.36</v>
      </c>
      <c r="E31" s="25">
        <v>57.36</v>
      </c>
    </row>
    <row r="32" spans="1:5">
      <c r="A32" s="27" t="s">
        <v>112</v>
      </c>
      <c r="B32" s="25"/>
      <c r="C32" s="25"/>
      <c r="D32" s="25">
        <v>268.03300000000002</v>
      </c>
      <c r="E32" s="25">
        <v>268.03300000000002</v>
      </c>
    </row>
    <row r="33" spans="1:5">
      <c r="A33" s="27" t="s">
        <v>64</v>
      </c>
      <c r="B33" s="25"/>
      <c r="C33" s="25"/>
      <c r="D33" s="25">
        <v>31.257999999999999</v>
      </c>
      <c r="E33" s="25">
        <v>31.257999999999999</v>
      </c>
    </row>
    <row r="34" spans="1:5">
      <c r="A34" s="27" t="s">
        <v>67</v>
      </c>
      <c r="B34" s="25"/>
      <c r="C34" s="25"/>
      <c r="D34" s="25">
        <v>146.06100000000001</v>
      </c>
      <c r="E34" s="25">
        <v>146.06100000000001</v>
      </c>
    </row>
    <row r="35" spans="1:5">
      <c r="A35" s="27" t="s">
        <v>115</v>
      </c>
      <c r="B35" s="25"/>
      <c r="C35" s="25"/>
      <c r="D35" s="25">
        <v>456.84899999999999</v>
      </c>
      <c r="E35" s="25">
        <v>456.84899999999999</v>
      </c>
    </row>
    <row r="36" spans="1:5">
      <c r="A36" s="27" t="s">
        <v>107</v>
      </c>
      <c r="B36" s="25"/>
      <c r="C36" s="25"/>
      <c r="D36" s="25">
        <v>210.67500000000001</v>
      </c>
      <c r="E36" s="25">
        <v>210.67500000000001</v>
      </c>
    </row>
    <row r="37" spans="1:5">
      <c r="A37" s="27" t="s">
        <v>63</v>
      </c>
      <c r="B37" s="25"/>
      <c r="C37" s="25"/>
      <c r="D37" s="25">
        <v>114.80500000000001</v>
      </c>
      <c r="E37" s="25">
        <v>114.80500000000001</v>
      </c>
    </row>
    <row r="38" spans="1:5">
      <c r="A38" s="27" t="s">
        <v>118</v>
      </c>
      <c r="B38" s="25"/>
      <c r="C38" s="25"/>
      <c r="D38" s="25">
        <v>493.50700000000001</v>
      </c>
      <c r="E38" s="25">
        <v>493.50700000000001</v>
      </c>
    </row>
    <row r="39" spans="1:5">
      <c r="A39" s="27" t="s">
        <v>111</v>
      </c>
      <c r="B39" s="25"/>
      <c r="C39" s="25"/>
      <c r="D39" s="25">
        <v>61.962000000000003</v>
      </c>
      <c r="E39" s="25">
        <v>61.962000000000003</v>
      </c>
    </row>
    <row r="40" spans="1:5">
      <c r="A40" s="27" t="s">
        <v>113</v>
      </c>
      <c r="B40" s="25"/>
      <c r="C40" s="25"/>
      <c r="D40" s="25">
        <v>289.54199999999997</v>
      </c>
      <c r="E40" s="25">
        <v>289.54199999999997</v>
      </c>
    </row>
    <row r="41" spans="1:5">
      <c r="A41" s="27" t="s">
        <v>66</v>
      </c>
      <c r="B41" s="25"/>
      <c r="C41" s="25"/>
      <c r="D41" s="25">
        <v>33.765999999999998</v>
      </c>
      <c r="E41" s="25">
        <v>33.765999999999998</v>
      </c>
    </row>
    <row r="42" spans="1:5">
      <c r="A42" s="27" t="s">
        <v>68</v>
      </c>
      <c r="B42" s="25"/>
      <c r="C42" s="25"/>
      <c r="D42" s="25">
        <v>157.78299999999999</v>
      </c>
      <c r="E42" s="25">
        <v>157.78299999999999</v>
      </c>
    </row>
    <row r="43" spans="1:5">
      <c r="A43" s="27" t="s">
        <v>116</v>
      </c>
      <c r="B43" s="25"/>
      <c r="C43" s="25"/>
      <c r="D43" s="25">
        <v>493.50700000000001</v>
      </c>
      <c r="E43" s="25">
        <v>493.50700000000001</v>
      </c>
    </row>
    <row r="44" spans="1:5">
      <c r="A44" s="27" t="s">
        <v>110</v>
      </c>
      <c r="B44" s="25"/>
      <c r="C44" s="25"/>
      <c r="D44" s="25">
        <v>227.58</v>
      </c>
      <c r="E44" s="25">
        <v>227.58</v>
      </c>
    </row>
    <row r="45" spans="1:5">
      <c r="A45" s="27" t="s">
        <v>65</v>
      </c>
      <c r="B45" s="25"/>
      <c r="C45" s="25"/>
      <c r="D45" s="25">
        <v>124.017</v>
      </c>
      <c r="E45" s="25">
        <v>124.017</v>
      </c>
    </row>
    <row r="46" spans="1:5">
      <c r="A46" s="27" t="s">
        <v>170</v>
      </c>
      <c r="B46" s="25"/>
      <c r="C46" s="25">
        <v>1329.337</v>
      </c>
      <c r="D46" s="25"/>
      <c r="E46" s="25">
        <v>1329.337</v>
      </c>
    </row>
    <row r="47" spans="1:5">
      <c r="A47" s="27" t="s">
        <v>171</v>
      </c>
      <c r="B47" s="25"/>
      <c r="C47" s="25">
        <v>1595.2059999999999</v>
      </c>
      <c r="D47" s="25"/>
      <c r="E47" s="25">
        <v>1595.2059999999999</v>
      </c>
    </row>
    <row r="48" spans="1:5">
      <c r="A48" s="27" t="s">
        <v>172</v>
      </c>
      <c r="B48" s="25">
        <v>410.74</v>
      </c>
      <c r="C48" s="25"/>
      <c r="D48" s="25"/>
      <c r="E48" s="25">
        <v>410.74</v>
      </c>
    </row>
    <row r="49" spans="1:5">
      <c r="A49" s="27" t="s">
        <v>173</v>
      </c>
      <c r="B49" s="25">
        <v>492.88</v>
      </c>
      <c r="C49" s="25"/>
      <c r="D49" s="25"/>
      <c r="E49" s="25">
        <v>492.88</v>
      </c>
    </row>
    <row r="50" spans="1:5">
      <c r="A50" s="27" t="s">
        <v>174</v>
      </c>
      <c r="B50" s="25"/>
      <c r="C50" s="25">
        <v>1765.991</v>
      </c>
      <c r="D50" s="25"/>
      <c r="E50" s="25">
        <v>1765.991</v>
      </c>
    </row>
    <row r="51" spans="1:5">
      <c r="A51" s="27" t="s">
        <v>175</v>
      </c>
      <c r="B51" s="25">
        <v>334.73</v>
      </c>
      <c r="C51" s="25"/>
      <c r="D51" s="25"/>
      <c r="E51" s="25">
        <v>334.73</v>
      </c>
    </row>
    <row r="52" spans="1:5">
      <c r="A52" s="27" t="s">
        <v>176</v>
      </c>
      <c r="B52" s="25"/>
      <c r="C52" s="25">
        <v>1177.329</v>
      </c>
      <c r="D52" s="25"/>
      <c r="E52" s="25">
        <v>1177.329</v>
      </c>
    </row>
    <row r="53" spans="1:5">
      <c r="A53" s="2" t="s">
        <v>168</v>
      </c>
      <c r="B53" s="25">
        <v>6013.07</v>
      </c>
      <c r="C53" s="25">
        <v>11139.492999999999</v>
      </c>
      <c r="D53" s="25">
        <v>21164.234000000004</v>
      </c>
      <c r="E53" s="25">
        <v>38316.796999999999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AU13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A5" sqref="A5"/>
    </sheetView>
  </sheetViews>
  <sheetFormatPr defaultRowHeight="14"/>
  <cols>
    <col min="1" max="1" width="14.4140625" bestFit="1" customWidth="1"/>
    <col min="2" max="2" width="14.1640625" bestFit="1" customWidth="1"/>
    <col min="3" max="3" width="10" style="60" bestFit="1" customWidth="1"/>
    <col min="4" max="4" width="12.4140625" style="60" bestFit="1" customWidth="1"/>
    <col min="5" max="5" width="8.4140625" style="60" bestFit="1" customWidth="1"/>
    <col min="6" max="6" width="9" style="60" bestFit="1" customWidth="1"/>
    <col min="7" max="7" width="6" style="60" bestFit="1" customWidth="1"/>
    <col min="8" max="8" width="8.1640625" style="60" bestFit="1" customWidth="1"/>
    <col min="9" max="9" width="5.83203125" style="60" bestFit="1" customWidth="1"/>
    <col min="10" max="10" width="9.1640625" style="60" bestFit="1" customWidth="1"/>
    <col min="11" max="11" width="8.1640625" style="60" bestFit="1" customWidth="1"/>
    <col min="12" max="12" width="7.83203125" style="60" bestFit="1" customWidth="1"/>
    <col min="13" max="13" width="6" style="60" bestFit="1" customWidth="1"/>
    <col min="14" max="14" width="8.1640625" style="60" bestFit="1" customWidth="1"/>
    <col min="15" max="15" width="5.83203125" style="60" bestFit="1" customWidth="1"/>
    <col min="16" max="16" width="9.4140625" style="60" bestFit="1" customWidth="1"/>
    <col min="17" max="17" width="8.1640625" style="60" bestFit="1" customWidth="1"/>
    <col min="18" max="18" width="5.83203125" style="60" bestFit="1" customWidth="1"/>
    <col min="19" max="19" width="9.4140625" style="60" bestFit="1" customWidth="1"/>
    <col min="20" max="20" width="8.4140625" style="60" bestFit="1" customWidth="1"/>
    <col min="21" max="21" width="9" style="60" bestFit="1" customWidth="1"/>
    <col min="22" max="22" width="9.4140625" style="60" bestFit="1" customWidth="1"/>
    <col min="23" max="23" width="8.4140625" style="60" bestFit="1" customWidth="1"/>
    <col min="24" max="24" width="5.83203125" style="60" bestFit="1" customWidth="1"/>
    <col min="25" max="25" width="9.4140625" style="60" bestFit="1" customWidth="1"/>
    <col min="26" max="26" width="8.4140625" style="60" bestFit="1" customWidth="1"/>
    <col min="27" max="27" width="9" style="60" bestFit="1" customWidth="1"/>
    <col min="28" max="28" width="6" style="60" bestFit="1" customWidth="1"/>
    <col min="29" max="29" width="8.1640625" style="60" bestFit="1" customWidth="1"/>
    <col min="30" max="30" width="6" style="60" bestFit="1" customWidth="1"/>
    <col min="31" max="32" width="8.1640625" style="60" bestFit="1" customWidth="1"/>
    <col min="33" max="33" width="5.83203125" style="60" bestFit="1" customWidth="1"/>
    <col min="34" max="34" width="8.4140625" style="60" bestFit="1" customWidth="1"/>
    <col min="35" max="35" width="8.1640625" style="60" bestFit="1" customWidth="1"/>
    <col min="36" max="36" width="5.83203125" style="60" bestFit="1" customWidth="1"/>
    <col min="37" max="37" width="8.83203125" style="60" bestFit="1" customWidth="1"/>
    <col min="38" max="38" width="8.1640625" style="60" bestFit="1" customWidth="1"/>
    <col min="39" max="39" width="6" style="60" bestFit="1" customWidth="1"/>
    <col min="40" max="40" width="9.4140625" style="60" bestFit="1" customWidth="1"/>
    <col min="41" max="41" width="8.4140625" style="60" bestFit="1" customWidth="1"/>
    <col min="42" max="42" width="9" style="60" bestFit="1" customWidth="1"/>
    <col min="43" max="43" width="9.1640625" style="60" bestFit="1" customWidth="1"/>
    <col min="44" max="44" width="8.1640625" style="60" bestFit="1" customWidth="1"/>
    <col min="45" max="45" width="7" style="60" bestFit="1" customWidth="1"/>
    <col min="46" max="46" width="11.4140625" style="60" bestFit="1" customWidth="1"/>
    <col min="47" max="47" width="12.4140625" style="60" bestFit="1" customWidth="1"/>
    <col min="48" max="48" width="12.4140625" bestFit="1" customWidth="1"/>
    <col min="49" max="49" width="15.4140625" bestFit="1" customWidth="1"/>
    <col min="50" max="50" width="17" bestFit="1" customWidth="1"/>
    <col min="51" max="51" width="16.4140625" bestFit="1" customWidth="1"/>
    <col min="52" max="52" width="14.4140625" bestFit="1" customWidth="1"/>
    <col min="53" max="53" width="16.4140625" bestFit="1" customWidth="1"/>
    <col min="54" max="54" width="17" bestFit="1" customWidth="1"/>
    <col min="55" max="55" width="16.4140625" bestFit="1" customWidth="1"/>
    <col min="56" max="56" width="14.4140625" bestFit="1" customWidth="1"/>
    <col min="57" max="57" width="16.4140625" bestFit="1" customWidth="1"/>
    <col min="58" max="58" width="17" bestFit="1" customWidth="1"/>
    <col min="59" max="59" width="21.4140625" bestFit="1" customWidth="1"/>
    <col min="60" max="60" width="19.4140625" bestFit="1" customWidth="1"/>
    <col min="61" max="61" width="21.83203125" bestFit="1" customWidth="1"/>
    <col min="62" max="62" width="22.1640625" bestFit="1" customWidth="1"/>
  </cols>
  <sheetData>
    <row r="2" spans="1:19">
      <c r="L2" s="365" t="s">
        <v>177</v>
      </c>
      <c r="M2" s="365"/>
      <c r="N2" s="365"/>
      <c r="O2" s="365"/>
      <c r="P2" s="365"/>
      <c r="Q2" s="365"/>
      <c r="R2" s="365"/>
      <c r="S2" s="365"/>
    </row>
    <row r="3" spans="1:19" s="33" customFormat="1" ht="28">
      <c r="A3" s="67"/>
      <c r="B3" s="67"/>
      <c r="C3" s="67"/>
      <c r="D3" s="62" t="s">
        <v>166</v>
      </c>
      <c r="E3" s="63"/>
      <c r="F3" s="63"/>
      <c r="G3" s="63"/>
      <c r="H3" s="63"/>
      <c r="I3" s="63"/>
      <c r="J3" s="63"/>
      <c r="K3" s="63"/>
      <c r="L3" s="63"/>
      <c r="M3"/>
      <c r="N3"/>
      <c r="O3"/>
      <c r="P3"/>
      <c r="Q3"/>
      <c r="R3"/>
      <c r="S3"/>
    </row>
    <row r="4" spans="1:19" s="33" customFormat="1" ht="28">
      <c r="A4" s="67"/>
      <c r="B4" s="67"/>
      <c r="C4" s="67"/>
      <c r="D4" s="63" t="s">
        <v>178</v>
      </c>
      <c r="E4" s="63"/>
      <c r="F4" s="63"/>
      <c r="G4" s="63" t="s">
        <v>179</v>
      </c>
      <c r="H4" s="63"/>
      <c r="I4" s="63"/>
      <c r="J4" s="65" t="s">
        <v>180</v>
      </c>
      <c r="K4" s="65" t="s">
        <v>181</v>
      </c>
      <c r="L4" s="65" t="s">
        <v>182</v>
      </c>
      <c r="M4"/>
      <c r="N4"/>
      <c r="O4"/>
      <c r="P4"/>
      <c r="Q4"/>
      <c r="R4"/>
      <c r="S4"/>
    </row>
    <row r="5" spans="1:19" s="66" customFormat="1" ht="37.5">
      <c r="A5" s="64" t="s">
        <v>167</v>
      </c>
      <c r="B5" s="64" t="s">
        <v>183</v>
      </c>
      <c r="C5" s="64" t="s">
        <v>20</v>
      </c>
      <c r="D5" s="65" t="s">
        <v>184</v>
      </c>
      <c r="E5" s="65" t="s">
        <v>185</v>
      </c>
      <c r="F5" s="65" t="s">
        <v>186</v>
      </c>
      <c r="G5" s="65" t="s">
        <v>184</v>
      </c>
      <c r="H5" s="65" t="s">
        <v>185</v>
      </c>
      <c r="I5" s="65" t="s">
        <v>186</v>
      </c>
      <c r="J5" s="65"/>
      <c r="K5" s="65"/>
      <c r="L5" s="65"/>
      <c r="M5"/>
      <c r="N5"/>
      <c r="O5"/>
      <c r="P5"/>
      <c r="Q5"/>
      <c r="R5"/>
      <c r="S5"/>
    </row>
    <row r="6" spans="1:19">
      <c r="A6" s="61" t="s">
        <v>187</v>
      </c>
      <c r="B6" s="61" t="s">
        <v>57</v>
      </c>
      <c r="C6" s="61" t="s">
        <v>60</v>
      </c>
      <c r="D6" s="73">
        <v>20391.007999999998</v>
      </c>
      <c r="E6" s="73"/>
      <c r="F6" s="73">
        <v>20391.007999999998</v>
      </c>
      <c r="G6" s="73"/>
      <c r="H6" s="73"/>
      <c r="I6" s="73"/>
      <c r="J6" s="73">
        <v>20391.007999999998</v>
      </c>
      <c r="K6" s="73"/>
      <c r="L6" s="73">
        <v>20391.007999999998</v>
      </c>
      <c r="M6"/>
      <c r="N6"/>
      <c r="O6"/>
      <c r="P6"/>
      <c r="Q6"/>
      <c r="R6"/>
      <c r="S6"/>
    </row>
    <row r="7" spans="1:19">
      <c r="A7" s="61" t="s">
        <v>157</v>
      </c>
      <c r="B7" s="61" t="s">
        <v>57</v>
      </c>
      <c r="C7" s="61" t="s">
        <v>188</v>
      </c>
      <c r="D7" s="73">
        <v>4227.12</v>
      </c>
      <c r="E7" s="73"/>
      <c r="F7" s="73">
        <v>4227.12</v>
      </c>
      <c r="G7" s="73"/>
      <c r="H7" s="73"/>
      <c r="I7" s="73"/>
      <c r="J7" s="73">
        <v>4227.12</v>
      </c>
      <c r="K7" s="73"/>
      <c r="L7" s="73">
        <v>4227.12</v>
      </c>
      <c r="M7"/>
      <c r="N7"/>
      <c r="O7"/>
      <c r="P7"/>
      <c r="Q7"/>
      <c r="R7"/>
      <c r="S7"/>
    </row>
    <row r="8" spans="1:19">
      <c r="A8" s="61" t="s">
        <v>189</v>
      </c>
      <c r="B8" s="61" t="s">
        <v>57</v>
      </c>
      <c r="C8" s="61" t="s">
        <v>188</v>
      </c>
      <c r="D8" s="73"/>
      <c r="E8" s="73"/>
      <c r="F8" s="73"/>
      <c r="G8" s="73">
        <v>1397.0800000000002</v>
      </c>
      <c r="H8" s="73"/>
      <c r="I8" s="73">
        <v>1397.0800000000002</v>
      </c>
      <c r="J8" s="73">
        <v>1397.0800000000002</v>
      </c>
      <c r="K8" s="73"/>
      <c r="L8" s="73">
        <v>1397.0800000000002</v>
      </c>
      <c r="M8"/>
      <c r="N8"/>
      <c r="O8"/>
      <c r="P8"/>
      <c r="Q8"/>
      <c r="R8"/>
      <c r="S8"/>
    </row>
    <row r="9" spans="1:19">
      <c r="A9" s="61" t="s">
        <v>190</v>
      </c>
      <c r="B9" s="61" t="s">
        <v>57</v>
      </c>
      <c r="C9" s="61" t="s">
        <v>188</v>
      </c>
      <c r="D9" s="73">
        <v>2439.36</v>
      </c>
      <c r="E9" s="73"/>
      <c r="F9" s="73">
        <v>2439.36</v>
      </c>
      <c r="G9" s="73"/>
      <c r="H9" s="73"/>
      <c r="I9" s="73"/>
      <c r="J9" s="73">
        <v>2439.36</v>
      </c>
      <c r="K9" s="73"/>
      <c r="L9" s="73">
        <v>2439.36</v>
      </c>
      <c r="M9"/>
      <c r="N9"/>
      <c r="O9"/>
      <c r="P9"/>
      <c r="Q9"/>
      <c r="R9"/>
      <c r="S9"/>
    </row>
    <row r="10" spans="1:19">
      <c r="A10" s="61" t="s">
        <v>136</v>
      </c>
      <c r="B10" s="61" t="s">
        <v>57</v>
      </c>
      <c r="C10" s="61" t="s">
        <v>188</v>
      </c>
      <c r="D10" s="73">
        <v>3207.96</v>
      </c>
      <c r="E10" s="73"/>
      <c r="F10" s="73">
        <v>3207.96</v>
      </c>
      <c r="G10" s="73"/>
      <c r="H10" s="73"/>
      <c r="I10" s="73"/>
      <c r="J10" s="73">
        <v>3207.96</v>
      </c>
      <c r="K10" s="73"/>
      <c r="L10" s="73">
        <v>3207.96</v>
      </c>
      <c r="M10"/>
      <c r="N10"/>
      <c r="O10"/>
      <c r="P10"/>
      <c r="Q10"/>
      <c r="R10"/>
      <c r="S10"/>
    </row>
    <row r="11" spans="1:19">
      <c r="A11" s="61" t="s">
        <v>158</v>
      </c>
      <c r="B11" s="61" t="s">
        <v>57</v>
      </c>
      <c r="C11" s="61" t="s">
        <v>188</v>
      </c>
      <c r="D11" s="73">
        <v>1802.7360000000003</v>
      </c>
      <c r="E11" s="73"/>
      <c r="F11" s="73">
        <v>1802.7360000000003</v>
      </c>
      <c r="G11" s="73"/>
      <c r="H11" s="73"/>
      <c r="I11" s="73"/>
      <c r="J11" s="73">
        <v>1802.7360000000003</v>
      </c>
      <c r="K11" s="73"/>
      <c r="L11" s="73">
        <v>1802.7360000000003</v>
      </c>
      <c r="M11"/>
      <c r="N11"/>
      <c r="O11"/>
      <c r="P11"/>
      <c r="Q11"/>
      <c r="R11"/>
      <c r="S11"/>
    </row>
    <row r="12" spans="1:19">
      <c r="A12" s="61" t="s">
        <v>191</v>
      </c>
      <c r="B12" s="61" t="s">
        <v>57</v>
      </c>
      <c r="C12" s="61" t="s">
        <v>55</v>
      </c>
      <c r="D12" s="73">
        <v>62608.539999999994</v>
      </c>
      <c r="E12" s="73"/>
      <c r="F12" s="73">
        <v>62608.539999999994</v>
      </c>
      <c r="G12" s="73"/>
      <c r="H12" s="73"/>
      <c r="I12" s="73"/>
      <c r="J12" s="73">
        <v>62608.539999999994</v>
      </c>
      <c r="K12" s="73"/>
      <c r="L12" s="73">
        <v>62608.539999999994</v>
      </c>
      <c r="M12"/>
      <c r="N12"/>
      <c r="O12"/>
      <c r="P12"/>
      <c r="Q12"/>
      <c r="R12"/>
      <c r="S12"/>
    </row>
    <row r="13" spans="1:19">
      <c r="A13" s="61" t="s">
        <v>168</v>
      </c>
      <c r="B13" s="61"/>
      <c r="C13" s="61"/>
      <c r="D13" s="73">
        <v>94676.723999999987</v>
      </c>
      <c r="E13" s="73"/>
      <c r="F13" s="73">
        <v>94676.723999999987</v>
      </c>
      <c r="G13" s="73">
        <v>1397.0800000000002</v>
      </c>
      <c r="H13" s="73"/>
      <c r="I13" s="73">
        <v>1397.0800000000002</v>
      </c>
      <c r="J13" s="73">
        <v>96073.803999999989</v>
      </c>
      <c r="K13" s="73"/>
      <c r="L13" s="73">
        <v>96073.803999999989</v>
      </c>
      <c r="M13"/>
      <c r="N13"/>
      <c r="O13"/>
      <c r="P13"/>
      <c r="Q13"/>
      <c r="R13"/>
      <c r="S13"/>
    </row>
  </sheetData>
  <mergeCells count="1">
    <mergeCell ref="L2:S2"/>
  </mergeCells>
  <conditionalFormatting sqref="A5:XFD5">
    <cfRule type="containsText" dxfId="111" priority="1" operator="containsText" text="BAL">
      <formula>NOT(ISERROR(SEARCH("BAL",A5)))</formula>
    </cfRule>
    <cfRule type="containsText" dxfId="110" priority="2" operator="containsText" text="Rece">
      <formula>NOT(ISERROR(SEARCH("Rece",A5)))</formula>
    </cfRule>
    <cfRule type="containsText" dxfId="109" priority="3" operator="containsText" text="Order">
      <formula>NOT(ISERROR(SEARCH("Order",A5)))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CI54"/>
  <sheetViews>
    <sheetView workbookViewId="0">
      <selection activeCell="G60" sqref="G60"/>
    </sheetView>
  </sheetViews>
  <sheetFormatPr defaultRowHeight="14"/>
  <cols>
    <col min="1" max="1" width="15.4140625" style="68" bestFit="1" customWidth="1"/>
    <col min="2" max="2" width="17.4140625" style="68" bestFit="1" customWidth="1"/>
    <col min="3" max="3" width="10.4140625" style="68" bestFit="1" customWidth="1"/>
    <col min="4" max="4" width="19.1640625" style="68" bestFit="1" customWidth="1"/>
    <col min="5" max="5" width="9.83203125" style="68" bestFit="1" customWidth="1"/>
    <col min="6" max="6" width="10.4140625" style="68" bestFit="1" customWidth="1"/>
    <col min="7" max="7" width="7.4140625" style="68" bestFit="1" customWidth="1"/>
    <col min="8" max="8" width="9.83203125" style="68" bestFit="1" customWidth="1"/>
    <col min="9" max="9" width="10.4140625" style="68" bestFit="1" customWidth="1"/>
    <col min="10" max="10" width="11.4140625" style="68" bestFit="1" customWidth="1"/>
    <col min="11" max="11" width="9.83203125" style="68" bestFit="1" customWidth="1"/>
    <col min="12" max="13" width="10.4140625" style="68" bestFit="1" customWidth="1"/>
    <col min="14" max="14" width="9.83203125" style="68" bestFit="1" customWidth="1"/>
    <col min="15" max="15" width="10.4140625" style="68" bestFit="1" customWidth="1"/>
    <col min="16" max="16" width="9" style="68" bestFit="1" customWidth="1"/>
    <col min="17" max="17" width="9.83203125" style="68" bestFit="1" customWidth="1"/>
    <col min="18" max="18" width="10.4140625" style="68" bestFit="1" customWidth="1"/>
    <col min="19" max="19" width="9.4140625" style="68" bestFit="1" customWidth="1"/>
    <col min="20" max="20" width="9.83203125" style="68" bestFit="1" customWidth="1"/>
    <col min="21" max="21" width="10.4140625" style="68" bestFit="1" customWidth="1"/>
    <col min="22" max="22" width="12.4140625" style="68" bestFit="1" customWidth="1"/>
    <col min="23" max="23" width="9.83203125" style="68" bestFit="1" customWidth="1"/>
    <col min="24" max="24" width="10.4140625" style="68" bestFit="1" customWidth="1"/>
    <col min="25" max="25" width="7" style="68" bestFit="1" customWidth="1"/>
    <col min="26" max="26" width="9.83203125" style="68" bestFit="1" customWidth="1"/>
    <col min="27" max="27" width="10.4140625" style="68" bestFit="1" customWidth="1"/>
    <col min="28" max="28" width="13.4140625" style="68" bestFit="1" customWidth="1"/>
    <col min="29" max="29" width="9.83203125" style="68" bestFit="1" customWidth="1"/>
    <col min="30" max="30" width="10.4140625" style="68" bestFit="1" customWidth="1"/>
    <col min="31" max="31" width="13.1640625" style="68" bestFit="1" customWidth="1"/>
    <col min="32" max="32" width="9.83203125" style="68" bestFit="1" customWidth="1"/>
    <col min="33" max="33" width="10.4140625" style="68" bestFit="1" customWidth="1"/>
    <col min="34" max="34" width="16" style="68" bestFit="1" customWidth="1"/>
    <col min="35" max="35" width="9.83203125" style="68" bestFit="1" customWidth="1"/>
    <col min="36" max="36" width="10.4140625" style="68" bestFit="1" customWidth="1"/>
    <col min="37" max="37" width="7" style="68" bestFit="1" customWidth="1"/>
    <col min="38" max="38" width="9.83203125" style="68" bestFit="1" customWidth="1"/>
    <col min="39" max="39" width="10.4140625" style="68" bestFit="1" customWidth="1"/>
    <col min="40" max="40" width="7" style="68" bestFit="1" customWidth="1"/>
    <col min="41" max="41" width="9.83203125" style="68" bestFit="1" customWidth="1"/>
    <col min="42" max="42" width="10.4140625" style="68" bestFit="1" customWidth="1"/>
    <col min="43" max="43" width="12" style="68" bestFit="1" customWidth="1"/>
    <col min="44" max="44" width="9.83203125" style="68" bestFit="1" customWidth="1"/>
    <col min="45" max="45" width="10.4140625" style="68" bestFit="1" customWidth="1"/>
    <col min="46" max="46" width="7" style="68" bestFit="1" customWidth="1"/>
    <col min="47" max="47" width="9.83203125" style="68" bestFit="1" customWidth="1"/>
    <col min="48" max="48" width="10.4140625" style="68" bestFit="1" customWidth="1"/>
    <col min="49" max="49" width="9.4140625" style="68" bestFit="1" customWidth="1"/>
    <col min="50" max="50" width="9.83203125" style="68" bestFit="1" customWidth="1"/>
    <col min="51" max="51" width="10.4140625" style="68" bestFit="1" customWidth="1"/>
    <col min="52" max="52" width="27.4140625" style="68" bestFit="1" customWidth="1"/>
    <col min="53" max="53" width="9.83203125" style="68" bestFit="1" customWidth="1"/>
    <col min="54" max="54" width="10.4140625" style="68" bestFit="1" customWidth="1"/>
    <col min="55" max="55" width="9" style="68" bestFit="1" customWidth="1"/>
    <col min="56" max="56" width="9.83203125" style="68" bestFit="1" customWidth="1"/>
    <col min="57" max="57" width="10.4140625" style="68" bestFit="1" customWidth="1"/>
    <col min="58" max="58" width="9" style="68" bestFit="1" customWidth="1"/>
    <col min="59" max="59" width="9.83203125" style="68" bestFit="1" customWidth="1"/>
    <col min="60" max="60" width="10.4140625" style="68" bestFit="1" customWidth="1"/>
    <col min="61" max="61" width="11" style="68" bestFit="1" customWidth="1"/>
    <col min="62" max="62" width="9.83203125" style="68" bestFit="1" customWidth="1"/>
    <col min="63" max="63" width="10.4140625" style="68" bestFit="1" customWidth="1"/>
    <col min="64" max="64" width="13.4140625" style="68" bestFit="1" customWidth="1"/>
    <col min="65" max="65" width="9.83203125" style="68" bestFit="1" customWidth="1"/>
    <col min="66" max="66" width="10.4140625" style="68" bestFit="1" customWidth="1"/>
    <col min="67" max="67" width="12.1640625" style="68" bestFit="1" customWidth="1"/>
    <col min="68" max="68" width="9.83203125" style="68" bestFit="1" customWidth="1"/>
    <col min="69" max="69" width="10.4140625" style="68" bestFit="1" customWidth="1"/>
    <col min="70" max="70" width="13.4140625" style="68" bestFit="1" customWidth="1"/>
    <col min="71" max="71" width="9.83203125" style="68" bestFit="1" customWidth="1"/>
    <col min="72" max="72" width="10.4140625" style="68" bestFit="1" customWidth="1"/>
    <col min="73" max="73" width="7" style="68" bestFit="1" customWidth="1"/>
    <col min="74" max="74" width="9.83203125" style="68" bestFit="1" customWidth="1"/>
    <col min="75" max="75" width="10.4140625" style="68" bestFit="1" customWidth="1"/>
    <col min="76" max="76" width="7" style="68" bestFit="1" customWidth="1"/>
    <col min="77" max="77" width="9.83203125" style="68" bestFit="1" customWidth="1"/>
    <col min="78" max="78" width="10.4140625" style="68" bestFit="1" customWidth="1"/>
    <col min="79" max="79" width="7.4140625" style="68" bestFit="1" customWidth="1"/>
    <col min="80" max="80" width="9.83203125" style="68" bestFit="1" customWidth="1"/>
    <col min="81" max="83" width="12.4140625" style="68" hidden="1" customWidth="1"/>
    <col min="84" max="84" width="10.4140625" style="68" bestFit="1" customWidth="1"/>
    <col min="85" max="85" width="7" style="68" bestFit="1" customWidth="1"/>
    <col min="86" max="86" width="9.4140625" style="68" bestFit="1" customWidth="1"/>
    <col min="87" max="87" width="9" bestFit="1" customWidth="1"/>
  </cols>
  <sheetData>
    <row r="3" spans="1:87">
      <c r="A3" s="70"/>
      <c r="B3" s="70"/>
      <c r="C3" s="70"/>
      <c r="D3" s="71" t="s">
        <v>166</v>
      </c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</row>
    <row r="4" spans="1:87" ht="42">
      <c r="A4" s="70"/>
      <c r="B4" s="70"/>
      <c r="C4" s="70"/>
      <c r="D4" s="70" t="s">
        <v>187</v>
      </c>
      <c r="E4" s="70"/>
      <c r="F4" s="70"/>
      <c r="G4" s="70" t="s">
        <v>135</v>
      </c>
      <c r="H4" s="70"/>
      <c r="I4" s="70"/>
      <c r="J4" s="70" t="s">
        <v>192</v>
      </c>
      <c r="K4" s="70"/>
      <c r="L4" s="70"/>
      <c r="M4" s="70" t="s">
        <v>157</v>
      </c>
      <c r="N4" s="70"/>
      <c r="O4" s="70"/>
      <c r="P4" s="70" t="s">
        <v>193</v>
      </c>
      <c r="Q4" s="70"/>
      <c r="R4" s="70"/>
      <c r="S4" s="70" t="s">
        <v>189</v>
      </c>
      <c r="T4" s="70"/>
      <c r="U4" s="70"/>
      <c r="V4" s="70" t="s">
        <v>190</v>
      </c>
      <c r="W4" s="70"/>
      <c r="X4" s="70"/>
      <c r="Y4" s="70" t="s">
        <v>194</v>
      </c>
      <c r="Z4" s="70"/>
      <c r="AA4" s="70"/>
      <c r="AB4" s="70" t="s">
        <v>195</v>
      </c>
      <c r="AC4" s="70"/>
      <c r="AD4" s="70"/>
      <c r="AE4" s="70" t="s">
        <v>196</v>
      </c>
      <c r="AF4" s="70"/>
      <c r="AG4" s="70"/>
      <c r="AH4" s="70" t="s">
        <v>197</v>
      </c>
      <c r="AI4" s="70"/>
      <c r="AJ4" s="70"/>
      <c r="AK4" s="70" t="s">
        <v>136</v>
      </c>
      <c r="AL4" s="70"/>
      <c r="AM4" s="70"/>
      <c r="AN4" s="70" t="s">
        <v>198</v>
      </c>
      <c r="AO4" s="70"/>
      <c r="AP4" s="70"/>
      <c r="AQ4" s="70" t="s">
        <v>199</v>
      </c>
      <c r="AR4" s="70"/>
      <c r="AS4" s="70"/>
      <c r="AT4" s="70" t="s">
        <v>200</v>
      </c>
      <c r="AU4" s="70"/>
      <c r="AV4" s="70"/>
      <c r="AW4" s="70" t="s">
        <v>201</v>
      </c>
      <c r="AX4" s="70"/>
      <c r="AY4" s="70"/>
      <c r="AZ4" s="70" t="s">
        <v>202</v>
      </c>
      <c r="BA4" s="70"/>
      <c r="BB4" s="70"/>
      <c r="BC4" s="70" t="s">
        <v>158</v>
      </c>
      <c r="BD4" s="70"/>
      <c r="BE4" s="70"/>
      <c r="BF4" s="70" t="s">
        <v>203</v>
      </c>
      <c r="BG4" s="70"/>
      <c r="BH4" s="70"/>
      <c r="BI4" s="70" t="s">
        <v>204</v>
      </c>
      <c r="BJ4" s="70"/>
      <c r="BK4" s="70"/>
      <c r="BL4" s="70" t="s">
        <v>205</v>
      </c>
      <c r="BM4" s="70"/>
      <c r="BN4" s="70"/>
      <c r="BO4" s="70" t="s">
        <v>206</v>
      </c>
      <c r="BP4" s="70"/>
      <c r="BQ4" s="70"/>
      <c r="BR4" s="70" t="s">
        <v>207</v>
      </c>
      <c r="BS4" s="70"/>
      <c r="BT4" s="70"/>
      <c r="BU4" s="70" t="s">
        <v>191</v>
      </c>
      <c r="BV4" s="70"/>
      <c r="BW4" s="70"/>
      <c r="BX4" s="70" t="s">
        <v>208</v>
      </c>
      <c r="BY4" s="70"/>
      <c r="BZ4" s="70"/>
      <c r="CA4" s="70" t="s">
        <v>209</v>
      </c>
      <c r="CB4" s="70"/>
      <c r="CC4" s="70"/>
      <c r="CD4" s="70" t="s">
        <v>210</v>
      </c>
      <c r="CE4" s="70"/>
      <c r="CF4" s="70"/>
      <c r="CG4" s="73" t="s">
        <v>180</v>
      </c>
      <c r="CH4" s="73" t="s">
        <v>181</v>
      </c>
      <c r="CI4" s="73" t="s">
        <v>182</v>
      </c>
    </row>
    <row r="5" spans="1:87" s="69" customFormat="1" ht="28">
      <c r="A5" s="72" t="s">
        <v>167</v>
      </c>
      <c r="B5" s="72" t="s">
        <v>183</v>
      </c>
      <c r="C5" s="71" t="s">
        <v>20</v>
      </c>
      <c r="D5" s="73" t="s">
        <v>184</v>
      </c>
      <c r="E5" s="73" t="s">
        <v>185</v>
      </c>
      <c r="F5" s="73" t="s">
        <v>186</v>
      </c>
      <c r="G5" s="73" t="s">
        <v>184</v>
      </c>
      <c r="H5" s="73" t="s">
        <v>185</v>
      </c>
      <c r="I5" s="73" t="s">
        <v>186</v>
      </c>
      <c r="J5" s="73" t="s">
        <v>184</v>
      </c>
      <c r="K5" s="73" t="s">
        <v>185</v>
      </c>
      <c r="L5" s="73" t="s">
        <v>186</v>
      </c>
      <c r="M5" s="73" t="s">
        <v>184</v>
      </c>
      <c r="N5" s="73" t="s">
        <v>185</v>
      </c>
      <c r="O5" s="73" t="s">
        <v>186</v>
      </c>
      <c r="P5" s="73" t="s">
        <v>184</v>
      </c>
      <c r="Q5" s="73" t="s">
        <v>185</v>
      </c>
      <c r="R5" s="73" t="s">
        <v>186</v>
      </c>
      <c r="S5" s="73" t="s">
        <v>184</v>
      </c>
      <c r="T5" s="73" t="s">
        <v>185</v>
      </c>
      <c r="U5" s="73" t="s">
        <v>186</v>
      </c>
      <c r="V5" s="73" t="s">
        <v>184</v>
      </c>
      <c r="W5" s="73" t="s">
        <v>185</v>
      </c>
      <c r="X5" s="73" t="s">
        <v>186</v>
      </c>
      <c r="Y5" s="73" t="s">
        <v>184</v>
      </c>
      <c r="Z5" s="73" t="s">
        <v>185</v>
      </c>
      <c r="AA5" s="73" t="s">
        <v>186</v>
      </c>
      <c r="AB5" s="73" t="s">
        <v>184</v>
      </c>
      <c r="AC5" s="73" t="s">
        <v>185</v>
      </c>
      <c r="AD5" s="73" t="s">
        <v>186</v>
      </c>
      <c r="AE5" s="73" t="s">
        <v>184</v>
      </c>
      <c r="AF5" s="73" t="s">
        <v>185</v>
      </c>
      <c r="AG5" s="73" t="s">
        <v>186</v>
      </c>
      <c r="AH5" s="73" t="s">
        <v>184</v>
      </c>
      <c r="AI5" s="73" t="s">
        <v>185</v>
      </c>
      <c r="AJ5" s="73" t="s">
        <v>186</v>
      </c>
      <c r="AK5" s="73" t="s">
        <v>184</v>
      </c>
      <c r="AL5" s="73" t="s">
        <v>185</v>
      </c>
      <c r="AM5" s="73" t="s">
        <v>186</v>
      </c>
      <c r="AN5" s="73" t="s">
        <v>184</v>
      </c>
      <c r="AO5" s="73" t="s">
        <v>185</v>
      </c>
      <c r="AP5" s="73" t="s">
        <v>186</v>
      </c>
      <c r="AQ5" s="73" t="s">
        <v>184</v>
      </c>
      <c r="AR5" s="73" t="s">
        <v>185</v>
      </c>
      <c r="AS5" s="73" t="s">
        <v>186</v>
      </c>
      <c r="AT5" s="73" t="s">
        <v>184</v>
      </c>
      <c r="AU5" s="73" t="s">
        <v>185</v>
      </c>
      <c r="AV5" s="73" t="s">
        <v>186</v>
      </c>
      <c r="AW5" s="73" t="s">
        <v>184</v>
      </c>
      <c r="AX5" s="73" t="s">
        <v>185</v>
      </c>
      <c r="AY5" s="73" t="s">
        <v>186</v>
      </c>
      <c r="AZ5" s="73" t="s">
        <v>184</v>
      </c>
      <c r="BA5" s="73" t="s">
        <v>185</v>
      </c>
      <c r="BB5" s="73" t="s">
        <v>186</v>
      </c>
      <c r="BC5" s="73" t="s">
        <v>184</v>
      </c>
      <c r="BD5" s="73" t="s">
        <v>185</v>
      </c>
      <c r="BE5" s="73" t="s">
        <v>186</v>
      </c>
      <c r="BF5" s="73" t="s">
        <v>184</v>
      </c>
      <c r="BG5" s="73" t="s">
        <v>185</v>
      </c>
      <c r="BH5" s="73" t="s">
        <v>186</v>
      </c>
      <c r="BI5" s="73" t="s">
        <v>184</v>
      </c>
      <c r="BJ5" s="73" t="s">
        <v>185</v>
      </c>
      <c r="BK5" s="73" t="s">
        <v>186</v>
      </c>
      <c r="BL5" s="73" t="s">
        <v>184</v>
      </c>
      <c r="BM5" s="73" t="s">
        <v>185</v>
      </c>
      <c r="BN5" s="73" t="s">
        <v>186</v>
      </c>
      <c r="BO5" s="73" t="s">
        <v>184</v>
      </c>
      <c r="BP5" s="73" t="s">
        <v>185</v>
      </c>
      <c r="BQ5" s="73" t="s">
        <v>186</v>
      </c>
      <c r="BR5" s="73" t="s">
        <v>184</v>
      </c>
      <c r="BS5" s="73" t="s">
        <v>185</v>
      </c>
      <c r="BT5" s="73" t="s">
        <v>186</v>
      </c>
      <c r="BU5" s="73" t="s">
        <v>184</v>
      </c>
      <c r="BV5" s="73" t="s">
        <v>185</v>
      </c>
      <c r="BW5" s="73" t="s">
        <v>186</v>
      </c>
      <c r="BX5" s="73" t="s">
        <v>184</v>
      </c>
      <c r="BY5" s="73" t="s">
        <v>185</v>
      </c>
      <c r="BZ5" s="73" t="s">
        <v>186</v>
      </c>
      <c r="CA5" s="73" t="s">
        <v>184</v>
      </c>
      <c r="CB5" s="73" t="s">
        <v>185</v>
      </c>
      <c r="CC5" s="73" t="s">
        <v>186</v>
      </c>
      <c r="CD5" s="73" t="s">
        <v>184</v>
      </c>
      <c r="CE5" s="73" t="s">
        <v>185</v>
      </c>
      <c r="CF5" s="73" t="s">
        <v>186</v>
      </c>
      <c r="CG5" s="73"/>
      <c r="CH5" s="73"/>
      <c r="CI5" s="73"/>
    </row>
    <row r="6" spans="1:87">
      <c r="A6" s="70" t="s">
        <v>211</v>
      </c>
      <c r="B6" s="70" t="s">
        <v>83</v>
      </c>
      <c r="C6" s="70" t="s">
        <v>60</v>
      </c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>
        <v>28000</v>
      </c>
      <c r="BY6" s="70">
        <v>28000</v>
      </c>
      <c r="BZ6" s="70">
        <v>0</v>
      </c>
      <c r="CA6" s="70"/>
      <c r="CB6" s="70"/>
      <c r="CC6" s="70"/>
      <c r="CD6" s="70"/>
      <c r="CE6" s="70"/>
      <c r="CF6" s="70"/>
      <c r="CG6" s="70">
        <v>28000</v>
      </c>
      <c r="CH6" s="70">
        <v>28000</v>
      </c>
      <c r="CI6" s="70">
        <v>0</v>
      </c>
    </row>
    <row r="7" spans="1:87">
      <c r="A7" s="70"/>
      <c r="B7" s="70"/>
      <c r="C7" s="70" t="s">
        <v>86</v>
      </c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>
        <v>4348</v>
      </c>
      <c r="AF7" s="70"/>
      <c r="AG7" s="70">
        <v>4348</v>
      </c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>
        <v>4348</v>
      </c>
      <c r="CH7" s="70"/>
      <c r="CI7" s="70">
        <v>4348</v>
      </c>
    </row>
    <row r="8" spans="1:87">
      <c r="A8" s="70"/>
      <c r="B8" s="70" t="s">
        <v>85</v>
      </c>
      <c r="C8" s="70" t="s">
        <v>60</v>
      </c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>
        <v>28000</v>
      </c>
      <c r="BY8" s="70">
        <v>27306</v>
      </c>
      <c r="BZ8" s="70">
        <v>694</v>
      </c>
      <c r="CA8" s="70"/>
      <c r="CB8" s="70"/>
      <c r="CC8" s="70"/>
      <c r="CD8" s="70"/>
      <c r="CE8" s="70"/>
      <c r="CF8" s="70"/>
      <c r="CG8" s="70">
        <v>28000</v>
      </c>
      <c r="CH8" s="70">
        <v>27306</v>
      </c>
      <c r="CI8" s="70">
        <v>694</v>
      </c>
    </row>
    <row r="9" spans="1:87">
      <c r="A9" s="70"/>
      <c r="B9" s="70"/>
      <c r="C9" s="70" t="s">
        <v>134</v>
      </c>
      <c r="D9" s="70">
        <v>7440</v>
      </c>
      <c r="E9" s="70"/>
      <c r="F9" s="70">
        <v>7440</v>
      </c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>
        <v>7440</v>
      </c>
      <c r="CH9" s="70"/>
      <c r="CI9" s="70">
        <v>7440</v>
      </c>
    </row>
    <row r="10" spans="1:87">
      <c r="A10" s="70"/>
      <c r="B10" s="70"/>
      <c r="C10" s="70" t="s">
        <v>188</v>
      </c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>
        <v>4838.16</v>
      </c>
      <c r="AL10" s="70">
        <v>630</v>
      </c>
      <c r="AM10" s="70">
        <v>4208.16</v>
      </c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>
        <v>4838.16</v>
      </c>
      <c r="CH10" s="70">
        <v>630</v>
      </c>
      <c r="CI10" s="70">
        <v>4208.16</v>
      </c>
    </row>
    <row r="11" spans="1:87">
      <c r="A11" s="70"/>
      <c r="B11" s="70" t="s">
        <v>56</v>
      </c>
      <c r="C11" s="70" t="s">
        <v>188</v>
      </c>
      <c r="D11" s="70"/>
      <c r="E11" s="70"/>
      <c r="F11" s="70"/>
      <c r="G11" s="70"/>
      <c r="H11" s="70"/>
      <c r="I11" s="70"/>
      <c r="J11" s="70"/>
      <c r="K11" s="70"/>
      <c r="L11" s="70"/>
      <c r="M11" s="70">
        <v>4636.8539999999994</v>
      </c>
      <c r="N11" s="70">
        <v>2818</v>
      </c>
      <c r="O11" s="70">
        <v>1818.8539999999998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>
        <v>6767.0399999999991</v>
      </c>
      <c r="AL11" s="70">
        <v>2326</v>
      </c>
      <c r="AM11" s="70">
        <v>4441.0399999999991</v>
      </c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>
        <v>11403.893999999998</v>
      </c>
      <c r="CH11" s="70">
        <v>5144</v>
      </c>
      <c r="CI11" s="70">
        <v>6259.8939999999984</v>
      </c>
    </row>
    <row r="12" spans="1:87">
      <c r="A12" s="70" t="s">
        <v>178</v>
      </c>
      <c r="B12" s="70" t="s">
        <v>57</v>
      </c>
      <c r="C12" s="70" t="s">
        <v>60</v>
      </c>
      <c r="D12" s="70">
        <v>20391.007999999998</v>
      </c>
      <c r="E12" s="70"/>
      <c r="F12" s="70">
        <v>20391.007999999998</v>
      </c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>
        <v>20391.007999999998</v>
      </c>
      <c r="CH12" s="70"/>
      <c r="CI12" s="70">
        <v>20391.007999999998</v>
      </c>
    </row>
    <row r="13" spans="1:87">
      <c r="A13" s="70"/>
      <c r="B13" s="70"/>
      <c r="C13" s="70" t="s">
        <v>188</v>
      </c>
      <c r="D13" s="70"/>
      <c r="E13" s="70"/>
      <c r="F13" s="70"/>
      <c r="G13" s="70"/>
      <c r="H13" s="70"/>
      <c r="I13" s="70"/>
      <c r="J13" s="70"/>
      <c r="K13" s="70"/>
      <c r="L13" s="70"/>
      <c r="M13" s="70">
        <v>4227.12</v>
      </c>
      <c r="N13" s="70"/>
      <c r="O13" s="70">
        <v>4227.12</v>
      </c>
      <c r="P13" s="70"/>
      <c r="Q13" s="70"/>
      <c r="R13" s="70"/>
      <c r="S13" s="70"/>
      <c r="T13" s="70"/>
      <c r="U13" s="70"/>
      <c r="V13" s="70">
        <v>2439.36</v>
      </c>
      <c r="W13" s="70"/>
      <c r="X13" s="70">
        <v>2439.36</v>
      </c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>
        <v>3207.96</v>
      </c>
      <c r="AL13" s="70"/>
      <c r="AM13" s="70">
        <v>3207.96</v>
      </c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>
        <v>1802.7359999999999</v>
      </c>
      <c r="BD13" s="70"/>
      <c r="BE13" s="70">
        <v>1802.7359999999999</v>
      </c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>
        <v>11677.175999999999</v>
      </c>
      <c r="CH13" s="70"/>
      <c r="CI13" s="70">
        <v>11677.175999999999</v>
      </c>
    </row>
    <row r="14" spans="1:87">
      <c r="A14" s="70"/>
      <c r="B14" s="70"/>
      <c r="C14" s="70" t="s">
        <v>55</v>
      </c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>
        <v>62608.54</v>
      </c>
      <c r="BV14" s="70"/>
      <c r="BW14" s="70">
        <v>62608.54</v>
      </c>
      <c r="BX14" s="70"/>
      <c r="BY14" s="70"/>
      <c r="BZ14" s="70"/>
      <c r="CA14" s="70"/>
      <c r="CB14" s="70"/>
      <c r="CC14" s="70"/>
      <c r="CD14" s="70"/>
      <c r="CE14" s="70"/>
      <c r="CF14" s="70"/>
      <c r="CG14" s="70">
        <v>62608.54</v>
      </c>
      <c r="CH14" s="70"/>
      <c r="CI14" s="70">
        <v>62608.54</v>
      </c>
    </row>
    <row r="15" spans="1:87">
      <c r="A15" s="70"/>
      <c r="B15" s="70" t="s">
        <v>88</v>
      </c>
      <c r="C15" s="70" t="s">
        <v>74</v>
      </c>
      <c r="D15" s="70"/>
      <c r="E15" s="70"/>
      <c r="F15" s="70"/>
      <c r="G15" s="70"/>
      <c r="H15" s="70"/>
      <c r="I15" s="70"/>
      <c r="J15" s="70">
        <v>115.72657534246576</v>
      </c>
      <c r="K15" s="70"/>
      <c r="L15" s="70">
        <v>115.72657534246576</v>
      </c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>
        <v>172.92000000000002</v>
      </c>
      <c r="AR15" s="70"/>
      <c r="AS15" s="70">
        <v>172.92000000000002</v>
      </c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>
        <v>1030.5334246575342</v>
      </c>
      <c r="BJ15" s="70"/>
      <c r="BK15" s="70">
        <v>1030.5334246575342</v>
      </c>
      <c r="BL15" s="70"/>
      <c r="BM15" s="70"/>
      <c r="BN15" s="70"/>
      <c r="BO15" s="70"/>
      <c r="BP15" s="70"/>
      <c r="BQ15" s="70"/>
      <c r="BR15" s="70">
        <v>199.37123287671233</v>
      </c>
      <c r="BS15" s="70"/>
      <c r="BT15" s="70">
        <v>199.37123287671233</v>
      </c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>
        <v>1518.5512328767122</v>
      </c>
      <c r="CH15" s="70"/>
      <c r="CI15" s="70">
        <v>1518.5512328767122</v>
      </c>
    </row>
    <row r="16" spans="1:87">
      <c r="A16" s="70"/>
      <c r="B16" s="70"/>
      <c r="C16" s="70" t="s">
        <v>188</v>
      </c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>
        <v>672.048</v>
      </c>
      <c r="BD16" s="70"/>
      <c r="BE16" s="70">
        <v>672.048</v>
      </c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>
        <v>672.048</v>
      </c>
      <c r="CH16" s="70"/>
      <c r="CI16" s="70">
        <v>672.048</v>
      </c>
    </row>
    <row r="17" spans="1:87">
      <c r="A17" s="70"/>
      <c r="B17" s="70" t="s">
        <v>83</v>
      </c>
      <c r="C17" s="70" t="s">
        <v>60</v>
      </c>
      <c r="D17" s="70">
        <v>12744.38</v>
      </c>
      <c r="E17" s="70">
        <v>12753</v>
      </c>
      <c r="F17" s="70">
        <v>-8.6200000000008004</v>
      </c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>
        <v>3870</v>
      </c>
      <c r="AI17" s="70">
        <v>1988</v>
      </c>
      <c r="AJ17" s="70">
        <v>1882</v>
      </c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>
        <v>40500</v>
      </c>
      <c r="BG17" s="70">
        <v>40500</v>
      </c>
      <c r="BH17" s="70">
        <v>0</v>
      </c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>
        <v>57114.38</v>
      </c>
      <c r="CH17" s="70">
        <v>55241</v>
      </c>
      <c r="CI17" s="70">
        <v>1873.3799999999992</v>
      </c>
    </row>
    <row r="18" spans="1:87">
      <c r="A18" s="70"/>
      <c r="B18" s="70"/>
      <c r="C18" s="70" t="s">
        <v>89</v>
      </c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>
        <v>4680.4230000000007</v>
      </c>
      <c r="BA18" s="70">
        <v>1389</v>
      </c>
      <c r="BB18" s="70">
        <v>3291.4230000000007</v>
      </c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>
        <v>4680.4230000000007</v>
      </c>
      <c r="CH18" s="70">
        <v>1389</v>
      </c>
      <c r="CI18" s="70">
        <v>3291.4230000000007</v>
      </c>
    </row>
    <row r="19" spans="1:87">
      <c r="A19" s="70"/>
      <c r="B19" s="70"/>
      <c r="C19" s="70" t="s">
        <v>188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>
        <v>11161.109999999999</v>
      </c>
      <c r="AC19" s="70">
        <v>9507</v>
      </c>
      <c r="AD19" s="70">
        <v>1654.1100000000001</v>
      </c>
      <c r="AE19" s="70"/>
      <c r="AF19" s="70"/>
      <c r="AG19" s="70"/>
      <c r="AH19" s="70"/>
      <c r="AI19" s="70"/>
      <c r="AJ19" s="70"/>
      <c r="AK19" s="70"/>
      <c r="AL19" s="70"/>
      <c r="AM19" s="70"/>
      <c r="AN19" s="70">
        <v>24390.399999999998</v>
      </c>
      <c r="AO19" s="70">
        <v>6719</v>
      </c>
      <c r="AP19" s="70">
        <v>17671.400000000001</v>
      </c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35551.509999999995</v>
      </c>
      <c r="CH19" s="70">
        <v>16226</v>
      </c>
      <c r="CI19" s="70">
        <v>19325.510000000002</v>
      </c>
    </row>
    <row r="20" spans="1:87">
      <c r="A20" s="70"/>
      <c r="B20" s="70" t="s">
        <v>85</v>
      </c>
      <c r="C20" s="70" t="s">
        <v>60</v>
      </c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>
        <v>40500</v>
      </c>
      <c r="BG20" s="70">
        <v>6462</v>
      </c>
      <c r="BH20" s="70">
        <v>34038</v>
      </c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>
        <v>40500</v>
      </c>
      <c r="CH20" s="70">
        <v>6462</v>
      </c>
      <c r="CI20" s="70">
        <v>34038</v>
      </c>
    </row>
    <row r="21" spans="1:87">
      <c r="A21" s="70"/>
      <c r="B21" s="70"/>
      <c r="C21" s="70" t="s">
        <v>188</v>
      </c>
      <c r="D21" s="70"/>
      <c r="E21" s="70"/>
      <c r="F21" s="70"/>
      <c r="G21" s="70">
        <v>931.6</v>
      </c>
      <c r="H21" s="70"/>
      <c r="I21" s="70">
        <v>931.6</v>
      </c>
      <c r="J21" s="70"/>
      <c r="K21" s="70"/>
      <c r="L21" s="70"/>
      <c r="M21" s="70"/>
      <c r="N21" s="70"/>
      <c r="O21" s="70"/>
      <c r="P21" s="70">
        <v>8078.78</v>
      </c>
      <c r="Q21" s="70"/>
      <c r="R21" s="70">
        <v>8078.78</v>
      </c>
      <c r="S21" s="70"/>
      <c r="T21" s="70"/>
      <c r="U21" s="70"/>
      <c r="V21" s="70"/>
      <c r="W21" s="70"/>
      <c r="X21" s="70"/>
      <c r="Y21" s="70"/>
      <c r="Z21" s="70"/>
      <c r="AA21" s="70"/>
      <c r="AB21" s="70">
        <v>26624.85</v>
      </c>
      <c r="AC21" s="70">
        <v>1004</v>
      </c>
      <c r="AD21" s="70">
        <v>25620.85</v>
      </c>
      <c r="AE21" s="70"/>
      <c r="AF21" s="70"/>
      <c r="AG21" s="70"/>
      <c r="AH21" s="70"/>
      <c r="AI21" s="70"/>
      <c r="AJ21" s="70"/>
      <c r="AK21" s="70"/>
      <c r="AL21" s="70"/>
      <c r="AM21" s="70"/>
      <c r="AN21" s="70">
        <v>13920</v>
      </c>
      <c r="AO21" s="70"/>
      <c r="AP21" s="70">
        <v>13920</v>
      </c>
      <c r="AQ21" s="70"/>
      <c r="AR21" s="70"/>
      <c r="AS21" s="70"/>
      <c r="AT21" s="70"/>
      <c r="AU21" s="70"/>
      <c r="AV21" s="70"/>
      <c r="AW21" s="70">
        <v>11975.04</v>
      </c>
      <c r="AX21" s="70">
        <v>3464</v>
      </c>
      <c r="AY21" s="70">
        <v>8511.0400000000009</v>
      </c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>
        <v>5729.0879999999997</v>
      </c>
      <c r="CB21" s="70"/>
      <c r="CC21" s="70">
        <v>5729.0879999999997</v>
      </c>
      <c r="CD21" s="70"/>
      <c r="CE21" s="70"/>
      <c r="CF21" s="70"/>
      <c r="CG21" s="70">
        <v>67259.357999999993</v>
      </c>
      <c r="CH21" s="70">
        <v>4468</v>
      </c>
      <c r="CI21" s="70">
        <v>62791.357999999993</v>
      </c>
    </row>
    <row r="22" spans="1:87">
      <c r="A22" s="70"/>
      <c r="B22" s="70" t="s">
        <v>56</v>
      </c>
      <c r="C22" s="70" t="s">
        <v>74</v>
      </c>
      <c r="D22" s="70"/>
      <c r="E22" s="70"/>
      <c r="F22" s="70"/>
      <c r="G22" s="70"/>
      <c r="H22" s="70"/>
      <c r="I22" s="70"/>
      <c r="J22" s="70">
        <v>93.812602739726032</v>
      </c>
      <c r="K22" s="70"/>
      <c r="L22" s="70">
        <v>93.812602739726032</v>
      </c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>
        <v>220.08</v>
      </c>
      <c r="AR22" s="70"/>
      <c r="AS22" s="70">
        <v>220.08</v>
      </c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>
        <v>1257.1753424657531</v>
      </c>
      <c r="BJ22" s="70"/>
      <c r="BK22" s="70">
        <v>1257.1753424657531</v>
      </c>
      <c r="BL22" s="70"/>
      <c r="BM22" s="70"/>
      <c r="BN22" s="70"/>
      <c r="BO22" s="70"/>
      <c r="BP22" s="70"/>
      <c r="BQ22" s="70"/>
      <c r="BR22" s="70">
        <v>292.62191780821917</v>
      </c>
      <c r="BS22" s="70"/>
      <c r="BT22" s="70">
        <v>292.62191780821917</v>
      </c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>
        <v>1863.6898630136984</v>
      </c>
      <c r="CH22" s="70"/>
      <c r="CI22" s="70">
        <v>1863.6898630136984</v>
      </c>
    </row>
    <row r="23" spans="1:87">
      <c r="A23" s="70"/>
      <c r="B23" s="70"/>
      <c r="C23" s="70" t="s">
        <v>188</v>
      </c>
      <c r="D23" s="70"/>
      <c r="E23" s="70"/>
      <c r="F23" s="70"/>
      <c r="G23" s="70">
        <v>931.6</v>
      </c>
      <c r="H23" s="70"/>
      <c r="I23" s="70">
        <v>931.6</v>
      </c>
      <c r="J23" s="70"/>
      <c r="K23" s="70"/>
      <c r="L23" s="70"/>
      <c r="M23" s="70">
        <v>3459.5639999999999</v>
      </c>
      <c r="N23" s="70"/>
      <c r="O23" s="70">
        <v>3459.5639999999999</v>
      </c>
      <c r="P23" s="70">
        <v>14819.734999999999</v>
      </c>
      <c r="Q23" s="70"/>
      <c r="R23" s="70">
        <v>14819.734999999999</v>
      </c>
      <c r="S23" s="70"/>
      <c r="T23" s="70"/>
      <c r="U23" s="70"/>
      <c r="V23" s="70">
        <v>1751.2</v>
      </c>
      <c r="W23" s="70">
        <v>458</v>
      </c>
      <c r="X23" s="70">
        <v>1293.2</v>
      </c>
      <c r="Y23" s="70"/>
      <c r="Z23" s="70"/>
      <c r="AA23" s="70"/>
      <c r="AB23" s="70">
        <v>8833.1999999999989</v>
      </c>
      <c r="AC23" s="70"/>
      <c r="AD23" s="70">
        <v>8833.1999999999989</v>
      </c>
      <c r="AE23" s="70"/>
      <c r="AF23" s="70"/>
      <c r="AG23" s="70"/>
      <c r="AH23" s="70"/>
      <c r="AI23" s="70"/>
      <c r="AJ23" s="70"/>
      <c r="AK23" s="70">
        <v>1292.7599999999998</v>
      </c>
      <c r="AL23" s="70"/>
      <c r="AM23" s="70">
        <v>1292.7599999999998</v>
      </c>
      <c r="AN23" s="70">
        <v>20083.2</v>
      </c>
      <c r="AO23" s="70"/>
      <c r="AP23" s="70">
        <v>20083.2</v>
      </c>
      <c r="AQ23" s="70"/>
      <c r="AR23" s="70"/>
      <c r="AS23" s="70"/>
      <c r="AT23" s="70"/>
      <c r="AU23" s="70"/>
      <c r="AV23" s="70"/>
      <c r="AW23" s="70">
        <v>16128</v>
      </c>
      <c r="AX23" s="70"/>
      <c r="AY23" s="70">
        <v>16128</v>
      </c>
      <c r="AZ23" s="70"/>
      <c r="BA23" s="70"/>
      <c r="BB23" s="70"/>
      <c r="BC23" s="70">
        <v>4073.4720000000002</v>
      </c>
      <c r="BD23" s="70"/>
      <c r="BE23" s="70">
        <v>4073.4720000000002</v>
      </c>
      <c r="BF23" s="70"/>
      <c r="BG23" s="70"/>
      <c r="BH23" s="70"/>
      <c r="BI23" s="70"/>
      <c r="BJ23" s="70"/>
      <c r="BK23" s="70"/>
      <c r="BL23" s="70">
        <v>180.27599999999998</v>
      </c>
      <c r="BM23" s="70"/>
      <c r="BN23" s="70">
        <v>180.27599999999998</v>
      </c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>
        <v>71553.006999999983</v>
      </c>
      <c r="CH23" s="70">
        <v>458</v>
      </c>
      <c r="CI23" s="70">
        <v>71095.006999999983</v>
      </c>
    </row>
    <row r="24" spans="1:87">
      <c r="A24" s="70" t="s">
        <v>212</v>
      </c>
      <c r="B24" s="70" t="s">
        <v>83</v>
      </c>
      <c r="C24" s="70" t="s">
        <v>60</v>
      </c>
      <c r="D24" s="70">
        <v>14337.56</v>
      </c>
      <c r="E24" s="70"/>
      <c r="F24" s="70">
        <v>14337.56</v>
      </c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>
        <v>14000</v>
      </c>
      <c r="BY24" s="70">
        <v>14000</v>
      </c>
      <c r="BZ24" s="70">
        <v>0</v>
      </c>
      <c r="CA24" s="70"/>
      <c r="CB24" s="70"/>
      <c r="CC24" s="70"/>
      <c r="CD24" s="70"/>
      <c r="CE24" s="70"/>
      <c r="CF24" s="70"/>
      <c r="CG24" s="70">
        <v>28337.559999999998</v>
      </c>
      <c r="CH24" s="70">
        <v>14000</v>
      </c>
      <c r="CI24" s="70">
        <v>14337.56</v>
      </c>
    </row>
    <row r="25" spans="1:87">
      <c r="A25" s="70"/>
      <c r="B25" s="70"/>
      <c r="C25" s="70" t="s">
        <v>188</v>
      </c>
      <c r="D25" s="70"/>
      <c r="E25" s="70"/>
      <c r="F25" s="70"/>
      <c r="G25" s="70"/>
      <c r="H25" s="70"/>
      <c r="I25" s="70"/>
      <c r="J25" s="70"/>
      <c r="K25" s="70"/>
      <c r="L25" s="70"/>
      <c r="M25" s="70">
        <v>4597.92</v>
      </c>
      <c r="N25" s="70">
        <v>3445</v>
      </c>
      <c r="O25" s="70">
        <v>1152.92</v>
      </c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>
        <v>222.48</v>
      </c>
      <c r="BM25" s="70"/>
      <c r="BN25" s="70">
        <v>222.48</v>
      </c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>
        <v>4820.3999999999996</v>
      </c>
      <c r="CH25" s="70">
        <v>3445</v>
      </c>
      <c r="CI25" s="70">
        <v>1375.4</v>
      </c>
    </row>
    <row r="26" spans="1:87">
      <c r="A26" s="70"/>
      <c r="B26" s="70" t="s">
        <v>85</v>
      </c>
      <c r="C26" s="70" t="s">
        <v>60</v>
      </c>
      <c r="D26" s="70">
        <v>22940.095999999998</v>
      </c>
      <c r="E26" s="70"/>
      <c r="F26" s="70">
        <v>22940.095999999998</v>
      </c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>
        <v>14000</v>
      </c>
      <c r="BY26" s="70">
        <v>254</v>
      </c>
      <c r="BZ26" s="70">
        <v>13746</v>
      </c>
      <c r="CA26" s="70"/>
      <c r="CB26" s="70"/>
      <c r="CC26" s="70"/>
      <c r="CD26" s="70"/>
      <c r="CE26" s="70"/>
      <c r="CF26" s="70"/>
      <c r="CG26" s="70">
        <v>36940.095999999998</v>
      </c>
      <c r="CH26" s="70">
        <v>254</v>
      </c>
      <c r="CI26" s="70">
        <v>36686.095999999998</v>
      </c>
    </row>
    <row r="27" spans="1:87">
      <c r="A27" s="70"/>
      <c r="B27" s="70"/>
      <c r="C27" s="70" t="s">
        <v>188</v>
      </c>
      <c r="D27" s="70"/>
      <c r="E27" s="70"/>
      <c r="F27" s="70"/>
      <c r="G27" s="70"/>
      <c r="H27" s="70"/>
      <c r="I27" s="70"/>
      <c r="J27" s="70"/>
      <c r="K27" s="70"/>
      <c r="L27" s="70"/>
      <c r="M27" s="70">
        <v>13828.986000000003</v>
      </c>
      <c r="N27" s="70">
        <v>6399</v>
      </c>
      <c r="O27" s="70">
        <v>7429.9859999999981</v>
      </c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>
        <v>13828.986000000003</v>
      </c>
      <c r="CH27" s="70">
        <v>6399</v>
      </c>
      <c r="CI27" s="70">
        <v>7429.9859999999981</v>
      </c>
    </row>
    <row r="28" spans="1:87">
      <c r="A28" s="70"/>
      <c r="B28" s="70" t="s">
        <v>56</v>
      </c>
      <c r="C28" s="70" t="s">
        <v>60</v>
      </c>
      <c r="D28" s="70">
        <v>12744.38</v>
      </c>
      <c r="E28" s="70"/>
      <c r="F28" s="70">
        <v>12744.38</v>
      </c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>
        <v>12744.38</v>
      </c>
      <c r="CH28" s="70"/>
      <c r="CI28" s="70">
        <v>12744.38</v>
      </c>
    </row>
    <row r="29" spans="1:87">
      <c r="A29" s="70" t="s">
        <v>213</v>
      </c>
      <c r="B29" s="70" t="s">
        <v>85</v>
      </c>
      <c r="C29" s="70" t="s">
        <v>188</v>
      </c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>
        <v>5033.8080000000009</v>
      </c>
      <c r="BD29" s="70"/>
      <c r="BE29" s="70">
        <v>5033.8080000000009</v>
      </c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>
        <v>5033.8080000000009</v>
      </c>
      <c r="CH29" s="70"/>
      <c r="CI29" s="70">
        <v>5033.8080000000009</v>
      </c>
    </row>
    <row r="30" spans="1:87">
      <c r="A30" s="70"/>
      <c r="B30" s="70" t="s">
        <v>56</v>
      </c>
      <c r="C30" s="70" t="s">
        <v>188</v>
      </c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>
        <v>1965.6000000000001</v>
      </c>
      <c r="BD30" s="70"/>
      <c r="BE30" s="70">
        <v>1965.6000000000001</v>
      </c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>
        <v>1965.6000000000001</v>
      </c>
      <c r="CH30" s="70"/>
      <c r="CI30" s="70">
        <v>1965.6000000000001</v>
      </c>
    </row>
    <row r="31" spans="1:87">
      <c r="A31" s="70" t="s">
        <v>214</v>
      </c>
      <c r="B31" s="70" t="s">
        <v>83</v>
      </c>
      <c r="C31" s="70" t="s">
        <v>86</v>
      </c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>
        <v>448.18799999999999</v>
      </c>
      <c r="AU31" s="70"/>
      <c r="AV31" s="70">
        <v>448.18799999999999</v>
      </c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>
        <v>448.18799999999999</v>
      </c>
      <c r="CH31" s="70"/>
      <c r="CI31" s="70">
        <v>448.18799999999999</v>
      </c>
    </row>
    <row r="32" spans="1:87">
      <c r="A32" s="70" t="s">
        <v>215</v>
      </c>
      <c r="B32" s="70" t="s">
        <v>83</v>
      </c>
      <c r="C32" s="70" t="s">
        <v>188</v>
      </c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>
        <v>12014.144999999999</v>
      </c>
      <c r="Q32" s="70"/>
      <c r="R32" s="70">
        <v>12014.144999999999</v>
      </c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>
        <v>12014.144999999999</v>
      </c>
      <c r="CH32" s="70"/>
      <c r="CI32" s="70">
        <v>12014.144999999999</v>
      </c>
    </row>
    <row r="33" spans="1:87">
      <c r="A33" s="70"/>
      <c r="B33" s="70" t="s">
        <v>85</v>
      </c>
      <c r="C33" s="70" t="s">
        <v>188</v>
      </c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>
        <v>11226.08</v>
      </c>
      <c r="Q33" s="70"/>
      <c r="R33" s="70">
        <v>11226.08</v>
      </c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>
        <v>11226.08</v>
      </c>
      <c r="CH33" s="70"/>
      <c r="CI33" s="70">
        <v>11226.08</v>
      </c>
    </row>
    <row r="34" spans="1:87">
      <c r="A34" s="70"/>
      <c r="B34" s="70" t="s">
        <v>56</v>
      </c>
      <c r="C34" s="70" t="s">
        <v>188</v>
      </c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>
        <v>11169.32</v>
      </c>
      <c r="Q34" s="70"/>
      <c r="R34" s="70">
        <v>11169.32</v>
      </c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>
        <v>11169.32</v>
      </c>
      <c r="CH34" s="70"/>
      <c r="CI34" s="70">
        <v>11169.32</v>
      </c>
    </row>
    <row r="35" spans="1:87">
      <c r="A35" s="70" t="s">
        <v>216</v>
      </c>
      <c r="B35" s="70" t="s">
        <v>83</v>
      </c>
      <c r="C35" s="70" t="s">
        <v>188</v>
      </c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>
        <v>3498.7680000000005</v>
      </c>
      <c r="BD35" s="70">
        <v>2436</v>
      </c>
      <c r="BE35" s="70">
        <v>1062.7680000000003</v>
      </c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>
        <v>3498.7680000000005</v>
      </c>
      <c r="CH35" s="70">
        <v>2436</v>
      </c>
      <c r="CI35" s="70">
        <v>1062.7680000000003</v>
      </c>
    </row>
    <row r="36" spans="1:87">
      <c r="A36" s="70"/>
      <c r="B36" s="70" t="s">
        <v>85</v>
      </c>
      <c r="C36" s="70" t="s">
        <v>188</v>
      </c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>
        <v>4910.2559999999994</v>
      </c>
      <c r="BD36" s="70">
        <v>840</v>
      </c>
      <c r="BE36" s="70">
        <v>4070.2559999999999</v>
      </c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>
        <v>4910.2559999999994</v>
      </c>
      <c r="CH36" s="70">
        <v>840</v>
      </c>
      <c r="CI36" s="70">
        <v>4070.2559999999999</v>
      </c>
    </row>
    <row r="37" spans="1:87">
      <c r="A37" s="70"/>
      <c r="B37" s="70" t="s">
        <v>56</v>
      </c>
      <c r="C37" s="70" t="s">
        <v>188</v>
      </c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>
        <v>3966.768</v>
      </c>
      <c r="BD37" s="70"/>
      <c r="BE37" s="70">
        <v>3966.768</v>
      </c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>
        <v>3966.768</v>
      </c>
      <c r="CH37" s="70"/>
      <c r="CI37" s="70">
        <v>3966.768</v>
      </c>
    </row>
    <row r="38" spans="1:87">
      <c r="A38" s="70" t="s">
        <v>179</v>
      </c>
      <c r="B38" s="70" t="s">
        <v>57</v>
      </c>
      <c r="C38" s="70" t="s">
        <v>188</v>
      </c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>
        <v>1397.0800000000002</v>
      </c>
      <c r="T38" s="70"/>
      <c r="U38" s="70">
        <v>1397.0800000000002</v>
      </c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>
        <v>1397.0800000000002</v>
      </c>
      <c r="CH38" s="70"/>
      <c r="CI38" s="70">
        <v>1397.0800000000002</v>
      </c>
    </row>
    <row r="39" spans="1:87">
      <c r="A39" s="70"/>
      <c r="B39" s="70" t="s">
        <v>83</v>
      </c>
      <c r="C39" s="70" t="s">
        <v>60</v>
      </c>
      <c r="D39" s="70">
        <v>8602.5360000000001</v>
      </c>
      <c r="E39" s="70"/>
      <c r="F39" s="70">
        <v>8602.5360000000001</v>
      </c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>
        <v>8602.5360000000001</v>
      </c>
      <c r="CH39" s="70"/>
      <c r="CI39" s="70">
        <v>8602.5360000000001</v>
      </c>
    </row>
    <row r="40" spans="1:87">
      <c r="A40" s="70"/>
      <c r="B40" s="70"/>
      <c r="C40" s="70" t="s">
        <v>188</v>
      </c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>
        <v>6506.4</v>
      </c>
      <c r="Q40" s="70">
        <v>6509</v>
      </c>
      <c r="R40" s="70">
        <v>-2.6000000000003638</v>
      </c>
      <c r="S40" s="70">
        <v>6419.3600000000006</v>
      </c>
      <c r="T40" s="70">
        <v>2795</v>
      </c>
      <c r="U40" s="70">
        <v>3624.36</v>
      </c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>
        <v>12925.76</v>
      </c>
      <c r="CH40" s="70">
        <v>9304</v>
      </c>
      <c r="CI40" s="70">
        <v>3621.7599999999998</v>
      </c>
    </row>
    <row r="41" spans="1:87">
      <c r="A41" s="70"/>
      <c r="B41" s="70" t="s">
        <v>85</v>
      </c>
      <c r="C41" s="70" t="s">
        <v>188</v>
      </c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>
        <v>18327.400000000001</v>
      </c>
      <c r="T41" s="70">
        <v>40</v>
      </c>
      <c r="U41" s="70">
        <v>18287.400000000001</v>
      </c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>
        <v>453.68</v>
      </c>
      <c r="BP41" s="70"/>
      <c r="BQ41" s="70">
        <v>453.68</v>
      </c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>
        <v>18781.080000000002</v>
      </c>
      <c r="CH41" s="70">
        <v>40</v>
      </c>
      <c r="CI41" s="70">
        <v>18741.080000000002</v>
      </c>
    </row>
    <row r="42" spans="1:87">
      <c r="A42" s="70"/>
      <c r="B42" s="70" t="s">
        <v>56</v>
      </c>
      <c r="C42" s="70" t="s">
        <v>60</v>
      </c>
      <c r="D42" s="70">
        <v>7646.6279999999997</v>
      </c>
      <c r="E42" s="70"/>
      <c r="F42" s="70">
        <v>7646.6279999999997</v>
      </c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>
        <v>7646.6279999999997</v>
      </c>
      <c r="CH42" s="70"/>
      <c r="CI42" s="70">
        <v>7646.6279999999997</v>
      </c>
    </row>
    <row r="43" spans="1:87">
      <c r="A43" s="70"/>
      <c r="B43" s="70"/>
      <c r="C43" s="70" t="s">
        <v>188</v>
      </c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>
        <v>11908.039999999999</v>
      </c>
      <c r="T43" s="70"/>
      <c r="U43" s="70">
        <v>11908.039999999999</v>
      </c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>
        <v>11908.039999999999</v>
      </c>
      <c r="CH43" s="70"/>
      <c r="CI43" s="70">
        <v>11908.039999999999</v>
      </c>
    </row>
    <row r="44" spans="1:87">
      <c r="A44" s="70" t="s">
        <v>217</v>
      </c>
      <c r="B44" s="70" t="s">
        <v>83</v>
      </c>
      <c r="C44" s="70" t="s">
        <v>188</v>
      </c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>
        <v>2175.7320000000004</v>
      </c>
      <c r="BD44" s="70">
        <v>384</v>
      </c>
      <c r="BE44" s="70">
        <v>1791.7320000000002</v>
      </c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>
        <v>2175.7320000000004</v>
      </c>
      <c r="CH44" s="70">
        <v>384</v>
      </c>
      <c r="CI44" s="70">
        <v>1791.7320000000002</v>
      </c>
    </row>
    <row r="45" spans="1:87">
      <c r="A45" s="70"/>
      <c r="B45" s="70" t="s">
        <v>85</v>
      </c>
      <c r="C45" s="70" t="s">
        <v>188</v>
      </c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>
        <v>4981.7999999999993</v>
      </c>
      <c r="AL45" s="70">
        <v>1431</v>
      </c>
      <c r="AM45" s="70">
        <v>3550.7999999999993</v>
      </c>
      <c r="AN45" s="70"/>
      <c r="AO45" s="70"/>
      <c r="AP45" s="70"/>
      <c r="AQ45" s="70"/>
      <c r="AR45" s="70"/>
      <c r="AS45" s="70"/>
      <c r="AT45" s="70"/>
      <c r="AU45" s="70"/>
      <c r="AV45" s="70"/>
      <c r="AW45" s="70">
        <v>8467.2000000000007</v>
      </c>
      <c r="AX45" s="70">
        <v>525</v>
      </c>
      <c r="AY45" s="70">
        <v>7942.2000000000007</v>
      </c>
      <c r="AZ45" s="70"/>
      <c r="BA45" s="70"/>
      <c r="BB45" s="70"/>
      <c r="BC45" s="70">
        <v>625.24800000000005</v>
      </c>
      <c r="BD45" s="70"/>
      <c r="BE45" s="70">
        <v>625.24800000000005</v>
      </c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>
        <v>14074.248</v>
      </c>
      <c r="CH45" s="70">
        <v>1956</v>
      </c>
      <c r="CI45" s="70">
        <v>12118.248</v>
      </c>
    </row>
    <row r="46" spans="1:87">
      <c r="A46" s="70"/>
      <c r="B46" s="70" t="s">
        <v>56</v>
      </c>
      <c r="C46" s="70" t="s">
        <v>188</v>
      </c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>
        <v>3383.5199999999995</v>
      </c>
      <c r="AL46" s="70"/>
      <c r="AM46" s="70">
        <v>3383.5199999999995</v>
      </c>
      <c r="AN46" s="70"/>
      <c r="AO46" s="70"/>
      <c r="AP46" s="70"/>
      <c r="AQ46" s="70"/>
      <c r="AR46" s="70"/>
      <c r="AS46" s="70"/>
      <c r="AT46" s="70"/>
      <c r="AU46" s="70"/>
      <c r="AV46" s="70"/>
      <c r="AW46" s="70">
        <v>3991.6800000000003</v>
      </c>
      <c r="AX46" s="70"/>
      <c r="AY46" s="70">
        <v>3991.6800000000003</v>
      </c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>
        <v>7375.2</v>
      </c>
      <c r="CH46" s="70"/>
      <c r="CI46" s="70">
        <v>7375.2</v>
      </c>
    </row>
    <row r="47" spans="1:87">
      <c r="A47" s="70" t="s">
        <v>218</v>
      </c>
      <c r="B47" s="70" t="s">
        <v>85</v>
      </c>
      <c r="C47" s="70" t="s">
        <v>99</v>
      </c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>
        <v>7300</v>
      </c>
      <c r="Z47" s="70"/>
      <c r="AA47" s="70">
        <v>7300</v>
      </c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>
        <v>7300</v>
      </c>
      <c r="CH47" s="70"/>
      <c r="CI47" s="70">
        <v>7300</v>
      </c>
    </row>
    <row r="48" spans="1:87">
      <c r="A48" s="70" t="s">
        <v>219</v>
      </c>
      <c r="B48" s="70" t="s">
        <v>83</v>
      </c>
      <c r="C48" s="70" t="s">
        <v>86</v>
      </c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>
        <v>1831</v>
      </c>
      <c r="AF48" s="70"/>
      <c r="AG48" s="70">
        <v>1831</v>
      </c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>
        <v>1831</v>
      </c>
      <c r="CH48" s="70"/>
      <c r="CI48" s="70">
        <v>1831</v>
      </c>
    </row>
    <row r="49" spans="1:87">
      <c r="A49" s="70"/>
      <c r="B49" s="70" t="s">
        <v>85</v>
      </c>
      <c r="C49" s="70" t="s">
        <v>134</v>
      </c>
      <c r="D49" s="70">
        <v>1910</v>
      </c>
      <c r="E49" s="70"/>
      <c r="F49" s="70">
        <v>1910</v>
      </c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>
        <v>1910</v>
      </c>
      <c r="CH49" s="70"/>
      <c r="CI49" s="70">
        <v>1910</v>
      </c>
    </row>
    <row r="50" spans="1:87">
      <c r="A50" s="70" t="s">
        <v>220</v>
      </c>
      <c r="B50" s="70" t="s">
        <v>83</v>
      </c>
      <c r="C50" s="70" t="s">
        <v>188</v>
      </c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>
        <v>6899.4949999999999</v>
      </c>
      <c r="Q50" s="70">
        <v>1460</v>
      </c>
      <c r="R50" s="70">
        <v>5439.4949999999999</v>
      </c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>
        <v>6899.4949999999999</v>
      </c>
      <c r="CH50" s="70">
        <v>1460</v>
      </c>
      <c r="CI50" s="70">
        <v>5439.4949999999999</v>
      </c>
    </row>
    <row r="51" spans="1:87">
      <c r="A51" s="70"/>
      <c r="B51" s="70" t="s">
        <v>85</v>
      </c>
      <c r="C51" s="70" t="s">
        <v>188</v>
      </c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>
        <v>5638.88</v>
      </c>
      <c r="Q51" s="70"/>
      <c r="R51" s="70">
        <v>5638.88</v>
      </c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>
        <v>5638.88</v>
      </c>
      <c r="CH51" s="70"/>
      <c r="CI51" s="70">
        <v>5638.88</v>
      </c>
    </row>
    <row r="52" spans="1:87">
      <c r="A52" s="70" t="s">
        <v>210</v>
      </c>
      <c r="B52" s="70" t="s">
        <v>221</v>
      </c>
      <c r="C52" s="70" t="s">
        <v>210</v>
      </c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</row>
    <row r="53" spans="1:87">
      <c r="A53" s="70"/>
      <c r="B53" s="70" t="s">
        <v>210</v>
      </c>
      <c r="C53" s="70" t="s">
        <v>210</v>
      </c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</row>
    <row r="54" spans="1:87">
      <c r="A54" s="70" t="s">
        <v>168</v>
      </c>
      <c r="B54" s="70"/>
      <c r="C54" s="70"/>
      <c r="D54" s="70">
        <v>108756.58799999999</v>
      </c>
      <c r="E54" s="70">
        <v>12753</v>
      </c>
      <c r="F54" s="70">
        <v>96003.587999999989</v>
      </c>
      <c r="G54" s="70">
        <v>1863.2</v>
      </c>
      <c r="H54" s="70"/>
      <c r="I54" s="70">
        <v>1863.2</v>
      </c>
      <c r="J54" s="70">
        <v>209.5391780821918</v>
      </c>
      <c r="K54" s="70"/>
      <c r="L54" s="70">
        <v>209.5391780821918</v>
      </c>
      <c r="M54" s="70">
        <v>30750.444000000003</v>
      </c>
      <c r="N54" s="70">
        <v>12662</v>
      </c>
      <c r="O54" s="70">
        <v>18088.444</v>
      </c>
      <c r="P54" s="70">
        <v>76352.835000000006</v>
      </c>
      <c r="Q54" s="70">
        <v>7969</v>
      </c>
      <c r="R54" s="70">
        <v>68383.835000000006</v>
      </c>
      <c r="S54" s="70">
        <v>38051.880000000005</v>
      </c>
      <c r="T54" s="70">
        <v>2835</v>
      </c>
      <c r="U54" s="70">
        <v>35216.880000000005</v>
      </c>
      <c r="V54" s="70">
        <v>4190.5600000000004</v>
      </c>
      <c r="W54" s="70">
        <v>458</v>
      </c>
      <c r="X54" s="70">
        <v>3732.5600000000004</v>
      </c>
      <c r="Y54" s="70">
        <v>7300</v>
      </c>
      <c r="Z54" s="70"/>
      <c r="AA54" s="70">
        <v>7300</v>
      </c>
      <c r="AB54" s="70">
        <v>46619.159999999996</v>
      </c>
      <c r="AC54" s="70">
        <v>10511</v>
      </c>
      <c r="AD54" s="70">
        <v>36108.159999999996</v>
      </c>
      <c r="AE54" s="70">
        <v>6179</v>
      </c>
      <c r="AF54" s="70"/>
      <c r="AG54" s="70">
        <v>6179</v>
      </c>
      <c r="AH54" s="70">
        <v>3870</v>
      </c>
      <c r="AI54" s="70">
        <v>1988</v>
      </c>
      <c r="AJ54" s="70">
        <v>1882</v>
      </c>
      <c r="AK54" s="70">
        <v>24471.24</v>
      </c>
      <c r="AL54" s="70">
        <v>4387</v>
      </c>
      <c r="AM54" s="70">
        <v>20084.240000000002</v>
      </c>
      <c r="AN54" s="70">
        <v>58393.599999999991</v>
      </c>
      <c r="AO54" s="70">
        <v>6719</v>
      </c>
      <c r="AP54" s="70">
        <v>51674.600000000006</v>
      </c>
      <c r="AQ54" s="70">
        <v>393</v>
      </c>
      <c r="AR54" s="70"/>
      <c r="AS54" s="70">
        <v>393</v>
      </c>
      <c r="AT54" s="70">
        <v>448.18799999999999</v>
      </c>
      <c r="AU54" s="70"/>
      <c r="AV54" s="70">
        <v>448.18799999999999</v>
      </c>
      <c r="AW54" s="70">
        <v>40561.920000000006</v>
      </c>
      <c r="AX54" s="70">
        <v>3989</v>
      </c>
      <c r="AY54" s="70">
        <v>36572.92</v>
      </c>
      <c r="AZ54" s="70">
        <v>4680.4230000000007</v>
      </c>
      <c r="BA54" s="70">
        <v>1389</v>
      </c>
      <c r="BB54" s="70">
        <v>3291.4230000000007</v>
      </c>
      <c r="BC54" s="70">
        <v>28724.436000000002</v>
      </c>
      <c r="BD54" s="70">
        <v>3660</v>
      </c>
      <c r="BE54" s="70">
        <v>25064.436000000002</v>
      </c>
      <c r="BF54" s="70">
        <v>81000</v>
      </c>
      <c r="BG54" s="70">
        <v>46962</v>
      </c>
      <c r="BH54" s="70">
        <v>34038</v>
      </c>
      <c r="BI54" s="70">
        <v>2287.7087671232875</v>
      </c>
      <c r="BJ54" s="70"/>
      <c r="BK54" s="70">
        <v>2287.7087671232875</v>
      </c>
      <c r="BL54" s="70">
        <v>402.75599999999997</v>
      </c>
      <c r="BM54" s="70"/>
      <c r="BN54" s="70">
        <v>402.75599999999997</v>
      </c>
      <c r="BO54" s="70">
        <v>453.68</v>
      </c>
      <c r="BP54" s="70"/>
      <c r="BQ54" s="70">
        <v>453.68</v>
      </c>
      <c r="BR54" s="70">
        <v>491.99315068493149</v>
      </c>
      <c r="BS54" s="70"/>
      <c r="BT54" s="70">
        <v>491.99315068493149</v>
      </c>
      <c r="BU54" s="70">
        <v>62608.54</v>
      </c>
      <c r="BV54" s="70"/>
      <c r="BW54" s="70">
        <v>62608.54</v>
      </c>
      <c r="BX54" s="70">
        <v>84000</v>
      </c>
      <c r="BY54" s="70">
        <v>69560</v>
      </c>
      <c r="BZ54" s="70">
        <v>14440</v>
      </c>
      <c r="CA54" s="70">
        <v>5729.0879999999997</v>
      </c>
      <c r="CB54" s="70"/>
      <c r="CC54" s="70">
        <v>5729.0879999999997</v>
      </c>
      <c r="CD54" s="70"/>
      <c r="CE54" s="70"/>
      <c r="CF54" s="70"/>
      <c r="CG54" s="70">
        <v>718789.77909589035</v>
      </c>
      <c r="CH54" s="70">
        <v>185842</v>
      </c>
      <c r="CI54" s="70">
        <v>532947.77909589058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671"/>
  <sheetViews>
    <sheetView zoomScale="115" zoomScaleNormal="115" workbookViewId="0">
      <pane xSplit="9" topLeftCell="J1" activePane="topRight" state="frozen"/>
      <selection activeCell="B1" sqref="B1"/>
      <selection pane="topRight" sqref="A1:XFD1"/>
    </sheetView>
  </sheetViews>
  <sheetFormatPr defaultRowHeight="14" outlineLevelCol="1"/>
  <cols>
    <col min="1" max="1" width="5.58203125" customWidth="1"/>
    <col min="2" max="2" width="5.83203125" customWidth="1"/>
    <col min="3" max="3" width="4.75" customWidth="1"/>
    <col min="4" max="4" width="13.58203125" customWidth="1"/>
    <col min="5" max="5" width="7" customWidth="1"/>
    <col min="6" max="6" width="8.4140625" customWidth="1"/>
    <col min="7" max="7" width="7.75" customWidth="1"/>
    <col min="8" max="9" width="9.1640625" hidden="1" customWidth="1" outlineLevel="1"/>
    <col min="10" max="10" width="9.1640625" customWidth="1" collapsed="1"/>
    <col min="11" max="11" width="8.4140625" customWidth="1"/>
    <col min="12" max="12" width="8.1640625" customWidth="1"/>
    <col min="13" max="13" width="8.83203125" customWidth="1"/>
    <col min="14" max="15" width="9" customWidth="1"/>
    <col min="16" max="16" width="6.4140625" customWidth="1"/>
    <col min="17" max="17" width="6.25" customWidth="1"/>
    <col min="18" max="18" width="6.58203125" customWidth="1"/>
    <col min="19" max="19" width="4.58203125" customWidth="1"/>
    <col min="20" max="20" width="6.83203125" customWidth="1"/>
    <col min="21" max="21" width="6.58203125" customWidth="1"/>
    <col min="22" max="22" width="4.75" customWidth="1"/>
    <col min="23" max="23" width="7.1640625" customWidth="1"/>
  </cols>
  <sheetData>
    <row r="1" spans="1:24" ht="33" customHeight="1">
      <c r="A1" s="246" t="s">
        <v>223</v>
      </c>
      <c r="B1" s="247" t="s">
        <v>20</v>
      </c>
      <c r="C1" s="247" t="s">
        <v>21</v>
      </c>
      <c r="D1" s="247" t="s">
        <v>22</v>
      </c>
      <c r="E1" s="247" t="s">
        <v>224</v>
      </c>
      <c r="F1" s="248" t="s">
        <v>225</v>
      </c>
      <c r="G1" s="248" t="s">
        <v>24</v>
      </c>
      <c r="H1" s="249" t="s">
        <v>226</v>
      </c>
      <c r="I1" s="249" t="s">
        <v>227</v>
      </c>
      <c r="J1" s="255" t="s">
        <v>376</v>
      </c>
      <c r="K1" s="255" t="s">
        <v>377</v>
      </c>
      <c r="L1" s="255" t="s">
        <v>378</v>
      </c>
      <c r="M1" s="255" t="s">
        <v>379</v>
      </c>
      <c r="N1" s="255" t="s">
        <v>380</v>
      </c>
      <c r="O1" s="255" t="s">
        <v>28</v>
      </c>
      <c r="P1" s="353" t="s">
        <v>104</v>
      </c>
      <c r="Q1" s="353"/>
      <c r="R1" s="353"/>
      <c r="S1" s="353"/>
      <c r="T1" s="353" t="s">
        <v>30</v>
      </c>
      <c r="U1" s="353"/>
      <c r="V1" s="353"/>
      <c r="W1" s="353" t="s">
        <v>31</v>
      </c>
      <c r="X1" s="353"/>
    </row>
    <row r="2" spans="1:24" ht="33.75" customHeight="1">
      <c r="A2" s="251"/>
      <c r="B2" s="252"/>
      <c r="C2" s="252"/>
      <c r="D2" s="252"/>
      <c r="E2" s="252"/>
      <c r="F2" s="253"/>
      <c r="G2" s="253"/>
      <c r="H2" s="254"/>
      <c r="I2" s="254"/>
      <c r="J2" s="256"/>
      <c r="K2" s="256"/>
      <c r="L2" s="256"/>
      <c r="M2" s="256"/>
      <c r="N2" s="256"/>
      <c r="O2" s="256"/>
      <c r="P2" s="225" t="s">
        <v>50</v>
      </c>
      <c r="Q2" s="226" t="s">
        <v>32</v>
      </c>
      <c r="R2" s="226" t="s">
        <v>237</v>
      </c>
      <c r="S2" s="226" t="s">
        <v>52</v>
      </c>
      <c r="T2" s="225" t="s">
        <v>50</v>
      </c>
      <c r="U2" s="226" t="s">
        <v>32</v>
      </c>
      <c r="V2" s="226" t="s">
        <v>52</v>
      </c>
      <c r="W2" s="225" t="s">
        <v>53</v>
      </c>
      <c r="X2" s="225" t="s">
        <v>54</v>
      </c>
    </row>
    <row r="3" spans="1:24" ht="14.5" hidden="1">
      <c r="A3" s="14" t="s">
        <v>295</v>
      </c>
      <c r="B3" s="19" t="s">
        <v>59</v>
      </c>
      <c r="C3" s="15">
        <v>70</v>
      </c>
      <c r="D3" s="312" t="s">
        <v>136</v>
      </c>
      <c r="E3" s="146" t="s">
        <v>296</v>
      </c>
      <c r="F3" s="146" t="s">
        <v>162</v>
      </c>
      <c r="G3" s="145">
        <v>45842</v>
      </c>
      <c r="H3" s="15">
        <v>3008</v>
      </c>
      <c r="I3" s="15">
        <v>0.28000000000000003</v>
      </c>
      <c r="J3" s="17">
        <v>1343</v>
      </c>
      <c r="K3" s="18">
        <v>1343</v>
      </c>
      <c r="L3" s="18">
        <v>1343</v>
      </c>
      <c r="M3" s="40">
        <f t="shared" ref="M3:M11" si="0">+J3-L3</f>
        <v>0</v>
      </c>
      <c r="N3" s="40">
        <f t="shared" ref="N3:N11" si="1">+J3-K3</f>
        <v>0</v>
      </c>
      <c r="O3" s="301" t="s">
        <v>265</v>
      </c>
      <c r="P3" s="85">
        <f>G3-(75-13-6)</f>
        <v>45786</v>
      </c>
      <c r="Q3" s="85">
        <v>45755</v>
      </c>
      <c r="R3" s="85">
        <f t="shared" ref="R3:R11" si="2">Q3+2</f>
        <v>45757</v>
      </c>
      <c r="S3" s="7">
        <f t="shared" ref="S3:S11" ca="1" si="3">+IF(Q3="",P3-TODAY(),P3-Q3)</f>
        <v>31</v>
      </c>
      <c r="T3" s="85">
        <f t="shared" ref="T3:T9" si="4">+P3+15</f>
        <v>45801</v>
      </c>
      <c r="U3" s="85">
        <v>45794</v>
      </c>
      <c r="V3" s="7">
        <f t="shared" ref="V3:V11" ca="1" si="5">+IF(U3="",T3-TODAY(),T3-U3)</f>
        <v>7</v>
      </c>
      <c r="W3" s="85"/>
      <c r="X3" s="8"/>
    </row>
    <row r="4" spans="1:24" ht="14.5" hidden="1">
      <c r="A4" s="14" t="s">
        <v>295</v>
      </c>
      <c r="B4" s="19" t="s">
        <v>59</v>
      </c>
      <c r="C4" s="15">
        <v>70</v>
      </c>
      <c r="D4" s="312" t="s">
        <v>136</v>
      </c>
      <c r="E4" s="146" t="s">
        <v>296</v>
      </c>
      <c r="F4" s="146" t="s">
        <v>163</v>
      </c>
      <c r="G4" s="145">
        <v>45842</v>
      </c>
      <c r="H4" s="15">
        <v>3008</v>
      </c>
      <c r="I4" s="15">
        <v>0.28000000000000003</v>
      </c>
      <c r="J4" s="17">
        <v>1343</v>
      </c>
      <c r="K4" s="18">
        <v>1343</v>
      </c>
      <c r="L4" s="18">
        <v>1343</v>
      </c>
      <c r="M4" s="40">
        <f t="shared" si="0"/>
        <v>0</v>
      </c>
      <c r="N4" s="40">
        <f t="shared" si="1"/>
        <v>0</v>
      </c>
      <c r="O4" s="301" t="s">
        <v>265</v>
      </c>
      <c r="P4" s="85">
        <f>G4-(75-13-6)</f>
        <v>45786</v>
      </c>
      <c r="Q4" s="85">
        <v>45755</v>
      </c>
      <c r="R4" s="85">
        <f t="shared" si="2"/>
        <v>45757</v>
      </c>
      <c r="S4" s="7">
        <f t="shared" ca="1" si="3"/>
        <v>31</v>
      </c>
      <c r="T4" s="85">
        <f t="shared" si="4"/>
        <v>45801</v>
      </c>
      <c r="U4" s="85">
        <v>45777</v>
      </c>
      <c r="V4" s="7">
        <f t="shared" ca="1" si="5"/>
        <v>24</v>
      </c>
      <c r="W4" s="85"/>
      <c r="X4" s="8"/>
    </row>
    <row r="5" spans="1:24" ht="14.5" hidden="1">
      <c r="A5" s="14" t="s">
        <v>295</v>
      </c>
      <c r="B5" s="19" t="s">
        <v>59</v>
      </c>
      <c r="C5" s="15">
        <v>70</v>
      </c>
      <c r="D5" s="312" t="s">
        <v>136</v>
      </c>
      <c r="E5" s="146" t="s">
        <v>296</v>
      </c>
      <c r="F5" s="146" t="s">
        <v>164</v>
      </c>
      <c r="G5" s="145">
        <v>45842</v>
      </c>
      <c r="H5" s="15">
        <v>3008</v>
      </c>
      <c r="I5" s="15">
        <v>0.28000000000000003</v>
      </c>
      <c r="J5" s="17">
        <v>1343</v>
      </c>
      <c r="K5" s="18">
        <v>1343</v>
      </c>
      <c r="L5" s="18">
        <v>1343</v>
      </c>
      <c r="M5" s="40">
        <f t="shared" si="0"/>
        <v>0</v>
      </c>
      <c r="N5" s="40">
        <f t="shared" si="1"/>
        <v>0</v>
      </c>
      <c r="O5" s="301" t="s">
        <v>265</v>
      </c>
      <c r="P5" s="85">
        <f>G5-(75-13-6)</f>
        <v>45786</v>
      </c>
      <c r="Q5" s="85">
        <v>45755</v>
      </c>
      <c r="R5" s="85">
        <f t="shared" si="2"/>
        <v>45757</v>
      </c>
      <c r="S5" s="7">
        <f t="shared" ca="1" si="3"/>
        <v>31</v>
      </c>
      <c r="T5" s="85">
        <f t="shared" si="4"/>
        <v>45801</v>
      </c>
      <c r="U5" s="85">
        <v>45794</v>
      </c>
      <c r="V5" s="7">
        <f t="shared" ca="1" si="5"/>
        <v>7</v>
      </c>
      <c r="W5" s="85"/>
      <c r="X5" s="8"/>
    </row>
    <row r="6" spans="1:24" ht="14.5" hidden="1">
      <c r="A6" s="14" t="s">
        <v>295</v>
      </c>
      <c r="B6" s="19" t="s">
        <v>59</v>
      </c>
      <c r="C6" s="15">
        <v>63</v>
      </c>
      <c r="D6" s="307" t="s">
        <v>81</v>
      </c>
      <c r="E6" s="146" t="s">
        <v>290</v>
      </c>
      <c r="F6" s="146" t="s">
        <v>291</v>
      </c>
      <c r="G6" s="145">
        <v>45842</v>
      </c>
      <c r="H6" s="15">
        <v>3024</v>
      </c>
      <c r="I6" s="86">
        <v>0.44</v>
      </c>
      <c r="J6" s="15">
        <v>3024</v>
      </c>
      <c r="K6" s="18">
        <v>3024</v>
      </c>
      <c r="L6" s="18">
        <v>3024</v>
      </c>
      <c r="M6" s="40">
        <f t="shared" si="0"/>
        <v>0</v>
      </c>
      <c r="N6" s="40">
        <f t="shared" si="1"/>
        <v>0</v>
      </c>
      <c r="O6" s="301" t="s">
        <v>292</v>
      </c>
      <c r="P6" s="85">
        <f>G6-(80-15-12)</f>
        <v>45789</v>
      </c>
      <c r="Q6" s="85">
        <v>45789</v>
      </c>
      <c r="R6" s="85">
        <f t="shared" si="2"/>
        <v>45791</v>
      </c>
      <c r="S6" s="7">
        <f t="shared" ca="1" si="3"/>
        <v>0</v>
      </c>
      <c r="T6" s="85">
        <f>+P6+30</f>
        <v>45819</v>
      </c>
      <c r="U6" s="85">
        <v>45813</v>
      </c>
      <c r="V6" s="7">
        <f t="shared" ca="1" si="5"/>
        <v>6</v>
      </c>
      <c r="W6" s="85">
        <v>45807</v>
      </c>
      <c r="X6" s="8"/>
    </row>
    <row r="7" spans="1:24" ht="14.5" hidden="1">
      <c r="A7" s="14" t="s">
        <v>295</v>
      </c>
      <c r="B7" s="19" t="s">
        <v>59</v>
      </c>
      <c r="C7" s="15">
        <v>63</v>
      </c>
      <c r="D7" s="307" t="s">
        <v>81</v>
      </c>
      <c r="E7" s="146" t="s">
        <v>290</v>
      </c>
      <c r="F7" s="146" t="s">
        <v>293</v>
      </c>
      <c r="G7" s="145">
        <v>45842</v>
      </c>
      <c r="H7" s="15">
        <v>3024</v>
      </c>
      <c r="I7" s="86">
        <v>0.44</v>
      </c>
      <c r="J7" s="15">
        <v>3024</v>
      </c>
      <c r="K7" s="18">
        <v>3024</v>
      </c>
      <c r="L7" s="18">
        <v>3024</v>
      </c>
      <c r="M7" s="40">
        <f t="shared" si="0"/>
        <v>0</v>
      </c>
      <c r="N7" s="40">
        <f t="shared" si="1"/>
        <v>0</v>
      </c>
      <c r="O7" s="301" t="s">
        <v>292</v>
      </c>
      <c r="P7" s="85">
        <f>G7-(80-15-12)</f>
        <v>45789</v>
      </c>
      <c r="Q7" s="85">
        <v>45789</v>
      </c>
      <c r="R7" s="85">
        <f t="shared" si="2"/>
        <v>45791</v>
      </c>
      <c r="S7" s="7">
        <f t="shared" ca="1" si="3"/>
        <v>0</v>
      </c>
      <c r="T7" s="85">
        <f>+P7+30</f>
        <v>45819</v>
      </c>
      <c r="U7" s="85">
        <v>45813</v>
      </c>
      <c r="V7" s="7">
        <f t="shared" ca="1" si="5"/>
        <v>6</v>
      </c>
      <c r="W7" s="85">
        <v>45807</v>
      </c>
      <c r="X7" s="8"/>
    </row>
    <row r="8" spans="1:24" ht="14.5" hidden="1">
      <c r="A8" s="14" t="s">
        <v>295</v>
      </c>
      <c r="B8" s="19" t="s">
        <v>59</v>
      </c>
      <c r="C8" s="15">
        <v>63</v>
      </c>
      <c r="D8" s="307" t="s">
        <v>81</v>
      </c>
      <c r="E8" s="146" t="s">
        <v>290</v>
      </c>
      <c r="F8" s="146" t="s">
        <v>294</v>
      </c>
      <c r="G8" s="145">
        <v>45842</v>
      </c>
      <c r="H8" s="15">
        <v>3024</v>
      </c>
      <c r="I8" s="86">
        <v>0.44</v>
      </c>
      <c r="J8" s="15">
        <v>3024</v>
      </c>
      <c r="K8" s="18">
        <v>3024</v>
      </c>
      <c r="L8" s="18">
        <v>3024</v>
      </c>
      <c r="M8" s="40">
        <f t="shared" si="0"/>
        <v>0</v>
      </c>
      <c r="N8" s="40">
        <f t="shared" si="1"/>
        <v>0</v>
      </c>
      <c r="O8" s="301" t="s">
        <v>292</v>
      </c>
      <c r="P8" s="85">
        <f>G8-(80-15-12)</f>
        <v>45789</v>
      </c>
      <c r="Q8" s="85">
        <v>45789</v>
      </c>
      <c r="R8" s="85">
        <f t="shared" si="2"/>
        <v>45791</v>
      </c>
      <c r="S8" s="7">
        <f t="shared" ca="1" si="3"/>
        <v>0</v>
      </c>
      <c r="T8" s="85">
        <f>+P8+30</f>
        <v>45819</v>
      </c>
      <c r="U8" s="85">
        <v>45813</v>
      </c>
      <c r="V8" s="7">
        <f t="shared" ca="1" si="5"/>
        <v>6</v>
      </c>
      <c r="W8" s="85">
        <v>45807</v>
      </c>
      <c r="X8" s="8"/>
    </row>
    <row r="9" spans="1:24" ht="14.5" hidden="1">
      <c r="A9" s="14" t="s">
        <v>295</v>
      </c>
      <c r="B9" s="19" t="s">
        <v>59</v>
      </c>
      <c r="C9" s="15">
        <v>65</v>
      </c>
      <c r="D9" s="312" t="s">
        <v>158</v>
      </c>
      <c r="E9" s="146" t="s">
        <v>242</v>
      </c>
      <c r="F9" s="146" t="s">
        <v>255</v>
      </c>
      <c r="G9" s="145">
        <v>45842</v>
      </c>
      <c r="H9" s="15">
        <v>1360</v>
      </c>
      <c r="I9" s="86">
        <v>0.46800000000000003</v>
      </c>
      <c r="J9" s="17">
        <f>H9*I9</f>
        <v>636.48</v>
      </c>
      <c r="K9" s="18">
        <v>636</v>
      </c>
      <c r="L9" s="18">
        <v>636</v>
      </c>
      <c r="M9" s="40">
        <f t="shared" si="0"/>
        <v>0.48000000000001819</v>
      </c>
      <c r="N9" s="40">
        <f t="shared" si="1"/>
        <v>0.48000000000001819</v>
      </c>
      <c r="O9" s="301" t="s">
        <v>213</v>
      </c>
      <c r="P9" s="85">
        <f>G9-(80-15-12)</f>
        <v>45789</v>
      </c>
      <c r="Q9" s="85">
        <v>45770</v>
      </c>
      <c r="R9" s="85">
        <f t="shared" si="2"/>
        <v>45772</v>
      </c>
      <c r="S9" s="7">
        <f t="shared" ca="1" si="3"/>
        <v>19</v>
      </c>
      <c r="T9" s="85">
        <f t="shared" si="4"/>
        <v>45804</v>
      </c>
      <c r="U9" s="85">
        <v>45782</v>
      </c>
      <c r="V9" s="7">
        <f t="shared" ca="1" si="5"/>
        <v>22</v>
      </c>
      <c r="W9" s="85"/>
      <c r="X9" s="8"/>
    </row>
    <row r="10" spans="1:24" ht="14.5" hidden="1">
      <c r="A10" s="14" t="s">
        <v>295</v>
      </c>
      <c r="B10" s="19" t="s">
        <v>59</v>
      </c>
      <c r="C10" s="15">
        <v>60</v>
      </c>
      <c r="D10" s="312" t="s">
        <v>190</v>
      </c>
      <c r="E10" s="146" t="s">
        <v>242</v>
      </c>
      <c r="F10" s="146" t="s">
        <v>244</v>
      </c>
      <c r="G10" s="145">
        <v>45842</v>
      </c>
      <c r="H10" s="15">
        <v>2104</v>
      </c>
      <c r="I10" s="86">
        <v>0.35</v>
      </c>
      <c r="J10" s="17">
        <f>H10*I10</f>
        <v>736.4</v>
      </c>
      <c r="K10" s="18">
        <v>736</v>
      </c>
      <c r="L10" s="18">
        <v>736</v>
      </c>
      <c r="M10" s="40">
        <f t="shared" si="0"/>
        <v>0.39999999999997726</v>
      </c>
      <c r="N10" s="40">
        <f t="shared" si="1"/>
        <v>0.39999999999997726</v>
      </c>
      <c r="O10" s="301" t="s">
        <v>178</v>
      </c>
      <c r="P10" s="85">
        <f>G10-(45)</f>
        <v>45797</v>
      </c>
      <c r="Q10" s="85">
        <v>45776</v>
      </c>
      <c r="R10" s="85">
        <f t="shared" si="2"/>
        <v>45778</v>
      </c>
      <c r="S10" s="7">
        <f t="shared" ca="1" si="3"/>
        <v>21</v>
      </c>
      <c r="T10" s="85">
        <f>+P10+10</f>
        <v>45807</v>
      </c>
      <c r="U10" s="85">
        <v>45797</v>
      </c>
      <c r="V10" s="7">
        <f t="shared" ca="1" si="5"/>
        <v>10</v>
      </c>
      <c r="W10" s="85"/>
      <c r="X10" s="8"/>
    </row>
    <row r="11" spans="1:24" ht="14.5" hidden="1">
      <c r="A11" s="14" t="s">
        <v>297</v>
      </c>
      <c r="B11" s="19" t="s">
        <v>59</v>
      </c>
      <c r="C11" s="15">
        <v>60</v>
      </c>
      <c r="D11" s="312" t="s">
        <v>190</v>
      </c>
      <c r="E11" s="146" t="s">
        <v>242</v>
      </c>
      <c r="F11" s="146" t="s">
        <v>244</v>
      </c>
      <c r="G11" s="145">
        <v>45849</v>
      </c>
      <c r="H11" s="15">
        <v>892</v>
      </c>
      <c r="I11" s="86">
        <v>0.3</v>
      </c>
      <c r="J11" s="17">
        <v>658</v>
      </c>
      <c r="K11" s="18">
        <v>658</v>
      </c>
      <c r="L11" s="18">
        <v>658</v>
      </c>
      <c r="M11" s="40">
        <f t="shared" si="0"/>
        <v>0</v>
      </c>
      <c r="N11" s="40">
        <f t="shared" si="1"/>
        <v>0</v>
      </c>
      <c r="O11" s="301" t="s">
        <v>257</v>
      </c>
      <c r="P11" s="85">
        <f>G11-(45)</f>
        <v>45804</v>
      </c>
      <c r="Q11" s="85">
        <v>45776</v>
      </c>
      <c r="R11" s="85">
        <f t="shared" si="2"/>
        <v>45778</v>
      </c>
      <c r="S11" s="7">
        <f t="shared" ca="1" si="3"/>
        <v>28</v>
      </c>
      <c r="T11" s="85">
        <f>+P11+10</f>
        <v>45814</v>
      </c>
      <c r="U11" s="85">
        <v>45803</v>
      </c>
      <c r="V11" s="7">
        <f t="shared" ca="1" si="5"/>
        <v>11</v>
      </c>
      <c r="W11" s="85">
        <v>45800</v>
      </c>
      <c r="X11" s="8"/>
    </row>
    <row r="12" spans="1:24" ht="14.5" hidden="1">
      <c r="A12" s="128">
        <v>57</v>
      </c>
      <c r="B12" s="146" t="s">
        <v>97</v>
      </c>
      <c r="C12" s="134"/>
      <c r="D12" s="312" t="s">
        <v>159</v>
      </c>
      <c r="E12" s="146" t="s">
        <v>301</v>
      </c>
      <c r="F12" s="146" t="s">
        <v>302</v>
      </c>
      <c r="G12" s="240">
        <v>45833</v>
      </c>
      <c r="H12" s="15"/>
      <c r="I12" s="86"/>
      <c r="J12" s="17">
        <v>2333</v>
      </c>
      <c r="K12" s="18">
        <v>2333</v>
      </c>
      <c r="L12" s="18">
        <v>2333</v>
      </c>
      <c r="M12" s="40">
        <f>+J12-L12</f>
        <v>0</v>
      </c>
      <c r="N12" s="40">
        <f>+J12-K12</f>
        <v>0</v>
      </c>
      <c r="O12" s="18" t="s">
        <v>817</v>
      </c>
      <c r="P12" s="85">
        <v>45768</v>
      </c>
      <c r="Q12" s="85">
        <v>45777</v>
      </c>
      <c r="R12" s="85">
        <f t="shared" ref="R12:R20" si="6">Q12+2</f>
        <v>45779</v>
      </c>
      <c r="S12" s="7">
        <f t="shared" ref="S12:S20" ca="1" si="7">+IF(Q12="",P12-TODAY(),P12-Q12)</f>
        <v>-9</v>
      </c>
      <c r="T12" s="85">
        <f>P12+23</f>
        <v>45791</v>
      </c>
      <c r="U12" s="85">
        <v>45826</v>
      </c>
      <c r="V12" s="7">
        <f t="shared" ref="V12:V20" ca="1" si="8">+IF(U12="",T12-TODAY(),T12-U12)</f>
        <v>-35</v>
      </c>
      <c r="W12" s="85">
        <v>45821</v>
      </c>
      <c r="X12" s="8"/>
    </row>
    <row r="13" spans="1:24" ht="14.5" hidden="1">
      <c r="A13" s="128">
        <v>57</v>
      </c>
      <c r="B13" s="146" t="s">
        <v>97</v>
      </c>
      <c r="C13" s="134"/>
      <c r="D13" s="312" t="s">
        <v>159</v>
      </c>
      <c r="E13" s="146" t="s">
        <v>301</v>
      </c>
      <c r="F13" s="146" t="s">
        <v>303</v>
      </c>
      <c r="G13" s="240">
        <v>45833</v>
      </c>
      <c r="H13" s="15"/>
      <c r="I13" s="86"/>
      <c r="J13" s="17">
        <v>2333</v>
      </c>
      <c r="K13" s="18">
        <v>2333</v>
      </c>
      <c r="L13" s="18">
        <v>2359</v>
      </c>
      <c r="M13" s="40">
        <f t="shared" ref="M13:M20" si="9">+J13-L13</f>
        <v>-26</v>
      </c>
      <c r="N13" s="40">
        <f t="shared" ref="N13:N20" si="10">+J13-K13</f>
        <v>0</v>
      </c>
      <c r="O13" s="18" t="s">
        <v>817</v>
      </c>
      <c r="P13" s="85">
        <v>45768</v>
      </c>
      <c r="Q13" s="85">
        <v>45777</v>
      </c>
      <c r="R13" s="85">
        <f t="shared" si="6"/>
        <v>45779</v>
      </c>
      <c r="S13" s="7">
        <f t="shared" ca="1" si="7"/>
        <v>-9</v>
      </c>
      <c r="T13" s="85">
        <f>P13+23</f>
        <v>45791</v>
      </c>
      <c r="U13" s="85">
        <v>45821</v>
      </c>
      <c r="V13" s="7">
        <f t="shared" ca="1" si="8"/>
        <v>-30</v>
      </c>
      <c r="W13" s="85">
        <v>45821</v>
      </c>
      <c r="X13" s="8"/>
    </row>
    <row r="14" spans="1:24" ht="14.5" hidden="1">
      <c r="A14" s="14">
        <v>82</v>
      </c>
      <c r="B14" s="15" t="s">
        <v>59</v>
      </c>
      <c r="C14" s="17"/>
      <c r="D14" s="312" t="s">
        <v>189</v>
      </c>
      <c r="E14" s="146" t="s">
        <v>242</v>
      </c>
      <c r="F14" s="146" t="s">
        <v>90</v>
      </c>
      <c r="G14" s="240">
        <v>45836</v>
      </c>
      <c r="H14" s="17">
        <v>2595.6</v>
      </c>
      <c r="I14" s="218">
        <v>0.35</v>
      </c>
      <c r="J14" s="17">
        <f t="shared" ref="J14:J20" si="11">H14*I14</f>
        <v>908.45999999999992</v>
      </c>
      <c r="K14" s="18">
        <v>908</v>
      </c>
      <c r="L14" s="18">
        <v>908</v>
      </c>
      <c r="M14" s="40">
        <f t="shared" si="9"/>
        <v>0.45999999999992269</v>
      </c>
      <c r="N14" s="40">
        <f t="shared" si="10"/>
        <v>0.45999999999992269</v>
      </c>
      <c r="O14" s="301" t="s">
        <v>213</v>
      </c>
      <c r="P14" s="85">
        <f t="shared" ref="P14:P19" si="12">T14-15</f>
        <v>45776</v>
      </c>
      <c r="Q14" s="85">
        <v>45757</v>
      </c>
      <c r="R14" s="85">
        <f t="shared" si="6"/>
        <v>45759</v>
      </c>
      <c r="S14" s="7">
        <f t="shared" ca="1" si="7"/>
        <v>19</v>
      </c>
      <c r="T14" s="85">
        <f>G14-32-13</f>
        <v>45791</v>
      </c>
      <c r="U14" s="85">
        <v>45799</v>
      </c>
      <c r="V14" s="7">
        <f t="shared" ca="1" si="8"/>
        <v>-8</v>
      </c>
      <c r="W14" s="85"/>
      <c r="X14" s="8"/>
    </row>
    <row r="15" spans="1:24" ht="14.5" hidden="1">
      <c r="A15" s="14">
        <v>83</v>
      </c>
      <c r="B15" s="15" t="s">
        <v>59</v>
      </c>
      <c r="C15" s="17">
        <v>79</v>
      </c>
      <c r="D15" s="307" t="s">
        <v>81</v>
      </c>
      <c r="E15" s="146" t="s">
        <v>290</v>
      </c>
      <c r="F15" s="146" t="s">
        <v>291</v>
      </c>
      <c r="G15" s="240">
        <v>45850</v>
      </c>
      <c r="H15" s="17">
        <v>1705.68</v>
      </c>
      <c r="I15" s="218">
        <v>1</v>
      </c>
      <c r="J15" s="17">
        <f t="shared" si="11"/>
        <v>1705.68</v>
      </c>
      <c r="K15" s="18">
        <v>1706</v>
      </c>
      <c r="L15" s="18">
        <v>1706</v>
      </c>
      <c r="M15" s="40">
        <f t="shared" si="9"/>
        <v>-0.31999999999993634</v>
      </c>
      <c r="N15" s="40">
        <f t="shared" si="10"/>
        <v>-0.31999999999993634</v>
      </c>
      <c r="O15" s="301" t="s">
        <v>292</v>
      </c>
      <c r="P15" s="85">
        <v>45785</v>
      </c>
      <c r="Q15" s="85">
        <v>45803</v>
      </c>
      <c r="R15" s="85">
        <f t="shared" si="6"/>
        <v>45805</v>
      </c>
      <c r="S15" s="7">
        <f t="shared" ca="1" si="7"/>
        <v>-18</v>
      </c>
      <c r="T15" s="85">
        <v>45815</v>
      </c>
      <c r="U15" s="85">
        <v>45820</v>
      </c>
      <c r="V15" s="7">
        <f t="shared" ca="1" si="8"/>
        <v>-5</v>
      </c>
      <c r="W15" s="85">
        <v>45818</v>
      </c>
      <c r="X15" s="8"/>
    </row>
    <row r="16" spans="1:24" ht="14.5" hidden="1">
      <c r="A16" s="14">
        <v>83</v>
      </c>
      <c r="B16" s="15" t="s">
        <v>59</v>
      </c>
      <c r="C16" s="17">
        <v>79</v>
      </c>
      <c r="D16" s="307" t="s">
        <v>81</v>
      </c>
      <c r="E16" s="146" t="s">
        <v>290</v>
      </c>
      <c r="F16" s="146" t="s">
        <v>293</v>
      </c>
      <c r="G16" s="240">
        <v>45850</v>
      </c>
      <c r="H16" s="17">
        <v>1705.68</v>
      </c>
      <c r="I16" s="218">
        <v>1</v>
      </c>
      <c r="J16" s="17">
        <f t="shared" si="11"/>
        <v>1705.68</v>
      </c>
      <c r="K16" s="18">
        <v>1706</v>
      </c>
      <c r="L16" s="18">
        <v>1706</v>
      </c>
      <c r="M16" s="40">
        <f t="shared" si="9"/>
        <v>-0.31999999999993634</v>
      </c>
      <c r="N16" s="40">
        <f t="shared" si="10"/>
        <v>-0.31999999999993634</v>
      </c>
      <c r="O16" s="301" t="s">
        <v>292</v>
      </c>
      <c r="P16" s="85">
        <v>45785</v>
      </c>
      <c r="Q16" s="85">
        <v>45803</v>
      </c>
      <c r="R16" s="85">
        <f t="shared" si="6"/>
        <v>45805</v>
      </c>
      <c r="S16" s="7">
        <f t="shared" ca="1" si="7"/>
        <v>-18</v>
      </c>
      <c r="T16" s="85">
        <f>+P16+30</f>
        <v>45815</v>
      </c>
      <c r="U16" s="85">
        <v>45820</v>
      </c>
      <c r="V16" s="7">
        <f t="shared" ca="1" si="8"/>
        <v>-5</v>
      </c>
      <c r="W16" s="85">
        <v>45818</v>
      </c>
      <c r="X16" s="8"/>
    </row>
    <row r="17" spans="1:24" ht="14.5" hidden="1">
      <c r="A17" s="14">
        <v>83</v>
      </c>
      <c r="B17" s="15" t="s">
        <v>59</v>
      </c>
      <c r="C17" s="17">
        <v>79</v>
      </c>
      <c r="D17" s="307" t="s">
        <v>81</v>
      </c>
      <c r="E17" s="146" t="s">
        <v>290</v>
      </c>
      <c r="F17" s="146" t="s">
        <v>294</v>
      </c>
      <c r="G17" s="240">
        <v>45850</v>
      </c>
      <c r="H17" s="17">
        <v>1705.68</v>
      </c>
      <c r="I17" s="218">
        <v>1</v>
      </c>
      <c r="J17" s="17">
        <f t="shared" si="11"/>
        <v>1705.68</v>
      </c>
      <c r="K17" s="18">
        <v>1706</v>
      </c>
      <c r="L17" s="18">
        <v>1706</v>
      </c>
      <c r="M17" s="40">
        <f t="shared" si="9"/>
        <v>-0.31999999999993634</v>
      </c>
      <c r="N17" s="40">
        <f t="shared" si="10"/>
        <v>-0.31999999999993634</v>
      </c>
      <c r="O17" s="301" t="s">
        <v>292</v>
      </c>
      <c r="P17" s="85">
        <v>45785</v>
      </c>
      <c r="Q17" s="85">
        <v>45803</v>
      </c>
      <c r="R17" s="85">
        <f t="shared" si="6"/>
        <v>45805</v>
      </c>
      <c r="S17" s="7">
        <f t="shared" ca="1" si="7"/>
        <v>-18</v>
      </c>
      <c r="T17" s="85">
        <f>+P17+30</f>
        <v>45815</v>
      </c>
      <c r="U17" s="85">
        <v>45820</v>
      </c>
      <c r="V17" s="7">
        <f t="shared" ca="1" si="8"/>
        <v>-5</v>
      </c>
      <c r="W17" s="85">
        <v>45818</v>
      </c>
      <c r="X17" s="8"/>
    </row>
    <row r="18" spans="1:24" ht="14.5" hidden="1">
      <c r="A18" s="14">
        <v>83</v>
      </c>
      <c r="B18" s="15" t="s">
        <v>59</v>
      </c>
      <c r="C18" s="17"/>
      <c r="D18" s="312" t="s">
        <v>189</v>
      </c>
      <c r="E18" s="146" t="s">
        <v>312</v>
      </c>
      <c r="F18" s="146" t="s">
        <v>90</v>
      </c>
      <c r="G18" s="240">
        <v>45850</v>
      </c>
      <c r="H18" s="17">
        <v>1112.4000000000001</v>
      </c>
      <c r="I18" s="218">
        <v>0.5</v>
      </c>
      <c r="J18" s="17">
        <f t="shared" si="11"/>
        <v>556.20000000000005</v>
      </c>
      <c r="K18" s="18">
        <v>556</v>
      </c>
      <c r="L18" s="18">
        <v>556</v>
      </c>
      <c r="M18" s="40">
        <f t="shared" si="9"/>
        <v>0.20000000000004547</v>
      </c>
      <c r="N18" s="40">
        <f t="shared" si="10"/>
        <v>0.20000000000004547</v>
      </c>
      <c r="O18" s="301" t="s">
        <v>213</v>
      </c>
      <c r="P18" s="85">
        <f t="shared" si="12"/>
        <v>45790</v>
      </c>
      <c r="Q18" s="85">
        <v>45757</v>
      </c>
      <c r="R18" s="85">
        <f t="shared" si="6"/>
        <v>45759</v>
      </c>
      <c r="S18" s="7">
        <f t="shared" ca="1" si="7"/>
        <v>33</v>
      </c>
      <c r="T18" s="85">
        <f>G18-32-13</f>
        <v>45805</v>
      </c>
      <c r="U18" s="85">
        <v>45806</v>
      </c>
      <c r="V18" s="7">
        <f t="shared" ca="1" si="8"/>
        <v>-1</v>
      </c>
      <c r="W18" s="85"/>
      <c r="X18" s="8"/>
    </row>
    <row r="19" spans="1:24" ht="14.5" hidden="1">
      <c r="A19" s="14">
        <v>83</v>
      </c>
      <c r="B19" s="15" t="s">
        <v>59</v>
      </c>
      <c r="C19" s="17"/>
      <c r="D19" s="312" t="s">
        <v>158</v>
      </c>
      <c r="E19" s="146" t="s">
        <v>312</v>
      </c>
      <c r="F19" s="146" t="s">
        <v>156</v>
      </c>
      <c r="G19" s="240">
        <v>45850</v>
      </c>
      <c r="H19" s="17">
        <v>1371.96</v>
      </c>
      <c r="I19" s="86">
        <v>0.46800000000000003</v>
      </c>
      <c r="J19" s="17">
        <f t="shared" si="11"/>
        <v>642.07728000000009</v>
      </c>
      <c r="K19" s="18">
        <v>642</v>
      </c>
      <c r="L19" s="18">
        <v>642</v>
      </c>
      <c r="M19" s="40">
        <f t="shared" si="9"/>
        <v>7.7280000000087057E-2</v>
      </c>
      <c r="N19" s="40">
        <f t="shared" si="10"/>
        <v>7.7280000000087057E-2</v>
      </c>
      <c r="O19" s="301" t="s">
        <v>178</v>
      </c>
      <c r="P19" s="85">
        <f t="shared" si="12"/>
        <v>45803</v>
      </c>
      <c r="Q19" s="85">
        <v>45775</v>
      </c>
      <c r="R19" s="85">
        <f t="shared" si="6"/>
        <v>45777</v>
      </c>
      <c r="S19" s="7">
        <f t="shared" ca="1" si="7"/>
        <v>28</v>
      </c>
      <c r="T19" s="85">
        <f>G19-32</f>
        <v>45818</v>
      </c>
      <c r="U19" s="85">
        <v>45792</v>
      </c>
      <c r="V19" s="7">
        <f t="shared" ca="1" si="8"/>
        <v>26</v>
      </c>
      <c r="W19" s="85"/>
      <c r="X19" s="8"/>
    </row>
    <row r="20" spans="1:24" ht="14.5" hidden="1">
      <c r="A20" s="14">
        <v>83</v>
      </c>
      <c r="B20" s="15" t="s">
        <v>59</v>
      </c>
      <c r="C20" s="17">
        <v>76</v>
      </c>
      <c r="D20" s="312" t="s">
        <v>190</v>
      </c>
      <c r="E20" s="146" t="s">
        <v>242</v>
      </c>
      <c r="F20" s="146" t="s">
        <v>244</v>
      </c>
      <c r="G20" s="240">
        <v>45850</v>
      </c>
      <c r="H20" s="17">
        <v>1413.16</v>
      </c>
      <c r="I20" s="86">
        <v>0.44</v>
      </c>
      <c r="J20" s="17">
        <f t="shared" si="11"/>
        <v>621.79040000000009</v>
      </c>
      <c r="K20" s="18">
        <v>622</v>
      </c>
      <c r="L20" s="18">
        <v>622</v>
      </c>
      <c r="M20" s="40">
        <f t="shared" si="9"/>
        <v>-0.20959999999990941</v>
      </c>
      <c r="N20" s="40">
        <f t="shared" si="10"/>
        <v>-0.20959999999990941</v>
      </c>
      <c r="O20" s="301" t="s">
        <v>178</v>
      </c>
      <c r="P20" s="85">
        <f>G20-(45)</f>
        <v>45805</v>
      </c>
      <c r="Q20" s="85">
        <v>45770</v>
      </c>
      <c r="R20" s="85">
        <f t="shared" si="6"/>
        <v>45772</v>
      </c>
      <c r="S20" s="7">
        <f t="shared" ca="1" si="7"/>
        <v>35</v>
      </c>
      <c r="T20" s="85">
        <f>+P20+10</f>
        <v>45815</v>
      </c>
      <c r="U20" s="85">
        <v>45784</v>
      </c>
      <c r="V20" s="7">
        <f t="shared" ca="1" si="8"/>
        <v>31</v>
      </c>
      <c r="W20" s="85"/>
      <c r="X20" s="8"/>
    </row>
    <row r="21" spans="1:24" ht="14.5" hidden="1">
      <c r="A21" s="14">
        <v>72</v>
      </c>
      <c r="B21" s="146" t="s">
        <v>89</v>
      </c>
      <c r="C21" s="20"/>
      <c r="D21" s="312" t="s">
        <v>318</v>
      </c>
      <c r="E21" s="146" t="s">
        <v>242</v>
      </c>
      <c r="F21" s="146" t="s">
        <v>316</v>
      </c>
      <c r="G21" s="240">
        <v>45828</v>
      </c>
      <c r="H21" s="17"/>
      <c r="I21" s="86"/>
      <c r="J21" s="17">
        <v>241.19853333333336</v>
      </c>
      <c r="K21" s="18">
        <v>241</v>
      </c>
      <c r="L21" s="18">
        <v>241</v>
      </c>
      <c r="M21" s="40">
        <f t="shared" ref="M21:M26" si="13">+J21-L21</f>
        <v>0.19853333333335854</v>
      </c>
      <c r="N21" s="40">
        <f t="shared" ref="N21:N26" si="14">+J21-K21</f>
        <v>0.19853333333335854</v>
      </c>
      <c r="O21" s="18" t="s">
        <v>178</v>
      </c>
      <c r="P21" s="85">
        <f t="shared" ref="P21:P26" si="15">T21-15</f>
        <v>45768</v>
      </c>
      <c r="Q21" s="85">
        <v>45785</v>
      </c>
      <c r="R21" s="85">
        <f t="shared" ref="R21:R26" si="16">Q21+2</f>
        <v>45787</v>
      </c>
      <c r="S21" s="7">
        <f t="shared" ref="S21:S26" ca="1" si="17">+IF(Q21="",P21-TODAY(),P21-Q21)</f>
        <v>-17</v>
      </c>
      <c r="T21" s="85">
        <f t="shared" ref="T21:T30" si="18">G21-32-13</f>
        <v>45783</v>
      </c>
      <c r="U21" s="85">
        <v>45793</v>
      </c>
      <c r="V21" s="7">
        <f t="shared" ref="V21:V26" ca="1" si="19">+IF(U21="",T21-TODAY(),T21-U21)</f>
        <v>-10</v>
      </c>
      <c r="W21" s="85"/>
      <c r="X21" s="8"/>
    </row>
    <row r="22" spans="1:24" ht="14.5" hidden="1">
      <c r="A22" s="14">
        <v>72</v>
      </c>
      <c r="B22" s="146" t="s">
        <v>89</v>
      </c>
      <c r="C22" s="20"/>
      <c r="D22" s="312" t="s">
        <v>317</v>
      </c>
      <c r="E22" s="146" t="s">
        <v>242</v>
      </c>
      <c r="F22" s="146" t="s">
        <v>314</v>
      </c>
      <c r="G22" s="240">
        <v>45828</v>
      </c>
      <c r="H22" s="17"/>
      <c r="I22" s="86"/>
      <c r="J22" s="17">
        <v>234.24088333333339</v>
      </c>
      <c r="K22" s="18">
        <v>234</v>
      </c>
      <c r="L22" s="18">
        <v>234</v>
      </c>
      <c r="M22" s="40">
        <f t="shared" si="13"/>
        <v>0.24088333333338596</v>
      </c>
      <c r="N22" s="40">
        <f t="shared" si="14"/>
        <v>0.24088333333338596</v>
      </c>
      <c r="O22" s="18" t="s">
        <v>178</v>
      </c>
      <c r="P22" s="85">
        <f t="shared" si="15"/>
        <v>45768</v>
      </c>
      <c r="Q22" s="85">
        <v>45785</v>
      </c>
      <c r="R22" s="85">
        <f t="shared" si="16"/>
        <v>45787</v>
      </c>
      <c r="S22" s="7">
        <f t="shared" ca="1" si="17"/>
        <v>-17</v>
      </c>
      <c r="T22" s="85">
        <f t="shared" si="18"/>
        <v>45783</v>
      </c>
      <c r="U22" s="85">
        <v>45793</v>
      </c>
      <c r="V22" s="7">
        <f t="shared" ca="1" si="19"/>
        <v>-10</v>
      </c>
      <c r="W22" s="85"/>
      <c r="X22" s="8"/>
    </row>
    <row r="23" spans="1:24" ht="14.5" hidden="1">
      <c r="A23" s="14">
        <v>72</v>
      </c>
      <c r="B23" s="146" t="s">
        <v>89</v>
      </c>
      <c r="C23" s="20"/>
      <c r="D23" s="312" t="s">
        <v>315</v>
      </c>
      <c r="E23" s="146" t="s">
        <v>242</v>
      </c>
      <c r="F23" s="146" t="s">
        <v>316</v>
      </c>
      <c r="G23" s="240">
        <v>45828</v>
      </c>
      <c r="H23" s="17"/>
      <c r="I23" s="86"/>
      <c r="J23" s="17">
        <v>336.63490000000007</v>
      </c>
      <c r="K23" s="18">
        <v>337</v>
      </c>
      <c r="L23" s="18">
        <v>337</v>
      </c>
      <c r="M23" s="40">
        <f t="shared" si="13"/>
        <v>-0.36509999999992715</v>
      </c>
      <c r="N23" s="40">
        <f t="shared" si="14"/>
        <v>-0.36509999999992715</v>
      </c>
      <c r="O23" s="18" t="s">
        <v>178</v>
      </c>
      <c r="P23" s="85">
        <f t="shared" si="15"/>
        <v>45768</v>
      </c>
      <c r="Q23" s="85">
        <v>45785</v>
      </c>
      <c r="R23" s="85">
        <f t="shared" si="16"/>
        <v>45787</v>
      </c>
      <c r="S23" s="7">
        <f t="shared" ca="1" si="17"/>
        <v>-17</v>
      </c>
      <c r="T23" s="85">
        <f t="shared" si="18"/>
        <v>45783</v>
      </c>
      <c r="U23" s="85">
        <v>45793</v>
      </c>
      <c r="V23" s="7">
        <f t="shared" ca="1" si="19"/>
        <v>-10</v>
      </c>
      <c r="W23" s="85"/>
      <c r="X23" s="8"/>
    </row>
    <row r="24" spans="1:24" ht="14.5" hidden="1">
      <c r="A24" s="14">
        <v>72</v>
      </c>
      <c r="B24" s="146" t="s">
        <v>89</v>
      </c>
      <c r="C24" s="20"/>
      <c r="D24" s="312" t="s">
        <v>313</v>
      </c>
      <c r="E24" s="146" t="s">
        <v>242</v>
      </c>
      <c r="F24" s="146" t="s">
        <v>314</v>
      </c>
      <c r="G24" s="240">
        <v>45828</v>
      </c>
      <c r="H24" s="17"/>
      <c r="I24" s="86"/>
      <c r="J24" s="17">
        <v>339.56216000000006</v>
      </c>
      <c r="K24" s="18">
        <v>340</v>
      </c>
      <c r="L24" s="18">
        <v>340</v>
      </c>
      <c r="M24" s="40">
        <f t="shared" si="13"/>
        <v>-0.43783999999993739</v>
      </c>
      <c r="N24" s="40">
        <f t="shared" si="14"/>
        <v>-0.43783999999993739</v>
      </c>
      <c r="O24" s="18" t="s">
        <v>178</v>
      </c>
      <c r="P24" s="85">
        <f t="shared" si="15"/>
        <v>45768</v>
      </c>
      <c r="Q24" s="85">
        <v>45785</v>
      </c>
      <c r="R24" s="85">
        <f t="shared" si="16"/>
        <v>45787</v>
      </c>
      <c r="S24" s="7">
        <f t="shared" ca="1" si="17"/>
        <v>-17</v>
      </c>
      <c r="T24" s="85">
        <f t="shared" si="18"/>
        <v>45783</v>
      </c>
      <c r="U24" s="85">
        <v>45793</v>
      </c>
      <c r="V24" s="7">
        <f t="shared" ca="1" si="19"/>
        <v>-10</v>
      </c>
      <c r="W24" s="85"/>
      <c r="X24" s="8"/>
    </row>
    <row r="25" spans="1:24" ht="14.5" hidden="1">
      <c r="A25" s="14">
        <v>72</v>
      </c>
      <c r="B25" s="146" t="s">
        <v>89</v>
      </c>
      <c r="C25" s="20"/>
      <c r="D25" s="308" t="s">
        <v>320</v>
      </c>
      <c r="E25" s="146" t="s">
        <v>242</v>
      </c>
      <c r="F25" s="146" t="s">
        <v>316</v>
      </c>
      <c r="G25" s="240">
        <v>45828</v>
      </c>
      <c r="H25" s="17"/>
      <c r="I25" s="86"/>
      <c r="J25" s="17">
        <v>317.29514891170913</v>
      </c>
      <c r="K25" s="18">
        <v>317</v>
      </c>
      <c r="L25" s="18">
        <v>317</v>
      </c>
      <c r="M25" s="40">
        <f t="shared" si="13"/>
        <v>0.29514891170913415</v>
      </c>
      <c r="N25" s="40">
        <f t="shared" si="14"/>
        <v>0.29514891170913415</v>
      </c>
      <c r="O25" s="18" t="s">
        <v>178</v>
      </c>
      <c r="P25" s="85">
        <f t="shared" si="15"/>
        <v>45768</v>
      </c>
      <c r="Q25" s="85">
        <v>45785</v>
      </c>
      <c r="R25" s="85">
        <f t="shared" si="16"/>
        <v>45787</v>
      </c>
      <c r="S25" s="7">
        <f t="shared" ca="1" si="17"/>
        <v>-17</v>
      </c>
      <c r="T25" s="85">
        <f t="shared" si="18"/>
        <v>45783</v>
      </c>
      <c r="U25" s="85">
        <v>45815</v>
      </c>
      <c r="V25" s="7">
        <f t="shared" ca="1" si="19"/>
        <v>-32</v>
      </c>
      <c r="W25" s="85">
        <v>45821</v>
      </c>
      <c r="X25" s="336" t="s">
        <v>896</v>
      </c>
    </row>
    <row r="26" spans="1:24" ht="14.5" hidden="1">
      <c r="A26" s="14">
        <v>72</v>
      </c>
      <c r="B26" s="146" t="s">
        <v>89</v>
      </c>
      <c r="C26" s="20"/>
      <c r="D26" s="308" t="s">
        <v>319</v>
      </c>
      <c r="E26" s="146" t="s">
        <v>242</v>
      </c>
      <c r="F26" s="146" t="s">
        <v>314</v>
      </c>
      <c r="G26" s="240">
        <v>45828</v>
      </c>
      <c r="H26" s="17"/>
      <c r="I26" s="86"/>
      <c r="J26" s="17">
        <v>258.84604253323636</v>
      </c>
      <c r="K26" s="18">
        <v>259</v>
      </c>
      <c r="L26" s="18">
        <v>259</v>
      </c>
      <c r="M26" s="40">
        <f t="shared" si="13"/>
        <v>-0.15395746676364297</v>
      </c>
      <c r="N26" s="40">
        <f t="shared" si="14"/>
        <v>-0.15395746676364297</v>
      </c>
      <c r="O26" s="18" t="s">
        <v>178</v>
      </c>
      <c r="P26" s="85">
        <f t="shared" si="15"/>
        <v>45768</v>
      </c>
      <c r="Q26" s="85">
        <v>45785</v>
      </c>
      <c r="R26" s="85">
        <f t="shared" si="16"/>
        <v>45787</v>
      </c>
      <c r="S26" s="7">
        <f t="shared" ca="1" si="17"/>
        <v>-17</v>
      </c>
      <c r="T26" s="85">
        <f t="shared" si="18"/>
        <v>45783</v>
      </c>
      <c r="U26" s="85">
        <v>45814</v>
      </c>
      <c r="V26" s="7">
        <f t="shared" ca="1" si="19"/>
        <v>-31</v>
      </c>
      <c r="W26" s="85">
        <v>45812</v>
      </c>
      <c r="X26" s="336" t="s">
        <v>896</v>
      </c>
    </row>
    <row r="27" spans="1:24" ht="14.5" hidden="1">
      <c r="A27" s="14">
        <v>72</v>
      </c>
      <c r="B27" s="146" t="s">
        <v>89</v>
      </c>
      <c r="C27" s="20"/>
      <c r="D27" s="312" t="s">
        <v>321</v>
      </c>
      <c r="E27" s="146" t="s">
        <v>242</v>
      </c>
      <c r="F27" s="146" t="s">
        <v>322</v>
      </c>
      <c r="G27" s="240">
        <v>45828</v>
      </c>
      <c r="H27" s="17"/>
      <c r="I27" s="86"/>
      <c r="J27" s="17">
        <v>194.48707200000004</v>
      </c>
      <c r="K27" s="18">
        <v>194</v>
      </c>
      <c r="L27" s="18">
        <v>194</v>
      </c>
      <c r="M27" s="40">
        <f t="shared" ref="M27:M64" si="20">+J27-L27</f>
        <v>0.48707200000004036</v>
      </c>
      <c r="N27" s="40">
        <f t="shared" ref="N27:N64" si="21">+J27-K27</f>
        <v>0.48707200000004036</v>
      </c>
      <c r="O27" s="18" t="s">
        <v>178</v>
      </c>
      <c r="P27" s="85">
        <f t="shared" ref="P27:P64" si="22">T27-15</f>
        <v>45768</v>
      </c>
      <c r="Q27" s="85">
        <v>45785</v>
      </c>
      <c r="R27" s="85">
        <f t="shared" ref="R27:R64" si="23">Q27+2</f>
        <v>45787</v>
      </c>
      <c r="S27" s="7">
        <f t="shared" ref="S27:S64" ca="1" si="24">+IF(Q27="",P27-TODAY(),P27-Q27)</f>
        <v>-17</v>
      </c>
      <c r="T27" s="85">
        <f t="shared" si="18"/>
        <v>45783</v>
      </c>
      <c r="U27" s="85">
        <v>45787</v>
      </c>
      <c r="V27" s="7">
        <f t="shared" ref="V27:V64" ca="1" si="25">+IF(U27="",T27-TODAY(),T27-U27)</f>
        <v>-4</v>
      </c>
      <c r="W27" s="85"/>
      <c r="X27" s="8"/>
    </row>
    <row r="28" spans="1:24" ht="14.5" hidden="1">
      <c r="A28" s="14">
        <v>72</v>
      </c>
      <c r="B28" s="146" t="s">
        <v>89</v>
      </c>
      <c r="C28" s="20"/>
      <c r="D28" s="312" t="s">
        <v>323</v>
      </c>
      <c r="E28" s="146" t="s">
        <v>242</v>
      </c>
      <c r="F28" s="146" t="s">
        <v>322</v>
      </c>
      <c r="G28" s="240">
        <v>45828</v>
      </c>
      <c r="H28" s="17"/>
      <c r="I28" s="86"/>
      <c r="J28" s="17">
        <v>235.22009472000002</v>
      </c>
      <c r="K28" s="18">
        <v>235</v>
      </c>
      <c r="L28" s="18">
        <v>235</v>
      </c>
      <c r="M28" s="40">
        <f t="shared" si="20"/>
        <v>0.22009472000002006</v>
      </c>
      <c r="N28" s="40">
        <f t="shared" si="21"/>
        <v>0.22009472000002006</v>
      </c>
      <c r="O28" s="18" t="s">
        <v>178</v>
      </c>
      <c r="P28" s="85">
        <f t="shared" si="22"/>
        <v>45768</v>
      </c>
      <c r="Q28" s="85">
        <v>45785</v>
      </c>
      <c r="R28" s="85">
        <f t="shared" si="23"/>
        <v>45787</v>
      </c>
      <c r="S28" s="7">
        <f t="shared" ca="1" si="24"/>
        <v>-17</v>
      </c>
      <c r="T28" s="85">
        <f t="shared" si="18"/>
        <v>45783</v>
      </c>
      <c r="U28" s="85">
        <v>45787</v>
      </c>
      <c r="V28" s="7">
        <f t="shared" ca="1" si="25"/>
        <v>-4</v>
      </c>
      <c r="W28" s="85"/>
      <c r="X28" s="8"/>
    </row>
    <row r="29" spans="1:24" ht="14.5" hidden="1">
      <c r="A29" s="14">
        <v>72</v>
      </c>
      <c r="B29" s="146" t="s">
        <v>89</v>
      </c>
      <c r="C29" s="20"/>
      <c r="D29" s="312" t="s">
        <v>324</v>
      </c>
      <c r="E29" s="146" t="s">
        <v>242</v>
      </c>
      <c r="F29" s="146" t="s">
        <v>322</v>
      </c>
      <c r="G29" s="240">
        <v>45828</v>
      </c>
      <c r="H29" s="17"/>
      <c r="I29" s="86"/>
      <c r="J29" s="17">
        <v>259.60746240000009</v>
      </c>
      <c r="K29" s="18">
        <v>260</v>
      </c>
      <c r="L29" s="18">
        <v>260</v>
      </c>
      <c r="M29" s="40">
        <f t="shared" si="20"/>
        <v>-0.39253759999991189</v>
      </c>
      <c r="N29" s="40">
        <f t="shared" si="21"/>
        <v>-0.39253759999991189</v>
      </c>
      <c r="O29" s="18" t="s">
        <v>178</v>
      </c>
      <c r="P29" s="85">
        <f t="shared" si="22"/>
        <v>45768</v>
      </c>
      <c r="Q29" s="85">
        <v>45785</v>
      </c>
      <c r="R29" s="85">
        <f t="shared" si="23"/>
        <v>45787</v>
      </c>
      <c r="S29" s="7">
        <f t="shared" ca="1" si="24"/>
        <v>-17</v>
      </c>
      <c r="T29" s="85">
        <f t="shared" si="18"/>
        <v>45783</v>
      </c>
      <c r="U29" s="85">
        <v>45787</v>
      </c>
      <c r="V29" s="7">
        <f t="shared" ca="1" si="25"/>
        <v>-4</v>
      </c>
      <c r="W29" s="85"/>
      <c r="X29" s="8"/>
    </row>
    <row r="30" spans="1:24" ht="14.5" hidden="1">
      <c r="A30" s="14">
        <v>72</v>
      </c>
      <c r="B30" s="146" t="s">
        <v>89</v>
      </c>
      <c r="C30" s="20"/>
      <c r="D30" s="312" t="s">
        <v>325</v>
      </c>
      <c r="E30" s="146" t="s">
        <v>242</v>
      </c>
      <c r="F30" s="146" t="s">
        <v>322</v>
      </c>
      <c r="G30" s="240">
        <v>45828</v>
      </c>
      <c r="H30" s="17"/>
      <c r="I30" s="86"/>
      <c r="J30" s="17">
        <v>240.9782232</v>
      </c>
      <c r="K30" s="18">
        <v>241</v>
      </c>
      <c r="L30" s="18">
        <v>241</v>
      </c>
      <c r="M30" s="40">
        <f t="shared" si="20"/>
        <v>-2.177679999999782E-2</v>
      </c>
      <c r="N30" s="40">
        <f t="shared" si="21"/>
        <v>-2.177679999999782E-2</v>
      </c>
      <c r="O30" s="18" t="s">
        <v>178</v>
      </c>
      <c r="P30" s="85">
        <f t="shared" si="22"/>
        <v>45768</v>
      </c>
      <c r="Q30" s="85">
        <v>45785</v>
      </c>
      <c r="R30" s="85">
        <f t="shared" si="23"/>
        <v>45787</v>
      </c>
      <c r="S30" s="7">
        <f t="shared" ca="1" si="24"/>
        <v>-17</v>
      </c>
      <c r="T30" s="85">
        <f t="shared" si="18"/>
        <v>45783</v>
      </c>
      <c r="U30" s="85">
        <v>45787</v>
      </c>
      <c r="V30" s="7">
        <f t="shared" ca="1" si="25"/>
        <v>-4</v>
      </c>
      <c r="W30" s="85"/>
      <c r="X30" s="8"/>
    </row>
    <row r="31" spans="1:24" ht="14.5" hidden="1">
      <c r="A31" s="14">
        <v>72</v>
      </c>
      <c r="B31" s="146" t="s">
        <v>89</v>
      </c>
      <c r="C31" s="20"/>
      <c r="D31" s="312" t="s">
        <v>326</v>
      </c>
      <c r="E31" s="146" t="s">
        <v>242</v>
      </c>
      <c r="F31" s="146" t="s">
        <v>327</v>
      </c>
      <c r="G31" s="240">
        <v>45828</v>
      </c>
      <c r="H31" s="17"/>
      <c r="I31" s="86"/>
      <c r="J31" s="17">
        <v>52.959922329599991</v>
      </c>
      <c r="K31" s="18">
        <v>53</v>
      </c>
      <c r="L31" s="18">
        <v>53</v>
      </c>
      <c r="M31" s="40">
        <f t="shared" si="20"/>
        <v>-4.0077670400009424E-2</v>
      </c>
      <c r="N31" s="40">
        <f t="shared" si="21"/>
        <v>-4.0077670400009424E-2</v>
      </c>
      <c r="O31" s="18" t="s">
        <v>178</v>
      </c>
      <c r="P31" s="85">
        <f t="shared" si="22"/>
        <v>45771</v>
      </c>
      <c r="Q31" s="85">
        <v>45790</v>
      </c>
      <c r="R31" s="85">
        <f t="shared" si="23"/>
        <v>45792</v>
      </c>
      <c r="S31" s="7">
        <f t="shared" ca="1" si="24"/>
        <v>-19</v>
      </c>
      <c r="T31" s="85">
        <f t="shared" ref="T31:T38" si="26">G31-30-12</f>
        <v>45786</v>
      </c>
      <c r="U31" s="85">
        <v>45807</v>
      </c>
      <c r="V31" s="7">
        <f t="shared" ca="1" si="25"/>
        <v>-21</v>
      </c>
      <c r="W31" s="85">
        <v>45807</v>
      </c>
      <c r="X31" s="8"/>
    </row>
    <row r="32" spans="1:24" ht="14.5" hidden="1">
      <c r="A32" s="14">
        <v>72</v>
      </c>
      <c r="B32" s="146" t="s">
        <v>89</v>
      </c>
      <c r="C32" s="20"/>
      <c r="D32" s="312" t="s">
        <v>328</v>
      </c>
      <c r="E32" s="146" t="s">
        <v>242</v>
      </c>
      <c r="F32" s="146" t="s">
        <v>327</v>
      </c>
      <c r="G32" s="240">
        <v>45828</v>
      </c>
      <c r="H32" s="17"/>
      <c r="I32" s="86"/>
      <c r="J32" s="17">
        <v>37.95461100288</v>
      </c>
      <c r="K32" s="18">
        <v>38</v>
      </c>
      <c r="L32" s="18">
        <v>38</v>
      </c>
      <c r="M32" s="40">
        <f t="shared" si="20"/>
        <v>-4.5388997119999885E-2</v>
      </c>
      <c r="N32" s="40">
        <f t="shared" si="21"/>
        <v>-4.5388997119999885E-2</v>
      </c>
      <c r="O32" s="18" t="s">
        <v>178</v>
      </c>
      <c r="P32" s="85">
        <f t="shared" si="22"/>
        <v>45771</v>
      </c>
      <c r="Q32" s="85">
        <v>45790</v>
      </c>
      <c r="R32" s="85">
        <f t="shared" si="23"/>
        <v>45792</v>
      </c>
      <c r="S32" s="7">
        <f t="shared" ca="1" si="24"/>
        <v>-19</v>
      </c>
      <c r="T32" s="85">
        <f t="shared" si="26"/>
        <v>45786</v>
      </c>
      <c r="U32" s="85">
        <v>45807</v>
      </c>
      <c r="V32" s="7">
        <f t="shared" ca="1" si="25"/>
        <v>-21</v>
      </c>
      <c r="W32" s="85">
        <v>45807</v>
      </c>
      <c r="X32" s="8"/>
    </row>
    <row r="33" spans="1:24" ht="14.5" hidden="1">
      <c r="A33" s="14">
        <v>72</v>
      </c>
      <c r="B33" s="146" t="s">
        <v>89</v>
      </c>
      <c r="C33" s="20"/>
      <c r="D33" s="312" t="s">
        <v>329</v>
      </c>
      <c r="E33" s="146" t="s">
        <v>242</v>
      </c>
      <c r="F33" s="146" t="s">
        <v>327</v>
      </c>
      <c r="G33" s="240">
        <v>45828</v>
      </c>
      <c r="H33" s="17"/>
      <c r="I33" s="86"/>
      <c r="J33" s="17">
        <v>76.537786740480001</v>
      </c>
      <c r="K33" s="18">
        <v>77</v>
      </c>
      <c r="L33" s="18">
        <v>77</v>
      </c>
      <c r="M33" s="40">
        <f t="shared" si="20"/>
        <v>-0.46221325951999859</v>
      </c>
      <c r="N33" s="40">
        <f t="shared" si="21"/>
        <v>-0.46221325951999859</v>
      </c>
      <c r="O33" s="18" t="s">
        <v>178</v>
      </c>
      <c r="P33" s="85">
        <f t="shared" si="22"/>
        <v>45771</v>
      </c>
      <c r="Q33" s="85">
        <v>45790</v>
      </c>
      <c r="R33" s="85">
        <f t="shared" si="23"/>
        <v>45792</v>
      </c>
      <c r="S33" s="7">
        <f t="shared" ca="1" si="24"/>
        <v>-19</v>
      </c>
      <c r="T33" s="85">
        <f t="shared" si="26"/>
        <v>45786</v>
      </c>
      <c r="U33" s="85">
        <v>45807</v>
      </c>
      <c r="V33" s="7">
        <f t="shared" ca="1" si="25"/>
        <v>-21</v>
      </c>
      <c r="W33" s="85">
        <v>45807</v>
      </c>
      <c r="X33" s="8"/>
    </row>
    <row r="34" spans="1:24" ht="14.5" hidden="1">
      <c r="A34" s="14">
        <v>72</v>
      </c>
      <c r="B34" s="146" t="s">
        <v>89</v>
      </c>
      <c r="C34" s="20"/>
      <c r="D34" s="312" t="s">
        <v>330</v>
      </c>
      <c r="E34" s="146" t="s">
        <v>242</v>
      </c>
      <c r="F34" s="146" t="s">
        <v>327</v>
      </c>
      <c r="G34" s="240">
        <v>45828</v>
      </c>
      <c r="H34" s="17"/>
      <c r="I34" s="86"/>
      <c r="J34" s="17">
        <v>93.339634152960002</v>
      </c>
      <c r="K34" s="18">
        <v>93</v>
      </c>
      <c r="L34" s="18">
        <v>93</v>
      </c>
      <c r="M34" s="40">
        <f t="shared" si="20"/>
        <v>0.33963415296000221</v>
      </c>
      <c r="N34" s="40">
        <f t="shared" si="21"/>
        <v>0.33963415296000221</v>
      </c>
      <c r="O34" s="18" t="s">
        <v>178</v>
      </c>
      <c r="P34" s="85">
        <f t="shared" si="22"/>
        <v>45771</v>
      </c>
      <c r="Q34" s="85">
        <v>45790</v>
      </c>
      <c r="R34" s="85">
        <f t="shared" si="23"/>
        <v>45792</v>
      </c>
      <c r="S34" s="7">
        <f t="shared" ca="1" si="24"/>
        <v>-19</v>
      </c>
      <c r="T34" s="85">
        <f t="shared" si="26"/>
        <v>45786</v>
      </c>
      <c r="U34" s="85">
        <v>45807</v>
      </c>
      <c r="V34" s="7">
        <f t="shared" ca="1" si="25"/>
        <v>-21</v>
      </c>
      <c r="W34" s="85">
        <v>45807</v>
      </c>
      <c r="X34" s="8"/>
    </row>
    <row r="35" spans="1:24" ht="14.5" hidden="1">
      <c r="A35" s="14">
        <v>72</v>
      </c>
      <c r="B35" s="146" t="s">
        <v>89</v>
      </c>
      <c r="C35" s="20"/>
      <c r="D35" s="312" t="s">
        <v>331</v>
      </c>
      <c r="E35" s="146" t="s">
        <v>242</v>
      </c>
      <c r="F35" s="146" t="s">
        <v>332</v>
      </c>
      <c r="G35" s="240">
        <v>45828</v>
      </c>
      <c r="H35" s="17"/>
      <c r="I35" s="86"/>
      <c r="J35" s="17">
        <v>343.66742307692306</v>
      </c>
      <c r="K35" s="18">
        <v>344</v>
      </c>
      <c r="L35" s="18">
        <v>344</v>
      </c>
      <c r="M35" s="40">
        <f t="shared" si="20"/>
        <v>-0.33257692307694242</v>
      </c>
      <c r="N35" s="40">
        <f t="shared" si="21"/>
        <v>-0.33257692307694242</v>
      </c>
      <c r="O35" s="18" t="s">
        <v>178</v>
      </c>
      <c r="P35" s="85">
        <f t="shared" si="22"/>
        <v>45771</v>
      </c>
      <c r="Q35" s="85">
        <v>45785</v>
      </c>
      <c r="R35" s="85">
        <f t="shared" si="23"/>
        <v>45787</v>
      </c>
      <c r="S35" s="7">
        <f t="shared" ca="1" si="24"/>
        <v>-14</v>
      </c>
      <c r="T35" s="85">
        <f t="shared" si="26"/>
        <v>45786</v>
      </c>
      <c r="U35" s="85">
        <v>45793</v>
      </c>
      <c r="V35" s="7">
        <f t="shared" ca="1" si="25"/>
        <v>-7</v>
      </c>
      <c r="W35" s="85"/>
      <c r="X35" s="8"/>
    </row>
    <row r="36" spans="1:24" ht="14.5" hidden="1">
      <c r="A36" s="14">
        <v>72</v>
      </c>
      <c r="B36" s="146" t="s">
        <v>89</v>
      </c>
      <c r="C36" s="20"/>
      <c r="D36" s="312" t="s">
        <v>333</v>
      </c>
      <c r="E36" s="146" t="s">
        <v>242</v>
      </c>
      <c r="F36" s="146" t="s">
        <v>334</v>
      </c>
      <c r="G36" s="240">
        <v>45828</v>
      </c>
      <c r="H36" s="17"/>
      <c r="I36" s="86"/>
      <c r="J36" s="17">
        <v>315.59215846153842</v>
      </c>
      <c r="K36" s="18">
        <v>316</v>
      </c>
      <c r="L36" s="18">
        <v>316</v>
      </c>
      <c r="M36" s="40">
        <f t="shared" si="20"/>
        <v>-0.40784153846158233</v>
      </c>
      <c r="N36" s="40">
        <f t="shared" si="21"/>
        <v>-0.40784153846158233</v>
      </c>
      <c r="O36" s="18" t="s">
        <v>178</v>
      </c>
      <c r="P36" s="85">
        <f t="shared" si="22"/>
        <v>45771</v>
      </c>
      <c r="Q36" s="85">
        <v>45785</v>
      </c>
      <c r="R36" s="85">
        <f t="shared" si="23"/>
        <v>45787</v>
      </c>
      <c r="S36" s="7">
        <f t="shared" ca="1" si="24"/>
        <v>-14</v>
      </c>
      <c r="T36" s="85">
        <f t="shared" si="26"/>
        <v>45786</v>
      </c>
      <c r="U36" s="85">
        <v>45793</v>
      </c>
      <c r="V36" s="7">
        <f t="shared" ca="1" si="25"/>
        <v>-7</v>
      </c>
      <c r="W36" s="85"/>
      <c r="X36" s="8"/>
    </row>
    <row r="37" spans="1:24" ht="14.5" hidden="1">
      <c r="A37" s="14">
        <v>72</v>
      </c>
      <c r="B37" s="146" t="s">
        <v>89</v>
      </c>
      <c r="C37" s="20"/>
      <c r="D37" s="312" t="s">
        <v>335</v>
      </c>
      <c r="E37" s="146" t="s">
        <v>242</v>
      </c>
      <c r="F37" s="146" t="s">
        <v>332</v>
      </c>
      <c r="G37" s="240">
        <v>45828</v>
      </c>
      <c r="H37" s="17"/>
      <c r="I37" s="86"/>
      <c r="J37" s="17">
        <v>297.11776153846154</v>
      </c>
      <c r="K37" s="18">
        <v>297</v>
      </c>
      <c r="L37" s="18">
        <v>297</v>
      </c>
      <c r="M37" s="40">
        <f t="shared" si="20"/>
        <v>0.11776153846153647</v>
      </c>
      <c r="N37" s="40">
        <f t="shared" si="21"/>
        <v>0.11776153846153647</v>
      </c>
      <c r="O37" s="18" t="s">
        <v>178</v>
      </c>
      <c r="P37" s="85">
        <f t="shared" si="22"/>
        <v>45771</v>
      </c>
      <c r="Q37" s="85">
        <v>45785</v>
      </c>
      <c r="R37" s="85">
        <f t="shared" si="23"/>
        <v>45787</v>
      </c>
      <c r="S37" s="7">
        <f t="shared" ca="1" si="24"/>
        <v>-14</v>
      </c>
      <c r="T37" s="85">
        <f t="shared" si="26"/>
        <v>45786</v>
      </c>
      <c r="U37" s="85">
        <v>45793</v>
      </c>
      <c r="V37" s="7">
        <f t="shared" ca="1" si="25"/>
        <v>-7</v>
      </c>
      <c r="W37" s="85"/>
      <c r="X37" s="8"/>
    </row>
    <row r="38" spans="1:24" ht="14.5" hidden="1">
      <c r="A38" s="14">
        <v>72</v>
      </c>
      <c r="B38" s="146" t="s">
        <v>89</v>
      </c>
      <c r="C38" s="20"/>
      <c r="D38" s="312" t="s">
        <v>336</v>
      </c>
      <c r="E38" s="146" t="s">
        <v>242</v>
      </c>
      <c r="F38" s="146" t="s">
        <v>334</v>
      </c>
      <c r="G38" s="240">
        <v>45828</v>
      </c>
      <c r="H38" s="17"/>
      <c r="I38" s="86"/>
      <c r="J38" s="17">
        <v>159.52956923076923</v>
      </c>
      <c r="K38" s="18">
        <v>160</v>
      </c>
      <c r="L38" s="18">
        <v>160</v>
      </c>
      <c r="M38" s="40">
        <f t="shared" si="20"/>
        <v>-0.47043076923077365</v>
      </c>
      <c r="N38" s="40">
        <f t="shared" si="21"/>
        <v>-0.47043076923077365</v>
      </c>
      <c r="O38" s="18" t="s">
        <v>178</v>
      </c>
      <c r="P38" s="85">
        <f t="shared" si="22"/>
        <v>45771</v>
      </c>
      <c r="Q38" s="85">
        <v>45785</v>
      </c>
      <c r="R38" s="85">
        <f t="shared" si="23"/>
        <v>45787</v>
      </c>
      <c r="S38" s="7">
        <f t="shared" ca="1" si="24"/>
        <v>-14</v>
      </c>
      <c r="T38" s="85">
        <f t="shared" si="26"/>
        <v>45786</v>
      </c>
      <c r="U38" s="85">
        <v>45793</v>
      </c>
      <c r="V38" s="7">
        <f t="shared" ca="1" si="25"/>
        <v>-7</v>
      </c>
      <c r="W38" s="85"/>
      <c r="X38" s="8"/>
    </row>
    <row r="39" spans="1:24" ht="14.5" hidden="1">
      <c r="A39" s="14">
        <v>72</v>
      </c>
      <c r="B39" s="146" t="s">
        <v>89</v>
      </c>
      <c r="C39" s="20"/>
      <c r="D39" s="312" t="s">
        <v>337</v>
      </c>
      <c r="E39" s="146" t="s">
        <v>242</v>
      </c>
      <c r="F39" s="146" t="s">
        <v>334</v>
      </c>
      <c r="G39" s="240">
        <v>45828</v>
      </c>
      <c r="H39" s="17"/>
      <c r="I39" s="86"/>
      <c r="J39" s="17">
        <v>315.11276160000006</v>
      </c>
      <c r="K39" s="18">
        <v>315</v>
      </c>
      <c r="L39" s="18">
        <v>315</v>
      </c>
      <c r="M39" s="40">
        <f t="shared" si="20"/>
        <v>0.11276160000005575</v>
      </c>
      <c r="N39" s="40">
        <f t="shared" si="21"/>
        <v>0.11276160000005575</v>
      </c>
      <c r="O39" s="18" t="s">
        <v>178</v>
      </c>
      <c r="P39" s="85">
        <f t="shared" si="22"/>
        <v>45768</v>
      </c>
      <c r="Q39" s="85">
        <v>45768</v>
      </c>
      <c r="R39" s="85">
        <f t="shared" si="23"/>
        <v>45770</v>
      </c>
      <c r="S39" s="7">
        <f t="shared" ca="1" si="24"/>
        <v>0</v>
      </c>
      <c r="T39" s="85">
        <f t="shared" ref="T39:T48" si="27">G39-32-13</f>
        <v>45783</v>
      </c>
      <c r="U39" s="85">
        <v>45787</v>
      </c>
      <c r="V39" s="7">
        <f t="shared" ca="1" si="25"/>
        <v>-4</v>
      </c>
      <c r="W39" s="85"/>
      <c r="X39" s="8"/>
    </row>
    <row r="40" spans="1:24" ht="14.5" hidden="1">
      <c r="A40" s="14">
        <v>72</v>
      </c>
      <c r="B40" s="146" t="s">
        <v>89</v>
      </c>
      <c r="C40" s="20"/>
      <c r="D40" s="312" t="s">
        <v>338</v>
      </c>
      <c r="E40" s="146" t="s">
        <v>242</v>
      </c>
      <c r="F40" s="146" t="s">
        <v>316</v>
      </c>
      <c r="G40" s="240">
        <v>45828</v>
      </c>
      <c r="H40" s="17"/>
      <c r="I40" s="86"/>
      <c r="J40" s="17">
        <v>558.19974912000009</v>
      </c>
      <c r="K40" s="18">
        <v>558</v>
      </c>
      <c r="L40" s="18">
        <v>558</v>
      </c>
      <c r="M40" s="40">
        <f t="shared" si="20"/>
        <v>0.19974912000009226</v>
      </c>
      <c r="N40" s="40">
        <f t="shared" si="21"/>
        <v>0.19974912000009226</v>
      </c>
      <c r="O40" s="204" t="s">
        <v>178</v>
      </c>
      <c r="P40" s="85">
        <f t="shared" si="22"/>
        <v>45768</v>
      </c>
      <c r="Q40" s="85">
        <v>45768</v>
      </c>
      <c r="R40" s="85">
        <f t="shared" si="23"/>
        <v>45770</v>
      </c>
      <c r="S40" s="7">
        <f t="shared" ca="1" si="24"/>
        <v>0</v>
      </c>
      <c r="T40" s="85">
        <f t="shared" si="27"/>
        <v>45783</v>
      </c>
      <c r="U40" s="85">
        <v>45787</v>
      </c>
      <c r="V40" s="7">
        <f t="shared" ca="1" si="25"/>
        <v>-4</v>
      </c>
      <c r="W40" s="85"/>
      <c r="X40" s="8"/>
    </row>
    <row r="41" spans="1:24" ht="14.5" hidden="1">
      <c r="A41" s="14">
        <v>72</v>
      </c>
      <c r="B41" s="146" t="s">
        <v>89</v>
      </c>
      <c r="C41" s="20"/>
      <c r="D41" s="312" t="s">
        <v>339</v>
      </c>
      <c r="E41" s="146" t="s">
        <v>242</v>
      </c>
      <c r="F41" s="146" t="s">
        <v>332</v>
      </c>
      <c r="G41" s="240">
        <v>45828</v>
      </c>
      <c r="H41" s="17"/>
      <c r="I41" s="86"/>
      <c r="J41" s="17">
        <v>400.64336832000004</v>
      </c>
      <c r="K41" s="18">
        <v>401</v>
      </c>
      <c r="L41" s="18">
        <v>401</v>
      </c>
      <c r="M41" s="40">
        <f t="shared" si="20"/>
        <v>-0.35663167999996404</v>
      </c>
      <c r="N41" s="40">
        <f t="shared" si="21"/>
        <v>-0.35663167999996404</v>
      </c>
      <c r="O41" s="204" t="s">
        <v>178</v>
      </c>
      <c r="P41" s="85">
        <f t="shared" si="22"/>
        <v>45768</v>
      </c>
      <c r="Q41" s="85">
        <v>45768</v>
      </c>
      <c r="R41" s="85">
        <f t="shared" si="23"/>
        <v>45770</v>
      </c>
      <c r="S41" s="7">
        <f t="shared" ca="1" si="24"/>
        <v>0</v>
      </c>
      <c r="T41" s="85">
        <f t="shared" si="27"/>
        <v>45783</v>
      </c>
      <c r="U41" s="85">
        <v>45787</v>
      </c>
      <c r="V41" s="7">
        <f t="shared" ca="1" si="25"/>
        <v>-4</v>
      </c>
      <c r="W41" s="85"/>
      <c r="X41" s="8"/>
    </row>
    <row r="42" spans="1:24" ht="14.5" hidden="1">
      <c r="A42" s="14">
        <v>72</v>
      </c>
      <c r="B42" s="146" t="s">
        <v>89</v>
      </c>
      <c r="C42" s="20"/>
      <c r="D42" s="312" t="s">
        <v>340</v>
      </c>
      <c r="E42" s="146" t="s">
        <v>242</v>
      </c>
      <c r="F42" s="146" t="s">
        <v>341</v>
      </c>
      <c r="G42" s="240">
        <v>45828</v>
      </c>
      <c r="H42" s="17"/>
      <c r="I42" s="86"/>
      <c r="J42" s="17">
        <v>445.65947712000008</v>
      </c>
      <c r="K42" s="18">
        <v>446</v>
      </c>
      <c r="L42" s="18">
        <v>446</v>
      </c>
      <c r="M42" s="40">
        <f t="shared" si="20"/>
        <v>-0.34052287999992359</v>
      </c>
      <c r="N42" s="40">
        <f t="shared" si="21"/>
        <v>-0.34052287999992359</v>
      </c>
      <c r="O42" s="204" t="s">
        <v>178</v>
      </c>
      <c r="P42" s="85">
        <f t="shared" si="22"/>
        <v>45768</v>
      </c>
      <c r="Q42" s="85">
        <v>45768</v>
      </c>
      <c r="R42" s="85">
        <f t="shared" si="23"/>
        <v>45770</v>
      </c>
      <c r="S42" s="7">
        <f t="shared" ca="1" si="24"/>
        <v>0</v>
      </c>
      <c r="T42" s="85">
        <f t="shared" si="27"/>
        <v>45783</v>
      </c>
      <c r="U42" s="85">
        <v>45775</v>
      </c>
      <c r="V42" s="7">
        <f t="shared" ca="1" si="25"/>
        <v>8</v>
      </c>
      <c r="W42" s="85"/>
      <c r="X42" s="8"/>
    </row>
    <row r="43" spans="1:24" ht="14.5" hidden="1">
      <c r="A43" s="14">
        <v>72</v>
      </c>
      <c r="B43" s="146" t="s">
        <v>89</v>
      </c>
      <c r="C43" s="20"/>
      <c r="D43" s="312" t="s">
        <v>342</v>
      </c>
      <c r="E43" s="146" t="s">
        <v>242</v>
      </c>
      <c r="F43" s="146" t="s">
        <v>334</v>
      </c>
      <c r="G43" s="240">
        <v>45828</v>
      </c>
      <c r="H43" s="17"/>
      <c r="I43" s="86"/>
      <c r="J43" s="17">
        <v>213.22468704000002</v>
      </c>
      <c r="K43" s="18">
        <v>213</v>
      </c>
      <c r="L43" s="18">
        <v>213</v>
      </c>
      <c r="M43" s="40">
        <f t="shared" si="20"/>
        <v>0.22468704000002049</v>
      </c>
      <c r="N43" s="40">
        <f t="shared" si="21"/>
        <v>0.22468704000002049</v>
      </c>
      <c r="O43" s="204" t="s">
        <v>178</v>
      </c>
      <c r="P43" s="85">
        <f t="shared" si="22"/>
        <v>45768</v>
      </c>
      <c r="Q43" s="85">
        <v>45768</v>
      </c>
      <c r="R43" s="85">
        <f t="shared" si="23"/>
        <v>45770</v>
      </c>
      <c r="S43" s="7">
        <f t="shared" ca="1" si="24"/>
        <v>0</v>
      </c>
      <c r="T43" s="85">
        <f t="shared" si="27"/>
        <v>45783</v>
      </c>
      <c r="U43" s="85">
        <v>45775</v>
      </c>
      <c r="V43" s="7">
        <f t="shared" ca="1" si="25"/>
        <v>8</v>
      </c>
      <c r="W43" s="85"/>
      <c r="X43" s="8"/>
    </row>
    <row r="44" spans="1:24" ht="14.5" hidden="1">
      <c r="A44" s="14">
        <v>72</v>
      </c>
      <c r="B44" s="146" t="s">
        <v>89</v>
      </c>
      <c r="C44" s="20"/>
      <c r="D44" s="312" t="s">
        <v>343</v>
      </c>
      <c r="E44" s="146" t="s">
        <v>242</v>
      </c>
      <c r="F44" s="146" t="s">
        <v>316</v>
      </c>
      <c r="G44" s="240">
        <v>45828</v>
      </c>
      <c r="H44" s="17"/>
      <c r="I44" s="86"/>
      <c r="J44" s="17">
        <v>244.29895968000005</v>
      </c>
      <c r="K44" s="18">
        <v>244</v>
      </c>
      <c r="L44" s="18">
        <v>244</v>
      </c>
      <c r="M44" s="40">
        <f t="shared" si="20"/>
        <v>0.29895968000005269</v>
      </c>
      <c r="N44" s="40">
        <f t="shared" si="21"/>
        <v>0.29895968000005269</v>
      </c>
      <c r="O44" s="204" t="s">
        <v>178</v>
      </c>
      <c r="P44" s="85">
        <f t="shared" si="22"/>
        <v>45768</v>
      </c>
      <c r="Q44" s="85">
        <v>45768</v>
      </c>
      <c r="R44" s="85">
        <f t="shared" si="23"/>
        <v>45770</v>
      </c>
      <c r="S44" s="7">
        <f t="shared" ca="1" si="24"/>
        <v>0</v>
      </c>
      <c r="T44" s="85">
        <f t="shared" si="27"/>
        <v>45783</v>
      </c>
      <c r="U44" s="85">
        <v>45775</v>
      </c>
      <c r="V44" s="7">
        <f t="shared" ca="1" si="25"/>
        <v>8</v>
      </c>
      <c r="W44" s="85"/>
      <c r="X44" s="8"/>
    </row>
    <row r="45" spans="1:24" ht="14.5" hidden="1">
      <c r="A45" s="14">
        <v>72</v>
      </c>
      <c r="B45" s="146" t="s">
        <v>89</v>
      </c>
      <c r="C45" s="20"/>
      <c r="D45" s="312" t="s">
        <v>344</v>
      </c>
      <c r="E45" s="146" t="s">
        <v>242</v>
      </c>
      <c r="F45" s="146" t="s">
        <v>332</v>
      </c>
      <c r="G45" s="240">
        <v>45828</v>
      </c>
      <c r="H45" s="17"/>
      <c r="I45" s="86"/>
      <c r="J45" s="17">
        <v>170.71493568000002</v>
      </c>
      <c r="K45" s="18">
        <v>171</v>
      </c>
      <c r="L45" s="18">
        <v>171</v>
      </c>
      <c r="M45" s="40">
        <f t="shared" si="20"/>
        <v>-0.28506431999997517</v>
      </c>
      <c r="N45" s="40">
        <f t="shared" si="21"/>
        <v>-0.28506431999997517</v>
      </c>
      <c r="O45" s="204" t="s">
        <v>178</v>
      </c>
      <c r="P45" s="85">
        <f t="shared" si="22"/>
        <v>45768</v>
      </c>
      <c r="Q45" s="85">
        <v>45768</v>
      </c>
      <c r="R45" s="85">
        <f t="shared" si="23"/>
        <v>45770</v>
      </c>
      <c r="S45" s="7">
        <f t="shared" ca="1" si="24"/>
        <v>0</v>
      </c>
      <c r="T45" s="85">
        <f t="shared" si="27"/>
        <v>45783</v>
      </c>
      <c r="U45" s="85">
        <v>45775</v>
      </c>
      <c r="V45" s="7">
        <f t="shared" ca="1" si="25"/>
        <v>8</v>
      </c>
      <c r="W45" s="85"/>
      <c r="X45" s="8"/>
    </row>
    <row r="46" spans="1:24" ht="14.5" hidden="1">
      <c r="A46" s="14">
        <v>72</v>
      </c>
      <c r="B46" s="146" t="s">
        <v>89</v>
      </c>
      <c r="C46" s="20"/>
      <c r="D46" s="312" t="s">
        <v>345</v>
      </c>
      <c r="E46" s="146" t="s">
        <v>242</v>
      </c>
      <c r="F46" s="146" t="s">
        <v>341</v>
      </c>
      <c r="G46" s="240">
        <v>45828</v>
      </c>
      <c r="H46" s="17"/>
      <c r="I46" s="86"/>
      <c r="J46" s="17">
        <v>317.88298368000011</v>
      </c>
      <c r="K46" s="18">
        <v>318</v>
      </c>
      <c r="L46" s="18">
        <v>318</v>
      </c>
      <c r="M46" s="40">
        <f t="shared" si="20"/>
        <v>-0.11701631999989104</v>
      </c>
      <c r="N46" s="40">
        <f t="shared" si="21"/>
        <v>-0.11701631999989104</v>
      </c>
      <c r="O46" s="204" t="s">
        <v>178</v>
      </c>
      <c r="P46" s="85">
        <f t="shared" si="22"/>
        <v>45768</v>
      </c>
      <c r="Q46" s="85">
        <v>45768</v>
      </c>
      <c r="R46" s="85">
        <f t="shared" si="23"/>
        <v>45770</v>
      </c>
      <c r="S46" s="7">
        <f t="shared" ca="1" si="24"/>
        <v>0</v>
      </c>
      <c r="T46" s="85">
        <f t="shared" si="27"/>
        <v>45783</v>
      </c>
      <c r="U46" s="85">
        <v>45775</v>
      </c>
      <c r="V46" s="7">
        <f t="shared" ca="1" si="25"/>
        <v>8</v>
      </c>
      <c r="W46" s="85"/>
      <c r="X46" s="8"/>
    </row>
    <row r="47" spans="1:24" ht="14.5" hidden="1">
      <c r="A47" s="14">
        <v>72</v>
      </c>
      <c r="B47" s="146" t="s">
        <v>89</v>
      </c>
      <c r="C47" s="20"/>
      <c r="D47" s="312" t="s">
        <v>346</v>
      </c>
      <c r="E47" s="146" t="s">
        <v>347</v>
      </c>
      <c r="F47" s="146" t="s">
        <v>348</v>
      </c>
      <c r="G47" s="240">
        <v>45828</v>
      </c>
      <c r="H47" s="17"/>
      <c r="I47" s="86"/>
      <c r="J47" s="17">
        <v>60</v>
      </c>
      <c r="K47" s="18">
        <v>60</v>
      </c>
      <c r="L47" s="18">
        <v>60</v>
      </c>
      <c r="M47" s="40">
        <f t="shared" si="20"/>
        <v>0</v>
      </c>
      <c r="N47" s="40">
        <f t="shared" si="21"/>
        <v>0</v>
      </c>
      <c r="O47" s="204" t="s">
        <v>178</v>
      </c>
      <c r="P47" s="85">
        <f t="shared" si="22"/>
        <v>45768</v>
      </c>
      <c r="Q47" s="85">
        <v>45770</v>
      </c>
      <c r="R47" s="85">
        <f t="shared" si="23"/>
        <v>45772</v>
      </c>
      <c r="S47" s="7">
        <f t="shared" ca="1" si="24"/>
        <v>-2</v>
      </c>
      <c r="T47" s="85">
        <f t="shared" si="27"/>
        <v>45783</v>
      </c>
      <c r="U47" s="85">
        <v>45780</v>
      </c>
      <c r="V47" s="7">
        <f t="shared" ca="1" si="25"/>
        <v>3</v>
      </c>
      <c r="W47" s="85"/>
      <c r="X47" s="8"/>
    </row>
    <row r="48" spans="1:24" ht="14.5" hidden="1">
      <c r="A48" s="14">
        <v>72</v>
      </c>
      <c r="B48" s="146" t="s">
        <v>89</v>
      </c>
      <c r="C48" s="20"/>
      <c r="D48" s="312" t="s">
        <v>349</v>
      </c>
      <c r="E48" s="146" t="s">
        <v>347</v>
      </c>
      <c r="F48" s="146" t="s">
        <v>154</v>
      </c>
      <c r="G48" s="240">
        <v>45828</v>
      </c>
      <c r="H48" s="17"/>
      <c r="I48" s="86"/>
      <c r="J48" s="17">
        <v>60</v>
      </c>
      <c r="K48" s="18">
        <v>60</v>
      </c>
      <c r="L48" s="18">
        <v>60</v>
      </c>
      <c r="M48" s="40">
        <f t="shared" si="20"/>
        <v>0</v>
      </c>
      <c r="N48" s="40">
        <f t="shared" si="21"/>
        <v>0</v>
      </c>
      <c r="O48" s="204" t="s">
        <v>178</v>
      </c>
      <c r="P48" s="85">
        <f t="shared" si="22"/>
        <v>45768</v>
      </c>
      <c r="Q48" s="85">
        <v>45770</v>
      </c>
      <c r="R48" s="85">
        <f t="shared" si="23"/>
        <v>45772</v>
      </c>
      <c r="S48" s="7">
        <f t="shared" ca="1" si="24"/>
        <v>-2</v>
      </c>
      <c r="T48" s="85">
        <f t="shared" si="27"/>
        <v>45783</v>
      </c>
      <c r="U48" s="85">
        <v>45780</v>
      </c>
      <c r="V48" s="7">
        <f t="shared" ca="1" si="25"/>
        <v>3</v>
      </c>
      <c r="W48" s="85"/>
      <c r="X48" s="8"/>
    </row>
    <row r="49" spans="1:24" ht="14.5" hidden="1">
      <c r="A49" s="14">
        <v>72</v>
      </c>
      <c r="B49" s="146" t="s">
        <v>89</v>
      </c>
      <c r="C49" s="20"/>
      <c r="D49" s="312" t="s">
        <v>350</v>
      </c>
      <c r="E49" s="146" t="s">
        <v>242</v>
      </c>
      <c r="F49" s="146" t="s">
        <v>348</v>
      </c>
      <c r="G49" s="240">
        <v>45828</v>
      </c>
      <c r="H49" s="17"/>
      <c r="I49" s="86"/>
      <c r="J49" s="17">
        <v>182.3581920662069</v>
      </c>
      <c r="K49" s="18">
        <v>182</v>
      </c>
      <c r="L49" s="18">
        <v>182</v>
      </c>
      <c r="M49" s="40">
        <f t="shared" si="20"/>
        <v>0.3581920662068967</v>
      </c>
      <c r="N49" s="40">
        <f t="shared" si="21"/>
        <v>0.3581920662068967</v>
      </c>
      <c r="O49" s="204" t="s">
        <v>178</v>
      </c>
      <c r="P49" s="85">
        <f t="shared" si="22"/>
        <v>45771</v>
      </c>
      <c r="Q49" s="85">
        <v>45770</v>
      </c>
      <c r="R49" s="85">
        <f t="shared" si="23"/>
        <v>45772</v>
      </c>
      <c r="S49" s="7">
        <f t="shared" ca="1" si="24"/>
        <v>1</v>
      </c>
      <c r="T49" s="85">
        <f>G49-30-12</f>
        <v>45786</v>
      </c>
      <c r="U49" s="85">
        <v>45793</v>
      </c>
      <c r="V49" s="7">
        <f t="shared" ca="1" si="25"/>
        <v>-7</v>
      </c>
      <c r="W49" s="85"/>
      <c r="X49" s="8"/>
    </row>
    <row r="50" spans="1:24" ht="14.5" hidden="1">
      <c r="A50" s="14">
        <v>72</v>
      </c>
      <c r="B50" s="146" t="s">
        <v>89</v>
      </c>
      <c r="C50" s="20"/>
      <c r="D50" s="312" t="s">
        <v>351</v>
      </c>
      <c r="E50" s="146" t="s">
        <v>242</v>
      </c>
      <c r="F50" s="146" t="s">
        <v>154</v>
      </c>
      <c r="G50" s="240">
        <v>45828</v>
      </c>
      <c r="H50" s="17"/>
      <c r="I50" s="86"/>
      <c r="J50" s="17">
        <v>390.76755442758628</v>
      </c>
      <c r="K50" s="18">
        <v>391</v>
      </c>
      <c r="L50" s="18">
        <v>391</v>
      </c>
      <c r="M50" s="40">
        <f t="shared" si="20"/>
        <v>-0.23244557241372377</v>
      </c>
      <c r="N50" s="40">
        <f t="shared" si="21"/>
        <v>-0.23244557241372377</v>
      </c>
      <c r="O50" s="204" t="s">
        <v>178</v>
      </c>
      <c r="P50" s="85">
        <f t="shared" si="22"/>
        <v>45771</v>
      </c>
      <c r="Q50" s="85">
        <v>45770</v>
      </c>
      <c r="R50" s="85">
        <f t="shared" si="23"/>
        <v>45772</v>
      </c>
      <c r="S50" s="7">
        <f t="shared" ca="1" si="24"/>
        <v>1</v>
      </c>
      <c r="T50" s="85">
        <f>G50-30-12</f>
        <v>45786</v>
      </c>
      <c r="U50" s="85">
        <v>45793</v>
      </c>
      <c r="V50" s="7">
        <f t="shared" ca="1" si="25"/>
        <v>-7</v>
      </c>
      <c r="W50" s="85"/>
      <c r="X50" s="8"/>
    </row>
    <row r="51" spans="1:24" ht="14.5" hidden="1">
      <c r="A51" s="14">
        <v>72</v>
      </c>
      <c r="B51" s="146" t="s">
        <v>89</v>
      </c>
      <c r="C51" s="20"/>
      <c r="D51" s="312" t="s">
        <v>352</v>
      </c>
      <c r="E51" s="146" t="s">
        <v>300</v>
      </c>
      <c r="F51" s="146" t="s">
        <v>348</v>
      </c>
      <c r="G51" s="240">
        <v>45828</v>
      </c>
      <c r="H51" s="17"/>
      <c r="I51" s="86"/>
      <c r="J51" s="17">
        <v>420</v>
      </c>
      <c r="K51" s="17">
        <v>420</v>
      </c>
      <c r="L51" s="18">
        <v>420</v>
      </c>
      <c r="M51" s="40">
        <f>+J51-L51</f>
        <v>0</v>
      </c>
      <c r="N51" s="40">
        <f t="shared" si="21"/>
        <v>0</v>
      </c>
      <c r="O51" s="301" t="s">
        <v>299</v>
      </c>
      <c r="P51" s="85">
        <f t="shared" si="22"/>
        <v>45768</v>
      </c>
      <c r="Q51" s="85">
        <v>45770</v>
      </c>
      <c r="R51" s="85">
        <f t="shared" si="23"/>
        <v>45772</v>
      </c>
      <c r="S51" s="7">
        <f t="shared" ca="1" si="24"/>
        <v>-2</v>
      </c>
      <c r="T51" s="85">
        <f t="shared" ref="T51:T58" si="28">G51-32-13</f>
        <v>45783</v>
      </c>
      <c r="U51" s="85">
        <v>45793</v>
      </c>
      <c r="V51" s="7">
        <f t="shared" ca="1" si="25"/>
        <v>-10</v>
      </c>
      <c r="W51" s="85"/>
      <c r="X51" s="8"/>
    </row>
    <row r="52" spans="1:24" ht="14.5" hidden="1">
      <c r="A52" s="14">
        <v>72</v>
      </c>
      <c r="B52" s="146" t="s">
        <v>89</v>
      </c>
      <c r="C52" s="20"/>
      <c r="D52" s="312" t="s">
        <v>353</v>
      </c>
      <c r="E52" s="146" t="s">
        <v>300</v>
      </c>
      <c r="F52" s="146" t="s">
        <v>154</v>
      </c>
      <c r="G52" s="240">
        <v>45828</v>
      </c>
      <c r="H52" s="17"/>
      <c r="I52" s="86"/>
      <c r="J52" s="17">
        <v>420</v>
      </c>
      <c r="K52" s="17">
        <v>420</v>
      </c>
      <c r="L52" s="18">
        <v>420</v>
      </c>
      <c r="M52" s="40">
        <f t="shared" si="20"/>
        <v>0</v>
      </c>
      <c r="N52" s="40">
        <f t="shared" si="21"/>
        <v>0</v>
      </c>
      <c r="O52" s="301" t="s">
        <v>299</v>
      </c>
      <c r="P52" s="85">
        <f t="shared" si="22"/>
        <v>45768</v>
      </c>
      <c r="Q52" s="85">
        <v>45770</v>
      </c>
      <c r="R52" s="85">
        <f t="shared" si="23"/>
        <v>45772</v>
      </c>
      <c r="S52" s="7">
        <f t="shared" ca="1" si="24"/>
        <v>-2</v>
      </c>
      <c r="T52" s="85">
        <f t="shared" si="28"/>
        <v>45783</v>
      </c>
      <c r="U52" s="85">
        <v>45793</v>
      </c>
      <c r="V52" s="7">
        <f t="shared" ca="1" si="25"/>
        <v>-10</v>
      </c>
      <c r="W52" s="85"/>
      <c r="X52" s="8"/>
    </row>
    <row r="53" spans="1:24" ht="14.5" hidden="1">
      <c r="A53" s="14">
        <v>72</v>
      </c>
      <c r="B53" s="146" t="s">
        <v>89</v>
      </c>
      <c r="C53" s="20"/>
      <c r="D53" s="312" t="s">
        <v>354</v>
      </c>
      <c r="E53" s="146" t="s">
        <v>300</v>
      </c>
      <c r="F53" s="146" t="s">
        <v>348</v>
      </c>
      <c r="G53" s="240">
        <v>45828</v>
      </c>
      <c r="H53" s="17"/>
      <c r="I53" s="86"/>
      <c r="J53" s="17">
        <v>420</v>
      </c>
      <c r="K53" s="17">
        <v>420</v>
      </c>
      <c r="L53" s="18">
        <v>420</v>
      </c>
      <c r="M53" s="40">
        <f t="shared" si="20"/>
        <v>0</v>
      </c>
      <c r="N53" s="40">
        <f t="shared" si="21"/>
        <v>0</v>
      </c>
      <c r="O53" s="301" t="s">
        <v>299</v>
      </c>
      <c r="P53" s="85">
        <f t="shared" si="22"/>
        <v>45768</v>
      </c>
      <c r="Q53" s="85">
        <v>45770</v>
      </c>
      <c r="R53" s="85">
        <f t="shared" si="23"/>
        <v>45772</v>
      </c>
      <c r="S53" s="7">
        <f t="shared" ca="1" si="24"/>
        <v>-2</v>
      </c>
      <c r="T53" s="85">
        <f t="shared" si="28"/>
        <v>45783</v>
      </c>
      <c r="U53" s="85">
        <v>45793</v>
      </c>
      <c r="V53" s="7">
        <f t="shared" ca="1" si="25"/>
        <v>-10</v>
      </c>
      <c r="W53" s="85"/>
      <c r="X53" s="8"/>
    </row>
    <row r="54" spans="1:24" ht="14.5" hidden="1">
      <c r="A54" s="14">
        <v>72</v>
      </c>
      <c r="B54" s="146" t="s">
        <v>89</v>
      </c>
      <c r="C54" s="20"/>
      <c r="D54" s="312" t="s">
        <v>355</v>
      </c>
      <c r="E54" s="146" t="s">
        <v>300</v>
      </c>
      <c r="F54" s="146" t="s">
        <v>154</v>
      </c>
      <c r="G54" s="240">
        <v>45828</v>
      </c>
      <c r="H54" s="17"/>
      <c r="I54" s="86"/>
      <c r="J54" s="17">
        <v>420</v>
      </c>
      <c r="K54" s="17">
        <v>420</v>
      </c>
      <c r="L54" s="18">
        <v>420</v>
      </c>
      <c r="M54" s="40">
        <f t="shared" si="20"/>
        <v>0</v>
      </c>
      <c r="N54" s="40">
        <f t="shared" si="21"/>
        <v>0</v>
      </c>
      <c r="O54" s="301" t="s">
        <v>299</v>
      </c>
      <c r="P54" s="85">
        <f t="shared" si="22"/>
        <v>45768</v>
      </c>
      <c r="Q54" s="85">
        <v>45770</v>
      </c>
      <c r="R54" s="85">
        <f t="shared" si="23"/>
        <v>45772</v>
      </c>
      <c r="S54" s="7">
        <f t="shared" ca="1" si="24"/>
        <v>-2</v>
      </c>
      <c r="T54" s="85">
        <f t="shared" si="28"/>
        <v>45783</v>
      </c>
      <c r="U54" s="85">
        <v>45793</v>
      </c>
      <c r="V54" s="7">
        <f t="shared" ca="1" si="25"/>
        <v>-10</v>
      </c>
      <c r="W54" s="85"/>
      <c r="X54" s="8"/>
    </row>
    <row r="55" spans="1:24" ht="14.5" hidden="1">
      <c r="A55" s="14">
        <v>72</v>
      </c>
      <c r="B55" s="146" t="s">
        <v>89</v>
      </c>
      <c r="C55" s="20"/>
      <c r="D55" s="312" t="s">
        <v>356</v>
      </c>
      <c r="E55" s="146" t="s">
        <v>300</v>
      </c>
      <c r="F55" s="146" t="s">
        <v>348</v>
      </c>
      <c r="G55" s="240">
        <v>45828</v>
      </c>
      <c r="H55" s="17"/>
      <c r="I55" s="86"/>
      <c r="J55" s="17">
        <v>420</v>
      </c>
      <c r="K55" s="17">
        <v>420</v>
      </c>
      <c r="L55" s="18">
        <v>420</v>
      </c>
      <c r="M55" s="40">
        <f t="shared" si="20"/>
        <v>0</v>
      </c>
      <c r="N55" s="40">
        <f t="shared" si="21"/>
        <v>0</v>
      </c>
      <c r="O55" s="301" t="s">
        <v>299</v>
      </c>
      <c r="P55" s="85">
        <f t="shared" si="22"/>
        <v>45768</v>
      </c>
      <c r="Q55" s="85">
        <v>45770</v>
      </c>
      <c r="R55" s="85">
        <f t="shared" si="23"/>
        <v>45772</v>
      </c>
      <c r="S55" s="7">
        <f t="shared" ca="1" si="24"/>
        <v>-2</v>
      </c>
      <c r="T55" s="85">
        <f t="shared" si="28"/>
        <v>45783</v>
      </c>
      <c r="U55" s="85">
        <v>45793</v>
      </c>
      <c r="V55" s="7">
        <f t="shared" ca="1" si="25"/>
        <v>-10</v>
      </c>
      <c r="W55" s="85"/>
      <c r="X55" s="8"/>
    </row>
    <row r="56" spans="1:24" ht="14.5" hidden="1">
      <c r="A56" s="14">
        <v>72</v>
      </c>
      <c r="B56" s="146" t="s">
        <v>89</v>
      </c>
      <c r="C56" s="20"/>
      <c r="D56" s="312" t="s">
        <v>357</v>
      </c>
      <c r="E56" s="146" t="s">
        <v>300</v>
      </c>
      <c r="F56" s="146" t="s">
        <v>154</v>
      </c>
      <c r="G56" s="240">
        <v>45828</v>
      </c>
      <c r="H56" s="17"/>
      <c r="I56" s="86"/>
      <c r="J56" s="17">
        <v>1120</v>
      </c>
      <c r="K56" s="17">
        <v>1120</v>
      </c>
      <c r="L56" s="18">
        <v>1120</v>
      </c>
      <c r="M56" s="40">
        <f t="shared" si="20"/>
        <v>0</v>
      </c>
      <c r="N56" s="40">
        <f t="shared" si="21"/>
        <v>0</v>
      </c>
      <c r="O56" s="301" t="s">
        <v>299</v>
      </c>
      <c r="P56" s="85">
        <f t="shared" si="22"/>
        <v>45768</v>
      </c>
      <c r="Q56" s="85">
        <v>45770</v>
      </c>
      <c r="R56" s="85">
        <f t="shared" si="23"/>
        <v>45772</v>
      </c>
      <c r="S56" s="7">
        <f t="shared" ca="1" si="24"/>
        <v>-2</v>
      </c>
      <c r="T56" s="85">
        <f t="shared" si="28"/>
        <v>45783</v>
      </c>
      <c r="U56" s="85">
        <v>45793</v>
      </c>
      <c r="V56" s="7">
        <f t="shared" ca="1" si="25"/>
        <v>-10</v>
      </c>
      <c r="W56" s="85"/>
      <c r="X56" s="8"/>
    </row>
    <row r="57" spans="1:24" ht="14.5" hidden="1">
      <c r="A57" s="14">
        <v>72</v>
      </c>
      <c r="B57" s="146" t="s">
        <v>89</v>
      </c>
      <c r="C57" s="20"/>
      <c r="D57" s="312" t="s">
        <v>358</v>
      </c>
      <c r="E57" s="146" t="s">
        <v>300</v>
      </c>
      <c r="F57" s="146" t="s">
        <v>348</v>
      </c>
      <c r="G57" s="240">
        <v>45828</v>
      </c>
      <c r="H57" s="17"/>
      <c r="I57" s="86"/>
      <c r="J57" s="17">
        <v>1420</v>
      </c>
      <c r="K57" s="17">
        <v>1420</v>
      </c>
      <c r="L57" s="18">
        <v>1420</v>
      </c>
      <c r="M57" s="40">
        <f t="shared" si="20"/>
        <v>0</v>
      </c>
      <c r="N57" s="40">
        <f t="shared" si="21"/>
        <v>0</v>
      </c>
      <c r="O57" s="301" t="s">
        <v>299</v>
      </c>
      <c r="P57" s="85">
        <f t="shared" si="22"/>
        <v>45768</v>
      </c>
      <c r="Q57" s="85">
        <v>45770</v>
      </c>
      <c r="R57" s="85">
        <f t="shared" si="23"/>
        <v>45772</v>
      </c>
      <c r="S57" s="7">
        <f t="shared" ca="1" si="24"/>
        <v>-2</v>
      </c>
      <c r="T57" s="85">
        <f t="shared" si="28"/>
        <v>45783</v>
      </c>
      <c r="U57" s="85">
        <v>45793</v>
      </c>
      <c r="V57" s="7">
        <f t="shared" ca="1" si="25"/>
        <v>-10</v>
      </c>
      <c r="W57" s="85"/>
      <c r="X57" s="8"/>
    </row>
    <row r="58" spans="1:24" ht="14.5" hidden="1">
      <c r="A58" s="14">
        <v>72</v>
      </c>
      <c r="B58" s="146" t="s">
        <v>89</v>
      </c>
      <c r="C58" s="20"/>
      <c r="D58" s="312" t="s">
        <v>359</v>
      </c>
      <c r="E58" s="146" t="s">
        <v>300</v>
      </c>
      <c r="F58" s="146" t="s">
        <v>154</v>
      </c>
      <c r="G58" s="240">
        <v>45828</v>
      </c>
      <c r="H58" s="17"/>
      <c r="I58" s="86"/>
      <c r="J58" s="17">
        <v>1420</v>
      </c>
      <c r="K58" s="17">
        <v>1420</v>
      </c>
      <c r="L58" s="18">
        <v>1420</v>
      </c>
      <c r="M58" s="40">
        <f t="shared" si="20"/>
        <v>0</v>
      </c>
      <c r="N58" s="40">
        <f t="shared" si="21"/>
        <v>0</v>
      </c>
      <c r="O58" s="301" t="s">
        <v>299</v>
      </c>
      <c r="P58" s="85">
        <f t="shared" si="22"/>
        <v>45768</v>
      </c>
      <c r="Q58" s="85">
        <v>45770</v>
      </c>
      <c r="R58" s="85">
        <f t="shared" si="23"/>
        <v>45772</v>
      </c>
      <c r="S58" s="7">
        <f t="shared" ca="1" si="24"/>
        <v>-2</v>
      </c>
      <c r="T58" s="85">
        <f t="shared" si="28"/>
        <v>45783</v>
      </c>
      <c r="U58" s="85">
        <v>45796</v>
      </c>
      <c r="V58" s="7">
        <f t="shared" ca="1" si="25"/>
        <v>-13</v>
      </c>
      <c r="W58" s="85"/>
      <c r="X58" s="8"/>
    </row>
    <row r="59" spans="1:24" ht="20.25" hidden="1" customHeight="1">
      <c r="A59" s="14">
        <v>72</v>
      </c>
      <c r="B59" s="146" t="s">
        <v>89</v>
      </c>
      <c r="C59" s="20"/>
      <c r="D59" s="312" t="s">
        <v>360</v>
      </c>
      <c r="E59" s="146" t="s">
        <v>300</v>
      </c>
      <c r="F59" s="146" t="s">
        <v>348</v>
      </c>
      <c r="G59" s="240">
        <v>45828</v>
      </c>
      <c r="H59" s="17"/>
      <c r="I59" s="86"/>
      <c r="J59" s="17">
        <v>900</v>
      </c>
      <c r="K59" s="18">
        <v>900</v>
      </c>
      <c r="L59" s="18">
        <v>910</v>
      </c>
      <c r="M59" s="40">
        <f t="shared" si="20"/>
        <v>-10</v>
      </c>
      <c r="N59" s="40">
        <f t="shared" si="21"/>
        <v>0</v>
      </c>
      <c r="O59" s="18" t="s">
        <v>892</v>
      </c>
      <c r="P59" s="85">
        <f t="shared" si="22"/>
        <v>45771</v>
      </c>
      <c r="Q59" s="85">
        <v>45785</v>
      </c>
      <c r="R59" s="85">
        <f t="shared" si="23"/>
        <v>45787</v>
      </c>
      <c r="S59" s="7">
        <f t="shared" ca="1" si="24"/>
        <v>-14</v>
      </c>
      <c r="T59" s="85">
        <f>G59-30-12</f>
        <v>45786</v>
      </c>
      <c r="U59" s="85">
        <v>45815</v>
      </c>
      <c r="V59" s="7">
        <f t="shared" ca="1" si="25"/>
        <v>-29</v>
      </c>
      <c r="W59" s="85"/>
      <c r="X59" s="8"/>
    </row>
    <row r="60" spans="1:24" ht="14.5" hidden="1">
      <c r="A60" s="14">
        <v>72</v>
      </c>
      <c r="B60" s="146" t="s">
        <v>89</v>
      </c>
      <c r="C60" s="20"/>
      <c r="D60" s="312" t="s">
        <v>361</v>
      </c>
      <c r="E60" s="146" t="s">
        <v>300</v>
      </c>
      <c r="F60" s="146" t="s">
        <v>154</v>
      </c>
      <c r="G60" s="240">
        <v>45828</v>
      </c>
      <c r="H60" s="17"/>
      <c r="I60" s="86"/>
      <c r="J60" s="17">
        <v>1080</v>
      </c>
      <c r="K60" s="18">
        <v>1080</v>
      </c>
      <c r="L60" s="18">
        <v>1100</v>
      </c>
      <c r="M60" s="40">
        <f t="shared" si="20"/>
        <v>-20</v>
      </c>
      <c r="N60" s="40">
        <f t="shared" si="21"/>
        <v>0</v>
      </c>
      <c r="O60" s="18" t="s">
        <v>892</v>
      </c>
      <c r="P60" s="85">
        <f t="shared" si="22"/>
        <v>45771</v>
      </c>
      <c r="Q60" s="85">
        <v>45785</v>
      </c>
      <c r="R60" s="85">
        <f t="shared" si="23"/>
        <v>45787</v>
      </c>
      <c r="S60" s="7">
        <f t="shared" ca="1" si="24"/>
        <v>-14</v>
      </c>
      <c r="T60" s="85">
        <f>G60-30-12</f>
        <v>45786</v>
      </c>
      <c r="U60" s="85">
        <v>45815</v>
      </c>
      <c r="V60" s="7">
        <f t="shared" ca="1" si="25"/>
        <v>-29</v>
      </c>
      <c r="W60" s="85"/>
      <c r="X60" s="8"/>
    </row>
    <row r="61" spans="1:24" ht="14.5" hidden="1">
      <c r="A61" s="14">
        <v>72</v>
      </c>
      <c r="B61" s="146" t="s">
        <v>89</v>
      </c>
      <c r="C61" s="20"/>
      <c r="D61" s="312" t="s">
        <v>362</v>
      </c>
      <c r="E61" s="146" t="s">
        <v>311</v>
      </c>
      <c r="F61" s="146" t="s">
        <v>348</v>
      </c>
      <c r="G61" s="240">
        <v>45828</v>
      </c>
      <c r="H61" s="17"/>
      <c r="I61" s="86"/>
      <c r="J61" s="17">
        <v>523.85437439999998</v>
      </c>
      <c r="K61" s="18">
        <v>524</v>
      </c>
      <c r="L61" s="18">
        <v>524</v>
      </c>
      <c r="M61" s="40">
        <f t="shared" si="20"/>
        <v>-0.14562560000001668</v>
      </c>
      <c r="N61" s="40">
        <f t="shared" si="21"/>
        <v>-0.14562560000001668</v>
      </c>
      <c r="O61" s="204" t="s">
        <v>178</v>
      </c>
      <c r="P61" s="85">
        <f t="shared" si="22"/>
        <v>45768</v>
      </c>
      <c r="Q61" s="85">
        <v>45785</v>
      </c>
      <c r="R61" s="85">
        <f t="shared" si="23"/>
        <v>45787</v>
      </c>
      <c r="S61" s="7">
        <f t="shared" ca="1" si="24"/>
        <v>-17</v>
      </c>
      <c r="T61" s="85">
        <f>G61-32-13</f>
        <v>45783</v>
      </c>
      <c r="U61" s="85">
        <v>45796</v>
      </c>
      <c r="V61" s="7">
        <f t="shared" ca="1" si="25"/>
        <v>-13</v>
      </c>
      <c r="W61" s="85"/>
      <c r="X61" s="8"/>
    </row>
    <row r="62" spans="1:24" ht="14.5" hidden="1">
      <c r="A62" s="14">
        <v>72</v>
      </c>
      <c r="B62" s="146" t="s">
        <v>89</v>
      </c>
      <c r="C62" s="20"/>
      <c r="D62" s="312" t="s">
        <v>363</v>
      </c>
      <c r="E62" s="146" t="s">
        <v>311</v>
      </c>
      <c r="F62" s="146" t="s">
        <v>348</v>
      </c>
      <c r="G62" s="240">
        <v>45828</v>
      </c>
      <c r="H62" s="17"/>
      <c r="I62" s="86"/>
      <c r="J62" s="17">
        <v>82.922193849600006</v>
      </c>
      <c r="K62" s="18">
        <v>83</v>
      </c>
      <c r="L62" s="18">
        <v>83</v>
      </c>
      <c r="M62" s="40">
        <f t="shared" si="20"/>
        <v>-7.7806150399993612E-2</v>
      </c>
      <c r="N62" s="40">
        <f t="shared" si="21"/>
        <v>-7.7806150399993612E-2</v>
      </c>
      <c r="O62" s="204" t="s">
        <v>178</v>
      </c>
      <c r="P62" s="85">
        <f t="shared" si="22"/>
        <v>45768</v>
      </c>
      <c r="Q62" s="85">
        <v>45785</v>
      </c>
      <c r="R62" s="85">
        <f t="shared" si="23"/>
        <v>45787</v>
      </c>
      <c r="S62" s="7">
        <f t="shared" ca="1" si="24"/>
        <v>-17</v>
      </c>
      <c r="T62" s="85">
        <f>G62-32-13</f>
        <v>45783</v>
      </c>
      <c r="U62" s="85">
        <v>45793</v>
      </c>
      <c r="V62" s="7">
        <f t="shared" ca="1" si="25"/>
        <v>-10</v>
      </c>
      <c r="W62" s="85"/>
      <c r="X62" s="8"/>
    </row>
    <row r="63" spans="1:24" ht="14.5" hidden="1">
      <c r="A63" s="14">
        <v>72</v>
      </c>
      <c r="B63" s="146" t="s">
        <v>89</v>
      </c>
      <c r="C63" s="20"/>
      <c r="D63" s="312" t="s">
        <v>364</v>
      </c>
      <c r="E63" s="146" t="s">
        <v>311</v>
      </c>
      <c r="F63" s="146" t="s">
        <v>154</v>
      </c>
      <c r="G63" s="240">
        <v>45828</v>
      </c>
      <c r="H63" s="17"/>
      <c r="I63" s="86"/>
      <c r="J63" s="17">
        <v>673.52705279999998</v>
      </c>
      <c r="K63" s="18">
        <v>674</v>
      </c>
      <c r="L63" s="18">
        <v>674</v>
      </c>
      <c r="M63" s="40">
        <f t="shared" si="20"/>
        <v>-0.47294720000002144</v>
      </c>
      <c r="N63" s="40">
        <f t="shared" si="21"/>
        <v>-0.47294720000002144</v>
      </c>
      <c r="O63" s="204" t="s">
        <v>178</v>
      </c>
      <c r="P63" s="85">
        <f t="shared" si="22"/>
        <v>45768</v>
      </c>
      <c r="Q63" s="85">
        <v>45785</v>
      </c>
      <c r="R63" s="85">
        <f t="shared" si="23"/>
        <v>45787</v>
      </c>
      <c r="S63" s="7">
        <f t="shared" ca="1" si="24"/>
        <v>-17</v>
      </c>
      <c r="T63" s="85">
        <f>G63-32-13</f>
        <v>45783</v>
      </c>
      <c r="U63" s="85">
        <v>45796</v>
      </c>
      <c r="V63" s="7">
        <f t="shared" ca="1" si="25"/>
        <v>-13</v>
      </c>
      <c r="W63" s="85"/>
      <c r="X63" s="8"/>
    </row>
    <row r="64" spans="1:24" ht="14.5" hidden="1">
      <c r="A64" s="14">
        <v>72</v>
      </c>
      <c r="B64" s="146" t="s">
        <v>89</v>
      </c>
      <c r="C64" s="20"/>
      <c r="D64" s="312" t="s">
        <v>365</v>
      </c>
      <c r="E64" s="146" t="s">
        <v>311</v>
      </c>
      <c r="F64" s="146" t="s">
        <v>154</v>
      </c>
      <c r="G64" s="240">
        <v>45828</v>
      </c>
      <c r="H64" s="17"/>
      <c r="I64" s="86"/>
      <c r="J64" s="17">
        <v>88.525085673600003</v>
      </c>
      <c r="K64" s="18">
        <v>89</v>
      </c>
      <c r="L64" s="18">
        <v>89</v>
      </c>
      <c r="M64" s="40">
        <f t="shared" si="20"/>
        <v>-0.47491432639999687</v>
      </c>
      <c r="N64" s="40">
        <f t="shared" si="21"/>
        <v>-0.47491432639999687</v>
      </c>
      <c r="O64" s="204" t="s">
        <v>178</v>
      </c>
      <c r="P64" s="85">
        <f t="shared" si="22"/>
        <v>45768</v>
      </c>
      <c r="Q64" s="85">
        <v>45785</v>
      </c>
      <c r="R64" s="85">
        <f t="shared" si="23"/>
        <v>45787</v>
      </c>
      <c r="S64" s="7">
        <f t="shared" ca="1" si="24"/>
        <v>-17</v>
      </c>
      <c r="T64" s="85">
        <f>G64-32-13</f>
        <v>45783</v>
      </c>
      <c r="U64" s="85">
        <v>45793</v>
      </c>
      <c r="V64" s="7">
        <f t="shared" ca="1" si="25"/>
        <v>-10</v>
      </c>
      <c r="W64" s="85"/>
      <c r="X64" s="8"/>
    </row>
    <row r="65" spans="1:24" ht="14.5" hidden="1">
      <c r="A65" s="14">
        <v>71</v>
      </c>
      <c r="B65" s="15" t="s">
        <v>99</v>
      </c>
      <c r="C65" s="20"/>
      <c r="D65" s="312" t="s">
        <v>366</v>
      </c>
      <c r="E65" s="146" t="s">
        <v>367</v>
      </c>
      <c r="F65" s="146" t="s">
        <v>156</v>
      </c>
      <c r="G65" s="240">
        <v>45828</v>
      </c>
      <c r="H65" s="17"/>
      <c r="I65" s="86"/>
      <c r="J65" s="17">
        <v>6489</v>
      </c>
      <c r="K65" s="18">
        <v>6489</v>
      </c>
      <c r="L65" s="18">
        <v>6758</v>
      </c>
      <c r="M65" s="40">
        <f>+J65-L65</f>
        <v>-269</v>
      </c>
      <c r="N65" s="40">
        <f>+J65-K65</f>
        <v>0</v>
      </c>
      <c r="O65" s="204" t="s">
        <v>178</v>
      </c>
      <c r="P65" s="85">
        <f t="shared" ref="P65:P72" si="29">T65-15</f>
        <v>45772</v>
      </c>
      <c r="Q65" s="85">
        <v>45794</v>
      </c>
      <c r="R65" s="85">
        <f>Q65+2</f>
        <v>45796</v>
      </c>
      <c r="S65" s="7">
        <f ca="1">+IF(Q65="",P65-TODAY(),P65-Q65)</f>
        <v>-22</v>
      </c>
      <c r="T65" s="85">
        <f>G65-32-9</f>
        <v>45787</v>
      </c>
      <c r="U65" s="85">
        <v>45813</v>
      </c>
      <c r="V65" s="7">
        <f ca="1">+IF(U65="",T65-TODAY(),T65-U65)</f>
        <v>-26</v>
      </c>
      <c r="W65" s="85">
        <v>45806</v>
      </c>
      <c r="X65" s="8"/>
    </row>
    <row r="66" spans="1:24" ht="14.5" hidden="1">
      <c r="A66" s="14">
        <v>71</v>
      </c>
      <c r="B66" s="15" t="s">
        <v>99</v>
      </c>
      <c r="C66" s="20"/>
      <c r="D66" s="312" t="s">
        <v>161</v>
      </c>
      <c r="E66" s="146" t="s">
        <v>367</v>
      </c>
      <c r="F66" s="146" t="s">
        <v>238</v>
      </c>
      <c r="G66" s="240">
        <v>45828</v>
      </c>
      <c r="H66" s="17"/>
      <c r="I66" s="86"/>
      <c r="J66" s="17">
        <v>2492.6</v>
      </c>
      <c r="K66" s="18">
        <v>2493</v>
      </c>
      <c r="L66" s="18">
        <v>2753</v>
      </c>
      <c r="M66" s="40">
        <f>+J66-L66</f>
        <v>-260.40000000000009</v>
      </c>
      <c r="N66" s="40">
        <f>+J66-K66</f>
        <v>-0.40000000000009095</v>
      </c>
      <c r="O66" s="204" t="s">
        <v>178</v>
      </c>
      <c r="P66" s="85">
        <f t="shared" si="29"/>
        <v>45772</v>
      </c>
      <c r="Q66" s="85">
        <v>45794</v>
      </c>
      <c r="R66" s="85">
        <f>Q66+2</f>
        <v>45796</v>
      </c>
      <c r="S66" s="7">
        <f ca="1">+IF(Q66="",P66-TODAY(),P66-Q66)</f>
        <v>-22</v>
      </c>
      <c r="T66" s="85">
        <f>G66-32-9</f>
        <v>45787</v>
      </c>
      <c r="U66" s="85">
        <v>45806</v>
      </c>
      <c r="V66" s="7">
        <f ca="1">+IF(U66="",T66-TODAY(),T66-U66)</f>
        <v>-19</v>
      </c>
      <c r="W66" s="85">
        <v>45801</v>
      </c>
      <c r="X66" s="8"/>
    </row>
    <row r="67" spans="1:24" ht="14.5" hidden="1">
      <c r="A67" s="14">
        <v>95</v>
      </c>
      <c r="B67" s="15" t="s">
        <v>134</v>
      </c>
      <c r="C67" s="20"/>
      <c r="D67" s="312" t="s">
        <v>821</v>
      </c>
      <c r="E67" s="146" t="s">
        <v>367</v>
      </c>
      <c r="F67" s="146" t="s">
        <v>162</v>
      </c>
      <c r="G67" s="240">
        <v>45833</v>
      </c>
      <c r="H67" s="17"/>
      <c r="I67" s="86"/>
      <c r="J67" s="17">
        <v>2492.6</v>
      </c>
      <c r="K67" s="18">
        <v>2500</v>
      </c>
      <c r="L67" s="18">
        <f>1540+850</f>
        <v>2390</v>
      </c>
      <c r="M67" s="40">
        <f>+J67-L67</f>
        <v>102.59999999999991</v>
      </c>
      <c r="N67" s="40">
        <f>+J67-K67</f>
        <v>-7.4000000000000909</v>
      </c>
      <c r="O67" s="204" t="s">
        <v>178</v>
      </c>
      <c r="P67" s="85">
        <f t="shared" si="29"/>
        <v>45784</v>
      </c>
      <c r="Q67" s="85">
        <v>45787</v>
      </c>
      <c r="R67" s="85">
        <f>Q67+2</f>
        <v>45789</v>
      </c>
      <c r="S67" s="7">
        <f ca="1">+IF(Q67="",P67-TODAY(),P67-Q67)</f>
        <v>-3</v>
      </c>
      <c r="T67" s="85">
        <f>G67-34</f>
        <v>45799</v>
      </c>
      <c r="U67" s="85">
        <v>45799</v>
      </c>
      <c r="V67" s="7">
        <f ca="1">+IF(U67="",T67-TODAY(),T67-U67)</f>
        <v>0</v>
      </c>
      <c r="W67" s="85">
        <v>45797</v>
      </c>
      <c r="X67" s="8"/>
    </row>
    <row r="68" spans="1:24" ht="14.5" hidden="1">
      <c r="A68" s="14">
        <v>95</v>
      </c>
      <c r="B68" s="15" t="s">
        <v>134</v>
      </c>
      <c r="C68" s="20"/>
      <c r="D68" s="312" t="s">
        <v>821</v>
      </c>
      <c r="E68" s="146" t="s">
        <v>367</v>
      </c>
      <c r="F68" s="146" t="s">
        <v>155</v>
      </c>
      <c r="G68" s="240">
        <v>45833</v>
      </c>
      <c r="H68" s="17"/>
      <c r="I68" s="86"/>
      <c r="J68" s="17">
        <v>2492.6</v>
      </c>
      <c r="K68" s="18">
        <v>2500</v>
      </c>
      <c r="L68" s="18">
        <v>2472</v>
      </c>
      <c r="M68" s="40">
        <f>+J68-L68</f>
        <v>20.599999999999909</v>
      </c>
      <c r="N68" s="40">
        <f>+J68-K68</f>
        <v>-7.4000000000000909</v>
      </c>
      <c r="O68" s="204" t="s">
        <v>178</v>
      </c>
      <c r="P68" s="85">
        <f t="shared" si="29"/>
        <v>45784</v>
      </c>
      <c r="Q68" s="85">
        <v>45787</v>
      </c>
      <c r="R68" s="85">
        <f>Q68+2</f>
        <v>45789</v>
      </c>
      <c r="S68" s="7">
        <f ca="1">+IF(Q68="",P68-TODAY(),P68-Q68)</f>
        <v>-3</v>
      </c>
      <c r="T68" s="85">
        <f>G68-34</f>
        <v>45799</v>
      </c>
      <c r="U68" s="85">
        <v>45798</v>
      </c>
      <c r="V68" s="7">
        <f ca="1">+IF(U68="",T68-TODAY(),T68-U68)</f>
        <v>1</v>
      </c>
      <c r="W68" s="85">
        <v>45801</v>
      </c>
      <c r="X68" s="8"/>
    </row>
    <row r="69" spans="1:24" ht="18.75" hidden="1" customHeight="1">
      <c r="A69" s="14">
        <v>95</v>
      </c>
      <c r="B69" s="15" t="s">
        <v>134</v>
      </c>
      <c r="C69" s="20"/>
      <c r="D69" s="312" t="s">
        <v>821</v>
      </c>
      <c r="E69" s="146" t="s">
        <v>367</v>
      </c>
      <c r="F69" s="146" t="s">
        <v>239</v>
      </c>
      <c r="G69" s="240">
        <v>45833</v>
      </c>
      <c r="H69" s="17"/>
      <c r="I69" s="86"/>
      <c r="J69" s="17">
        <v>2492.6</v>
      </c>
      <c r="K69" s="18">
        <v>2493</v>
      </c>
      <c r="L69" s="18">
        <v>2393</v>
      </c>
      <c r="M69" s="40">
        <f>+J69-L69</f>
        <v>99.599999999999909</v>
      </c>
      <c r="N69" s="40">
        <f>+J69-K69</f>
        <v>-0.40000000000009095</v>
      </c>
      <c r="O69" s="301" t="s">
        <v>219</v>
      </c>
      <c r="P69" s="85">
        <f t="shared" si="29"/>
        <v>45784</v>
      </c>
      <c r="Q69" s="85">
        <v>45772</v>
      </c>
      <c r="R69" s="85">
        <f>Q69+2</f>
        <v>45774</v>
      </c>
      <c r="S69" s="7">
        <f ca="1">+IF(Q69="",P69-TODAY(),P69-Q69)</f>
        <v>12</v>
      </c>
      <c r="T69" s="85">
        <f>G69-34</f>
        <v>45799</v>
      </c>
      <c r="U69" s="85">
        <v>45814</v>
      </c>
      <c r="V69" s="7">
        <f ca="1">+IF(U69="",T69-TODAY(),T69-U69)</f>
        <v>-15</v>
      </c>
      <c r="W69" s="85">
        <v>45799</v>
      </c>
      <c r="X69" s="8"/>
    </row>
    <row r="70" spans="1:24" ht="14.5" hidden="1">
      <c r="A70" s="14">
        <v>84</v>
      </c>
      <c r="B70" s="15" t="s">
        <v>59</v>
      </c>
      <c r="C70" s="20"/>
      <c r="D70" s="312" t="s">
        <v>268</v>
      </c>
      <c r="E70" s="146" t="s">
        <v>249</v>
      </c>
      <c r="F70" s="146" t="s">
        <v>255</v>
      </c>
      <c r="G70" s="240">
        <v>45865</v>
      </c>
      <c r="H70" s="17">
        <v>2165</v>
      </c>
      <c r="I70" s="218">
        <v>2.7</v>
      </c>
      <c r="J70" s="17">
        <f>H70*I70</f>
        <v>5845.5</v>
      </c>
      <c r="K70" s="18">
        <v>5846</v>
      </c>
      <c r="L70" s="18">
        <v>5846</v>
      </c>
      <c r="M70" s="40">
        <f t="shared" ref="M70:M95" si="30">+J70-L70</f>
        <v>-0.5</v>
      </c>
      <c r="N70" s="40">
        <f t="shared" ref="N70:N95" si="31">+J70-K70</f>
        <v>-0.5</v>
      </c>
      <c r="O70" s="302" t="s">
        <v>178</v>
      </c>
      <c r="P70" s="85">
        <f t="shared" si="29"/>
        <v>45785</v>
      </c>
      <c r="Q70" s="85">
        <v>45782</v>
      </c>
      <c r="R70" s="85">
        <f t="shared" ref="R70:R95" si="32">Q70+2</f>
        <v>45784</v>
      </c>
      <c r="S70" s="7">
        <f t="shared" ref="S70:S95" ca="1" si="33">+IF(Q70="",P70-TODAY(),P70-Q70)</f>
        <v>3</v>
      </c>
      <c r="T70" s="85">
        <f>G70-(52+13)</f>
        <v>45800</v>
      </c>
      <c r="U70" s="85">
        <v>45794</v>
      </c>
      <c r="V70" s="7">
        <f t="shared" ref="V70:V95" ca="1" si="34">+IF(U70="",T70-TODAY(),T70-U70)</f>
        <v>6</v>
      </c>
      <c r="W70" s="85"/>
      <c r="X70" s="8"/>
    </row>
    <row r="71" spans="1:24" ht="14.5" hidden="1">
      <c r="A71" s="14">
        <v>84</v>
      </c>
      <c r="B71" s="15" t="s">
        <v>59</v>
      </c>
      <c r="C71" s="20"/>
      <c r="D71" s="312" t="s">
        <v>268</v>
      </c>
      <c r="E71" s="146" t="s">
        <v>246</v>
      </c>
      <c r="F71" s="146" t="s">
        <v>255</v>
      </c>
      <c r="G71" s="240">
        <v>45865</v>
      </c>
      <c r="H71" s="17">
        <f>3165*2</f>
        <v>6330</v>
      </c>
      <c r="I71" s="15">
        <v>0.17499999999999999</v>
      </c>
      <c r="J71" s="17">
        <f>H71*I71</f>
        <v>1107.75</v>
      </c>
      <c r="K71" s="18">
        <v>1108</v>
      </c>
      <c r="L71" s="18">
        <v>1108</v>
      </c>
      <c r="M71" s="40">
        <f t="shared" si="30"/>
        <v>-0.25</v>
      </c>
      <c r="N71" s="40">
        <f t="shared" si="31"/>
        <v>-0.25</v>
      </c>
      <c r="O71" s="302" t="s">
        <v>178</v>
      </c>
      <c r="P71" s="85">
        <f t="shared" si="29"/>
        <v>45785</v>
      </c>
      <c r="Q71" s="85">
        <v>45782</v>
      </c>
      <c r="R71" s="85">
        <f t="shared" si="32"/>
        <v>45784</v>
      </c>
      <c r="S71" s="7">
        <f t="shared" ca="1" si="33"/>
        <v>3</v>
      </c>
      <c r="T71" s="85">
        <f>G71-(52+13)</f>
        <v>45800</v>
      </c>
      <c r="U71" s="85">
        <v>45794</v>
      </c>
      <c r="V71" s="7">
        <f t="shared" ca="1" si="34"/>
        <v>6</v>
      </c>
      <c r="W71" s="85"/>
      <c r="X71" s="8"/>
    </row>
    <row r="72" spans="1:24" ht="14.5" hidden="1">
      <c r="A72" s="14">
        <v>84</v>
      </c>
      <c r="B72" s="15" t="s">
        <v>59</v>
      </c>
      <c r="C72" s="20"/>
      <c r="D72" s="312" t="s">
        <v>268</v>
      </c>
      <c r="E72" s="146" t="s">
        <v>530</v>
      </c>
      <c r="F72" s="146" t="s">
        <v>255</v>
      </c>
      <c r="G72" s="240">
        <v>45865</v>
      </c>
      <c r="H72" s="17">
        <v>2268</v>
      </c>
      <c r="I72" s="15">
        <v>0.57399999999999995</v>
      </c>
      <c r="J72" s="17">
        <f>H72*I72</f>
        <v>1301.8319999999999</v>
      </c>
      <c r="K72" s="18">
        <v>1302</v>
      </c>
      <c r="L72" s="18">
        <v>1302</v>
      </c>
      <c r="M72" s="40">
        <f t="shared" si="30"/>
        <v>-0.16800000000012005</v>
      </c>
      <c r="N72" s="40">
        <f t="shared" si="31"/>
        <v>-0.16800000000012005</v>
      </c>
      <c r="O72" s="302" t="s">
        <v>178</v>
      </c>
      <c r="P72" s="85">
        <f t="shared" si="29"/>
        <v>45785</v>
      </c>
      <c r="Q72" s="85">
        <v>45782</v>
      </c>
      <c r="R72" s="85">
        <f t="shared" si="32"/>
        <v>45784</v>
      </c>
      <c r="S72" s="7">
        <f t="shared" ca="1" si="33"/>
        <v>3</v>
      </c>
      <c r="T72" s="85">
        <f>G72-(52+13)</f>
        <v>45800</v>
      </c>
      <c r="U72" s="85">
        <v>45794</v>
      </c>
      <c r="V72" s="7">
        <f t="shared" ca="1" si="34"/>
        <v>6</v>
      </c>
      <c r="W72" s="85"/>
      <c r="X72" s="8"/>
    </row>
    <row r="73" spans="1:24" ht="14.5" hidden="1">
      <c r="A73" s="14">
        <v>84</v>
      </c>
      <c r="B73" s="15" t="s">
        <v>59</v>
      </c>
      <c r="C73" s="17">
        <v>79</v>
      </c>
      <c r="D73" s="307" t="s">
        <v>81</v>
      </c>
      <c r="E73" s="146" t="s">
        <v>399</v>
      </c>
      <c r="F73" s="146" t="s">
        <v>291</v>
      </c>
      <c r="G73" s="240">
        <v>45865</v>
      </c>
      <c r="H73" s="17">
        <v>1488</v>
      </c>
      <c r="I73" s="86"/>
      <c r="J73" s="17">
        <f>H73</f>
        <v>1488</v>
      </c>
      <c r="K73" s="18">
        <v>1488</v>
      </c>
      <c r="L73" s="18">
        <v>1488</v>
      </c>
      <c r="M73" s="40">
        <f t="shared" si="30"/>
        <v>0</v>
      </c>
      <c r="N73" s="40">
        <f t="shared" si="31"/>
        <v>0</v>
      </c>
      <c r="O73" s="301" t="s">
        <v>292</v>
      </c>
      <c r="P73" s="85">
        <v>45797</v>
      </c>
      <c r="Q73" s="85">
        <v>45803</v>
      </c>
      <c r="R73" s="85">
        <f t="shared" si="32"/>
        <v>45805</v>
      </c>
      <c r="S73" s="7">
        <f t="shared" ca="1" si="33"/>
        <v>-6</v>
      </c>
      <c r="T73" s="85">
        <f>P73+30</f>
        <v>45827</v>
      </c>
      <c r="U73" s="85">
        <v>45820</v>
      </c>
      <c r="V73" s="7">
        <f t="shared" ca="1" si="34"/>
        <v>7</v>
      </c>
      <c r="W73" s="85"/>
      <c r="X73" s="8"/>
    </row>
    <row r="74" spans="1:24" ht="14.5" hidden="1">
      <c r="A74" s="14">
        <v>84</v>
      </c>
      <c r="B74" s="15" t="s">
        <v>59</v>
      </c>
      <c r="C74" s="17">
        <v>79</v>
      </c>
      <c r="D74" s="307" t="s">
        <v>81</v>
      </c>
      <c r="E74" s="146" t="s">
        <v>399</v>
      </c>
      <c r="F74" s="146" t="s">
        <v>293</v>
      </c>
      <c r="G74" s="240">
        <v>45865</v>
      </c>
      <c r="H74" s="17">
        <v>1488</v>
      </c>
      <c r="I74" s="86"/>
      <c r="J74" s="17">
        <f>H74</f>
        <v>1488</v>
      </c>
      <c r="K74" s="18">
        <v>1488</v>
      </c>
      <c r="L74" s="18">
        <v>1488</v>
      </c>
      <c r="M74" s="40">
        <f t="shared" si="30"/>
        <v>0</v>
      </c>
      <c r="N74" s="40">
        <f t="shared" si="31"/>
        <v>0</v>
      </c>
      <c r="O74" s="301" t="s">
        <v>292</v>
      </c>
      <c r="P74" s="85">
        <v>45797</v>
      </c>
      <c r="Q74" s="85">
        <v>45803</v>
      </c>
      <c r="R74" s="85">
        <f t="shared" si="32"/>
        <v>45805</v>
      </c>
      <c r="S74" s="7">
        <f t="shared" ca="1" si="33"/>
        <v>-6</v>
      </c>
      <c r="T74" s="85">
        <f>P74+30</f>
        <v>45827</v>
      </c>
      <c r="U74" s="85">
        <v>45820</v>
      </c>
      <c r="V74" s="7">
        <f t="shared" ca="1" si="34"/>
        <v>7</v>
      </c>
      <c r="W74" s="85"/>
      <c r="X74" s="8"/>
    </row>
    <row r="75" spans="1:24" ht="14.5" hidden="1">
      <c r="A75" s="14">
        <v>84</v>
      </c>
      <c r="B75" s="15" t="s">
        <v>59</v>
      </c>
      <c r="C75" s="17">
        <v>79</v>
      </c>
      <c r="D75" s="307" t="s">
        <v>81</v>
      </c>
      <c r="E75" s="146" t="s">
        <v>399</v>
      </c>
      <c r="F75" s="146" t="s">
        <v>294</v>
      </c>
      <c r="G75" s="240">
        <v>45865</v>
      </c>
      <c r="H75" s="17">
        <v>1488</v>
      </c>
      <c r="I75" s="86"/>
      <c r="J75" s="17">
        <f>H75</f>
        <v>1488</v>
      </c>
      <c r="K75" s="18">
        <v>1488</v>
      </c>
      <c r="L75" s="18">
        <v>1488</v>
      </c>
      <c r="M75" s="40">
        <f t="shared" si="30"/>
        <v>0</v>
      </c>
      <c r="N75" s="40">
        <f t="shared" si="31"/>
        <v>0</v>
      </c>
      <c r="O75" s="301" t="s">
        <v>292</v>
      </c>
      <c r="P75" s="85">
        <v>45797</v>
      </c>
      <c r="Q75" s="85">
        <v>45803</v>
      </c>
      <c r="R75" s="85">
        <f t="shared" si="32"/>
        <v>45805</v>
      </c>
      <c r="S75" s="7">
        <f t="shared" ca="1" si="33"/>
        <v>-6</v>
      </c>
      <c r="T75" s="85">
        <f>P75+30</f>
        <v>45827</v>
      </c>
      <c r="U75" s="85">
        <v>45820</v>
      </c>
      <c r="V75" s="7">
        <f t="shared" ca="1" si="34"/>
        <v>7</v>
      </c>
      <c r="W75" s="85"/>
      <c r="X75" s="8"/>
    </row>
    <row r="76" spans="1:24" ht="14.5" hidden="1">
      <c r="A76" s="14">
        <v>84</v>
      </c>
      <c r="B76" s="15" t="s">
        <v>59</v>
      </c>
      <c r="C76" s="20"/>
      <c r="D76" s="310" t="s">
        <v>288</v>
      </c>
      <c r="E76" s="146" t="s">
        <v>289</v>
      </c>
      <c r="F76" s="146" t="s">
        <v>155</v>
      </c>
      <c r="G76" s="240">
        <v>45865</v>
      </c>
      <c r="H76" s="17">
        <v>2844</v>
      </c>
      <c r="I76" s="218">
        <v>0.62</v>
      </c>
      <c r="J76" s="17">
        <f t="shared" ref="J76:J87" si="35">H76*I76</f>
        <v>1763.28</v>
      </c>
      <c r="K76" s="18">
        <v>1763</v>
      </c>
      <c r="L76" s="18">
        <v>1763</v>
      </c>
      <c r="M76" s="40">
        <f t="shared" si="30"/>
        <v>0.27999999999997272</v>
      </c>
      <c r="N76" s="40">
        <f t="shared" si="31"/>
        <v>0.27999999999997272</v>
      </c>
      <c r="O76" s="302" t="s">
        <v>178</v>
      </c>
      <c r="P76" s="85">
        <v>45809</v>
      </c>
      <c r="Q76" s="85">
        <v>45803</v>
      </c>
      <c r="R76" s="85">
        <f t="shared" si="32"/>
        <v>45805</v>
      </c>
      <c r="S76" s="7">
        <f t="shared" ca="1" si="33"/>
        <v>6</v>
      </c>
      <c r="T76" s="85">
        <f t="shared" ref="T76:T81" si="36">P76+15</f>
        <v>45824</v>
      </c>
      <c r="U76" s="85">
        <v>45832</v>
      </c>
      <c r="V76" s="7">
        <f t="shared" ca="1" si="34"/>
        <v>-8</v>
      </c>
      <c r="W76" s="85"/>
      <c r="X76" s="8"/>
    </row>
    <row r="77" spans="1:24" ht="14.5" hidden="1">
      <c r="A77" s="14">
        <v>84</v>
      </c>
      <c r="B77" s="15" t="s">
        <v>59</v>
      </c>
      <c r="C77" s="20"/>
      <c r="D77" s="310" t="s">
        <v>288</v>
      </c>
      <c r="E77" s="146" t="s">
        <v>289</v>
      </c>
      <c r="F77" s="146" t="s">
        <v>154</v>
      </c>
      <c r="G77" s="240">
        <v>45865</v>
      </c>
      <c r="H77" s="17">
        <v>2370</v>
      </c>
      <c r="I77" s="218">
        <v>0.62</v>
      </c>
      <c r="J77" s="17">
        <f t="shared" si="35"/>
        <v>1469.4</v>
      </c>
      <c r="K77" s="18">
        <v>1469</v>
      </c>
      <c r="L77" s="18">
        <v>1469</v>
      </c>
      <c r="M77" s="40">
        <f t="shared" si="30"/>
        <v>0.40000000000009095</v>
      </c>
      <c r="N77" s="40">
        <f t="shared" si="31"/>
        <v>0.40000000000009095</v>
      </c>
      <c r="O77" s="302" t="s">
        <v>178</v>
      </c>
      <c r="P77" s="85">
        <v>45809</v>
      </c>
      <c r="Q77" s="85">
        <v>45803</v>
      </c>
      <c r="R77" s="85">
        <f t="shared" si="32"/>
        <v>45805</v>
      </c>
      <c r="S77" s="7">
        <f t="shared" ca="1" si="33"/>
        <v>6</v>
      </c>
      <c r="T77" s="85">
        <f t="shared" si="36"/>
        <v>45824</v>
      </c>
      <c r="U77" s="85">
        <v>45833</v>
      </c>
      <c r="V77" s="7">
        <f t="shared" ca="1" si="34"/>
        <v>-9</v>
      </c>
      <c r="W77" s="85"/>
      <c r="X77" s="8"/>
    </row>
    <row r="78" spans="1:24" ht="14.5" hidden="1">
      <c r="A78" s="14">
        <v>84</v>
      </c>
      <c r="B78" s="15" t="s">
        <v>59</v>
      </c>
      <c r="C78" s="20"/>
      <c r="D78" s="312" t="s">
        <v>288</v>
      </c>
      <c r="E78" s="146" t="s">
        <v>289</v>
      </c>
      <c r="F78" s="146" t="s">
        <v>156</v>
      </c>
      <c r="G78" s="240">
        <v>45865</v>
      </c>
      <c r="H78" s="17">
        <v>1896</v>
      </c>
      <c r="I78" s="218">
        <v>0.62</v>
      </c>
      <c r="J78" s="17">
        <f t="shared" si="35"/>
        <v>1175.52</v>
      </c>
      <c r="K78" s="18">
        <v>1176</v>
      </c>
      <c r="L78" s="18">
        <v>1176</v>
      </c>
      <c r="M78" s="40">
        <f t="shared" si="30"/>
        <v>-0.48000000000001819</v>
      </c>
      <c r="N78" s="40">
        <f t="shared" si="31"/>
        <v>-0.48000000000001819</v>
      </c>
      <c r="O78" s="302" t="s">
        <v>178</v>
      </c>
      <c r="P78" s="85">
        <v>45809</v>
      </c>
      <c r="Q78" s="85">
        <v>45797</v>
      </c>
      <c r="R78" s="85">
        <f t="shared" si="32"/>
        <v>45799</v>
      </c>
      <c r="S78" s="7">
        <f t="shared" ca="1" si="33"/>
        <v>12</v>
      </c>
      <c r="T78" s="85">
        <f t="shared" si="36"/>
        <v>45824</v>
      </c>
      <c r="U78" s="85">
        <v>45806</v>
      </c>
      <c r="V78" s="7">
        <f t="shared" ca="1" si="34"/>
        <v>18</v>
      </c>
      <c r="W78" s="85"/>
      <c r="X78" s="8"/>
    </row>
    <row r="79" spans="1:24" ht="14.5" hidden="1">
      <c r="A79" s="14">
        <v>84</v>
      </c>
      <c r="B79" s="15" t="s">
        <v>59</v>
      </c>
      <c r="C79" s="20"/>
      <c r="D79" s="307" t="s">
        <v>157</v>
      </c>
      <c r="E79" s="146" t="s">
        <v>243</v>
      </c>
      <c r="F79" s="146" t="s">
        <v>162</v>
      </c>
      <c r="G79" s="240">
        <v>45865</v>
      </c>
      <c r="H79" s="17">
        <v>402</v>
      </c>
      <c r="I79" s="218">
        <v>0.30599999999999999</v>
      </c>
      <c r="J79" s="17">
        <f t="shared" si="35"/>
        <v>123.012</v>
      </c>
      <c r="K79" s="18">
        <v>123</v>
      </c>
      <c r="L79" s="18">
        <v>123</v>
      </c>
      <c r="M79" s="40">
        <f t="shared" si="30"/>
        <v>1.2000000000000455E-2</v>
      </c>
      <c r="N79" s="40">
        <f t="shared" si="31"/>
        <v>1.2000000000000455E-2</v>
      </c>
      <c r="O79" s="301" t="s">
        <v>871</v>
      </c>
      <c r="P79" s="85">
        <f>T79-18</f>
        <v>45812</v>
      </c>
      <c r="Q79" s="85">
        <v>45813</v>
      </c>
      <c r="R79" s="85">
        <f t="shared" si="32"/>
        <v>45815</v>
      </c>
      <c r="S79" s="7">
        <f t="shared" ca="1" si="33"/>
        <v>-1</v>
      </c>
      <c r="T79" s="85">
        <f>G79-35</f>
        <v>45830</v>
      </c>
      <c r="U79" s="85">
        <v>45834</v>
      </c>
      <c r="V79" s="7">
        <f t="shared" ca="1" si="34"/>
        <v>-4</v>
      </c>
      <c r="W79" s="85"/>
      <c r="X79" s="8"/>
    </row>
    <row r="80" spans="1:24" ht="14.5" hidden="1">
      <c r="A80" s="14">
        <v>84</v>
      </c>
      <c r="B80" s="15" t="s">
        <v>59</v>
      </c>
      <c r="C80" s="20"/>
      <c r="D80" s="307" t="s">
        <v>157</v>
      </c>
      <c r="E80" s="146" t="s">
        <v>243</v>
      </c>
      <c r="F80" s="146" t="s">
        <v>155</v>
      </c>
      <c r="G80" s="240">
        <v>45865</v>
      </c>
      <c r="H80" s="17">
        <v>402</v>
      </c>
      <c r="I80" s="218">
        <v>0.30599999999999999</v>
      </c>
      <c r="J80" s="17">
        <f t="shared" si="35"/>
        <v>123.012</v>
      </c>
      <c r="K80" s="18">
        <v>123</v>
      </c>
      <c r="L80" s="18">
        <v>123</v>
      </c>
      <c r="M80" s="40">
        <f t="shared" si="30"/>
        <v>1.2000000000000455E-2</v>
      </c>
      <c r="N80" s="40">
        <f t="shared" si="31"/>
        <v>1.2000000000000455E-2</v>
      </c>
      <c r="O80" s="301" t="s">
        <v>940</v>
      </c>
      <c r="P80" s="85">
        <f>T80-18</f>
        <v>45812</v>
      </c>
      <c r="Q80" s="85">
        <v>45813</v>
      </c>
      <c r="R80" s="85">
        <f t="shared" si="32"/>
        <v>45815</v>
      </c>
      <c r="S80" s="7">
        <f t="shared" ca="1" si="33"/>
        <v>-1</v>
      </c>
      <c r="T80" s="85">
        <f>G80-35</f>
        <v>45830</v>
      </c>
      <c r="U80" s="85">
        <v>45825</v>
      </c>
      <c r="V80" s="7">
        <f t="shared" ca="1" si="34"/>
        <v>5</v>
      </c>
      <c r="W80" s="85"/>
      <c r="X80" s="8"/>
    </row>
    <row r="81" spans="1:24" ht="14.5" hidden="1">
      <c r="A81" s="14">
        <v>84</v>
      </c>
      <c r="B81" s="15" t="s">
        <v>59</v>
      </c>
      <c r="C81" s="20"/>
      <c r="D81" s="307" t="s">
        <v>158</v>
      </c>
      <c r="E81" s="146" t="s">
        <v>242</v>
      </c>
      <c r="F81" s="146" t="s">
        <v>255</v>
      </c>
      <c r="G81" s="240">
        <v>45865</v>
      </c>
      <c r="H81" s="17">
        <v>496</v>
      </c>
      <c r="I81" s="86">
        <v>0.44</v>
      </c>
      <c r="J81" s="17">
        <f t="shared" si="35"/>
        <v>218.24</v>
      </c>
      <c r="K81" s="18">
        <v>218</v>
      </c>
      <c r="L81" s="18">
        <v>218</v>
      </c>
      <c r="M81" s="40">
        <f t="shared" si="30"/>
        <v>0.24000000000000909</v>
      </c>
      <c r="N81" s="40">
        <f t="shared" si="31"/>
        <v>0.24000000000000909</v>
      </c>
      <c r="O81" s="302" t="s">
        <v>178</v>
      </c>
      <c r="P81" s="85">
        <v>45809</v>
      </c>
      <c r="Q81" s="85">
        <v>45810</v>
      </c>
      <c r="R81" s="85">
        <f t="shared" si="32"/>
        <v>45812</v>
      </c>
      <c r="S81" s="7">
        <f t="shared" ca="1" si="33"/>
        <v>-1</v>
      </c>
      <c r="T81" s="85">
        <f t="shared" si="36"/>
        <v>45824</v>
      </c>
      <c r="U81" s="85">
        <v>45822</v>
      </c>
      <c r="V81" s="7">
        <f t="shared" ca="1" si="34"/>
        <v>2</v>
      </c>
      <c r="W81" s="85"/>
      <c r="X81" s="8"/>
    </row>
    <row r="82" spans="1:24" ht="14.5" hidden="1">
      <c r="A82" s="14">
        <v>84</v>
      </c>
      <c r="B82" s="15" t="s">
        <v>59</v>
      </c>
      <c r="C82" s="20"/>
      <c r="D82" s="312" t="s">
        <v>189</v>
      </c>
      <c r="E82" s="146" t="s">
        <v>312</v>
      </c>
      <c r="F82" s="146" t="s">
        <v>90</v>
      </c>
      <c r="G82" s="240">
        <v>45865</v>
      </c>
      <c r="H82" s="17">
        <v>544</v>
      </c>
      <c r="I82" s="218">
        <v>0.5</v>
      </c>
      <c r="J82" s="17">
        <f t="shared" si="35"/>
        <v>272</v>
      </c>
      <c r="K82" s="18">
        <v>272</v>
      </c>
      <c r="L82" s="18">
        <v>272</v>
      </c>
      <c r="M82" s="40">
        <f t="shared" si="30"/>
        <v>0</v>
      </c>
      <c r="N82" s="40">
        <f t="shared" si="31"/>
        <v>0</v>
      </c>
      <c r="O82" s="302" t="s">
        <v>178</v>
      </c>
      <c r="P82" s="85">
        <f>T82-15</f>
        <v>45806</v>
      </c>
      <c r="Q82" s="85">
        <v>45775</v>
      </c>
      <c r="R82" s="85">
        <f t="shared" si="32"/>
        <v>45777</v>
      </c>
      <c r="S82" s="7">
        <f t="shared" ca="1" si="33"/>
        <v>31</v>
      </c>
      <c r="T82" s="85">
        <f>G82-44</f>
        <v>45821</v>
      </c>
      <c r="U82" s="85">
        <v>45794</v>
      </c>
      <c r="V82" s="7">
        <f t="shared" ca="1" si="34"/>
        <v>27</v>
      </c>
      <c r="W82" s="85"/>
      <c r="X82" s="8"/>
    </row>
    <row r="83" spans="1:24" ht="14.5">
      <c r="A83" s="14">
        <v>84</v>
      </c>
      <c r="B83" s="15" t="s">
        <v>59</v>
      </c>
      <c r="C83" s="20"/>
      <c r="D83" s="307" t="s">
        <v>201</v>
      </c>
      <c r="E83" s="146" t="s">
        <v>247</v>
      </c>
      <c r="F83" s="146" t="s">
        <v>155</v>
      </c>
      <c r="G83" s="240">
        <v>45865</v>
      </c>
      <c r="H83" s="17">
        <f>4032*3</f>
        <v>12096</v>
      </c>
      <c r="I83" s="86">
        <v>0.28000000000000003</v>
      </c>
      <c r="J83" s="17">
        <v>1131</v>
      </c>
      <c r="K83" s="18">
        <v>1131</v>
      </c>
      <c r="L83" s="18">
        <v>1131</v>
      </c>
      <c r="M83" s="40">
        <f t="shared" si="30"/>
        <v>0</v>
      </c>
      <c r="N83" s="40">
        <f t="shared" si="31"/>
        <v>0</v>
      </c>
      <c r="O83" s="302" t="s">
        <v>178</v>
      </c>
      <c r="P83" s="85">
        <v>45797</v>
      </c>
      <c r="Q83" s="85">
        <v>45801</v>
      </c>
      <c r="R83" s="85">
        <f t="shared" si="32"/>
        <v>45803</v>
      </c>
      <c r="S83" s="7">
        <f t="shared" ca="1" si="33"/>
        <v>-4</v>
      </c>
      <c r="T83" s="85">
        <f>P83+15</f>
        <v>45812</v>
      </c>
      <c r="U83" s="85">
        <v>45829</v>
      </c>
      <c r="V83" s="7">
        <f t="shared" ca="1" si="34"/>
        <v>-17</v>
      </c>
      <c r="W83" s="85"/>
      <c r="X83" s="8"/>
    </row>
    <row r="84" spans="1:24" ht="14.5" hidden="1">
      <c r="A84" s="14">
        <v>84</v>
      </c>
      <c r="B84" s="15" t="s">
        <v>59</v>
      </c>
      <c r="C84" s="20"/>
      <c r="D84" s="311" t="s">
        <v>136</v>
      </c>
      <c r="E84" s="146" t="s">
        <v>247</v>
      </c>
      <c r="F84" s="146" t="s">
        <v>162</v>
      </c>
      <c r="G84" s="240">
        <v>45865</v>
      </c>
      <c r="H84" s="17">
        <v>1240</v>
      </c>
      <c r="I84" s="15">
        <v>0.28000000000000003</v>
      </c>
      <c r="J84" s="17">
        <f t="shared" si="35"/>
        <v>347.20000000000005</v>
      </c>
      <c r="K84" s="18">
        <v>347</v>
      </c>
      <c r="L84" s="18">
        <v>347</v>
      </c>
      <c r="M84" s="40">
        <f t="shared" si="30"/>
        <v>0.20000000000004547</v>
      </c>
      <c r="N84" s="40">
        <f t="shared" si="31"/>
        <v>0.20000000000004547</v>
      </c>
      <c r="O84" s="301" t="s">
        <v>265</v>
      </c>
      <c r="P84" s="85">
        <v>45797</v>
      </c>
      <c r="Q84" s="85">
        <v>45798</v>
      </c>
      <c r="R84" s="85">
        <f t="shared" si="32"/>
        <v>45800</v>
      </c>
      <c r="S84" s="7">
        <f t="shared" ca="1" si="33"/>
        <v>-1</v>
      </c>
      <c r="T84" s="85">
        <f>P84+15</f>
        <v>45812</v>
      </c>
      <c r="U84" s="85">
        <v>45814</v>
      </c>
      <c r="V84" s="7">
        <f t="shared" ca="1" si="34"/>
        <v>-2</v>
      </c>
      <c r="W84" s="85"/>
      <c r="X84" s="8"/>
    </row>
    <row r="85" spans="1:24" ht="14.5" hidden="1">
      <c r="A85" s="14">
        <v>84</v>
      </c>
      <c r="B85" s="15" t="s">
        <v>59</v>
      </c>
      <c r="C85" s="20"/>
      <c r="D85" s="311" t="s">
        <v>136</v>
      </c>
      <c r="E85" s="146" t="s">
        <v>247</v>
      </c>
      <c r="F85" s="146" t="s">
        <v>163</v>
      </c>
      <c r="G85" s="240">
        <v>45865</v>
      </c>
      <c r="H85" s="17">
        <v>1240</v>
      </c>
      <c r="I85" s="15">
        <v>0.28000000000000003</v>
      </c>
      <c r="J85" s="17">
        <f t="shared" si="35"/>
        <v>347.20000000000005</v>
      </c>
      <c r="K85" s="18">
        <v>347</v>
      </c>
      <c r="L85" s="18">
        <v>347</v>
      </c>
      <c r="M85" s="40">
        <f t="shared" si="30"/>
        <v>0.20000000000004547</v>
      </c>
      <c r="N85" s="40">
        <f t="shared" si="31"/>
        <v>0.20000000000004547</v>
      </c>
      <c r="O85" s="301" t="s">
        <v>265</v>
      </c>
      <c r="P85" s="85">
        <v>45797</v>
      </c>
      <c r="Q85" s="85">
        <v>45798</v>
      </c>
      <c r="R85" s="85">
        <f t="shared" si="32"/>
        <v>45800</v>
      </c>
      <c r="S85" s="7">
        <f t="shared" ca="1" si="33"/>
        <v>-1</v>
      </c>
      <c r="T85" s="85">
        <f>P85+15</f>
        <v>45812</v>
      </c>
      <c r="U85" s="85">
        <v>45818</v>
      </c>
      <c r="V85" s="7">
        <f t="shared" ca="1" si="34"/>
        <v>-6</v>
      </c>
      <c r="W85" s="85"/>
      <c r="X85" s="8"/>
    </row>
    <row r="86" spans="1:24" ht="14.5" hidden="1">
      <c r="A86" s="14">
        <v>84</v>
      </c>
      <c r="B86" s="15" t="s">
        <v>59</v>
      </c>
      <c r="C86" s="20"/>
      <c r="D86" s="311" t="s">
        <v>136</v>
      </c>
      <c r="E86" s="146" t="s">
        <v>247</v>
      </c>
      <c r="F86" s="146" t="s">
        <v>164</v>
      </c>
      <c r="G86" s="240">
        <v>45865</v>
      </c>
      <c r="H86" s="17">
        <v>1240</v>
      </c>
      <c r="I86" s="15">
        <v>0.28000000000000003</v>
      </c>
      <c r="J86" s="17">
        <f t="shared" si="35"/>
        <v>347.20000000000005</v>
      </c>
      <c r="K86" s="18">
        <v>347</v>
      </c>
      <c r="L86" s="18">
        <v>347</v>
      </c>
      <c r="M86" s="40">
        <f t="shared" si="30"/>
        <v>0.20000000000004547</v>
      </c>
      <c r="N86" s="40">
        <f t="shared" si="31"/>
        <v>0.20000000000004547</v>
      </c>
      <c r="O86" s="301" t="s">
        <v>265</v>
      </c>
      <c r="P86" s="85">
        <v>45797</v>
      </c>
      <c r="Q86" s="85">
        <v>45798</v>
      </c>
      <c r="R86" s="85">
        <f t="shared" si="32"/>
        <v>45800</v>
      </c>
      <c r="S86" s="7">
        <f t="shared" ca="1" si="33"/>
        <v>-1</v>
      </c>
      <c r="T86" s="85">
        <f>P86+15</f>
        <v>45812</v>
      </c>
      <c r="U86" s="85">
        <v>45814</v>
      </c>
      <c r="V86" s="7">
        <f t="shared" ca="1" si="34"/>
        <v>-2</v>
      </c>
      <c r="W86" s="85"/>
      <c r="X86" s="8"/>
    </row>
    <row r="87" spans="1:24" ht="14.5" hidden="1">
      <c r="A87" s="14">
        <v>90</v>
      </c>
      <c r="B87" s="15" t="s">
        <v>59</v>
      </c>
      <c r="C87" s="20"/>
      <c r="D87" s="307" t="s">
        <v>250</v>
      </c>
      <c r="E87" s="146" t="s">
        <v>269</v>
      </c>
      <c r="F87" s="146" t="s">
        <v>162</v>
      </c>
      <c r="G87" s="240">
        <v>45842</v>
      </c>
      <c r="H87" s="17">
        <v>1600</v>
      </c>
      <c r="I87" s="86">
        <v>2.8</v>
      </c>
      <c r="J87" s="17">
        <f t="shared" si="35"/>
        <v>4480</v>
      </c>
      <c r="K87" s="18">
        <v>4480</v>
      </c>
      <c r="L87" s="18">
        <v>4480</v>
      </c>
      <c r="M87" s="40">
        <f t="shared" si="30"/>
        <v>0</v>
      </c>
      <c r="N87" s="40">
        <f t="shared" si="31"/>
        <v>0</v>
      </c>
      <c r="O87" s="302" t="s">
        <v>178</v>
      </c>
      <c r="P87" s="85">
        <v>45801</v>
      </c>
      <c r="Q87" s="85">
        <v>45794</v>
      </c>
      <c r="R87" s="85">
        <f t="shared" si="32"/>
        <v>45796</v>
      </c>
      <c r="S87" s="7">
        <f t="shared" ca="1" si="33"/>
        <v>7</v>
      </c>
      <c r="T87" s="85">
        <f>P87+15</f>
        <v>45816</v>
      </c>
      <c r="U87" s="85">
        <v>45806</v>
      </c>
      <c r="V87" s="7">
        <f t="shared" ca="1" si="34"/>
        <v>10</v>
      </c>
      <c r="W87" s="85"/>
      <c r="X87" s="8"/>
    </row>
    <row r="88" spans="1:24" ht="14.5" hidden="1">
      <c r="A88" s="14">
        <v>90</v>
      </c>
      <c r="B88" s="15" t="s">
        <v>59</v>
      </c>
      <c r="C88" s="17">
        <v>79</v>
      </c>
      <c r="D88" s="307" t="s">
        <v>81</v>
      </c>
      <c r="E88" s="146" t="s">
        <v>399</v>
      </c>
      <c r="F88" s="146" t="s">
        <v>291</v>
      </c>
      <c r="G88" s="240">
        <v>45842</v>
      </c>
      <c r="H88" s="17">
        <v>1752</v>
      </c>
      <c r="I88" s="86"/>
      <c r="J88" s="17">
        <f>H88</f>
        <v>1752</v>
      </c>
      <c r="K88" s="18">
        <v>1752</v>
      </c>
      <c r="L88" s="18">
        <v>1752</v>
      </c>
      <c r="M88" s="40">
        <f t="shared" si="30"/>
        <v>0</v>
      </c>
      <c r="N88" s="40">
        <f t="shared" si="31"/>
        <v>0</v>
      </c>
      <c r="O88" s="301" t="s">
        <v>292</v>
      </c>
      <c r="P88" s="85">
        <v>45797</v>
      </c>
      <c r="Q88" s="85">
        <v>45803</v>
      </c>
      <c r="R88" s="85">
        <f t="shared" si="32"/>
        <v>45805</v>
      </c>
      <c r="S88" s="7">
        <f t="shared" ca="1" si="33"/>
        <v>-6</v>
      </c>
      <c r="T88" s="85">
        <f>P88+30</f>
        <v>45827</v>
      </c>
      <c r="U88" s="85">
        <v>45820</v>
      </c>
      <c r="V88" s="7">
        <f t="shared" ca="1" si="34"/>
        <v>7</v>
      </c>
      <c r="W88" s="85"/>
      <c r="X88" s="8"/>
    </row>
    <row r="89" spans="1:24" ht="14.5" hidden="1">
      <c r="A89" s="14">
        <v>90</v>
      </c>
      <c r="B89" s="15" t="s">
        <v>59</v>
      </c>
      <c r="C89" s="17">
        <v>79</v>
      </c>
      <c r="D89" s="307" t="s">
        <v>81</v>
      </c>
      <c r="E89" s="146" t="s">
        <v>399</v>
      </c>
      <c r="F89" s="146" t="s">
        <v>293</v>
      </c>
      <c r="G89" s="240">
        <v>45842</v>
      </c>
      <c r="H89" s="17">
        <v>1752</v>
      </c>
      <c r="I89" s="86"/>
      <c r="J89" s="17">
        <f>H89</f>
        <v>1752</v>
      </c>
      <c r="K89" s="18">
        <v>1752</v>
      </c>
      <c r="L89" s="18">
        <v>1752</v>
      </c>
      <c r="M89" s="40">
        <f t="shared" si="30"/>
        <v>0</v>
      </c>
      <c r="N89" s="40">
        <f t="shared" si="31"/>
        <v>0</v>
      </c>
      <c r="O89" s="301" t="s">
        <v>292</v>
      </c>
      <c r="P89" s="85">
        <v>45797</v>
      </c>
      <c r="Q89" s="85">
        <v>45803</v>
      </c>
      <c r="R89" s="85">
        <f t="shared" si="32"/>
        <v>45805</v>
      </c>
      <c r="S89" s="7">
        <f t="shared" ca="1" si="33"/>
        <v>-6</v>
      </c>
      <c r="T89" s="85">
        <f>P89+30</f>
        <v>45827</v>
      </c>
      <c r="U89" s="85">
        <v>45820</v>
      </c>
      <c r="V89" s="7">
        <f t="shared" ca="1" si="34"/>
        <v>7</v>
      </c>
      <c r="W89" s="85"/>
      <c r="X89" s="8"/>
    </row>
    <row r="90" spans="1:24" ht="14.5" hidden="1">
      <c r="A90" s="14">
        <v>90</v>
      </c>
      <c r="B90" s="15" t="s">
        <v>59</v>
      </c>
      <c r="C90" s="17">
        <v>79</v>
      </c>
      <c r="D90" s="307" t="s">
        <v>81</v>
      </c>
      <c r="E90" s="146" t="s">
        <v>399</v>
      </c>
      <c r="F90" s="146" t="s">
        <v>294</v>
      </c>
      <c r="G90" s="240">
        <v>45842</v>
      </c>
      <c r="H90" s="17">
        <v>1752</v>
      </c>
      <c r="I90" s="86"/>
      <c r="J90" s="17">
        <f>H90</f>
        <v>1752</v>
      </c>
      <c r="K90" s="18">
        <v>1752</v>
      </c>
      <c r="L90" s="18">
        <v>1752</v>
      </c>
      <c r="M90" s="40">
        <f t="shared" si="30"/>
        <v>0</v>
      </c>
      <c r="N90" s="40">
        <f t="shared" si="31"/>
        <v>0</v>
      </c>
      <c r="O90" s="301" t="s">
        <v>292</v>
      </c>
      <c r="P90" s="85">
        <v>45797</v>
      </c>
      <c r="Q90" s="85">
        <v>45803</v>
      </c>
      <c r="R90" s="85">
        <f t="shared" si="32"/>
        <v>45805</v>
      </c>
      <c r="S90" s="7">
        <f t="shared" ca="1" si="33"/>
        <v>-6</v>
      </c>
      <c r="T90" s="85">
        <f>P90+30</f>
        <v>45827</v>
      </c>
      <c r="U90" s="85">
        <v>45820</v>
      </c>
      <c r="V90" s="7">
        <f t="shared" ca="1" si="34"/>
        <v>7</v>
      </c>
      <c r="W90" s="85"/>
      <c r="X90" s="8"/>
    </row>
    <row r="91" spans="1:24" ht="14.5" hidden="1">
      <c r="A91" s="14">
        <v>90</v>
      </c>
      <c r="B91" s="15" t="s">
        <v>59</v>
      </c>
      <c r="C91" s="20"/>
      <c r="D91" s="310" t="s">
        <v>288</v>
      </c>
      <c r="E91" s="146" t="s">
        <v>289</v>
      </c>
      <c r="F91" s="146" t="s">
        <v>155</v>
      </c>
      <c r="G91" s="240">
        <v>45842</v>
      </c>
      <c r="H91" s="17">
        <v>2088</v>
      </c>
      <c r="I91" s="218">
        <v>0.62</v>
      </c>
      <c r="J91" s="17">
        <f t="shared" ref="J91:J95" si="37">H91*I91</f>
        <v>1294.56</v>
      </c>
      <c r="K91" s="18">
        <v>1295</v>
      </c>
      <c r="L91" s="18">
        <v>1295</v>
      </c>
      <c r="M91" s="40">
        <f t="shared" si="30"/>
        <v>-0.44000000000005457</v>
      </c>
      <c r="N91" s="40">
        <f t="shared" si="31"/>
        <v>-0.44000000000005457</v>
      </c>
      <c r="O91" s="302" t="s">
        <v>178</v>
      </c>
      <c r="P91" s="85">
        <v>45809</v>
      </c>
      <c r="Q91" s="85">
        <v>45819</v>
      </c>
      <c r="R91" s="85">
        <f t="shared" si="32"/>
        <v>45821</v>
      </c>
      <c r="S91" s="7">
        <f t="shared" ca="1" si="33"/>
        <v>-10</v>
      </c>
      <c r="T91" s="85">
        <f>P91+15</f>
        <v>45824</v>
      </c>
      <c r="U91" s="85">
        <v>45822</v>
      </c>
      <c r="V91" s="7">
        <f t="shared" ca="1" si="34"/>
        <v>2</v>
      </c>
      <c r="W91" s="85"/>
      <c r="X91" s="8"/>
    </row>
    <row r="92" spans="1:24" ht="14.5" hidden="1">
      <c r="A92" s="14">
        <v>90</v>
      </c>
      <c r="B92" s="15" t="s">
        <v>59</v>
      </c>
      <c r="C92" s="20"/>
      <c r="D92" s="310" t="s">
        <v>288</v>
      </c>
      <c r="E92" s="146" t="s">
        <v>289</v>
      </c>
      <c r="F92" s="146" t="s">
        <v>154</v>
      </c>
      <c r="G92" s="240">
        <v>45842</v>
      </c>
      <c r="H92" s="17">
        <v>1740</v>
      </c>
      <c r="I92" s="218">
        <v>0.62</v>
      </c>
      <c r="J92" s="17">
        <f t="shared" si="37"/>
        <v>1078.8</v>
      </c>
      <c r="K92" s="18">
        <v>1079</v>
      </c>
      <c r="L92" s="18">
        <v>1079</v>
      </c>
      <c r="M92" s="40">
        <f t="shared" si="30"/>
        <v>-0.20000000000004547</v>
      </c>
      <c r="N92" s="40">
        <f t="shared" si="31"/>
        <v>-0.20000000000004547</v>
      </c>
      <c r="O92" s="302" t="s">
        <v>178</v>
      </c>
      <c r="P92" s="85">
        <v>45809</v>
      </c>
      <c r="Q92" s="85">
        <v>45813</v>
      </c>
      <c r="R92" s="85">
        <f t="shared" si="32"/>
        <v>45815</v>
      </c>
      <c r="S92" s="7">
        <f t="shared" ca="1" si="33"/>
        <v>-4</v>
      </c>
      <c r="T92" s="85">
        <f>P92+15</f>
        <v>45824</v>
      </c>
      <c r="U92" s="85">
        <v>45832</v>
      </c>
      <c r="V92" s="7">
        <f t="shared" ca="1" si="34"/>
        <v>-8</v>
      </c>
      <c r="W92" s="85"/>
      <c r="X92" s="8"/>
    </row>
    <row r="93" spans="1:24" ht="14.5" hidden="1">
      <c r="A93" s="14">
        <v>90</v>
      </c>
      <c r="B93" s="15" t="s">
        <v>59</v>
      </c>
      <c r="C93" s="20"/>
      <c r="D93" s="312" t="s">
        <v>288</v>
      </c>
      <c r="E93" s="146" t="s">
        <v>289</v>
      </c>
      <c r="F93" s="146" t="s">
        <v>156</v>
      </c>
      <c r="G93" s="240">
        <v>45842</v>
      </c>
      <c r="H93" s="17">
        <v>1392</v>
      </c>
      <c r="I93" s="218">
        <v>0.62</v>
      </c>
      <c r="J93" s="17">
        <f t="shared" si="37"/>
        <v>863.04</v>
      </c>
      <c r="K93" s="18">
        <v>863</v>
      </c>
      <c r="L93" s="18">
        <v>863</v>
      </c>
      <c r="M93" s="40">
        <f t="shared" si="30"/>
        <v>3.999999999996362E-2</v>
      </c>
      <c r="N93" s="40">
        <f t="shared" si="31"/>
        <v>3.999999999996362E-2</v>
      </c>
      <c r="O93" s="302" t="s">
        <v>178</v>
      </c>
      <c r="P93" s="85">
        <v>45809</v>
      </c>
      <c r="Q93" s="85">
        <v>45797</v>
      </c>
      <c r="R93" s="85">
        <f t="shared" si="32"/>
        <v>45799</v>
      </c>
      <c r="S93" s="7">
        <f t="shared" ca="1" si="33"/>
        <v>12</v>
      </c>
      <c r="T93" s="85">
        <f>P93+15</f>
        <v>45824</v>
      </c>
      <c r="U93" s="85">
        <v>45806</v>
      </c>
      <c r="V93" s="7">
        <f t="shared" ca="1" si="34"/>
        <v>18</v>
      </c>
      <c r="W93" s="85"/>
      <c r="X93" s="8"/>
    </row>
    <row r="94" spans="1:24" ht="14.5" hidden="1">
      <c r="A94" s="14">
        <v>90</v>
      </c>
      <c r="B94" s="15" t="s">
        <v>59</v>
      </c>
      <c r="C94" s="20"/>
      <c r="D94" s="307" t="s">
        <v>157</v>
      </c>
      <c r="E94" s="146" t="s">
        <v>243</v>
      </c>
      <c r="F94" s="146" t="s">
        <v>155</v>
      </c>
      <c r="G94" s="240">
        <v>45842</v>
      </c>
      <c r="H94" s="17">
        <v>252</v>
      </c>
      <c r="I94" s="218">
        <v>0.30599999999999999</v>
      </c>
      <c r="J94" s="17">
        <f t="shared" si="37"/>
        <v>77.111999999999995</v>
      </c>
      <c r="K94" s="18">
        <v>77</v>
      </c>
      <c r="L94" s="18">
        <v>77</v>
      </c>
      <c r="M94" s="40">
        <f t="shared" si="30"/>
        <v>0.11199999999999477</v>
      </c>
      <c r="N94" s="40">
        <f t="shared" si="31"/>
        <v>0.11199999999999477</v>
      </c>
      <c r="O94" s="301" t="s">
        <v>940</v>
      </c>
      <c r="P94" s="85">
        <f>T94-15</f>
        <v>45797</v>
      </c>
      <c r="Q94" s="85">
        <v>45813</v>
      </c>
      <c r="R94" s="85">
        <f t="shared" si="32"/>
        <v>45815</v>
      </c>
      <c r="S94" s="7">
        <f t="shared" ca="1" si="33"/>
        <v>-16</v>
      </c>
      <c r="T94" s="85">
        <f>G94-30</f>
        <v>45812</v>
      </c>
      <c r="U94" s="85">
        <v>45829</v>
      </c>
      <c r="V94" s="7">
        <f t="shared" ca="1" si="34"/>
        <v>-17</v>
      </c>
      <c r="W94" s="85"/>
      <c r="X94" s="8"/>
    </row>
    <row r="95" spans="1:24" ht="14.5" hidden="1">
      <c r="A95" s="14">
        <v>90</v>
      </c>
      <c r="B95" s="15" t="s">
        <v>59</v>
      </c>
      <c r="C95" s="20"/>
      <c r="D95" s="307" t="s">
        <v>158</v>
      </c>
      <c r="E95" s="146" t="s">
        <v>242</v>
      </c>
      <c r="F95" s="146" t="s">
        <v>255</v>
      </c>
      <c r="G95" s="240">
        <v>45842</v>
      </c>
      <c r="H95" s="17">
        <v>160</v>
      </c>
      <c r="I95" s="86">
        <v>0.46800000000000003</v>
      </c>
      <c r="J95" s="17">
        <f t="shared" si="37"/>
        <v>74.88000000000001</v>
      </c>
      <c r="K95" s="18">
        <v>75</v>
      </c>
      <c r="L95" s="18">
        <v>75</v>
      </c>
      <c r="M95" s="40">
        <f t="shared" si="30"/>
        <v>-0.11999999999999034</v>
      </c>
      <c r="N95" s="40">
        <f t="shared" si="31"/>
        <v>-0.11999999999999034</v>
      </c>
      <c r="O95" s="302" t="s">
        <v>178</v>
      </c>
      <c r="P95" s="85">
        <v>45809</v>
      </c>
      <c r="Q95" s="85">
        <v>45806</v>
      </c>
      <c r="R95" s="85">
        <f t="shared" si="32"/>
        <v>45808</v>
      </c>
      <c r="S95" s="7">
        <f t="shared" ca="1" si="33"/>
        <v>3</v>
      </c>
      <c r="T95" s="85">
        <f t="shared" ref="T95" si="38">P95+15</f>
        <v>45824</v>
      </c>
      <c r="U95" s="85">
        <v>45812</v>
      </c>
      <c r="V95" s="7">
        <f t="shared" ca="1" si="34"/>
        <v>12</v>
      </c>
      <c r="W95" s="85"/>
      <c r="X95" s="8"/>
    </row>
    <row r="96" spans="1:24" ht="14.5" hidden="1">
      <c r="A96" s="14">
        <v>90</v>
      </c>
      <c r="B96" s="15" t="s">
        <v>59</v>
      </c>
      <c r="C96" s="20"/>
      <c r="D96" s="312" t="s">
        <v>190</v>
      </c>
      <c r="E96" s="146" t="s">
        <v>242</v>
      </c>
      <c r="F96" s="146" t="s">
        <v>244</v>
      </c>
      <c r="G96" s="240">
        <v>45842</v>
      </c>
      <c r="H96" s="17">
        <v>1188</v>
      </c>
      <c r="I96" s="86">
        <v>0.35</v>
      </c>
      <c r="J96" s="17">
        <f>H96*I96</f>
        <v>415.79999999999995</v>
      </c>
      <c r="K96" s="18">
        <v>416</v>
      </c>
      <c r="L96" s="18">
        <v>416</v>
      </c>
      <c r="M96" s="40">
        <f t="shared" ref="M96:M157" si="39">+J96-L96</f>
        <v>-0.20000000000004547</v>
      </c>
      <c r="N96" s="40">
        <f t="shared" ref="N96:N157" si="40">+J96-K96</f>
        <v>-0.20000000000004547</v>
      </c>
      <c r="O96" s="302" t="s">
        <v>178</v>
      </c>
      <c r="P96" s="85">
        <v>45782</v>
      </c>
      <c r="Q96" s="85">
        <v>45782</v>
      </c>
      <c r="R96" s="85">
        <f t="shared" ref="R96:R157" si="41">Q96+2</f>
        <v>45784</v>
      </c>
      <c r="S96" s="7">
        <f t="shared" ref="S96:S157" ca="1" si="42">+IF(Q96="",P96-TODAY(),P96-Q96)</f>
        <v>0</v>
      </c>
      <c r="T96" s="85">
        <f>P96+15</f>
        <v>45797</v>
      </c>
      <c r="U96" s="85">
        <v>45792</v>
      </c>
      <c r="V96" s="7">
        <f t="shared" ref="V96:V157" ca="1" si="43">+IF(U96="",T96-TODAY(),T96-U96)</f>
        <v>5</v>
      </c>
      <c r="W96" s="85">
        <v>45794</v>
      </c>
      <c r="X96" s="8"/>
    </row>
    <row r="97" spans="1:24" ht="14.5" hidden="1">
      <c r="A97" s="14">
        <v>91</v>
      </c>
      <c r="B97" s="15" t="s">
        <v>59</v>
      </c>
      <c r="C97" s="20"/>
      <c r="D97" s="311" t="s">
        <v>248</v>
      </c>
      <c r="E97" s="146" t="s">
        <v>270</v>
      </c>
      <c r="F97" s="146" t="s">
        <v>162</v>
      </c>
      <c r="G97" s="240">
        <v>45842</v>
      </c>
      <c r="H97" s="17">
        <v>1920</v>
      </c>
      <c r="I97" s="86">
        <v>1.8</v>
      </c>
      <c r="J97" s="17">
        <f>H97*I97</f>
        <v>3456</v>
      </c>
      <c r="K97" s="18">
        <v>3456</v>
      </c>
      <c r="L97" s="18">
        <v>3456</v>
      </c>
      <c r="M97" s="40">
        <f t="shared" si="39"/>
        <v>0</v>
      </c>
      <c r="N97" s="40">
        <f t="shared" si="40"/>
        <v>0</v>
      </c>
      <c r="O97" s="302" t="s">
        <v>178</v>
      </c>
      <c r="P97" s="85">
        <v>45801</v>
      </c>
      <c r="Q97" s="85">
        <v>45794</v>
      </c>
      <c r="R97" s="85">
        <f t="shared" si="41"/>
        <v>45796</v>
      </c>
      <c r="S97" s="7">
        <f t="shared" ca="1" si="42"/>
        <v>7</v>
      </c>
      <c r="T97" s="85">
        <f>P97+15</f>
        <v>45816</v>
      </c>
      <c r="U97" s="85">
        <v>45801</v>
      </c>
      <c r="V97" s="7">
        <f t="shared" ca="1" si="43"/>
        <v>15</v>
      </c>
      <c r="W97" s="85">
        <v>45813</v>
      </c>
      <c r="X97" s="8"/>
    </row>
    <row r="98" spans="1:24" ht="14.5" hidden="1">
      <c r="A98" s="14">
        <v>91</v>
      </c>
      <c r="B98" s="15" t="s">
        <v>59</v>
      </c>
      <c r="C98" s="20"/>
      <c r="D98" s="307" t="s">
        <v>136</v>
      </c>
      <c r="E98" s="146" t="s">
        <v>247</v>
      </c>
      <c r="F98" s="146" t="s">
        <v>162</v>
      </c>
      <c r="G98" s="240">
        <v>45842</v>
      </c>
      <c r="H98" s="17">
        <v>2352</v>
      </c>
      <c r="I98" s="15">
        <v>0.28000000000000003</v>
      </c>
      <c r="J98" s="17">
        <f>H98*I98</f>
        <v>658.56000000000006</v>
      </c>
      <c r="K98" s="18">
        <v>659</v>
      </c>
      <c r="L98" s="18">
        <v>659</v>
      </c>
      <c r="M98" s="40">
        <f t="shared" si="39"/>
        <v>-0.43999999999994088</v>
      </c>
      <c r="N98" s="40">
        <f t="shared" si="40"/>
        <v>-0.43999999999994088</v>
      </c>
      <c r="O98" s="301" t="s">
        <v>265</v>
      </c>
      <c r="P98" s="85">
        <v>45797</v>
      </c>
      <c r="Q98" s="85">
        <v>45798</v>
      </c>
      <c r="R98" s="85">
        <f t="shared" si="41"/>
        <v>45800</v>
      </c>
      <c r="S98" s="7">
        <f t="shared" ca="1" si="42"/>
        <v>-1</v>
      </c>
      <c r="T98" s="85">
        <f>P98+15</f>
        <v>45812</v>
      </c>
      <c r="U98" s="85">
        <v>45818</v>
      </c>
      <c r="V98" s="7">
        <f t="shared" ca="1" si="43"/>
        <v>-6</v>
      </c>
      <c r="W98" s="85"/>
      <c r="X98" s="8"/>
    </row>
    <row r="99" spans="1:24" ht="14.5" hidden="1">
      <c r="A99" s="14">
        <v>91</v>
      </c>
      <c r="B99" s="15" t="s">
        <v>59</v>
      </c>
      <c r="C99" s="20"/>
      <c r="D99" s="307" t="s">
        <v>136</v>
      </c>
      <c r="E99" s="146" t="s">
        <v>247</v>
      </c>
      <c r="F99" s="146" t="s">
        <v>163</v>
      </c>
      <c r="G99" s="240">
        <v>45842</v>
      </c>
      <c r="H99" s="17">
        <v>2352</v>
      </c>
      <c r="I99" s="15">
        <v>0.28000000000000003</v>
      </c>
      <c r="J99" s="17">
        <f>H99*I99</f>
        <v>658.56000000000006</v>
      </c>
      <c r="K99" s="18">
        <v>659</v>
      </c>
      <c r="L99" s="18">
        <v>659</v>
      </c>
      <c r="M99" s="40">
        <f t="shared" si="39"/>
        <v>-0.43999999999994088</v>
      </c>
      <c r="N99" s="40">
        <f t="shared" si="40"/>
        <v>-0.43999999999994088</v>
      </c>
      <c r="O99" s="301" t="s">
        <v>265</v>
      </c>
      <c r="P99" s="85">
        <v>45797</v>
      </c>
      <c r="Q99" s="85">
        <v>45798</v>
      </c>
      <c r="R99" s="85">
        <f t="shared" si="41"/>
        <v>45800</v>
      </c>
      <c r="S99" s="7">
        <f t="shared" ca="1" si="42"/>
        <v>-1</v>
      </c>
      <c r="T99" s="85">
        <f>P99+15</f>
        <v>45812</v>
      </c>
      <c r="U99" s="85">
        <v>45820</v>
      </c>
      <c r="V99" s="7">
        <f t="shared" ca="1" si="43"/>
        <v>-8</v>
      </c>
      <c r="W99" s="85"/>
      <c r="X99" s="8"/>
    </row>
    <row r="100" spans="1:24" ht="14.5" hidden="1">
      <c r="A100" s="14">
        <v>91</v>
      </c>
      <c r="B100" s="15" t="s">
        <v>59</v>
      </c>
      <c r="C100" s="20"/>
      <c r="D100" s="307" t="s">
        <v>136</v>
      </c>
      <c r="E100" s="146" t="s">
        <v>247</v>
      </c>
      <c r="F100" s="146" t="s">
        <v>164</v>
      </c>
      <c r="G100" s="240">
        <v>45842</v>
      </c>
      <c r="H100" s="17">
        <v>2352</v>
      </c>
      <c r="I100" s="15">
        <v>0.28000000000000003</v>
      </c>
      <c r="J100" s="17">
        <f>H100*I100</f>
        <v>658.56000000000006</v>
      </c>
      <c r="K100" s="18">
        <v>659</v>
      </c>
      <c r="L100" s="18">
        <v>659</v>
      </c>
      <c r="M100" s="40">
        <f t="shared" si="39"/>
        <v>-0.43999999999994088</v>
      </c>
      <c r="N100" s="40">
        <f t="shared" si="40"/>
        <v>-0.43999999999994088</v>
      </c>
      <c r="O100" s="301" t="s">
        <v>265</v>
      </c>
      <c r="P100" s="85">
        <v>45797</v>
      </c>
      <c r="Q100" s="85">
        <v>45798</v>
      </c>
      <c r="R100" s="85">
        <f t="shared" si="41"/>
        <v>45800</v>
      </c>
      <c r="S100" s="7">
        <f t="shared" ca="1" si="42"/>
        <v>-1</v>
      </c>
      <c r="T100" s="85">
        <f>P100+15</f>
        <v>45812</v>
      </c>
      <c r="U100" s="85">
        <v>45818</v>
      </c>
      <c r="V100" s="7">
        <f t="shared" ca="1" si="43"/>
        <v>-6</v>
      </c>
      <c r="W100" s="85"/>
      <c r="X100" s="8"/>
    </row>
    <row r="101" spans="1:24" ht="14.5" hidden="1">
      <c r="A101" s="14">
        <v>91</v>
      </c>
      <c r="B101" s="15" t="s">
        <v>59</v>
      </c>
      <c r="C101" s="20"/>
      <c r="D101" s="312" t="s">
        <v>195</v>
      </c>
      <c r="E101" s="146" t="s">
        <v>838</v>
      </c>
      <c r="F101" s="146" t="s">
        <v>162</v>
      </c>
      <c r="G101" s="240">
        <v>45842</v>
      </c>
      <c r="H101" s="17">
        <v>4464</v>
      </c>
      <c r="I101" s="86">
        <v>0.44</v>
      </c>
      <c r="J101" s="17">
        <v>1004</v>
      </c>
      <c r="K101" s="18">
        <v>1004</v>
      </c>
      <c r="L101" s="18">
        <v>1004</v>
      </c>
      <c r="M101" s="40">
        <f t="shared" si="39"/>
        <v>0</v>
      </c>
      <c r="N101" s="40">
        <f t="shared" si="40"/>
        <v>0</v>
      </c>
      <c r="O101" s="301" t="s">
        <v>259</v>
      </c>
      <c r="P101" s="85">
        <f>T101-15</f>
        <v>45793</v>
      </c>
      <c r="Q101" s="85">
        <v>45787</v>
      </c>
      <c r="R101" s="85">
        <f t="shared" si="41"/>
        <v>45789</v>
      </c>
      <c r="S101" s="7">
        <f t="shared" ca="1" si="42"/>
        <v>6</v>
      </c>
      <c r="T101" s="85">
        <f>G101-34</f>
        <v>45808</v>
      </c>
      <c r="U101" s="85">
        <v>45787</v>
      </c>
      <c r="V101" s="7">
        <f t="shared" ca="1" si="43"/>
        <v>21</v>
      </c>
      <c r="W101" s="85"/>
      <c r="X101" s="8"/>
    </row>
    <row r="102" spans="1:24" ht="14.5" hidden="1">
      <c r="A102" s="14">
        <v>91</v>
      </c>
      <c r="B102" s="15" t="s">
        <v>59</v>
      </c>
      <c r="C102" s="20"/>
      <c r="D102" s="312" t="s">
        <v>189</v>
      </c>
      <c r="E102" s="146" t="s">
        <v>312</v>
      </c>
      <c r="F102" s="146" t="s">
        <v>90</v>
      </c>
      <c r="G102" s="240">
        <v>45842</v>
      </c>
      <c r="H102" s="17">
        <v>1412</v>
      </c>
      <c r="I102" s="218">
        <v>0.5</v>
      </c>
      <c r="J102" s="17">
        <f t="shared" ref="J102:J109" si="44">H102*I102</f>
        <v>706</v>
      </c>
      <c r="K102" s="18">
        <v>706</v>
      </c>
      <c r="L102" s="18">
        <v>706</v>
      </c>
      <c r="M102" s="40">
        <f t="shared" si="39"/>
        <v>0</v>
      </c>
      <c r="N102" s="40">
        <f t="shared" si="40"/>
        <v>0</v>
      </c>
      <c r="O102" s="302" t="s">
        <v>178</v>
      </c>
      <c r="P102" s="85">
        <f>T102-15</f>
        <v>45783</v>
      </c>
      <c r="Q102" s="85">
        <v>45775</v>
      </c>
      <c r="R102" s="85">
        <f t="shared" si="41"/>
        <v>45777</v>
      </c>
      <c r="S102" s="7">
        <f t="shared" ca="1" si="42"/>
        <v>8</v>
      </c>
      <c r="T102" s="85">
        <f>G102-44</f>
        <v>45798</v>
      </c>
      <c r="U102" s="85">
        <v>45792</v>
      </c>
      <c r="V102" s="7">
        <f t="shared" ca="1" si="43"/>
        <v>6</v>
      </c>
      <c r="W102" s="85"/>
      <c r="X102" s="8"/>
    </row>
    <row r="103" spans="1:24" ht="14.5" hidden="1">
      <c r="A103" s="14">
        <v>91</v>
      </c>
      <c r="B103" s="15" t="s">
        <v>59</v>
      </c>
      <c r="C103" s="20"/>
      <c r="D103" s="312" t="s">
        <v>190</v>
      </c>
      <c r="E103" s="146" t="s">
        <v>242</v>
      </c>
      <c r="F103" s="146" t="s">
        <v>244</v>
      </c>
      <c r="G103" s="240">
        <v>45842</v>
      </c>
      <c r="H103" s="17">
        <v>1408</v>
      </c>
      <c r="I103" s="86">
        <v>0.35</v>
      </c>
      <c r="J103" s="17">
        <f t="shared" si="44"/>
        <v>492.79999999999995</v>
      </c>
      <c r="K103" s="18">
        <v>493</v>
      </c>
      <c r="L103" s="18">
        <v>493</v>
      </c>
      <c r="M103" s="40">
        <f t="shared" si="39"/>
        <v>-0.20000000000004547</v>
      </c>
      <c r="N103" s="40">
        <f t="shared" si="40"/>
        <v>-0.20000000000004547</v>
      </c>
      <c r="O103" s="302" t="s">
        <v>178</v>
      </c>
      <c r="P103" s="85">
        <v>45782</v>
      </c>
      <c r="Q103" s="85">
        <v>45782</v>
      </c>
      <c r="R103" s="85">
        <f t="shared" si="41"/>
        <v>45784</v>
      </c>
      <c r="S103" s="7">
        <f t="shared" ca="1" si="42"/>
        <v>0</v>
      </c>
      <c r="T103" s="85">
        <f>P103+15</f>
        <v>45797</v>
      </c>
      <c r="U103" s="85">
        <v>45792</v>
      </c>
      <c r="V103" s="7">
        <f t="shared" ca="1" si="43"/>
        <v>5</v>
      </c>
      <c r="W103" s="85">
        <v>45794</v>
      </c>
      <c r="X103" s="8"/>
    </row>
    <row r="104" spans="1:24" ht="14.5" hidden="1">
      <c r="A104" s="14">
        <v>92</v>
      </c>
      <c r="B104" s="15" t="s">
        <v>59</v>
      </c>
      <c r="C104" s="20"/>
      <c r="D104" s="311" t="s">
        <v>248</v>
      </c>
      <c r="E104" s="146" t="s">
        <v>270</v>
      </c>
      <c r="F104" s="146" t="s">
        <v>162</v>
      </c>
      <c r="G104" s="240">
        <v>45856</v>
      </c>
      <c r="H104" s="17">
        <v>1512</v>
      </c>
      <c r="I104" s="86">
        <v>1.8</v>
      </c>
      <c r="J104" s="17">
        <f t="shared" si="44"/>
        <v>2721.6</v>
      </c>
      <c r="K104" s="18">
        <v>2722</v>
      </c>
      <c r="L104" s="18">
        <v>2722</v>
      </c>
      <c r="M104" s="40">
        <f t="shared" si="39"/>
        <v>-0.40000000000009095</v>
      </c>
      <c r="N104" s="40">
        <f t="shared" si="40"/>
        <v>-0.40000000000009095</v>
      </c>
      <c r="O104" s="302" t="s">
        <v>178</v>
      </c>
      <c r="P104" s="85">
        <v>45801</v>
      </c>
      <c r="Q104" s="85">
        <v>45794</v>
      </c>
      <c r="R104" s="85">
        <f t="shared" si="41"/>
        <v>45796</v>
      </c>
      <c r="S104" s="7">
        <f t="shared" ca="1" si="42"/>
        <v>7</v>
      </c>
      <c r="T104" s="85">
        <v>45816</v>
      </c>
      <c r="U104" s="85">
        <v>45819</v>
      </c>
      <c r="V104" s="7">
        <f t="shared" ca="1" si="43"/>
        <v>-3</v>
      </c>
      <c r="W104" s="85">
        <v>45820</v>
      </c>
      <c r="X104" s="8"/>
    </row>
    <row r="105" spans="1:24" ht="14.5" hidden="1">
      <c r="A105" s="14">
        <v>92</v>
      </c>
      <c r="B105" s="15" t="s">
        <v>59</v>
      </c>
      <c r="C105" s="20"/>
      <c r="D105" s="312" t="s">
        <v>189</v>
      </c>
      <c r="E105" s="146" t="s">
        <v>312</v>
      </c>
      <c r="F105" s="146" t="s">
        <v>90</v>
      </c>
      <c r="G105" s="240">
        <v>45856</v>
      </c>
      <c r="H105" s="17">
        <v>1412</v>
      </c>
      <c r="I105" s="218">
        <v>0.5</v>
      </c>
      <c r="J105" s="17">
        <f t="shared" si="44"/>
        <v>706</v>
      </c>
      <c r="K105" s="18">
        <v>706</v>
      </c>
      <c r="L105" s="18">
        <v>706</v>
      </c>
      <c r="M105" s="40">
        <f t="shared" si="39"/>
        <v>0</v>
      </c>
      <c r="N105" s="40">
        <f t="shared" si="40"/>
        <v>0</v>
      </c>
      <c r="O105" s="302" t="s">
        <v>178</v>
      </c>
      <c r="P105" s="85">
        <f>T105-15</f>
        <v>45797</v>
      </c>
      <c r="Q105" s="85">
        <v>45775</v>
      </c>
      <c r="R105" s="85">
        <f t="shared" si="41"/>
        <v>45777</v>
      </c>
      <c r="S105" s="7">
        <f t="shared" ca="1" si="42"/>
        <v>22</v>
      </c>
      <c r="T105" s="85">
        <f>G105-44</f>
        <v>45812</v>
      </c>
      <c r="U105" s="85">
        <v>45792</v>
      </c>
      <c r="V105" s="7">
        <f t="shared" ca="1" si="43"/>
        <v>20</v>
      </c>
      <c r="W105" s="85"/>
      <c r="X105" s="8"/>
    </row>
    <row r="106" spans="1:24" ht="14.5" hidden="1">
      <c r="A106" s="14">
        <v>92</v>
      </c>
      <c r="B106" s="15" t="s">
        <v>59</v>
      </c>
      <c r="C106" s="20"/>
      <c r="D106" s="307" t="s">
        <v>158</v>
      </c>
      <c r="E106" s="146" t="s">
        <v>242</v>
      </c>
      <c r="F106" s="146" t="s">
        <v>255</v>
      </c>
      <c r="G106" s="240">
        <v>45856</v>
      </c>
      <c r="H106" s="17">
        <v>1456</v>
      </c>
      <c r="I106" s="86">
        <v>0.44</v>
      </c>
      <c r="J106" s="17">
        <f t="shared" si="44"/>
        <v>640.64</v>
      </c>
      <c r="K106" s="18">
        <v>641</v>
      </c>
      <c r="L106" s="18">
        <v>641</v>
      </c>
      <c r="M106" s="40">
        <f t="shared" si="39"/>
        <v>-0.36000000000001364</v>
      </c>
      <c r="N106" s="40">
        <f t="shared" si="40"/>
        <v>-0.36000000000001364</v>
      </c>
      <c r="O106" s="302" t="s">
        <v>178</v>
      </c>
      <c r="P106" s="85">
        <v>45809</v>
      </c>
      <c r="Q106" s="85">
        <v>45810</v>
      </c>
      <c r="R106" s="85">
        <f t="shared" si="41"/>
        <v>45812</v>
      </c>
      <c r="S106" s="7">
        <f t="shared" ca="1" si="42"/>
        <v>-1</v>
      </c>
      <c r="T106" s="85">
        <f>P106+15</f>
        <v>45824</v>
      </c>
      <c r="U106" s="85">
        <v>45822</v>
      </c>
      <c r="V106" s="7">
        <f t="shared" ca="1" si="43"/>
        <v>2</v>
      </c>
      <c r="W106" s="85"/>
      <c r="X106" s="8"/>
    </row>
    <row r="107" spans="1:24" ht="14.5" hidden="1">
      <c r="A107" s="14">
        <v>93</v>
      </c>
      <c r="B107" s="15" t="s">
        <v>59</v>
      </c>
      <c r="C107" s="20"/>
      <c r="D107" s="311" t="s">
        <v>248</v>
      </c>
      <c r="E107" s="146" t="s">
        <v>270</v>
      </c>
      <c r="F107" s="146" t="s">
        <v>162</v>
      </c>
      <c r="G107" s="240">
        <v>45849</v>
      </c>
      <c r="H107" s="17">
        <v>300</v>
      </c>
      <c r="I107" s="86">
        <v>1.8</v>
      </c>
      <c r="J107" s="17">
        <f t="shared" si="44"/>
        <v>540</v>
      </c>
      <c r="K107" s="18">
        <v>540</v>
      </c>
      <c r="L107" s="18">
        <v>540</v>
      </c>
      <c r="M107" s="40">
        <f t="shared" si="39"/>
        <v>0</v>
      </c>
      <c r="N107" s="40">
        <f t="shared" si="40"/>
        <v>0</v>
      </c>
      <c r="O107" s="302" t="s">
        <v>178</v>
      </c>
      <c r="P107" s="85">
        <v>45801</v>
      </c>
      <c r="Q107" s="85">
        <v>45794</v>
      </c>
      <c r="R107" s="85">
        <f t="shared" si="41"/>
        <v>45796</v>
      </c>
      <c r="S107" s="7">
        <f t="shared" ca="1" si="42"/>
        <v>7</v>
      </c>
      <c r="T107" s="85">
        <f>P107+15</f>
        <v>45816</v>
      </c>
      <c r="U107" s="85">
        <v>45803</v>
      </c>
      <c r="V107" s="7">
        <f t="shared" ca="1" si="43"/>
        <v>13</v>
      </c>
      <c r="W107" s="85">
        <v>45813</v>
      </c>
      <c r="X107" s="8"/>
    </row>
    <row r="108" spans="1:24" ht="14.5" hidden="1">
      <c r="A108" s="14">
        <v>93</v>
      </c>
      <c r="B108" s="15" t="s">
        <v>59</v>
      </c>
      <c r="C108" s="20"/>
      <c r="D108" s="307" t="s">
        <v>193</v>
      </c>
      <c r="E108" s="146" t="s">
        <v>246</v>
      </c>
      <c r="F108" s="146" t="s">
        <v>162</v>
      </c>
      <c r="G108" s="240">
        <v>45849</v>
      </c>
      <c r="H108" s="17">
        <v>3165</v>
      </c>
      <c r="I108" s="86">
        <v>0.32</v>
      </c>
      <c r="J108" s="17">
        <f t="shared" si="44"/>
        <v>1012.8000000000001</v>
      </c>
      <c r="K108" s="18">
        <v>1013</v>
      </c>
      <c r="L108" s="18">
        <v>1013</v>
      </c>
      <c r="M108" s="40">
        <f t="shared" si="39"/>
        <v>-0.19999999999993179</v>
      </c>
      <c r="N108" s="40">
        <f t="shared" si="40"/>
        <v>-0.19999999999993179</v>
      </c>
      <c r="O108" s="302" t="s">
        <v>178</v>
      </c>
      <c r="P108" s="85">
        <v>45801</v>
      </c>
      <c r="Q108" s="85">
        <v>45794</v>
      </c>
      <c r="R108" s="85">
        <f t="shared" si="41"/>
        <v>45796</v>
      </c>
      <c r="S108" s="7">
        <f t="shared" ca="1" si="42"/>
        <v>7</v>
      </c>
      <c r="T108" s="85">
        <f>P108+15</f>
        <v>45816</v>
      </c>
      <c r="U108" s="85">
        <v>45801</v>
      </c>
      <c r="V108" s="7">
        <f t="shared" ca="1" si="43"/>
        <v>15</v>
      </c>
      <c r="W108" s="85"/>
      <c r="X108" s="8"/>
    </row>
    <row r="109" spans="1:24" ht="14.5" hidden="1">
      <c r="A109" s="14">
        <v>93</v>
      </c>
      <c r="B109" s="15" t="s">
        <v>59</v>
      </c>
      <c r="C109" s="20"/>
      <c r="D109" s="307" t="s">
        <v>250</v>
      </c>
      <c r="E109" s="146" t="s">
        <v>269</v>
      </c>
      <c r="F109" s="146" t="s">
        <v>162</v>
      </c>
      <c r="G109" s="240">
        <v>45849</v>
      </c>
      <c r="H109" s="17">
        <v>1300</v>
      </c>
      <c r="I109" s="86">
        <v>2.8</v>
      </c>
      <c r="J109" s="17">
        <f t="shared" si="44"/>
        <v>3639.9999999999995</v>
      </c>
      <c r="K109" s="18">
        <v>3640</v>
      </c>
      <c r="L109" s="18">
        <v>3640</v>
      </c>
      <c r="M109" s="40">
        <f t="shared" si="39"/>
        <v>0</v>
      </c>
      <c r="N109" s="40">
        <f t="shared" si="40"/>
        <v>0</v>
      </c>
      <c r="O109" s="302" t="s">
        <v>178</v>
      </c>
      <c r="P109" s="85">
        <v>45801</v>
      </c>
      <c r="Q109" s="85">
        <v>45794</v>
      </c>
      <c r="R109" s="85">
        <f t="shared" si="41"/>
        <v>45796</v>
      </c>
      <c r="S109" s="7">
        <f t="shared" ca="1" si="42"/>
        <v>7</v>
      </c>
      <c r="T109" s="85">
        <f>P109+15</f>
        <v>45816</v>
      </c>
      <c r="U109" s="85">
        <v>45813</v>
      </c>
      <c r="V109" s="7">
        <f t="shared" ca="1" si="43"/>
        <v>3</v>
      </c>
      <c r="W109" s="85"/>
      <c r="X109" s="8"/>
    </row>
    <row r="110" spans="1:24" ht="14.5" hidden="1">
      <c r="A110" s="14">
        <v>93</v>
      </c>
      <c r="B110" s="15" t="s">
        <v>59</v>
      </c>
      <c r="C110" s="17">
        <v>79</v>
      </c>
      <c r="D110" s="307" t="s">
        <v>81</v>
      </c>
      <c r="E110" s="146" t="s">
        <v>399</v>
      </c>
      <c r="F110" s="146" t="s">
        <v>291</v>
      </c>
      <c r="G110" s="240">
        <v>45849</v>
      </c>
      <c r="H110" s="17">
        <v>6336</v>
      </c>
      <c r="I110" s="86"/>
      <c r="J110" s="17">
        <f>H110</f>
        <v>6336</v>
      </c>
      <c r="K110" s="18">
        <v>6336</v>
      </c>
      <c r="L110" s="18">
        <v>6336</v>
      </c>
      <c r="M110" s="40">
        <f t="shared" si="39"/>
        <v>0</v>
      </c>
      <c r="N110" s="40">
        <f t="shared" si="40"/>
        <v>0</v>
      </c>
      <c r="O110" s="301" t="s">
        <v>292</v>
      </c>
      <c r="P110" s="85">
        <v>45797</v>
      </c>
      <c r="Q110" s="85">
        <v>45803</v>
      </c>
      <c r="R110" s="85">
        <f t="shared" si="41"/>
        <v>45805</v>
      </c>
      <c r="S110" s="7">
        <f t="shared" ca="1" si="42"/>
        <v>-6</v>
      </c>
      <c r="T110" s="85">
        <f>P110+30</f>
        <v>45827</v>
      </c>
      <c r="U110" s="85">
        <v>45820</v>
      </c>
      <c r="V110" s="7">
        <f t="shared" ca="1" si="43"/>
        <v>7</v>
      </c>
      <c r="W110" s="85"/>
      <c r="X110" s="8"/>
    </row>
    <row r="111" spans="1:24" ht="14.5" hidden="1">
      <c r="A111" s="14">
        <v>93</v>
      </c>
      <c r="B111" s="15" t="s">
        <v>59</v>
      </c>
      <c r="C111" s="17">
        <v>79</v>
      </c>
      <c r="D111" s="307" t="s">
        <v>81</v>
      </c>
      <c r="E111" s="146" t="s">
        <v>399</v>
      </c>
      <c r="F111" s="146" t="s">
        <v>293</v>
      </c>
      <c r="G111" s="240">
        <v>45849</v>
      </c>
      <c r="H111" s="17">
        <v>6336</v>
      </c>
      <c r="I111" s="86"/>
      <c r="J111" s="17">
        <f>H111</f>
        <v>6336</v>
      </c>
      <c r="K111" s="18">
        <v>6336</v>
      </c>
      <c r="L111" s="18">
        <v>6336</v>
      </c>
      <c r="M111" s="40">
        <f t="shared" si="39"/>
        <v>0</v>
      </c>
      <c r="N111" s="40">
        <f t="shared" si="40"/>
        <v>0</v>
      </c>
      <c r="O111" s="301" t="s">
        <v>292</v>
      </c>
      <c r="P111" s="85">
        <v>45797</v>
      </c>
      <c r="Q111" s="85">
        <v>45803</v>
      </c>
      <c r="R111" s="85">
        <f t="shared" si="41"/>
        <v>45805</v>
      </c>
      <c r="S111" s="7">
        <f t="shared" ca="1" si="42"/>
        <v>-6</v>
      </c>
      <c r="T111" s="85">
        <f>P111+30</f>
        <v>45827</v>
      </c>
      <c r="U111" s="85">
        <v>45820</v>
      </c>
      <c r="V111" s="7">
        <f t="shared" ca="1" si="43"/>
        <v>7</v>
      </c>
      <c r="W111" s="85"/>
      <c r="X111" s="8"/>
    </row>
    <row r="112" spans="1:24" ht="14.5" hidden="1">
      <c r="A112" s="14">
        <v>93</v>
      </c>
      <c r="B112" s="15" t="s">
        <v>59</v>
      </c>
      <c r="C112" s="17">
        <v>79</v>
      </c>
      <c r="D112" s="307" t="s">
        <v>81</v>
      </c>
      <c r="E112" s="146" t="s">
        <v>399</v>
      </c>
      <c r="F112" s="146" t="s">
        <v>294</v>
      </c>
      <c r="G112" s="240">
        <v>45849</v>
      </c>
      <c r="H112" s="17">
        <v>6336</v>
      </c>
      <c r="I112" s="86"/>
      <c r="J112" s="17">
        <f>H112</f>
        <v>6336</v>
      </c>
      <c r="K112" s="18">
        <v>6336</v>
      </c>
      <c r="L112" s="18">
        <v>6336</v>
      </c>
      <c r="M112" s="40">
        <f t="shared" si="39"/>
        <v>0</v>
      </c>
      <c r="N112" s="40">
        <f t="shared" si="40"/>
        <v>0</v>
      </c>
      <c r="O112" s="301" t="s">
        <v>292</v>
      </c>
      <c r="P112" s="85">
        <v>45797</v>
      </c>
      <c r="Q112" s="85">
        <v>45803</v>
      </c>
      <c r="R112" s="85">
        <f t="shared" si="41"/>
        <v>45805</v>
      </c>
      <c r="S112" s="7">
        <f t="shared" ca="1" si="42"/>
        <v>-6</v>
      </c>
      <c r="T112" s="85">
        <f>P112+30</f>
        <v>45827</v>
      </c>
      <c r="U112" s="85">
        <v>45820</v>
      </c>
      <c r="V112" s="7">
        <f t="shared" ca="1" si="43"/>
        <v>7</v>
      </c>
      <c r="W112" s="85"/>
      <c r="X112" s="8"/>
    </row>
    <row r="113" spans="1:24" ht="14.5" hidden="1">
      <c r="A113" s="14">
        <v>93</v>
      </c>
      <c r="B113" s="15" t="s">
        <v>59</v>
      </c>
      <c r="C113" s="20"/>
      <c r="D113" s="308" t="s">
        <v>288</v>
      </c>
      <c r="E113" s="146" t="s">
        <v>289</v>
      </c>
      <c r="F113" s="146" t="s">
        <v>155</v>
      </c>
      <c r="G113" s="240">
        <v>45849</v>
      </c>
      <c r="H113" s="17">
        <v>2088</v>
      </c>
      <c r="I113" s="218">
        <v>0.62</v>
      </c>
      <c r="J113" s="17">
        <f>H113*I113</f>
        <v>1294.56</v>
      </c>
      <c r="K113" s="18">
        <v>1295</v>
      </c>
      <c r="L113" s="18">
        <v>1295</v>
      </c>
      <c r="M113" s="40">
        <f t="shared" si="39"/>
        <v>-0.44000000000005457</v>
      </c>
      <c r="N113" s="40">
        <f t="shared" si="40"/>
        <v>-0.44000000000005457</v>
      </c>
      <c r="O113" s="302" t="s">
        <v>178</v>
      </c>
      <c r="P113" s="85">
        <v>45809</v>
      </c>
      <c r="Q113" s="85">
        <v>45819</v>
      </c>
      <c r="R113" s="85">
        <f t="shared" si="41"/>
        <v>45821</v>
      </c>
      <c r="S113" s="7">
        <f t="shared" ca="1" si="42"/>
        <v>-10</v>
      </c>
      <c r="T113" s="85">
        <f>P113+15</f>
        <v>45824</v>
      </c>
      <c r="U113" s="85">
        <v>45832</v>
      </c>
      <c r="V113" s="7">
        <f t="shared" ca="1" si="43"/>
        <v>-8</v>
      </c>
      <c r="W113" s="85"/>
      <c r="X113" s="8"/>
    </row>
    <row r="114" spans="1:24" ht="14.5" hidden="1">
      <c r="A114" s="14">
        <v>93</v>
      </c>
      <c r="B114" s="15" t="s">
        <v>59</v>
      </c>
      <c r="C114" s="20"/>
      <c r="D114" s="308" t="s">
        <v>288</v>
      </c>
      <c r="E114" s="146" t="s">
        <v>289</v>
      </c>
      <c r="F114" s="146" t="s">
        <v>154</v>
      </c>
      <c r="G114" s="240">
        <v>45849</v>
      </c>
      <c r="H114" s="17">
        <v>1740</v>
      </c>
      <c r="I114" s="218">
        <v>0.62</v>
      </c>
      <c r="J114" s="17">
        <f>H114*I114</f>
        <v>1078.8</v>
      </c>
      <c r="K114" s="18">
        <v>1079</v>
      </c>
      <c r="L114" s="18">
        <v>1079</v>
      </c>
      <c r="M114" s="40">
        <f t="shared" si="39"/>
        <v>-0.20000000000004547</v>
      </c>
      <c r="N114" s="40">
        <f t="shared" si="40"/>
        <v>-0.20000000000004547</v>
      </c>
      <c r="O114" s="302" t="s">
        <v>178</v>
      </c>
      <c r="P114" s="85">
        <v>45809</v>
      </c>
      <c r="Q114" s="85">
        <v>45813</v>
      </c>
      <c r="R114" s="85">
        <f t="shared" si="41"/>
        <v>45815</v>
      </c>
      <c r="S114" s="7">
        <f t="shared" ca="1" si="42"/>
        <v>-4</v>
      </c>
      <c r="T114" s="85">
        <f>P114+15</f>
        <v>45824</v>
      </c>
      <c r="U114" s="85">
        <v>45832</v>
      </c>
      <c r="V114" s="7">
        <f t="shared" ca="1" si="43"/>
        <v>-8</v>
      </c>
      <c r="W114" s="85"/>
      <c r="X114" s="8"/>
    </row>
    <row r="115" spans="1:24" ht="14.5" hidden="1">
      <c r="A115" s="14">
        <v>93</v>
      </c>
      <c r="B115" s="15" t="s">
        <v>59</v>
      </c>
      <c r="C115" s="20"/>
      <c r="D115" s="312" t="s">
        <v>288</v>
      </c>
      <c r="E115" s="146" t="s">
        <v>289</v>
      </c>
      <c r="F115" s="146" t="s">
        <v>156</v>
      </c>
      <c r="G115" s="240">
        <v>45849</v>
      </c>
      <c r="H115" s="17">
        <v>1392</v>
      </c>
      <c r="I115" s="218">
        <v>0.62</v>
      </c>
      <c r="J115" s="17">
        <f>H115*I115</f>
        <v>863.04</v>
      </c>
      <c r="K115" s="18">
        <v>863</v>
      </c>
      <c r="L115" s="18">
        <v>863</v>
      </c>
      <c r="M115" s="40">
        <f t="shared" si="39"/>
        <v>3.999999999996362E-2</v>
      </c>
      <c r="N115" s="40">
        <f t="shared" si="40"/>
        <v>3.999999999996362E-2</v>
      </c>
      <c r="O115" s="302" t="s">
        <v>178</v>
      </c>
      <c r="P115" s="85">
        <v>45809</v>
      </c>
      <c r="Q115" s="85">
        <v>45797</v>
      </c>
      <c r="R115" s="85">
        <f t="shared" si="41"/>
        <v>45799</v>
      </c>
      <c r="S115" s="7">
        <f t="shared" ca="1" si="42"/>
        <v>12</v>
      </c>
      <c r="T115" s="85">
        <f>P115+15</f>
        <v>45824</v>
      </c>
      <c r="U115" s="85">
        <v>45806</v>
      </c>
      <c r="V115" s="7">
        <f t="shared" ca="1" si="43"/>
        <v>18</v>
      </c>
      <c r="W115" s="85"/>
      <c r="X115" s="8"/>
    </row>
    <row r="116" spans="1:24" ht="14.5" hidden="1">
      <c r="A116" s="14">
        <v>93</v>
      </c>
      <c r="B116" s="15" t="s">
        <v>59</v>
      </c>
      <c r="C116" s="20"/>
      <c r="D116" s="309" t="s">
        <v>195</v>
      </c>
      <c r="E116" s="146" t="s">
        <v>838</v>
      </c>
      <c r="F116" s="146" t="s">
        <v>162</v>
      </c>
      <c r="G116" s="240">
        <v>45849</v>
      </c>
      <c r="H116" s="17">
        <v>4464</v>
      </c>
      <c r="I116" s="86">
        <v>0.44</v>
      </c>
      <c r="J116" s="17">
        <v>1004</v>
      </c>
      <c r="K116" s="18">
        <v>1004</v>
      </c>
      <c r="L116" s="18">
        <v>1004</v>
      </c>
      <c r="M116" s="40">
        <f t="shared" si="39"/>
        <v>0</v>
      </c>
      <c r="N116" s="40">
        <f t="shared" si="40"/>
        <v>0</v>
      </c>
      <c r="O116" s="301" t="s">
        <v>259</v>
      </c>
      <c r="P116" s="85">
        <f>T116-15</f>
        <v>45800</v>
      </c>
      <c r="Q116" s="85">
        <v>45787</v>
      </c>
      <c r="R116" s="85">
        <f t="shared" si="41"/>
        <v>45789</v>
      </c>
      <c r="S116" s="7">
        <f t="shared" ca="1" si="42"/>
        <v>13</v>
      </c>
      <c r="T116" s="85">
        <f>G116-34</f>
        <v>45815</v>
      </c>
      <c r="U116" s="85">
        <v>45787</v>
      </c>
      <c r="V116" s="7">
        <f t="shared" ca="1" si="43"/>
        <v>28</v>
      </c>
      <c r="W116" s="85"/>
      <c r="X116" s="8"/>
    </row>
    <row r="117" spans="1:24" ht="14.5" hidden="1">
      <c r="A117" s="14">
        <v>93</v>
      </c>
      <c r="B117" s="15" t="s">
        <v>59</v>
      </c>
      <c r="C117" s="20"/>
      <c r="D117" s="312" t="s">
        <v>189</v>
      </c>
      <c r="E117" s="146" t="s">
        <v>312</v>
      </c>
      <c r="F117" s="146" t="s">
        <v>90</v>
      </c>
      <c r="G117" s="240">
        <v>45849</v>
      </c>
      <c r="H117" s="17">
        <v>1140</v>
      </c>
      <c r="I117" s="218">
        <v>0.5</v>
      </c>
      <c r="J117" s="17">
        <f t="shared" ref="J117:J128" si="45">H117*I117</f>
        <v>570</v>
      </c>
      <c r="K117" s="18">
        <v>570</v>
      </c>
      <c r="L117" s="18">
        <v>570</v>
      </c>
      <c r="M117" s="40">
        <f t="shared" si="39"/>
        <v>0</v>
      </c>
      <c r="N117" s="40">
        <f t="shared" si="40"/>
        <v>0</v>
      </c>
      <c r="O117" s="302" t="s">
        <v>178</v>
      </c>
      <c r="P117" s="85">
        <f>T117-15</f>
        <v>45790</v>
      </c>
      <c r="Q117" s="85">
        <v>45775</v>
      </c>
      <c r="R117" s="85">
        <f t="shared" si="41"/>
        <v>45777</v>
      </c>
      <c r="S117" s="7">
        <f t="shared" ca="1" si="42"/>
        <v>15</v>
      </c>
      <c r="T117" s="85">
        <f>G117-44</f>
        <v>45805</v>
      </c>
      <c r="U117" s="85">
        <v>45792</v>
      </c>
      <c r="V117" s="7">
        <f t="shared" ca="1" si="43"/>
        <v>13</v>
      </c>
      <c r="W117" s="85"/>
      <c r="X117" s="8"/>
    </row>
    <row r="118" spans="1:24" ht="14.5" hidden="1">
      <c r="A118" s="14">
        <v>93</v>
      </c>
      <c r="B118" s="15" t="s">
        <v>59</v>
      </c>
      <c r="C118" s="20"/>
      <c r="D118" s="307" t="s">
        <v>158</v>
      </c>
      <c r="E118" s="146" t="s">
        <v>242</v>
      </c>
      <c r="F118" s="146" t="s">
        <v>255</v>
      </c>
      <c r="G118" s="240">
        <v>45849</v>
      </c>
      <c r="H118" s="17">
        <v>152</v>
      </c>
      <c r="I118" s="86">
        <v>0.46800000000000003</v>
      </c>
      <c r="J118" s="17">
        <f t="shared" si="45"/>
        <v>71.13600000000001</v>
      </c>
      <c r="K118" s="18">
        <v>71</v>
      </c>
      <c r="L118" s="18">
        <v>71</v>
      </c>
      <c r="M118" s="40">
        <f t="shared" si="39"/>
        <v>0.13600000000000989</v>
      </c>
      <c r="N118" s="40">
        <f t="shared" si="40"/>
        <v>0.13600000000000989</v>
      </c>
      <c r="O118" s="302" t="s">
        <v>178</v>
      </c>
      <c r="P118" s="85">
        <v>45809</v>
      </c>
      <c r="Q118" s="85">
        <v>45810</v>
      </c>
      <c r="R118" s="85">
        <f t="shared" si="41"/>
        <v>45812</v>
      </c>
      <c r="S118" s="7">
        <f t="shared" ca="1" si="42"/>
        <v>-1</v>
      </c>
      <c r="T118" s="85">
        <f>P118+15</f>
        <v>45824</v>
      </c>
      <c r="U118" s="85">
        <v>45815</v>
      </c>
      <c r="V118" s="7">
        <f t="shared" ca="1" si="43"/>
        <v>9</v>
      </c>
      <c r="W118" s="85"/>
      <c r="X118" s="8"/>
    </row>
    <row r="119" spans="1:24" ht="14.5" hidden="1">
      <c r="A119" s="14">
        <v>104</v>
      </c>
      <c r="B119" s="15" t="s">
        <v>59</v>
      </c>
      <c r="C119" s="20"/>
      <c r="D119" s="311" t="s">
        <v>248</v>
      </c>
      <c r="E119" s="146" t="s">
        <v>270</v>
      </c>
      <c r="F119" s="146" t="s">
        <v>162</v>
      </c>
      <c r="G119" s="240">
        <v>45849</v>
      </c>
      <c r="H119" s="17">
        <v>1920</v>
      </c>
      <c r="I119" s="86">
        <v>1.8</v>
      </c>
      <c r="J119" s="17">
        <f t="shared" si="45"/>
        <v>3456</v>
      </c>
      <c r="K119" s="18">
        <v>3456</v>
      </c>
      <c r="L119" s="18">
        <v>3456</v>
      </c>
      <c r="M119" s="40">
        <f t="shared" si="39"/>
        <v>0</v>
      </c>
      <c r="N119" s="40">
        <f t="shared" si="40"/>
        <v>0</v>
      </c>
      <c r="O119" s="302" t="s">
        <v>178</v>
      </c>
      <c r="P119" s="85">
        <v>45801</v>
      </c>
      <c r="Q119" s="85">
        <v>45794</v>
      </c>
      <c r="R119" s="85">
        <f t="shared" si="41"/>
        <v>45796</v>
      </c>
      <c r="S119" s="7">
        <f t="shared" ca="1" si="42"/>
        <v>7</v>
      </c>
      <c r="T119" s="85">
        <f>P119+15</f>
        <v>45816</v>
      </c>
      <c r="U119" s="85">
        <v>45810</v>
      </c>
      <c r="V119" s="7">
        <f t="shared" ca="1" si="43"/>
        <v>6</v>
      </c>
      <c r="W119" s="85">
        <v>45810</v>
      </c>
      <c r="X119" s="8"/>
    </row>
    <row r="120" spans="1:24" ht="14.5" hidden="1">
      <c r="A120" s="14">
        <v>104</v>
      </c>
      <c r="B120" s="15" t="s">
        <v>59</v>
      </c>
      <c r="C120" s="20"/>
      <c r="D120" s="307" t="s">
        <v>193</v>
      </c>
      <c r="E120" s="146" t="s">
        <v>246</v>
      </c>
      <c r="F120" s="146" t="s">
        <v>162</v>
      </c>
      <c r="G120" s="240">
        <v>45849</v>
      </c>
      <c r="H120" s="17">
        <v>2970</v>
      </c>
      <c r="I120" s="86">
        <v>0.32</v>
      </c>
      <c r="J120" s="17">
        <f t="shared" si="45"/>
        <v>950.4</v>
      </c>
      <c r="K120" s="18">
        <v>950</v>
      </c>
      <c r="L120" s="18">
        <v>950</v>
      </c>
      <c r="M120" s="40">
        <f t="shared" si="39"/>
        <v>0.39999999999997726</v>
      </c>
      <c r="N120" s="40">
        <f t="shared" si="40"/>
        <v>0.39999999999997726</v>
      </c>
      <c r="O120" s="302" t="s">
        <v>178</v>
      </c>
      <c r="P120" s="85">
        <v>45801</v>
      </c>
      <c r="Q120" s="85">
        <v>45794</v>
      </c>
      <c r="R120" s="85">
        <f t="shared" si="41"/>
        <v>45796</v>
      </c>
      <c r="S120" s="7">
        <f t="shared" ca="1" si="42"/>
        <v>7</v>
      </c>
      <c r="T120" s="85">
        <f>P120+15</f>
        <v>45816</v>
      </c>
      <c r="U120" s="85">
        <v>45801</v>
      </c>
      <c r="V120" s="7">
        <f t="shared" ca="1" si="43"/>
        <v>15</v>
      </c>
      <c r="W120" s="85"/>
      <c r="X120" s="8"/>
    </row>
    <row r="121" spans="1:24" ht="14.5" hidden="1">
      <c r="A121" s="14">
        <v>104</v>
      </c>
      <c r="B121" s="15" t="s">
        <v>59</v>
      </c>
      <c r="C121" s="20"/>
      <c r="D121" s="307" t="s">
        <v>157</v>
      </c>
      <c r="E121" s="146" t="s">
        <v>243</v>
      </c>
      <c r="F121" s="146" t="s">
        <v>162</v>
      </c>
      <c r="G121" s="240">
        <v>45849</v>
      </c>
      <c r="H121" s="17">
        <v>2226</v>
      </c>
      <c r="I121" s="218">
        <v>0.30599999999999999</v>
      </c>
      <c r="J121" s="17">
        <f t="shared" si="45"/>
        <v>681.15599999999995</v>
      </c>
      <c r="K121" s="18">
        <v>681</v>
      </c>
      <c r="L121" s="18">
        <v>681</v>
      </c>
      <c r="M121" s="40">
        <f t="shared" si="39"/>
        <v>0.15599999999994907</v>
      </c>
      <c r="N121" s="40">
        <f t="shared" si="40"/>
        <v>0.15599999999994907</v>
      </c>
      <c r="O121" s="301" t="s">
        <v>871</v>
      </c>
      <c r="P121" s="85">
        <f>T121-18</f>
        <v>45796</v>
      </c>
      <c r="Q121" s="85">
        <v>45813</v>
      </c>
      <c r="R121" s="85">
        <f t="shared" si="41"/>
        <v>45815</v>
      </c>
      <c r="S121" s="7">
        <f t="shared" ca="1" si="42"/>
        <v>-17</v>
      </c>
      <c r="T121" s="85">
        <f>G121-35</f>
        <v>45814</v>
      </c>
      <c r="U121" s="85">
        <v>45822</v>
      </c>
      <c r="V121" s="7">
        <f t="shared" ca="1" si="43"/>
        <v>-8</v>
      </c>
      <c r="W121" s="85"/>
      <c r="X121" s="8"/>
    </row>
    <row r="122" spans="1:24" ht="14.5" hidden="1">
      <c r="A122" s="14">
        <v>104</v>
      </c>
      <c r="B122" s="15" t="s">
        <v>59</v>
      </c>
      <c r="C122" s="20"/>
      <c r="D122" s="307" t="s">
        <v>157</v>
      </c>
      <c r="E122" s="146" t="s">
        <v>243</v>
      </c>
      <c r="F122" s="146" t="s">
        <v>162</v>
      </c>
      <c r="G122" s="240">
        <v>45849</v>
      </c>
      <c r="H122" s="17">
        <v>498</v>
      </c>
      <c r="I122" s="86">
        <v>0.30599999999999999</v>
      </c>
      <c r="J122" s="17">
        <f t="shared" si="45"/>
        <v>152.38800000000001</v>
      </c>
      <c r="K122" s="18">
        <v>152</v>
      </c>
      <c r="L122" s="18">
        <v>152</v>
      </c>
      <c r="M122" s="40">
        <f t="shared" si="39"/>
        <v>0.38800000000000523</v>
      </c>
      <c r="N122" s="40">
        <f t="shared" si="40"/>
        <v>0.38800000000000523</v>
      </c>
      <c r="O122" s="301" t="s">
        <v>871</v>
      </c>
      <c r="P122" s="85">
        <v>45797</v>
      </c>
      <c r="Q122" s="85">
        <v>45813</v>
      </c>
      <c r="R122" s="85">
        <f t="shared" si="41"/>
        <v>45815</v>
      </c>
      <c r="S122" s="7">
        <f t="shared" ca="1" si="42"/>
        <v>-16</v>
      </c>
      <c r="T122" s="85">
        <f>P122+15</f>
        <v>45812</v>
      </c>
      <c r="U122" s="85">
        <v>45822</v>
      </c>
      <c r="V122" s="7">
        <f t="shared" ca="1" si="43"/>
        <v>-10</v>
      </c>
      <c r="W122" s="85"/>
      <c r="X122" s="8"/>
    </row>
    <row r="123" spans="1:24" ht="14.5" hidden="1">
      <c r="A123" s="14">
        <v>104</v>
      </c>
      <c r="B123" s="15" t="s">
        <v>59</v>
      </c>
      <c r="C123" s="20"/>
      <c r="D123" s="307" t="s">
        <v>158</v>
      </c>
      <c r="E123" s="146" t="s">
        <v>242</v>
      </c>
      <c r="F123" s="146" t="s">
        <v>154</v>
      </c>
      <c r="G123" s="240">
        <v>45849</v>
      </c>
      <c r="H123" s="17">
        <v>1336</v>
      </c>
      <c r="I123" s="86">
        <v>0.46800000000000003</v>
      </c>
      <c r="J123" s="17">
        <f t="shared" si="45"/>
        <v>625.24800000000005</v>
      </c>
      <c r="K123" s="18">
        <v>625</v>
      </c>
      <c r="L123" s="18">
        <v>625</v>
      </c>
      <c r="M123" s="40">
        <f t="shared" si="39"/>
        <v>0.24800000000004729</v>
      </c>
      <c r="N123" s="40">
        <f t="shared" si="40"/>
        <v>0.24800000000004729</v>
      </c>
      <c r="O123" s="302" t="s">
        <v>178</v>
      </c>
      <c r="P123" s="85">
        <v>45809</v>
      </c>
      <c r="Q123" s="85">
        <v>45810</v>
      </c>
      <c r="R123" s="85">
        <f t="shared" si="41"/>
        <v>45812</v>
      </c>
      <c r="S123" s="7">
        <f t="shared" ca="1" si="42"/>
        <v>-1</v>
      </c>
      <c r="T123" s="85">
        <f>P123+15</f>
        <v>45824</v>
      </c>
      <c r="U123" s="85">
        <v>45815</v>
      </c>
      <c r="V123" s="7">
        <f t="shared" ca="1" si="43"/>
        <v>9</v>
      </c>
      <c r="W123" s="85"/>
      <c r="X123" s="8"/>
    </row>
    <row r="124" spans="1:24" ht="14.5" hidden="1">
      <c r="A124" s="14">
        <v>104</v>
      </c>
      <c r="B124" s="15" t="s">
        <v>59</v>
      </c>
      <c r="C124" s="20"/>
      <c r="D124" s="312" t="s">
        <v>189</v>
      </c>
      <c r="E124" s="146" t="s">
        <v>312</v>
      </c>
      <c r="F124" s="146" t="s">
        <v>90</v>
      </c>
      <c r="G124" s="240">
        <v>45849</v>
      </c>
      <c r="H124" s="17">
        <v>520</v>
      </c>
      <c r="I124" s="218">
        <v>0.5</v>
      </c>
      <c r="J124" s="17">
        <f t="shared" si="45"/>
        <v>260</v>
      </c>
      <c r="K124" s="18">
        <v>260</v>
      </c>
      <c r="L124" s="18">
        <v>260</v>
      </c>
      <c r="M124" s="40">
        <f t="shared" si="39"/>
        <v>0</v>
      </c>
      <c r="N124" s="40">
        <f t="shared" si="40"/>
        <v>0</v>
      </c>
      <c r="O124" s="302" t="s">
        <v>178</v>
      </c>
      <c r="P124" s="85">
        <f>T124-15</f>
        <v>45790</v>
      </c>
      <c r="Q124" s="85">
        <v>45775</v>
      </c>
      <c r="R124" s="85">
        <f t="shared" si="41"/>
        <v>45777</v>
      </c>
      <c r="S124" s="7">
        <f t="shared" ca="1" si="42"/>
        <v>15</v>
      </c>
      <c r="T124" s="85">
        <f>G124-44</f>
        <v>45805</v>
      </c>
      <c r="U124" s="85">
        <v>45796</v>
      </c>
      <c r="V124" s="7">
        <f t="shared" ca="1" si="43"/>
        <v>9</v>
      </c>
      <c r="W124" s="85"/>
      <c r="X124" s="8"/>
    </row>
    <row r="125" spans="1:24" ht="14.5" hidden="1">
      <c r="A125" s="14">
        <v>104</v>
      </c>
      <c r="B125" s="15" t="s">
        <v>59</v>
      </c>
      <c r="C125" s="20"/>
      <c r="D125" s="307" t="s">
        <v>158</v>
      </c>
      <c r="E125" s="146" t="s">
        <v>242</v>
      </c>
      <c r="F125" s="146" t="s">
        <v>255</v>
      </c>
      <c r="G125" s="240">
        <v>45849</v>
      </c>
      <c r="H125" s="17">
        <v>564</v>
      </c>
      <c r="I125" s="86">
        <v>0.46800000000000003</v>
      </c>
      <c r="J125" s="17">
        <f t="shared" si="45"/>
        <v>263.952</v>
      </c>
      <c r="K125" s="18">
        <v>264</v>
      </c>
      <c r="L125" s="18">
        <v>264</v>
      </c>
      <c r="M125" s="40">
        <f t="shared" si="39"/>
        <v>-4.8000000000001819E-2</v>
      </c>
      <c r="N125" s="40">
        <f t="shared" si="40"/>
        <v>-4.8000000000001819E-2</v>
      </c>
      <c r="O125" s="302" t="s">
        <v>178</v>
      </c>
      <c r="P125" s="85">
        <v>45809</v>
      </c>
      <c r="Q125" s="85">
        <v>45810</v>
      </c>
      <c r="R125" s="85">
        <f t="shared" si="41"/>
        <v>45812</v>
      </c>
      <c r="S125" s="7">
        <f t="shared" ca="1" si="42"/>
        <v>-1</v>
      </c>
      <c r="T125" s="85">
        <f>P125+15</f>
        <v>45824</v>
      </c>
      <c r="U125" s="85">
        <v>45815</v>
      </c>
      <c r="V125" s="7">
        <f t="shared" ca="1" si="43"/>
        <v>9</v>
      </c>
      <c r="W125" s="85"/>
      <c r="X125" s="8"/>
    </row>
    <row r="126" spans="1:24" ht="14.5" hidden="1">
      <c r="A126" s="14">
        <v>105</v>
      </c>
      <c r="B126" s="15" t="s">
        <v>59</v>
      </c>
      <c r="C126" s="20"/>
      <c r="D126" s="307" t="s">
        <v>158</v>
      </c>
      <c r="E126" s="146" t="s">
        <v>242</v>
      </c>
      <c r="F126" s="146" t="s">
        <v>154</v>
      </c>
      <c r="G126" s="240">
        <v>45849</v>
      </c>
      <c r="H126" s="17">
        <v>1364</v>
      </c>
      <c r="I126" s="86">
        <v>0.46800000000000003</v>
      </c>
      <c r="J126" s="17">
        <f t="shared" si="45"/>
        <v>638.35200000000009</v>
      </c>
      <c r="K126" s="18">
        <v>638</v>
      </c>
      <c r="L126" s="18">
        <v>638</v>
      </c>
      <c r="M126" s="40">
        <f t="shared" si="39"/>
        <v>0.35200000000008913</v>
      </c>
      <c r="N126" s="40">
        <f t="shared" si="40"/>
        <v>0.35200000000008913</v>
      </c>
      <c r="O126" s="302" t="s">
        <v>178</v>
      </c>
      <c r="P126" s="85">
        <v>45809</v>
      </c>
      <c r="Q126" s="85">
        <v>45810</v>
      </c>
      <c r="R126" s="85">
        <f t="shared" si="41"/>
        <v>45812</v>
      </c>
      <c r="S126" s="7">
        <f t="shared" ca="1" si="42"/>
        <v>-1</v>
      </c>
      <c r="T126" s="85">
        <f>P126+15</f>
        <v>45824</v>
      </c>
      <c r="U126" s="85">
        <v>45815</v>
      </c>
      <c r="V126" s="7">
        <f t="shared" ca="1" si="43"/>
        <v>9</v>
      </c>
      <c r="W126" s="85">
        <v>45817</v>
      </c>
      <c r="X126" s="8"/>
    </row>
    <row r="127" spans="1:24" ht="14.5" hidden="1">
      <c r="A127" s="14">
        <v>105</v>
      </c>
      <c r="B127" s="15" t="s">
        <v>59</v>
      </c>
      <c r="C127" s="20"/>
      <c r="D127" s="312" t="s">
        <v>189</v>
      </c>
      <c r="E127" s="146" t="s">
        <v>312</v>
      </c>
      <c r="F127" s="146" t="s">
        <v>90</v>
      </c>
      <c r="G127" s="240">
        <v>45849</v>
      </c>
      <c r="H127" s="17">
        <v>1412</v>
      </c>
      <c r="I127" s="218">
        <v>0.5</v>
      </c>
      <c r="J127" s="17">
        <f t="shared" si="45"/>
        <v>706</v>
      </c>
      <c r="K127" s="18">
        <v>706</v>
      </c>
      <c r="L127" s="18">
        <v>706</v>
      </c>
      <c r="M127" s="40">
        <f t="shared" si="39"/>
        <v>0</v>
      </c>
      <c r="N127" s="40">
        <f t="shared" si="40"/>
        <v>0</v>
      </c>
      <c r="O127" s="302" t="s">
        <v>178</v>
      </c>
      <c r="P127" s="85">
        <f>T127-15</f>
        <v>45790</v>
      </c>
      <c r="Q127" s="85">
        <v>45775</v>
      </c>
      <c r="R127" s="85">
        <f t="shared" si="41"/>
        <v>45777</v>
      </c>
      <c r="S127" s="7">
        <f t="shared" ca="1" si="42"/>
        <v>15</v>
      </c>
      <c r="T127" s="85">
        <f>G127-44</f>
        <v>45805</v>
      </c>
      <c r="U127" s="85">
        <v>45796</v>
      </c>
      <c r="V127" s="7">
        <f t="shared" ca="1" si="43"/>
        <v>9</v>
      </c>
      <c r="W127" s="85"/>
      <c r="X127" s="8"/>
    </row>
    <row r="128" spans="1:24" ht="14.5" hidden="1">
      <c r="A128" s="14">
        <v>105</v>
      </c>
      <c r="B128" s="15" t="s">
        <v>59</v>
      </c>
      <c r="C128" s="20"/>
      <c r="D128" s="307" t="s">
        <v>158</v>
      </c>
      <c r="E128" s="146" t="s">
        <v>242</v>
      </c>
      <c r="F128" s="146" t="s">
        <v>255</v>
      </c>
      <c r="G128" s="240">
        <v>45849</v>
      </c>
      <c r="H128" s="17">
        <v>260</v>
      </c>
      <c r="I128" s="86">
        <v>0.42799999999999999</v>
      </c>
      <c r="J128" s="17">
        <f t="shared" si="45"/>
        <v>111.28</v>
      </c>
      <c r="K128" s="18">
        <v>111</v>
      </c>
      <c r="L128" s="18">
        <v>111</v>
      </c>
      <c r="M128" s="40">
        <f t="shared" si="39"/>
        <v>0.28000000000000114</v>
      </c>
      <c r="N128" s="40">
        <f t="shared" si="40"/>
        <v>0.28000000000000114</v>
      </c>
      <c r="O128" s="302" t="s">
        <v>178</v>
      </c>
      <c r="P128" s="85">
        <v>45809</v>
      </c>
      <c r="Q128" s="85">
        <v>45810</v>
      </c>
      <c r="R128" s="85">
        <f t="shared" si="41"/>
        <v>45812</v>
      </c>
      <c r="S128" s="7">
        <f t="shared" ca="1" si="42"/>
        <v>-1</v>
      </c>
      <c r="T128" s="85">
        <f>P128+15</f>
        <v>45824</v>
      </c>
      <c r="U128" s="85">
        <v>45819</v>
      </c>
      <c r="V128" s="7">
        <f t="shared" ca="1" si="43"/>
        <v>5</v>
      </c>
      <c r="W128" s="85"/>
      <c r="X128" s="8"/>
    </row>
    <row r="129" spans="1:24" ht="14.5" hidden="1">
      <c r="A129" s="14">
        <v>106</v>
      </c>
      <c r="B129" s="15" t="s">
        <v>59</v>
      </c>
      <c r="C129" s="20"/>
      <c r="D129" s="307" t="s">
        <v>81</v>
      </c>
      <c r="E129" s="146" t="s">
        <v>399</v>
      </c>
      <c r="F129" s="146" t="s">
        <v>291</v>
      </c>
      <c r="G129" s="240">
        <v>45870</v>
      </c>
      <c r="H129" s="17">
        <v>1728</v>
      </c>
      <c r="I129" s="86"/>
      <c r="J129" s="17">
        <f>H129</f>
        <v>1728</v>
      </c>
      <c r="K129" s="18">
        <v>1728</v>
      </c>
      <c r="L129" s="18"/>
      <c r="M129" s="40">
        <f t="shared" si="39"/>
        <v>1728</v>
      </c>
      <c r="N129" s="40">
        <f t="shared" si="40"/>
        <v>0</v>
      </c>
      <c r="O129" s="301" t="s">
        <v>292</v>
      </c>
      <c r="P129" s="85">
        <f>T129-30</f>
        <v>45810</v>
      </c>
      <c r="Q129" s="85">
        <v>45803</v>
      </c>
      <c r="R129" s="85">
        <f t="shared" si="41"/>
        <v>45805</v>
      </c>
      <c r="S129" s="7">
        <f t="shared" ca="1" si="42"/>
        <v>7</v>
      </c>
      <c r="T129" s="85">
        <f>G129-30</f>
        <v>45840</v>
      </c>
      <c r="U129" s="85"/>
      <c r="V129" s="7">
        <f t="shared" ca="1" si="43"/>
        <v>0</v>
      </c>
      <c r="W129" s="85"/>
      <c r="X129" s="8"/>
    </row>
    <row r="130" spans="1:24" ht="14.5" hidden="1">
      <c r="A130" s="14">
        <v>106</v>
      </c>
      <c r="B130" s="15" t="s">
        <v>59</v>
      </c>
      <c r="C130" s="20"/>
      <c r="D130" s="307" t="s">
        <v>81</v>
      </c>
      <c r="E130" s="146" t="s">
        <v>399</v>
      </c>
      <c r="F130" s="146" t="s">
        <v>293</v>
      </c>
      <c r="G130" s="240">
        <v>45870</v>
      </c>
      <c r="H130" s="17">
        <v>1728</v>
      </c>
      <c r="I130" s="86"/>
      <c r="J130" s="17">
        <f>H130</f>
        <v>1728</v>
      </c>
      <c r="K130" s="18">
        <v>1728</v>
      </c>
      <c r="L130" s="18"/>
      <c r="M130" s="40">
        <f t="shared" si="39"/>
        <v>1728</v>
      </c>
      <c r="N130" s="40">
        <f t="shared" si="40"/>
        <v>0</v>
      </c>
      <c r="O130" s="301" t="s">
        <v>292</v>
      </c>
      <c r="P130" s="85">
        <f>T130-30</f>
        <v>45810</v>
      </c>
      <c r="Q130" s="85">
        <v>45803</v>
      </c>
      <c r="R130" s="85">
        <f t="shared" si="41"/>
        <v>45805</v>
      </c>
      <c r="S130" s="7">
        <f t="shared" ca="1" si="42"/>
        <v>7</v>
      </c>
      <c r="T130" s="85">
        <f>G130-30</f>
        <v>45840</v>
      </c>
      <c r="U130" s="85"/>
      <c r="V130" s="7">
        <f t="shared" ca="1" si="43"/>
        <v>0</v>
      </c>
      <c r="W130" s="85"/>
      <c r="X130" s="8"/>
    </row>
    <row r="131" spans="1:24" ht="14.5" hidden="1">
      <c r="A131" s="14">
        <v>106</v>
      </c>
      <c r="B131" s="15" t="s">
        <v>59</v>
      </c>
      <c r="C131" s="20"/>
      <c r="D131" s="307" t="s">
        <v>81</v>
      </c>
      <c r="E131" s="146" t="s">
        <v>399</v>
      </c>
      <c r="F131" s="146" t="s">
        <v>294</v>
      </c>
      <c r="G131" s="240">
        <v>45870</v>
      </c>
      <c r="H131" s="17">
        <v>1728</v>
      </c>
      <c r="I131" s="86"/>
      <c r="J131" s="17">
        <f>H131</f>
        <v>1728</v>
      </c>
      <c r="K131" s="18">
        <v>1728</v>
      </c>
      <c r="L131" s="18"/>
      <c r="M131" s="40">
        <f t="shared" si="39"/>
        <v>1728</v>
      </c>
      <c r="N131" s="40">
        <f t="shared" si="40"/>
        <v>0</v>
      </c>
      <c r="O131" s="301" t="s">
        <v>292</v>
      </c>
      <c r="P131" s="85">
        <f>T131-30</f>
        <v>45810</v>
      </c>
      <c r="Q131" s="85">
        <v>45803</v>
      </c>
      <c r="R131" s="85">
        <f t="shared" si="41"/>
        <v>45805</v>
      </c>
      <c r="S131" s="7">
        <f t="shared" ca="1" si="42"/>
        <v>7</v>
      </c>
      <c r="T131" s="85">
        <f>G131-30</f>
        <v>45840</v>
      </c>
      <c r="U131" s="85"/>
      <c r="V131" s="7">
        <f t="shared" ca="1" si="43"/>
        <v>0</v>
      </c>
      <c r="W131" s="85"/>
      <c r="X131" s="8"/>
    </row>
    <row r="132" spans="1:24" ht="14.5" hidden="1">
      <c r="A132" s="14">
        <v>106</v>
      </c>
      <c r="B132" s="15" t="s">
        <v>59</v>
      </c>
      <c r="C132" s="20"/>
      <c r="D132" s="307" t="s">
        <v>288</v>
      </c>
      <c r="E132" s="146" t="s">
        <v>289</v>
      </c>
      <c r="F132" s="146" t="s">
        <v>155</v>
      </c>
      <c r="G132" s="240">
        <v>45870</v>
      </c>
      <c r="H132" s="17">
        <v>2160</v>
      </c>
      <c r="I132" s="218">
        <v>0.62</v>
      </c>
      <c r="J132" s="17">
        <f t="shared" ref="J132:J142" si="46">H132*I132</f>
        <v>1339.2</v>
      </c>
      <c r="K132" s="18">
        <v>1339</v>
      </c>
      <c r="L132" s="18">
        <v>1078</v>
      </c>
      <c r="M132" s="40">
        <f t="shared" si="39"/>
        <v>261.20000000000005</v>
      </c>
      <c r="N132" s="40">
        <f t="shared" si="40"/>
        <v>0.20000000000004547</v>
      </c>
      <c r="O132" s="302" t="s">
        <v>178</v>
      </c>
      <c r="P132" s="85">
        <f>T132-15</f>
        <v>45815</v>
      </c>
      <c r="Q132" s="85">
        <v>45822</v>
      </c>
      <c r="R132" s="85">
        <f t="shared" si="41"/>
        <v>45824</v>
      </c>
      <c r="S132" s="7">
        <f t="shared" ca="1" si="42"/>
        <v>-7</v>
      </c>
      <c r="T132" s="85">
        <f>G132-32-8</f>
        <v>45830</v>
      </c>
      <c r="U132" s="85"/>
      <c r="V132" s="7">
        <f t="shared" ca="1" si="43"/>
        <v>-10</v>
      </c>
      <c r="W132" s="85"/>
      <c r="X132" s="8"/>
    </row>
    <row r="133" spans="1:24" ht="14.5" hidden="1">
      <c r="A133" s="14">
        <v>106</v>
      </c>
      <c r="B133" s="15" t="s">
        <v>59</v>
      </c>
      <c r="C133" s="20"/>
      <c r="D133" s="307" t="s">
        <v>288</v>
      </c>
      <c r="E133" s="146" t="s">
        <v>289</v>
      </c>
      <c r="F133" s="146" t="s">
        <v>154</v>
      </c>
      <c r="G133" s="240">
        <v>45870</v>
      </c>
      <c r="H133" s="17">
        <v>1800</v>
      </c>
      <c r="I133" s="218">
        <v>0.62</v>
      </c>
      <c r="J133" s="17">
        <f t="shared" si="46"/>
        <v>1116</v>
      </c>
      <c r="K133" s="18">
        <v>1116</v>
      </c>
      <c r="L133" s="18">
        <v>552</v>
      </c>
      <c r="M133" s="40">
        <f t="shared" si="39"/>
        <v>564</v>
      </c>
      <c r="N133" s="40">
        <f t="shared" si="40"/>
        <v>0</v>
      </c>
      <c r="O133" s="302" t="s">
        <v>178</v>
      </c>
      <c r="P133" s="85">
        <f>T133-15</f>
        <v>45815</v>
      </c>
      <c r="Q133" s="85">
        <v>45816</v>
      </c>
      <c r="R133" s="85">
        <f t="shared" si="41"/>
        <v>45818</v>
      </c>
      <c r="S133" s="7">
        <f t="shared" ca="1" si="42"/>
        <v>-1</v>
      </c>
      <c r="T133" s="85">
        <f>G133-32-8</f>
        <v>45830</v>
      </c>
      <c r="U133" s="85"/>
      <c r="V133" s="7">
        <f t="shared" ca="1" si="43"/>
        <v>-10</v>
      </c>
      <c r="W133" s="85"/>
      <c r="X133" s="8"/>
    </row>
    <row r="134" spans="1:24" ht="14.5" hidden="1">
      <c r="A134" s="14">
        <v>106</v>
      </c>
      <c r="B134" s="15" t="s">
        <v>59</v>
      </c>
      <c r="C134" s="20"/>
      <c r="D134" s="307" t="s">
        <v>288</v>
      </c>
      <c r="E134" s="146" t="s">
        <v>289</v>
      </c>
      <c r="F134" s="146" t="s">
        <v>156</v>
      </c>
      <c r="G134" s="240">
        <v>45870</v>
      </c>
      <c r="H134" s="17">
        <v>1440</v>
      </c>
      <c r="I134" s="218">
        <v>0.62</v>
      </c>
      <c r="J134" s="17">
        <f t="shared" si="46"/>
        <v>892.8</v>
      </c>
      <c r="K134" s="18">
        <v>893</v>
      </c>
      <c r="L134" s="18">
        <v>893</v>
      </c>
      <c r="M134" s="40">
        <f t="shared" si="39"/>
        <v>-0.20000000000004547</v>
      </c>
      <c r="N134" s="40">
        <f t="shared" si="40"/>
        <v>-0.20000000000004547</v>
      </c>
      <c r="O134" s="302" t="s">
        <v>178</v>
      </c>
      <c r="P134" s="85">
        <f>T134-15</f>
        <v>45815</v>
      </c>
      <c r="Q134" s="85">
        <v>45797</v>
      </c>
      <c r="R134" s="85">
        <f t="shared" si="41"/>
        <v>45799</v>
      </c>
      <c r="S134" s="7">
        <f t="shared" ca="1" si="42"/>
        <v>18</v>
      </c>
      <c r="T134" s="85">
        <f>G134-32-8</f>
        <v>45830</v>
      </c>
      <c r="U134" s="85">
        <v>45822</v>
      </c>
      <c r="V134" s="7">
        <f t="shared" ca="1" si="43"/>
        <v>8</v>
      </c>
      <c r="W134" s="85"/>
      <c r="X134" s="8"/>
    </row>
    <row r="135" spans="1:24" ht="14.5" hidden="1">
      <c r="A135" s="14">
        <v>106</v>
      </c>
      <c r="B135" s="15" t="s">
        <v>59</v>
      </c>
      <c r="C135" s="20"/>
      <c r="D135" s="307" t="s">
        <v>189</v>
      </c>
      <c r="E135" s="146" t="s">
        <v>312</v>
      </c>
      <c r="F135" s="146" t="s">
        <v>90</v>
      </c>
      <c r="G135" s="240">
        <v>45870</v>
      </c>
      <c r="H135" s="17">
        <v>1332</v>
      </c>
      <c r="I135" s="218">
        <v>0.5</v>
      </c>
      <c r="J135" s="17">
        <f t="shared" si="46"/>
        <v>666</v>
      </c>
      <c r="K135" s="18">
        <v>666</v>
      </c>
      <c r="L135" s="18">
        <v>660</v>
      </c>
      <c r="M135" s="40">
        <f t="shared" si="39"/>
        <v>6</v>
      </c>
      <c r="N135" s="40">
        <f t="shared" si="40"/>
        <v>0</v>
      </c>
      <c r="O135" s="302" t="s">
        <v>178</v>
      </c>
      <c r="P135" s="85">
        <f>T135-15</f>
        <v>45811</v>
      </c>
      <c r="Q135" s="85">
        <v>45775</v>
      </c>
      <c r="R135" s="85">
        <f t="shared" si="41"/>
        <v>45777</v>
      </c>
      <c r="S135" s="7">
        <f t="shared" ca="1" si="42"/>
        <v>36</v>
      </c>
      <c r="T135" s="85">
        <f>G135-44</f>
        <v>45826</v>
      </c>
      <c r="U135" s="85">
        <v>45815</v>
      </c>
      <c r="V135" s="7">
        <f t="shared" ca="1" si="43"/>
        <v>11</v>
      </c>
      <c r="W135" s="85"/>
      <c r="X135" s="8"/>
    </row>
    <row r="136" spans="1:24" ht="14.5" hidden="1">
      <c r="A136" s="14">
        <v>106</v>
      </c>
      <c r="B136" s="15" t="s">
        <v>59</v>
      </c>
      <c r="C136" s="20"/>
      <c r="D136" s="307" t="s">
        <v>158</v>
      </c>
      <c r="E136" s="146" t="s">
        <v>242</v>
      </c>
      <c r="F136" s="146" t="s">
        <v>255</v>
      </c>
      <c r="G136" s="240">
        <v>45870</v>
      </c>
      <c r="H136" s="17">
        <v>1264</v>
      </c>
      <c r="I136" s="86">
        <v>0.42799999999999999</v>
      </c>
      <c r="J136" s="17">
        <f t="shared" si="46"/>
        <v>540.99199999999996</v>
      </c>
      <c r="K136" s="18">
        <v>541</v>
      </c>
      <c r="L136" s="18">
        <v>541</v>
      </c>
      <c r="M136" s="40">
        <f t="shared" si="39"/>
        <v>-8.0000000000381988E-3</v>
      </c>
      <c r="N136" s="40">
        <f t="shared" si="40"/>
        <v>-8.0000000000381988E-3</v>
      </c>
      <c r="O136" s="302" t="s">
        <v>178</v>
      </c>
      <c r="P136" s="85">
        <f>T136-15</f>
        <v>45823</v>
      </c>
      <c r="Q136" s="85">
        <v>45813</v>
      </c>
      <c r="R136" s="85">
        <f t="shared" si="41"/>
        <v>45815</v>
      </c>
      <c r="S136" s="7">
        <f t="shared" ca="1" si="42"/>
        <v>10</v>
      </c>
      <c r="T136" s="85">
        <f>G136-32</f>
        <v>45838</v>
      </c>
      <c r="U136" s="85">
        <v>45838</v>
      </c>
      <c r="V136" s="7">
        <f t="shared" ca="1" si="43"/>
        <v>0</v>
      </c>
      <c r="W136" s="85"/>
      <c r="X136" s="8"/>
    </row>
    <row r="137" spans="1:24" ht="14.5" hidden="1">
      <c r="A137" s="14">
        <v>98</v>
      </c>
      <c r="B137" s="15" t="s">
        <v>59</v>
      </c>
      <c r="C137" s="20"/>
      <c r="D137" s="308" t="s">
        <v>193</v>
      </c>
      <c r="E137" s="146" t="s">
        <v>249</v>
      </c>
      <c r="F137" s="146" t="s">
        <v>162</v>
      </c>
      <c r="G137" s="240">
        <v>45835</v>
      </c>
      <c r="H137" s="17">
        <v>2080</v>
      </c>
      <c r="I137" s="86">
        <v>2.8</v>
      </c>
      <c r="J137" s="17">
        <f t="shared" si="46"/>
        <v>5824</v>
      </c>
      <c r="K137" s="18">
        <v>5824</v>
      </c>
      <c r="L137" s="18">
        <v>3517</v>
      </c>
      <c r="M137" s="40">
        <f t="shared" si="39"/>
        <v>2307</v>
      </c>
      <c r="N137" s="40">
        <f t="shared" si="40"/>
        <v>0</v>
      </c>
      <c r="O137" s="302" t="s">
        <v>178</v>
      </c>
      <c r="P137" s="85">
        <v>45801</v>
      </c>
      <c r="Q137" s="85">
        <v>45790</v>
      </c>
      <c r="R137" s="85">
        <f t="shared" si="41"/>
        <v>45792</v>
      </c>
      <c r="S137" s="7">
        <f t="shared" ca="1" si="42"/>
        <v>11</v>
      </c>
      <c r="T137" s="85">
        <f>P137+15</f>
        <v>45816</v>
      </c>
      <c r="U137" s="85">
        <v>45815</v>
      </c>
      <c r="V137" s="7">
        <f t="shared" ca="1" si="43"/>
        <v>1</v>
      </c>
      <c r="W137" s="85"/>
      <c r="X137" s="336" t="s">
        <v>941</v>
      </c>
    </row>
    <row r="138" spans="1:24" ht="14.5" hidden="1">
      <c r="A138" s="14">
        <v>98</v>
      </c>
      <c r="B138" s="15" t="s">
        <v>59</v>
      </c>
      <c r="C138" s="20"/>
      <c r="D138" s="307" t="s">
        <v>157</v>
      </c>
      <c r="E138" s="146" t="s">
        <v>243</v>
      </c>
      <c r="F138" s="146" t="s">
        <v>162</v>
      </c>
      <c r="G138" s="240">
        <v>45835</v>
      </c>
      <c r="H138" s="17">
        <v>1536</v>
      </c>
      <c r="I138" s="218">
        <v>0.30599999999999999</v>
      </c>
      <c r="J138" s="17">
        <f t="shared" si="46"/>
        <v>470.01599999999996</v>
      </c>
      <c r="K138" s="18">
        <v>470</v>
      </c>
      <c r="L138" s="18">
        <v>470</v>
      </c>
      <c r="M138" s="40">
        <f t="shared" si="39"/>
        <v>1.5999999999962711E-2</v>
      </c>
      <c r="N138" s="40">
        <f t="shared" si="40"/>
        <v>1.5999999999962711E-2</v>
      </c>
      <c r="O138" s="301" t="s">
        <v>950</v>
      </c>
      <c r="P138" s="85">
        <f>T138-15</f>
        <v>45790</v>
      </c>
      <c r="Q138" s="85">
        <v>45813</v>
      </c>
      <c r="R138" s="85">
        <f t="shared" si="41"/>
        <v>45815</v>
      </c>
      <c r="S138" s="7">
        <f t="shared" ca="1" si="42"/>
        <v>-23</v>
      </c>
      <c r="T138" s="85">
        <f>G138-30</f>
        <v>45805</v>
      </c>
      <c r="U138" s="85">
        <v>45838</v>
      </c>
      <c r="V138" s="7">
        <f t="shared" ca="1" si="43"/>
        <v>-33</v>
      </c>
      <c r="W138" s="85"/>
      <c r="X138" s="8"/>
    </row>
    <row r="139" spans="1:24" ht="14.5" hidden="1">
      <c r="A139" s="14">
        <v>98</v>
      </c>
      <c r="B139" s="15" t="s">
        <v>59</v>
      </c>
      <c r="C139" s="20"/>
      <c r="D139" s="312" t="s">
        <v>189</v>
      </c>
      <c r="E139" s="146" t="s">
        <v>312</v>
      </c>
      <c r="F139" s="146" t="s">
        <v>90</v>
      </c>
      <c r="G139" s="240">
        <v>45835</v>
      </c>
      <c r="H139" s="17">
        <v>1412</v>
      </c>
      <c r="I139" s="218">
        <v>0.5</v>
      </c>
      <c r="J139" s="17">
        <f t="shared" si="46"/>
        <v>706</v>
      </c>
      <c r="K139" s="18">
        <v>706</v>
      </c>
      <c r="L139" s="18">
        <v>706</v>
      </c>
      <c r="M139" s="40">
        <f t="shared" si="39"/>
        <v>0</v>
      </c>
      <c r="N139" s="40">
        <f t="shared" si="40"/>
        <v>0</v>
      </c>
      <c r="O139" s="302" t="s">
        <v>178</v>
      </c>
      <c r="P139" s="85">
        <f>T139-15</f>
        <v>45776</v>
      </c>
      <c r="Q139" s="85">
        <v>45775</v>
      </c>
      <c r="R139" s="85">
        <f t="shared" si="41"/>
        <v>45777</v>
      </c>
      <c r="S139" s="7">
        <f t="shared" ca="1" si="42"/>
        <v>1</v>
      </c>
      <c r="T139" s="85">
        <f>G139-44</f>
        <v>45791</v>
      </c>
      <c r="U139" s="85">
        <v>45794</v>
      </c>
      <c r="V139" s="7">
        <f t="shared" ca="1" si="43"/>
        <v>-3</v>
      </c>
      <c r="W139" s="85"/>
      <c r="X139" s="8"/>
    </row>
    <row r="140" spans="1:24" ht="14.5" hidden="1">
      <c r="A140" s="14">
        <v>98</v>
      </c>
      <c r="B140" s="15" t="s">
        <v>59</v>
      </c>
      <c r="C140" s="20"/>
      <c r="D140" s="308" t="s">
        <v>158</v>
      </c>
      <c r="E140" s="146" t="s">
        <v>242</v>
      </c>
      <c r="F140" s="146" t="s">
        <v>255</v>
      </c>
      <c r="G140" s="240">
        <v>45835</v>
      </c>
      <c r="H140" s="17">
        <v>1480</v>
      </c>
      <c r="I140" s="86">
        <v>0.46800000000000003</v>
      </c>
      <c r="J140" s="17">
        <f t="shared" si="46"/>
        <v>692.64</v>
      </c>
      <c r="K140" s="18">
        <v>693</v>
      </c>
      <c r="L140" s="18">
        <v>693</v>
      </c>
      <c r="M140" s="40">
        <f t="shared" si="39"/>
        <v>-0.36000000000001364</v>
      </c>
      <c r="N140" s="40">
        <f t="shared" si="40"/>
        <v>-0.36000000000001364</v>
      </c>
      <c r="O140" s="302" t="s">
        <v>178</v>
      </c>
      <c r="P140" s="85">
        <v>45809</v>
      </c>
      <c r="Q140" s="85">
        <v>45806</v>
      </c>
      <c r="R140" s="85">
        <f t="shared" si="41"/>
        <v>45808</v>
      </c>
      <c r="S140" s="7">
        <f t="shared" ca="1" si="42"/>
        <v>3</v>
      </c>
      <c r="T140" s="85">
        <f>P140+15</f>
        <v>45824</v>
      </c>
      <c r="U140" s="85">
        <v>45812</v>
      </c>
      <c r="V140" s="7">
        <f t="shared" ca="1" si="43"/>
        <v>12</v>
      </c>
      <c r="W140" s="85"/>
      <c r="X140" s="8"/>
    </row>
    <row r="141" spans="1:24" ht="14.5">
      <c r="A141" s="14">
        <v>99</v>
      </c>
      <c r="B141" s="15" t="s">
        <v>59</v>
      </c>
      <c r="C141" s="20"/>
      <c r="D141" s="307" t="s">
        <v>201</v>
      </c>
      <c r="E141" s="146" t="s">
        <v>247</v>
      </c>
      <c r="F141" s="146" t="s">
        <v>155</v>
      </c>
      <c r="G141" s="240">
        <v>45835</v>
      </c>
      <c r="H141" s="17">
        <v>15408</v>
      </c>
      <c r="I141" s="86">
        <v>0.28000000000000003</v>
      </c>
      <c r="J141" s="17">
        <f t="shared" si="46"/>
        <v>4314.2400000000007</v>
      </c>
      <c r="K141" s="18">
        <v>4314</v>
      </c>
      <c r="L141" s="18">
        <v>4314</v>
      </c>
      <c r="M141" s="40">
        <f t="shared" si="39"/>
        <v>0.24000000000069122</v>
      </c>
      <c r="N141" s="40">
        <f t="shared" si="40"/>
        <v>0.24000000000069122</v>
      </c>
      <c r="O141" s="302" t="s">
        <v>178</v>
      </c>
      <c r="P141" s="85">
        <v>45797</v>
      </c>
      <c r="Q141" s="85">
        <v>45801</v>
      </c>
      <c r="R141" s="85">
        <f t="shared" si="41"/>
        <v>45803</v>
      </c>
      <c r="S141" s="7">
        <f t="shared" ca="1" si="42"/>
        <v>-4</v>
      </c>
      <c r="T141" s="85">
        <f>P141+15</f>
        <v>45812</v>
      </c>
      <c r="U141" s="85">
        <v>45817</v>
      </c>
      <c r="V141" s="7">
        <f t="shared" ca="1" si="43"/>
        <v>-5</v>
      </c>
      <c r="W141" s="85">
        <v>45813</v>
      </c>
      <c r="X141" s="8"/>
    </row>
    <row r="142" spans="1:24" ht="14.5" hidden="1">
      <c r="A142" s="14">
        <v>99</v>
      </c>
      <c r="B142" s="15" t="s">
        <v>59</v>
      </c>
      <c r="C142" s="20"/>
      <c r="D142" s="312" t="s">
        <v>189</v>
      </c>
      <c r="E142" s="146" t="s">
        <v>312</v>
      </c>
      <c r="F142" s="146" t="s">
        <v>90</v>
      </c>
      <c r="G142" s="240">
        <v>45835</v>
      </c>
      <c r="H142" s="17">
        <v>968</v>
      </c>
      <c r="I142" s="218">
        <v>0.5</v>
      </c>
      <c r="J142" s="17">
        <f t="shared" si="46"/>
        <v>484</v>
      </c>
      <c r="K142" s="18">
        <v>484</v>
      </c>
      <c r="L142" s="18">
        <v>484</v>
      </c>
      <c r="M142" s="40">
        <f t="shared" si="39"/>
        <v>0</v>
      </c>
      <c r="N142" s="40">
        <f t="shared" si="40"/>
        <v>0</v>
      </c>
      <c r="O142" s="302" t="s">
        <v>178</v>
      </c>
      <c r="P142" s="85">
        <f>T142-15</f>
        <v>45776</v>
      </c>
      <c r="Q142" s="85">
        <v>45775</v>
      </c>
      <c r="R142" s="85">
        <f t="shared" si="41"/>
        <v>45777</v>
      </c>
      <c r="S142" s="7">
        <f t="shared" ca="1" si="42"/>
        <v>1</v>
      </c>
      <c r="T142" s="85">
        <f>G142-44</f>
        <v>45791</v>
      </c>
      <c r="U142" s="85">
        <v>45787</v>
      </c>
      <c r="V142" s="7">
        <f t="shared" ca="1" si="43"/>
        <v>4</v>
      </c>
      <c r="W142" s="85"/>
      <c r="X142" s="8"/>
    </row>
    <row r="143" spans="1:24" ht="14.5" hidden="1">
      <c r="A143" s="14">
        <v>100</v>
      </c>
      <c r="B143" s="15" t="s">
        <v>59</v>
      </c>
      <c r="C143" s="20"/>
      <c r="D143" s="309" t="s">
        <v>195</v>
      </c>
      <c r="E143" s="146" t="s">
        <v>838</v>
      </c>
      <c r="F143" s="146" t="s">
        <v>162</v>
      </c>
      <c r="G143" s="240">
        <v>45835</v>
      </c>
      <c r="H143" s="17">
        <v>5058</v>
      </c>
      <c r="I143" s="86">
        <v>0.44</v>
      </c>
      <c r="J143" s="17">
        <v>1004</v>
      </c>
      <c r="K143" s="18">
        <v>1004</v>
      </c>
      <c r="L143" s="18">
        <v>1004</v>
      </c>
      <c r="M143" s="40">
        <f t="shared" si="39"/>
        <v>0</v>
      </c>
      <c r="N143" s="40">
        <f t="shared" si="40"/>
        <v>0</v>
      </c>
      <c r="O143" s="301" t="s">
        <v>259</v>
      </c>
      <c r="P143" s="85">
        <f>T143-15</f>
        <v>45786</v>
      </c>
      <c r="Q143" s="85">
        <v>45786</v>
      </c>
      <c r="R143" s="85">
        <f t="shared" si="41"/>
        <v>45788</v>
      </c>
      <c r="S143" s="7">
        <f t="shared" ca="1" si="42"/>
        <v>0</v>
      </c>
      <c r="T143" s="85">
        <f>G143-34</f>
        <v>45801</v>
      </c>
      <c r="U143" s="85">
        <v>45786</v>
      </c>
      <c r="V143" s="7">
        <f t="shared" ca="1" si="43"/>
        <v>15</v>
      </c>
      <c r="W143" s="85"/>
      <c r="X143" s="8"/>
    </row>
    <row r="144" spans="1:24" ht="14.5" hidden="1">
      <c r="A144" s="14">
        <v>100</v>
      </c>
      <c r="B144" s="15" t="s">
        <v>59</v>
      </c>
      <c r="C144" s="20"/>
      <c r="D144" s="312" t="s">
        <v>189</v>
      </c>
      <c r="E144" s="146" t="s">
        <v>312</v>
      </c>
      <c r="F144" s="146" t="s">
        <v>90</v>
      </c>
      <c r="G144" s="240">
        <v>45835</v>
      </c>
      <c r="H144" s="17">
        <v>1412</v>
      </c>
      <c r="I144" s="218">
        <v>0.5</v>
      </c>
      <c r="J144" s="17">
        <f>H144*I144</f>
        <v>706</v>
      </c>
      <c r="K144" s="18">
        <v>706</v>
      </c>
      <c r="L144" s="18">
        <v>706</v>
      </c>
      <c r="M144" s="40">
        <f t="shared" si="39"/>
        <v>0</v>
      </c>
      <c r="N144" s="40">
        <f t="shared" si="40"/>
        <v>0</v>
      </c>
      <c r="O144" s="302" t="s">
        <v>178</v>
      </c>
      <c r="P144" s="85">
        <f>T144-15</f>
        <v>45776</v>
      </c>
      <c r="Q144" s="85">
        <v>45775</v>
      </c>
      <c r="R144" s="85">
        <f t="shared" si="41"/>
        <v>45777</v>
      </c>
      <c r="S144" s="7">
        <f t="shared" ca="1" si="42"/>
        <v>1</v>
      </c>
      <c r="T144" s="85">
        <f>G144-44</f>
        <v>45791</v>
      </c>
      <c r="U144" s="85">
        <v>45787</v>
      </c>
      <c r="V144" s="7">
        <f t="shared" ca="1" si="43"/>
        <v>4</v>
      </c>
      <c r="W144" s="85"/>
      <c r="X144" s="8"/>
    </row>
    <row r="145" spans="1:24" ht="14.5" hidden="1">
      <c r="A145" s="14">
        <v>100</v>
      </c>
      <c r="B145" s="15" t="s">
        <v>59</v>
      </c>
      <c r="C145" s="20"/>
      <c r="D145" s="308" t="s">
        <v>158</v>
      </c>
      <c r="E145" s="146" t="s">
        <v>242</v>
      </c>
      <c r="F145" s="146" t="s">
        <v>255</v>
      </c>
      <c r="G145" s="240">
        <v>45835</v>
      </c>
      <c r="H145" s="17">
        <v>2280</v>
      </c>
      <c r="I145" s="86">
        <v>0.46800000000000003</v>
      </c>
      <c r="J145" s="17">
        <f>H145*I145</f>
        <v>1067.04</v>
      </c>
      <c r="K145" s="18">
        <v>1067</v>
      </c>
      <c r="L145" s="18">
        <v>1067</v>
      </c>
      <c r="M145" s="40">
        <f t="shared" si="39"/>
        <v>3.999999999996362E-2</v>
      </c>
      <c r="N145" s="40">
        <f t="shared" si="40"/>
        <v>3.999999999996362E-2</v>
      </c>
      <c r="O145" s="302" t="s">
        <v>178</v>
      </c>
      <c r="P145" s="85">
        <v>45809</v>
      </c>
      <c r="Q145" s="85">
        <v>45806</v>
      </c>
      <c r="R145" s="85">
        <f t="shared" si="41"/>
        <v>45808</v>
      </c>
      <c r="S145" s="7">
        <f t="shared" ca="1" si="42"/>
        <v>3</v>
      </c>
      <c r="T145" s="85">
        <f>P145+15</f>
        <v>45824</v>
      </c>
      <c r="U145" s="85">
        <v>45812</v>
      </c>
      <c r="V145" s="7">
        <f t="shared" ca="1" si="43"/>
        <v>12</v>
      </c>
      <c r="W145" s="85"/>
      <c r="X145" s="8"/>
    </row>
    <row r="146" spans="1:24" ht="14.5" hidden="1">
      <c r="A146" s="14">
        <v>101</v>
      </c>
      <c r="B146" s="15" t="s">
        <v>59</v>
      </c>
      <c r="C146" s="20"/>
      <c r="D146" s="307" t="s">
        <v>81</v>
      </c>
      <c r="E146" s="146" t="s">
        <v>399</v>
      </c>
      <c r="F146" s="146" t="s">
        <v>291</v>
      </c>
      <c r="G146" s="240">
        <v>45842</v>
      </c>
      <c r="H146" s="17">
        <v>1728</v>
      </c>
      <c r="I146" s="86"/>
      <c r="J146" s="17">
        <f>H146</f>
        <v>1728</v>
      </c>
      <c r="K146" s="18">
        <v>1728</v>
      </c>
      <c r="L146" s="18"/>
      <c r="M146" s="40">
        <f t="shared" si="39"/>
        <v>1728</v>
      </c>
      <c r="N146" s="40">
        <f t="shared" si="40"/>
        <v>0</v>
      </c>
      <c r="O146" s="301" t="s">
        <v>292</v>
      </c>
      <c r="P146" s="85">
        <v>45797</v>
      </c>
      <c r="Q146" s="85">
        <v>45838</v>
      </c>
      <c r="R146" s="85">
        <f t="shared" si="41"/>
        <v>45840</v>
      </c>
      <c r="S146" s="7">
        <f t="shared" ca="1" si="42"/>
        <v>-41</v>
      </c>
      <c r="T146" s="85">
        <f>P146+30</f>
        <v>45827</v>
      </c>
      <c r="U146" s="85"/>
      <c r="V146" s="7">
        <f t="shared" ca="1" si="43"/>
        <v>-13</v>
      </c>
      <c r="W146" s="85"/>
      <c r="X146" s="8"/>
    </row>
    <row r="147" spans="1:24" ht="14.5" hidden="1">
      <c r="A147" s="14">
        <v>101</v>
      </c>
      <c r="B147" s="15" t="s">
        <v>59</v>
      </c>
      <c r="C147" s="20"/>
      <c r="D147" s="307" t="s">
        <v>81</v>
      </c>
      <c r="E147" s="146" t="s">
        <v>399</v>
      </c>
      <c r="F147" s="146" t="s">
        <v>293</v>
      </c>
      <c r="G147" s="240">
        <v>45842</v>
      </c>
      <c r="H147" s="17">
        <v>1728</v>
      </c>
      <c r="I147" s="86"/>
      <c r="J147" s="17">
        <f>H147</f>
        <v>1728</v>
      </c>
      <c r="K147" s="18">
        <v>1728</v>
      </c>
      <c r="L147" s="18"/>
      <c r="M147" s="40">
        <f t="shared" si="39"/>
        <v>1728</v>
      </c>
      <c r="N147" s="40">
        <f t="shared" si="40"/>
        <v>0</v>
      </c>
      <c r="O147" s="301" t="s">
        <v>292</v>
      </c>
      <c r="P147" s="85">
        <v>45797</v>
      </c>
      <c r="Q147" s="85">
        <v>45838</v>
      </c>
      <c r="R147" s="85">
        <f t="shared" si="41"/>
        <v>45840</v>
      </c>
      <c r="S147" s="7">
        <f t="shared" ca="1" si="42"/>
        <v>-41</v>
      </c>
      <c r="T147" s="85">
        <f>P147+30</f>
        <v>45827</v>
      </c>
      <c r="U147" s="85"/>
      <c r="V147" s="7">
        <f t="shared" ca="1" si="43"/>
        <v>-13</v>
      </c>
      <c r="W147" s="85"/>
      <c r="X147" s="8"/>
    </row>
    <row r="148" spans="1:24" ht="14.5" hidden="1">
      <c r="A148" s="14">
        <v>101</v>
      </c>
      <c r="B148" s="15" t="s">
        <v>59</v>
      </c>
      <c r="C148" s="20"/>
      <c r="D148" s="307" t="s">
        <v>81</v>
      </c>
      <c r="E148" s="146" t="s">
        <v>399</v>
      </c>
      <c r="F148" s="146" t="s">
        <v>294</v>
      </c>
      <c r="G148" s="240">
        <v>45842</v>
      </c>
      <c r="H148" s="17">
        <v>1728</v>
      </c>
      <c r="I148" s="86"/>
      <c r="J148" s="17">
        <f>H148</f>
        <v>1728</v>
      </c>
      <c r="K148" s="18">
        <v>1728</v>
      </c>
      <c r="L148" s="18"/>
      <c r="M148" s="40">
        <f t="shared" si="39"/>
        <v>1728</v>
      </c>
      <c r="N148" s="40">
        <f t="shared" si="40"/>
        <v>0</v>
      </c>
      <c r="O148" s="301" t="s">
        <v>292</v>
      </c>
      <c r="P148" s="85">
        <v>45797</v>
      </c>
      <c r="Q148" s="85">
        <v>45838</v>
      </c>
      <c r="R148" s="85">
        <f t="shared" si="41"/>
        <v>45840</v>
      </c>
      <c r="S148" s="7">
        <f t="shared" ca="1" si="42"/>
        <v>-41</v>
      </c>
      <c r="T148" s="85">
        <f>P148+30</f>
        <v>45827</v>
      </c>
      <c r="U148" s="85"/>
      <c r="V148" s="7">
        <f t="shared" ca="1" si="43"/>
        <v>-13</v>
      </c>
      <c r="W148" s="85"/>
      <c r="X148" s="8"/>
    </row>
    <row r="149" spans="1:24" ht="14.5" hidden="1">
      <c r="A149" s="14">
        <v>101</v>
      </c>
      <c r="B149" s="15" t="s">
        <v>59</v>
      </c>
      <c r="C149" s="20"/>
      <c r="D149" s="310" t="s">
        <v>288</v>
      </c>
      <c r="E149" s="146" t="s">
        <v>289</v>
      </c>
      <c r="F149" s="146" t="s">
        <v>155</v>
      </c>
      <c r="G149" s="240">
        <v>45842</v>
      </c>
      <c r="H149" s="17">
        <v>2124</v>
      </c>
      <c r="I149" s="218">
        <v>0.62</v>
      </c>
      <c r="J149" s="17">
        <f>H149*I149</f>
        <v>1316.8799999999999</v>
      </c>
      <c r="K149" s="18">
        <v>1317</v>
      </c>
      <c r="L149" s="18">
        <v>1317</v>
      </c>
      <c r="M149" s="40">
        <f t="shared" si="39"/>
        <v>-0.12000000000011823</v>
      </c>
      <c r="N149" s="40">
        <f t="shared" si="40"/>
        <v>-0.12000000000011823</v>
      </c>
      <c r="O149" s="302" t="s">
        <v>178</v>
      </c>
      <c r="P149" s="85">
        <v>45809</v>
      </c>
      <c r="Q149" s="85">
        <v>45819</v>
      </c>
      <c r="R149" s="85">
        <f t="shared" si="41"/>
        <v>45821</v>
      </c>
      <c r="S149" s="7">
        <f t="shared" ca="1" si="42"/>
        <v>-10</v>
      </c>
      <c r="T149" s="85">
        <f>P149+15</f>
        <v>45824</v>
      </c>
      <c r="U149" s="85">
        <v>45832</v>
      </c>
      <c r="V149" s="7">
        <f t="shared" ca="1" si="43"/>
        <v>-8</v>
      </c>
      <c r="W149" s="85"/>
      <c r="X149" s="8"/>
    </row>
    <row r="150" spans="1:24" ht="14.5" hidden="1">
      <c r="A150" s="14">
        <v>101</v>
      </c>
      <c r="B150" s="15" t="s">
        <v>59</v>
      </c>
      <c r="C150" s="20"/>
      <c r="D150" s="310" t="s">
        <v>288</v>
      </c>
      <c r="E150" s="146" t="s">
        <v>289</v>
      </c>
      <c r="F150" s="146" t="s">
        <v>154</v>
      </c>
      <c r="G150" s="240">
        <v>45842</v>
      </c>
      <c r="H150" s="17">
        <v>1770</v>
      </c>
      <c r="I150" s="218">
        <v>0.62</v>
      </c>
      <c r="J150" s="17">
        <f>H150*I150</f>
        <v>1097.4000000000001</v>
      </c>
      <c r="K150" s="18">
        <v>1097</v>
      </c>
      <c r="L150" s="18">
        <v>1097</v>
      </c>
      <c r="M150" s="40">
        <f t="shared" si="39"/>
        <v>0.40000000000009095</v>
      </c>
      <c r="N150" s="40">
        <f t="shared" si="40"/>
        <v>0.40000000000009095</v>
      </c>
      <c r="O150" s="302" t="s">
        <v>178</v>
      </c>
      <c r="P150" s="85">
        <v>45809</v>
      </c>
      <c r="Q150" s="85">
        <v>45813</v>
      </c>
      <c r="R150" s="85">
        <f t="shared" si="41"/>
        <v>45815</v>
      </c>
      <c r="S150" s="7">
        <f t="shared" ca="1" si="42"/>
        <v>-4</v>
      </c>
      <c r="T150" s="85">
        <f>P150+15</f>
        <v>45824</v>
      </c>
      <c r="U150" s="85">
        <v>45832</v>
      </c>
      <c r="V150" s="7">
        <f t="shared" ca="1" si="43"/>
        <v>-8</v>
      </c>
      <c r="W150" s="85"/>
      <c r="X150" s="8"/>
    </row>
    <row r="151" spans="1:24" ht="14.5" hidden="1">
      <c r="A151" s="14">
        <v>101</v>
      </c>
      <c r="B151" s="15" t="s">
        <v>59</v>
      </c>
      <c r="C151" s="20"/>
      <c r="D151" s="310" t="s">
        <v>288</v>
      </c>
      <c r="E151" s="146" t="s">
        <v>289</v>
      </c>
      <c r="F151" s="146" t="s">
        <v>156</v>
      </c>
      <c r="G151" s="240">
        <v>45842</v>
      </c>
      <c r="H151" s="17">
        <v>1416</v>
      </c>
      <c r="I151" s="218">
        <v>0.62</v>
      </c>
      <c r="J151" s="17">
        <f>H151*I151</f>
        <v>877.92</v>
      </c>
      <c r="K151" s="18">
        <v>878</v>
      </c>
      <c r="L151" s="18">
        <v>878</v>
      </c>
      <c r="M151" s="40">
        <f t="shared" si="39"/>
        <v>-8.0000000000040927E-2</v>
      </c>
      <c r="N151" s="40">
        <f t="shared" si="40"/>
        <v>-8.0000000000040927E-2</v>
      </c>
      <c r="O151" s="302" t="s">
        <v>178</v>
      </c>
      <c r="P151" s="85">
        <v>45809</v>
      </c>
      <c r="Q151" s="85">
        <v>45797</v>
      </c>
      <c r="R151" s="85">
        <f t="shared" si="41"/>
        <v>45799</v>
      </c>
      <c r="S151" s="7">
        <f t="shared" ca="1" si="42"/>
        <v>12</v>
      </c>
      <c r="T151" s="85">
        <f>P151+15</f>
        <v>45824</v>
      </c>
      <c r="U151" s="85">
        <v>45819</v>
      </c>
      <c r="V151" s="7">
        <f t="shared" ca="1" si="43"/>
        <v>5</v>
      </c>
      <c r="W151" s="85"/>
      <c r="X151" s="8"/>
    </row>
    <row r="152" spans="1:24" ht="14.5" hidden="1">
      <c r="A152" s="14">
        <v>101</v>
      </c>
      <c r="B152" s="15" t="s">
        <v>59</v>
      </c>
      <c r="C152" s="20"/>
      <c r="D152" s="312" t="s">
        <v>189</v>
      </c>
      <c r="E152" s="146" t="s">
        <v>312</v>
      </c>
      <c r="F152" s="146" t="s">
        <v>90</v>
      </c>
      <c r="G152" s="240">
        <v>45842</v>
      </c>
      <c r="H152" s="17">
        <v>1412</v>
      </c>
      <c r="I152" s="218">
        <v>0.5</v>
      </c>
      <c r="J152" s="17">
        <f>H152*I152</f>
        <v>706</v>
      </c>
      <c r="K152" s="18">
        <v>706</v>
      </c>
      <c r="L152" s="18">
        <v>706</v>
      </c>
      <c r="M152" s="40">
        <f t="shared" si="39"/>
        <v>0</v>
      </c>
      <c r="N152" s="40">
        <f t="shared" si="40"/>
        <v>0</v>
      </c>
      <c r="O152" s="302" t="s">
        <v>178</v>
      </c>
      <c r="P152" s="85">
        <f>T152-15</f>
        <v>45783</v>
      </c>
      <c r="Q152" s="85">
        <v>45775</v>
      </c>
      <c r="R152" s="85">
        <f t="shared" si="41"/>
        <v>45777</v>
      </c>
      <c r="S152" s="7">
        <f t="shared" ca="1" si="42"/>
        <v>8</v>
      </c>
      <c r="T152" s="85">
        <f>G152-44</f>
        <v>45798</v>
      </c>
      <c r="U152" s="85">
        <v>45787</v>
      </c>
      <c r="V152" s="7">
        <f t="shared" ca="1" si="43"/>
        <v>11</v>
      </c>
      <c r="W152" s="85"/>
      <c r="X152" s="8"/>
    </row>
    <row r="153" spans="1:24" ht="14.5" hidden="1">
      <c r="A153" s="14">
        <v>101</v>
      </c>
      <c r="B153" s="15" t="s">
        <v>59</v>
      </c>
      <c r="C153" s="20"/>
      <c r="D153" s="307" t="s">
        <v>158</v>
      </c>
      <c r="E153" s="146" t="s">
        <v>242</v>
      </c>
      <c r="F153" s="146" t="s">
        <v>255</v>
      </c>
      <c r="G153" s="240">
        <v>45842</v>
      </c>
      <c r="H153" s="17">
        <v>1148</v>
      </c>
      <c r="I153" s="86">
        <v>0.46800000000000003</v>
      </c>
      <c r="J153" s="17">
        <f>H153*I153</f>
        <v>537.26400000000001</v>
      </c>
      <c r="K153" s="18">
        <v>537</v>
      </c>
      <c r="L153" s="18">
        <v>537</v>
      </c>
      <c r="M153" s="40">
        <f t="shared" si="39"/>
        <v>0.26400000000001</v>
      </c>
      <c r="N153" s="40">
        <f t="shared" si="40"/>
        <v>0.26400000000001</v>
      </c>
      <c r="O153" s="302" t="s">
        <v>178</v>
      </c>
      <c r="P153" s="85">
        <v>45809</v>
      </c>
      <c r="Q153" s="85">
        <v>45806</v>
      </c>
      <c r="R153" s="85">
        <f t="shared" si="41"/>
        <v>45808</v>
      </c>
      <c r="S153" s="7">
        <f t="shared" ca="1" si="42"/>
        <v>3</v>
      </c>
      <c r="T153" s="85">
        <f>P153+15</f>
        <v>45824</v>
      </c>
      <c r="U153" s="85">
        <v>45815</v>
      </c>
      <c r="V153" s="7">
        <f t="shared" ca="1" si="43"/>
        <v>9</v>
      </c>
      <c r="W153" s="85"/>
      <c r="X153" s="8"/>
    </row>
    <row r="154" spans="1:24" ht="14.5" hidden="1">
      <c r="A154" s="14">
        <v>102</v>
      </c>
      <c r="B154" s="15" t="s">
        <v>59</v>
      </c>
      <c r="C154" s="20"/>
      <c r="D154" s="307" t="s">
        <v>81</v>
      </c>
      <c r="E154" s="146" t="s">
        <v>399</v>
      </c>
      <c r="F154" s="146" t="s">
        <v>291</v>
      </c>
      <c r="G154" s="240">
        <v>45842</v>
      </c>
      <c r="H154" s="17">
        <v>4608</v>
      </c>
      <c r="I154" s="86"/>
      <c r="J154" s="17">
        <f>H154</f>
        <v>4608</v>
      </c>
      <c r="K154" s="18">
        <v>4608</v>
      </c>
      <c r="L154" s="18"/>
      <c r="M154" s="40">
        <f t="shared" si="39"/>
        <v>4608</v>
      </c>
      <c r="N154" s="40">
        <f t="shared" si="40"/>
        <v>0</v>
      </c>
      <c r="O154" s="301" t="s">
        <v>292</v>
      </c>
      <c r="P154" s="85">
        <v>45797</v>
      </c>
      <c r="Q154" s="85">
        <v>45803</v>
      </c>
      <c r="R154" s="85">
        <f t="shared" si="41"/>
        <v>45805</v>
      </c>
      <c r="S154" s="7">
        <f t="shared" ca="1" si="42"/>
        <v>-6</v>
      </c>
      <c r="T154" s="85">
        <f>P154+30</f>
        <v>45827</v>
      </c>
      <c r="U154" s="85"/>
      <c r="V154" s="7">
        <f t="shared" ca="1" si="43"/>
        <v>-13</v>
      </c>
      <c r="W154" s="85"/>
      <c r="X154" s="8"/>
    </row>
    <row r="155" spans="1:24" ht="14.5" hidden="1">
      <c r="A155" s="14">
        <v>102</v>
      </c>
      <c r="B155" s="15" t="s">
        <v>59</v>
      </c>
      <c r="C155" s="20"/>
      <c r="D155" s="307" t="s">
        <v>81</v>
      </c>
      <c r="E155" s="146" t="s">
        <v>399</v>
      </c>
      <c r="F155" s="146" t="s">
        <v>293</v>
      </c>
      <c r="G155" s="240">
        <v>45842</v>
      </c>
      <c r="H155" s="17">
        <v>4608</v>
      </c>
      <c r="I155" s="86"/>
      <c r="J155" s="17">
        <f>H155</f>
        <v>4608</v>
      </c>
      <c r="K155" s="18">
        <v>4608</v>
      </c>
      <c r="L155" s="18"/>
      <c r="M155" s="40">
        <f t="shared" si="39"/>
        <v>4608</v>
      </c>
      <c r="N155" s="40">
        <f t="shared" si="40"/>
        <v>0</v>
      </c>
      <c r="O155" s="301" t="s">
        <v>292</v>
      </c>
      <c r="P155" s="85">
        <v>45797</v>
      </c>
      <c r="Q155" s="85">
        <v>45803</v>
      </c>
      <c r="R155" s="85">
        <f t="shared" si="41"/>
        <v>45805</v>
      </c>
      <c r="S155" s="7">
        <f t="shared" ca="1" si="42"/>
        <v>-6</v>
      </c>
      <c r="T155" s="85">
        <f>P155+30</f>
        <v>45827</v>
      </c>
      <c r="U155" s="85"/>
      <c r="V155" s="7">
        <f t="shared" ca="1" si="43"/>
        <v>-13</v>
      </c>
      <c r="W155" s="85"/>
      <c r="X155" s="8"/>
    </row>
    <row r="156" spans="1:24" ht="14.5" hidden="1">
      <c r="A156" s="14">
        <v>102</v>
      </c>
      <c r="B156" s="15" t="s">
        <v>59</v>
      </c>
      <c r="C156" s="20"/>
      <c r="D156" s="307" t="s">
        <v>81</v>
      </c>
      <c r="E156" s="146" t="s">
        <v>399</v>
      </c>
      <c r="F156" s="146" t="s">
        <v>294</v>
      </c>
      <c r="G156" s="240">
        <v>45842</v>
      </c>
      <c r="H156" s="17">
        <v>4608</v>
      </c>
      <c r="I156" s="86"/>
      <c r="J156" s="17">
        <f>H156</f>
        <v>4608</v>
      </c>
      <c r="K156" s="18">
        <v>4608</v>
      </c>
      <c r="L156" s="18"/>
      <c r="M156" s="40">
        <f t="shared" si="39"/>
        <v>4608</v>
      </c>
      <c r="N156" s="40">
        <f t="shared" si="40"/>
        <v>0</v>
      </c>
      <c r="O156" s="301" t="s">
        <v>292</v>
      </c>
      <c r="P156" s="85">
        <v>45797</v>
      </c>
      <c r="Q156" s="85">
        <v>45803</v>
      </c>
      <c r="R156" s="85">
        <f t="shared" si="41"/>
        <v>45805</v>
      </c>
      <c r="S156" s="7">
        <f t="shared" ca="1" si="42"/>
        <v>-6</v>
      </c>
      <c r="T156" s="85">
        <f>P156+30</f>
        <v>45827</v>
      </c>
      <c r="U156" s="85"/>
      <c r="V156" s="7">
        <f t="shared" ca="1" si="43"/>
        <v>-13</v>
      </c>
      <c r="W156" s="85"/>
      <c r="X156" s="8"/>
    </row>
    <row r="157" spans="1:24" ht="14.5" hidden="1">
      <c r="A157" s="14">
        <v>102</v>
      </c>
      <c r="B157" s="15" t="s">
        <v>59</v>
      </c>
      <c r="C157" s="20"/>
      <c r="D157" s="307" t="s">
        <v>158</v>
      </c>
      <c r="E157" s="146" t="s">
        <v>242</v>
      </c>
      <c r="F157" s="146" t="s">
        <v>255</v>
      </c>
      <c r="G157" s="240">
        <v>45842</v>
      </c>
      <c r="H157" s="17">
        <v>1164</v>
      </c>
      <c r="I157" s="86">
        <v>0.46800000000000003</v>
      </c>
      <c r="J157" s="17">
        <f>H157*I157</f>
        <v>544.75200000000007</v>
      </c>
      <c r="K157" s="18">
        <v>545</v>
      </c>
      <c r="L157" s="18">
        <v>545</v>
      </c>
      <c r="M157" s="40">
        <f t="shared" si="39"/>
        <v>-0.24799999999993361</v>
      </c>
      <c r="N157" s="40">
        <f t="shared" si="40"/>
        <v>-0.24799999999993361</v>
      </c>
      <c r="O157" s="302" t="s">
        <v>178</v>
      </c>
      <c r="P157" s="85">
        <v>45809</v>
      </c>
      <c r="Q157" s="85">
        <v>45806</v>
      </c>
      <c r="R157" s="85">
        <f t="shared" si="41"/>
        <v>45808</v>
      </c>
      <c r="S157" s="7">
        <f t="shared" ca="1" si="42"/>
        <v>3</v>
      </c>
      <c r="T157" s="85">
        <f>P157+15</f>
        <v>45824</v>
      </c>
      <c r="U157" s="85">
        <v>45815</v>
      </c>
      <c r="V157" s="7">
        <f t="shared" ca="1" si="43"/>
        <v>9</v>
      </c>
      <c r="W157" s="85"/>
      <c r="X157" s="8"/>
    </row>
    <row r="158" spans="1:24" ht="14.5" hidden="1">
      <c r="A158" s="14">
        <v>102</v>
      </c>
      <c r="B158" s="15" t="s">
        <v>59</v>
      </c>
      <c r="C158" s="20"/>
      <c r="D158" s="312" t="s">
        <v>190</v>
      </c>
      <c r="E158" s="146" t="s">
        <v>242</v>
      </c>
      <c r="F158" s="146" t="s">
        <v>244</v>
      </c>
      <c r="G158" s="240">
        <v>45842</v>
      </c>
      <c r="H158" s="17">
        <v>1164</v>
      </c>
      <c r="I158" s="86">
        <v>0.35</v>
      </c>
      <c r="J158" s="17">
        <f>H158*I158</f>
        <v>407.4</v>
      </c>
      <c r="K158" s="18">
        <v>407</v>
      </c>
      <c r="L158" s="18">
        <v>407</v>
      </c>
      <c r="M158" s="40">
        <f t="shared" ref="M158:M215" si="47">+J158-L158</f>
        <v>0.39999999999997726</v>
      </c>
      <c r="N158" s="40">
        <f t="shared" ref="N158:N215" si="48">+J158-K158</f>
        <v>0.39999999999997726</v>
      </c>
      <c r="O158" s="302" t="s">
        <v>178</v>
      </c>
      <c r="P158" s="85">
        <v>45782</v>
      </c>
      <c r="Q158" s="85">
        <v>45782</v>
      </c>
      <c r="R158" s="85">
        <f t="shared" ref="R158:R215" si="49">Q158+2</f>
        <v>45784</v>
      </c>
      <c r="S158" s="7">
        <f t="shared" ref="S158:S215" ca="1" si="50">+IF(Q158="",P158-TODAY(),P158-Q158)</f>
        <v>0</v>
      </c>
      <c r="T158" s="85">
        <f>P158+15</f>
        <v>45797</v>
      </c>
      <c r="U158" s="85">
        <v>45801</v>
      </c>
      <c r="V158" s="7">
        <f t="shared" ref="V158:V215" ca="1" si="51">+IF(U158="",T158-TODAY(),T158-U158)</f>
        <v>-4</v>
      </c>
      <c r="W158" s="85">
        <v>45794</v>
      </c>
      <c r="X158" s="8"/>
    </row>
    <row r="159" spans="1:24" ht="14.5" hidden="1">
      <c r="A159" s="14">
        <v>103</v>
      </c>
      <c r="B159" s="15" t="s">
        <v>59</v>
      </c>
      <c r="C159" s="20"/>
      <c r="D159" s="312" t="s">
        <v>189</v>
      </c>
      <c r="E159" s="146" t="s">
        <v>312</v>
      </c>
      <c r="F159" s="146" t="s">
        <v>90</v>
      </c>
      <c r="G159" s="240">
        <v>45842</v>
      </c>
      <c r="H159" s="17">
        <v>1632</v>
      </c>
      <c r="I159" s="218">
        <v>0.5</v>
      </c>
      <c r="J159" s="17">
        <f>H159*I159</f>
        <v>816</v>
      </c>
      <c r="K159" s="18">
        <v>816</v>
      </c>
      <c r="L159" s="18">
        <v>816</v>
      </c>
      <c r="M159" s="40">
        <f t="shared" si="47"/>
        <v>0</v>
      </c>
      <c r="N159" s="40">
        <f t="shared" si="48"/>
        <v>0</v>
      </c>
      <c r="O159" s="302" t="s">
        <v>178</v>
      </c>
      <c r="P159" s="85">
        <f>T159-15</f>
        <v>45783</v>
      </c>
      <c r="Q159" s="85">
        <v>45775</v>
      </c>
      <c r="R159" s="85">
        <f t="shared" si="49"/>
        <v>45777</v>
      </c>
      <c r="S159" s="7">
        <f t="shared" ca="1" si="50"/>
        <v>8</v>
      </c>
      <c r="T159" s="85">
        <f>G159-44</f>
        <v>45798</v>
      </c>
      <c r="U159" s="85">
        <v>45787</v>
      </c>
      <c r="V159" s="7">
        <f t="shared" ca="1" si="51"/>
        <v>11</v>
      </c>
      <c r="W159" s="85"/>
      <c r="X159" s="8"/>
    </row>
    <row r="160" spans="1:24" ht="14.5">
      <c r="A160" s="14">
        <v>109</v>
      </c>
      <c r="B160" s="15" t="s">
        <v>59</v>
      </c>
      <c r="C160" s="20"/>
      <c r="D160" s="307" t="s">
        <v>201</v>
      </c>
      <c r="E160" s="146" t="s">
        <v>247</v>
      </c>
      <c r="F160" s="146" t="s">
        <v>155</v>
      </c>
      <c r="G160" s="240">
        <v>45842</v>
      </c>
      <c r="H160" s="17">
        <f>5472*3</f>
        <v>16416</v>
      </c>
      <c r="I160" s="86">
        <v>0.28000000000000003</v>
      </c>
      <c r="J160" s="17">
        <f>H160*I160</f>
        <v>4596.4800000000005</v>
      </c>
      <c r="K160" s="18">
        <v>4596</v>
      </c>
      <c r="L160" s="18">
        <v>4596</v>
      </c>
      <c r="M160" s="40">
        <f t="shared" si="47"/>
        <v>0.48000000000047294</v>
      </c>
      <c r="N160" s="40">
        <f t="shared" si="48"/>
        <v>0.48000000000047294</v>
      </c>
      <c r="O160" s="302" t="s">
        <v>178</v>
      </c>
      <c r="P160" s="85">
        <v>45797</v>
      </c>
      <c r="Q160" s="85">
        <v>45801</v>
      </c>
      <c r="R160" s="85">
        <f t="shared" si="49"/>
        <v>45803</v>
      </c>
      <c r="S160" s="7">
        <f t="shared" ca="1" si="50"/>
        <v>-4</v>
      </c>
      <c r="T160" s="85">
        <f>P160+15</f>
        <v>45812</v>
      </c>
      <c r="U160" s="85">
        <v>45826</v>
      </c>
      <c r="V160" s="7">
        <f t="shared" ca="1" si="51"/>
        <v>-14</v>
      </c>
      <c r="W160" s="85">
        <v>45817</v>
      </c>
      <c r="X160" s="8"/>
    </row>
    <row r="161" spans="1:24" ht="14.5" hidden="1">
      <c r="A161" s="14">
        <v>109</v>
      </c>
      <c r="B161" s="15" t="s">
        <v>59</v>
      </c>
      <c r="C161" s="20"/>
      <c r="D161" s="307" t="s">
        <v>158</v>
      </c>
      <c r="E161" s="146" t="s">
        <v>242</v>
      </c>
      <c r="F161" s="146" t="s">
        <v>154</v>
      </c>
      <c r="G161" s="240">
        <v>45842</v>
      </c>
      <c r="H161" s="17">
        <v>1420</v>
      </c>
      <c r="I161" s="86">
        <v>0.46800000000000003</v>
      </c>
      <c r="J161" s="17">
        <f>H161*I161</f>
        <v>664.56000000000006</v>
      </c>
      <c r="K161" s="18">
        <v>665</v>
      </c>
      <c r="L161" s="18">
        <v>665</v>
      </c>
      <c r="M161" s="40">
        <f t="shared" si="47"/>
        <v>-0.43999999999994088</v>
      </c>
      <c r="N161" s="40">
        <f t="shared" si="48"/>
        <v>-0.43999999999994088</v>
      </c>
      <c r="O161" s="302" t="s">
        <v>178</v>
      </c>
      <c r="P161" s="85">
        <v>45809</v>
      </c>
      <c r="Q161" s="85">
        <v>45806</v>
      </c>
      <c r="R161" s="85">
        <f t="shared" si="49"/>
        <v>45808</v>
      </c>
      <c r="S161" s="7">
        <f t="shared" ca="1" si="50"/>
        <v>3</v>
      </c>
      <c r="T161" s="85">
        <f>P161+15</f>
        <v>45824</v>
      </c>
      <c r="U161" s="85">
        <v>45813</v>
      </c>
      <c r="V161" s="7">
        <f t="shared" ca="1" si="51"/>
        <v>11</v>
      </c>
      <c r="W161" s="85"/>
      <c r="X161" s="8"/>
    </row>
    <row r="162" spans="1:24" ht="14.5" hidden="1">
      <c r="A162" s="14">
        <v>109</v>
      </c>
      <c r="B162" s="15" t="s">
        <v>59</v>
      </c>
      <c r="C162" s="20"/>
      <c r="D162" s="309" t="s">
        <v>195</v>
      </c>
      <c r="E162" s="146" t="s">
        <v>838</v>
      </c>
      <c r="F162" s="146" t="s">
        <v>162</v>
      </c>
      <c r="G162" s="240">
        <v>45842</v>
      </c>
      <c r="H162" s="17">
        <v>5040</v>
      </c>
      <c r="I162" s="86">
        <v>0.44</v>
      </c>
      <c r="J162" s="17">
        <v>1004</v>
      </c>
      <c r="K162" s="18">
        <v>1004</v>
      </c>
      <c r="L162" s="18">
        <v>1004</v>
      </c>
      <c r="M162" s="40">
        <f t="shared" si="47"/>
        <v>0</v>
      </c>
      <c r="N162" s="40">
        <f t="shared" si="48"/>
        <v>0</v>
      </c>
      <c r="O162" s="301" t="s">
        <v>259</v>
      </c>
      <c r="P162" s="85">
        <f>T162-15</f>
        <v>45793</v>
      </c>
      <c r="Q162" s="85">
        <v>45787</v>
      </c>
      <c r="R162" s="85">
        <f t="shared" si="49"/>
        <v>45789</v>
      </c>
      <c r="S162" s="7">
        <f t="shared" ca="1" si="50"/>
        <v>6</v>
      </c>
      <c r="T162" s="85">
        <f>G162-34</f>
        <v>45808</v>
      </c>
      <c r="U162" s="85">
        <v>45787</v>
      </c>
      <c r="V162" s="7">
        <f t="shared" ca="1" si="51"/>
        <v>21</v>
      </c>
      <c r="W162" s="85"/>
      <c r="X162" s="8"/>
    </row>
    <row r="163" spans="1:24" ht="14.5" hidden="1">
      <c r="A163" s="14">
        <v>109</v>
      </c>
      <c r="B163" s="15" t="s">
        <v>59</v>
      </c>
      <c r="C163" s="20"/>
      <c r="D163" s="312" t="s">
        <v>189</v>
      </c>
      <c r="E163" s="146" t="s">
        <v>312</v>
      </c>
      <c r="F163" s="146" t="s">
        <v>90</v>
      </c>
      <c r="G163" s="240">
        <v>45842</v>
      </c>
      <c r="H163" s="17">
        <v>1932</v>
      </c>
      <c r="I163" s="218">
        <v>0.5</v>
      </c>
      <c r="J163" s="17">
        <f t="shared" ref="J163:J170" si="52">H163*I163</f>
        <v>966</v>
      </c>
      <c r="K163" s="18">
        <v>966</v>
      </c>
      <c r="L163" s="18">
        <v>966</v>
      </c>
      <c r="M163" s="40">
        <f t="shared" si="47"/>
        <v>0</v>
      </c>
      <c r="N163" s="40">
        <f t="shared" si="48"/>
        <v>0</v>
      </c>
      <c r="O163" s="302" t="s">
        <v>178</v>
      </c>
      <c r="P163" s="85">
        <f>T163-15</f>
        <v>45783</v>
      </c>
      <c r="Q163" s="85">
        <v>45775</v>
      </c>
      <c r="R163" s="85">
        <f t="shared" si="49"/>
        <v>45777</v>
      </c>
      <c r="S163" s="7">
        <f t="shared" ca="1" si="50"/>
        <v>8</v>
      </c>
      <c r="T163" s="85">
        <f>G163-44</f>
        <v>45798</v>
      </c>
      <c r="U163" s="85">
        <v>45793</v>
      </c>
      <c r="V163" s="7">
        <f t="shared" ca="1" si="51"/>
        <v>5</v>
      </c>
      <c r="W163" s="85"/>
      <c r="X163" s="8"/>
    </row>
    <row r="164" spans="1:24" ht="14.5" hidden="1">
      <c r="A164" s="14">
        <v>110</v>
      </c>
      <c r="B164" s="15" t="s">
        <v>59</v>
      </c>
      <c r="C164" s="20"/>
      <c r="D164" s="311" t="s">
        <v>136</v>
      </c>
      <c r="E164" s="146" t="s">
        <v>247</v>
      </c>
      <c r="F164" s="146" t="s">
        <v>162</v>
      </c>
      <c r="G164" s="240">
        <v>45842</v>
      </c>
      <c r="H164" s="17">
        <v>5376</v>
      </c>
      <c r="I164" s="15">
        <v>0.28000000000000003</v>
      </c>
      <c r="J164" s="17">
        <f t="shared" si="52"/>
        <v>1505.2800000000002</v>
      </c>
      <c r="K164" s="18">
        <v>1505</v>
      </c>
      <c r="L164" s="18">
        <v>1505</v>
      </c>
      <c r="M164" s="40">
        <f t="shared" si="47"/>
        <v>0.28000000000020009</v>
      </c>
      <c r="N164" s="40">
        <f t="shared" si="48"/>
        <v>0.28000000000020009</v>
      </c>
      <c r="O164" s="301" t="s">
        <v>265</v>
      </c>
      <c r="P164" s="85">
        <v>45797</v>
      </c>
      <c r="Q164" s="85">
        <v>45798</v>
      </c>
      <c r="R164" s="85">
        <f t="shared" si="49"/>
        <v>45800</v>
      </c>
      <c r="S164" s="7">
        <f t="shared" ca="1" si="50"/>
        <v>-1</v>
      </c>
      <c r="T164" s="85">
        <f>P164+15</f>
        <v>45812</v>
      </c>
      <c r="U164" s="85">
        <v>45829</v>
      </c>
      <c r="V164" s="7">
        <f t="shared" ca="1" si="51"/>
        <v>-17</v>
      </c>
      <c r="W164" s="85"/>
      <c r="X164" s="8"/>
    </row>
    <row r="165" spans="1:24" ht="14.5" hidden="1">
      <c r="A165" s="14">
        <v>110</v>
      </c>
      <c r="B165" s="15" t="s">
        <v>59</v>
      </c>
      <c r="C165" s="20"/>
      <c r="D165" s="311" t="s">
        <v>136</v>
      </c>
      <c r="E165" s="146" t="s">
        <v>247</v>
      </c>
      <c r="F165" s="146" t="s">
        <v>163</v>
      </c>
      <c r="G165" s="240">
        <v>45842</v>
      </c>
      <c r="H165" s="17">
        <v>5376</v>
      </c>
      <c r="I165" s="15">
        <v>0.28000000000000003</v>
      </c>
      <c r="J165" s="17">
        <f t="shared" si="52"/>
        <v>1505.2800000000002</v>
      </c>
      <c r="K165" s="18">
        <v>1505</v>
      </c>
      <c r="L165" s="18">
        <v>1505</v>
      </c>
      <c r="M165" s="40">
        <f t="shared" si="47"/>
        <v>0.28000000000020009</v>
      </c>
      <c r="N165" s="40">
        <f t="shared" si="48"/>
        <v>0.28000000000020009</v>
      </c>
      <c r="O165" s="301" t="s">
        <v>265</v>
      </c>
      <c r="P165" s="85">
        <v>45797</v>
      </c>
      <c r="Q165" s="85">
        <v>45798</v>
      </c>
      <c r="R165" s="85">
        <f t="shared" si="49"/>
        <v>45800</v>
      </c>
      <c r="S165" s="7">
        <f t="shared" ca="1" si="50"/>
        <v>-1</v>
      </c>
      <c r="T165" s="85">
        <f>P165+15</f>
        <v>45812</v>
      </c>
      <c r="U165" s="85">
        <v>45829</v>
      </c>
      <c r="V165" s="7">
        <f t="shared" ca="1" si="51"/>
        <v>-17</v>
      </c>
      <c r="W165" s="85"/>
      <c r="X165" s="8"/>
    </row>
    <row r="166" spans="1:24" ht="14.5" hidden="1">
      <c r="A166" s="14">
        <v>110</v>
      </c>
      <c r="B166" s="15" t="s">
        <v>59</v>
      </c>
      <c r="C166" s="20"/>
      <c r="D166" s="311" t="s">
        <v>136</v>
      </c>
      <c r="E166" s="146" t="s">
        <v>247</v>
      </c>
      <c r="F166" s="146" t="s">
        <v>164</v>
      </c>
      <c r="G166" s="240">
        <v>45842</v>
      </c>
      <c r="H166" s="17">
        <v>5376</v>
      </c>
      <c r="I166" s="15">
        <v>0.28000000000000003</v>
      </c>
      <c r="J166" s="17">
        <f t="shared" si="52"/>
        <v>1505.2800000000002</v>
      </c>
      <c r="K166" s="18">
        <v>1505</v>
      </c>
      <c r="L166" s="18">
        <v>1505</v>
      </c>
      <c r="M166" s="40">
        <f t="shared" si="47"/>
        <v>0.28000000000020009</v>
      </c>
      <c r="N166" s="40">
        <f t="shared" si="48"/>
        <v>0.28000000000020009</v>
      </c>
      <c r="O166" s="301" t="s">
        <v>265</v>
      </c>
      <c r="P166" s="85">
        <v>45797</v>
      </c>
      <c r="Q166" s="85">
        <v>45798</v>
      </c>
      <c r="R166" s="85">
        <f t="shared" si="49"/>
        <v>45800</v>
      </c>
      <c r="S166" s="7">
        <f t="shared" ca="1" si="50"/>
        <v>-1</v>
      </c>
      <c r="T166" s="85">
        <f>P166+15</f>
        <v>45812</v>
      </c>
      <c r="U166" s="85">
        <v>45820</v>
      </c>
      <c r="V166" s="7">
        <f t="shared" ca="1" si="51"/>
        <v>-8</v>
      </c>
      <c r="W166" s="85"/>
      <c r="X166" s="8"/>
    </row>
    <row r="167" spans="1:24" ht="14.5" hidden="1">
      <c r="A167" s="14">
        <v>110</v>
      </c>
      <c r="B167" s="15" t="s">
        <v>59</v>
      </c>
      <c r="C167" s="20"/>
      <c r="D167" s="307" t="s">
        <v>158</v>
      </c>
      <c r="E167" s="146" t="s">
        <v>242</v>
      </c>
      <c r="F167" s="146" t="s">
        <v>255</v>
      </c>
      <c r="G167" s="240">
        <v>45842</v>
      </c>
      <c r="H167" s="17">
        <v>1372</v>
      </c>
      <c r="I167" s="86">
        <v>0.46800000000000003</v>
      </c>
      <c r="J167" s="17">
        <f t="shared" si="52"/>
        <v>642.096</v>
      </c>
      <c r="K167" s="18">
        <v>642</v>
      </c>
      <c r="L167" s="18">
        <v>642</v>
      </c>
      <c r="M167" s="40">
        <f t="shared" si="47"/>
        <v>9.6000000000003638E-2</v>
      </c>
      <c r="N167" s="40">
        <f t="shared" si="48"/>
        <v>9.6000000000003638E-2</v>
      </c>
      <c r="O167" s="302" t="s">
        <v>178</v>
      </c>
      <c r="P167" s="85">
        <v>45809</v>
      </c>
      <c r="Q167" s="85">
        <v>45806</v>
      </c>
      <c r="R167" s="85">
        <f t="shared" si="49"/>
        <v>45808</v>
      </c>
      <c r="S167" s="7">
        <f t="shared" ca="1" si="50"/>
        <v>3</v>
      </c>
      <c r="T167" s="85">
        <f>P167+15</f>
        <v>45824</v>
      </c>
      <c r="U167" s="85">
        <v>45815</v>
      </c>
      <c r="V167" s="7">
        <f t="shared" ca="1" si="51"/>
        <v>9</v>
      </c>
      <c r="W167" s="85"/>
      <c r="X167" s="8"/>
    </row>
    <row r="168" spans="1:24" ht="14.5" hidden="1">
      <c r="A168" s="14">
        <v>111</v>
      </c>
      <c r="B168" s="15" t="s">
        <v>59</v>
      </c>
      <c r="C168" s="20"/>
      <c r="D168" s="307" t="s">
        <v>157</v>
      </c>
      <c r="E168" s="146" t="s">
        <v>243</v>
      </c>
      <c r="F168" s="146" t="s">
        <v>155</v>
      </c>
      <c r="G168" s="240">
        <v>45849</v>
      </c>
      <c r="H168" s="17">
        <v>2724</v>
      </c>
      <c r="I168" s="218">
        <v>0.30599999999999999</v>
      </c>
      <c r="J168" s="17">
        <f t="shared" si="52"/>
        <v>833.54399999999998</v>
      </c>
      <c r="K168" s="18">
        <v>834</v>
      </c>
      <c r="L168" s="18">
        <v>834</v>
      </c>
      <c r="M168" s="40">
        <f t="shared" si="47"/>
        <v>-0.45600000000001728</v>
      </c>
      <c r="N168" s="40">
        <f t="shared" si="48"/>
        <v>-0.45600000000001728</v>
      </c>
      <c r="O168" s="301" t="s">
        <v>940</v>
      </c>
      <c r="P168" s="85">
        <f>T168-18</f>
        <v>45796</v>
      </c>
      <c r="Q168" s="85">
        <v>45813</v>
      </c>
      <c r="R168" s="85">
        <f t="shared" si="49"/>
        <v>45815</v>
      </c>
      <c r="S168" s="7">
        <f t="shared" ca="1" si="50"/>
        <v>-17</v>
      </c>
      <c r="T168" s="85">
        <f>G168-35</f>
        <v>45814</v>
      </c>
      <c r="U168" s="85">
        <v>45827</v>
      </c>
      <c r="V168" s="7">
        <f t="shared" ca="1" si="51"/>
        <v>-13</v>
      </c>
      <c r="W168" s="85"/>
      <c r="X168" s="8"/>
    </row>
    <row r="169" spans="1:24" ht="14.5" hidden="1">
      <c r="A169" s="14">
        <v>111</v>
      </c>
      <c r="B169" s="15" t="s">
        <v>59</v>
      </c>
      <c r="C169" s="20"/>
      <c r="D169" s="312" t="s">
        <v>189</v>
      </c>
      <c r="E169" s="146" t="s">
        <v>312</v>
      </c>
      <c r="F169" s="146" t="s">
        <v>90</v>
      </c>
      <c r="G169" s="240">
        <v>45849</v>
      </c>
      <c r="H169" s="17">
        <v>1412</v>
      </c>
      <c r="I169" s="218">
        <v>0.5</v>
      </c>
      <c r="J169" s="17">
        <f t="shared" si="52"/>
        <v>706</v>
      </c>
      <c r="K169" s="18">
        <v>706</v>
      </c>
      <c r="L169" s="18">
        <v>706</v>
      </c>
      <c r="M169" s="40">
        <f t="shared" si="47"/>
        <v>0</v>
      </c>
      <c r="N169" s="40">
        <f t="shared" si="48"/>
        <v>0</v>
      </c>
      <c r="O169" s="302" t="s">
        <v>178</v>
      </c>
      <c r="P169" s="85">
        <f>T169-15</f>
        <v>45790</v>
      </c>
      <c r="Q169" s="85">
        <v>45775</v>
      </c>
      <c r="R169" s="85">
        <f t="shared" si="49"/>
        <v>45777</v>
      </c>
      <c r="S169" s="7">
        <f t="shared" ca="1" si="50"/>
        <v>15</v>
      </c>
      <c r="T169" s="85">
        <f>G169-44</f>
        <v>45805</v>
      </c>
      <c r="U169" s="85">
        <v>45793</v>
      </c>
      <c r="V169" s="7">
        <f t="shared" ca="1" si="51"/>
        <v>12</v>
      </c>
      <c r="W169" s="85"/>
      <c r="X169" s="8"/>
    </row>
    <row r="170" spans="1:24" ht="14.5" hidden="1">
      <c r="A170" s="14">
        <v>112</v>
      </c>
      <c r="B170" s="15" t="s">
        <v>59</v>
      </c>
      <c r="C170" s="20"/>
      <c r="D170" s="307" t="s">
        <v>193</v>
      </c>
      <c r="E170" s="146" t="s">
        <v>246</v>
      </c>
      <c r="F170" s="146" t="s">
        <v>162</v>
      </c>
      <c r="G170" s="240">
        <v>45856</v>
      </c>
      <c r="H170" s="17">
        <v>3000</v>
      </c>
      <c r="I170" s="86">
        <v>0.32</v>
      </c>
      <c r="J170" s="17">
        <f t="shared" si="52"/>
        <v>960</v>
      </c>
      <c r="K170" s="18">
        <v>960</v>
      </c>
      <c r="L170" s="18">
        <v>960</v>
      </c>
      <c r="M170" s="40">
        <f t="shared" si="47"/>
        <v>0</v>
      </c>
      <c r="N170" s="40">
        <f t="shared" si="48"/>
        <v>0</v>
      </c>
      <c r="O170" s="302" t="s">
        <v>178</v>
      </c>
      <c r="P170" s="85">
        <v>45801</v>
      </c>
      <c r="Q170" s="85">
        <v>45794</v>
      </c>
      <c r="R170" s="85">
        <f t="shared" si="49"/>
        <v>45796</v>
      </c>
      <c r="S170" s="7">
        <f t="shared" ca="1" si="50"/>
        <v>7</v>
      </c>
      <c r="T170" s="85">
        <f>P170+15</f>
        <v>45816</v>
      </c>
      <c r="U170" s="85">
        <v>45822</v>
      </c>
      <c r="V170" s="7">
        <f t="shared" ca="1" si="51"/>
        <v>-6</v>
      </c>
      <c r="W170" s="85"/>
      <c r="X170" s="8"/>
    </row>
    <row r="171" spans="1:24" ht="14.5" hidden="1">
      <c r="A171" s="14">
        <v>112</v>
      </c>
      <c r="B171" s="15" t="s">
        <v>59</v>
      </c>
      <c r="C171" s="20"/>
      <c r="D171" s="307" t="s">
        <v>81</v>
      </c>
      <c r="E171" s="146" t="s">
        <v>399</v>
      </c>
      <c r="F171" s="146" t="s">
        <v>291</v>
      </c>
      <c r="G171" s="240">
        <v>45856</v>
      </c>
      <c r="H171" s="17">
        <v>1728</v>
      </c>
      <c r="I171" s="86"/>
      <c r="J171" s="17">
        <f>H171</f>
        <v>1728</v>
      </c>
      <c r="K171" s="18">
        <v>1728</v>
      </c>
      <c r="L171" s="18"/>
      <c r="M171" s="40">
        <f t="shared" si="47"/>
        <v>1728</v>
      </c>
      <c r="N171" s="40">
        <f t="shared" si="48"/>
        <v>0</v>
      </c>
      <c r="O171" s="301" t="s">
        <v>292</v>
      </c>
      <c r="P171" s="85">
        <v>45797</v>
      </c>
      <c r="Q171" s="85">
        <v>45803</v>
      </c>
      <c r="R171" s="85">
        <f t="shared" si="49"/>
        <v>45805</v>
      </c>
      <c r="S171" s="7">
        <f t="shared" ca="1" si="50"/>
        <v>-6</v>
      </c>
      <c r="T171" s="85">
        <f>P171+30</f>
        <v>45827</v>
      </c>
      <c r="U171" s="85"/>
      <c r="V171" s="7">
        <f t="shared" ca="1" si="51"/>
        <v>-13</v>
      </c>
      <c r="W171" s="85"/>
      <c r="X171" s="8"/>
    </row>
    <row r="172" spans="1:24" ht="14.5" hidden="1">
      <c r="A172" s="14">
        <v>112</v>
      </c>
      <c r="B172" s="15" t="s">
        <v>59</v>
      </c>
      <c r="C172" s="20"/>
      <c r="D172" s="307" t="s">
        <v>81</v>
      </c>
      <c r="E172" s="146" t="s">
        <v>399</v>
      </c>
      <c r="F172" s="146" t="s">
        <v>293</v>
      </c>
      <c r="G172" s="240">
        <v>45856</v>
      </c>
      <c r="H172" s="17">
        <v>1728</v>
      </c>
      <c r="I172" s="86"/>
      <c r="J172" s="17">
        <f>H172</f>
        <v>1728</v>
      </c>
      <c r="K172" s="18">
        <v>1728</v>
      </c>
      <c r="L172" s="18"/>
      <c r="M172" s="40">
        <f t="shared" si="47"/>
        <v>1728</v>
      </c>
      <c r="N172" s="40">
        <f t="shared" si="48"/>
        <v>0</v>
      </c>
      <c r="O172" s="301" t="s">
        <v>292</v>
      </c>
      <c r="P172" s="85">
        <v>45797</v>
      </c>
      <c r="Q172" s="85">
        <v>45803</v>
      </c>
      <c r="R172" s="85">
        <f t="shared" si="49"/>
        <v>45805</v>
      </c>
      <c r="S172" s="7">
        <f t="shared" ca="1" si="50"/>
        <v>-6</v>
      </c>
      <c r="T172" s="85">
        <f>P172+30</f>
        <v>45827</v>
      </c>
      <c r="U172" s="85"/>
      <c r="V172" s="7">
        <f t="shared" ca="1" si="51"/>
        <v>-13</v>
      </c>
      <c r="W172" s="85"/>
      <c r="X172" s="8"/>
    </row>
    <row r="173" spans="1:24" ht="14.5" hidden="1">
      <c r="A173" s="14">
        <v>112</v>
      </c>
      <c r="B173" s="15" t="s">
        <v>59</v>
      </c>
      <c r="C173" s="20"/>
      <c r="D173" s="307" t="s">
        <v>81</v>
      </c>
      <c r="E173" s="146" t="s">
        <v>399</v>
      </c>
      <c r="F173" s="146" t="s">
        <v>294</v>
      </c>
      <c r="G173" s="240">
        <v>45856</v>
      </c>
      <c r="H173" s="17">
        <v>1728</v>
      </c>
      <c r="I173" s="86"/>
      <c r="J173" s="17">
        <f>H173</f>
        <v>1728</v>
      </c>
      <c r="K173" s="18">
        <v>1728</v>
      </c>
      <c r="L173" s="18"/>
      <c r="M173" s="40">
        <f t="shared" si="47"/>
        <v>1728</v>
      </c>
      <c r="N173" s="40">
        <f t="shared" si="48"/>
        <v>0</v>
      </c>
      <c r="O173" s="301" t="s">
        <v>292</v>
      </c>
      <c r="P173" s="85">
        <v>45797</v>
      </c>
      <c r="Q173" s="85">
        <v>45803</v>
      </c>
      <c r="R173" s="85">
        <f t="shared" si="49"/>
        <v>45805</v>
      </c>
      <c r="S173" s="7">
        <f t="shared" ca="1" si="50"/>
        <v>-6</v>
      </c>
      <c r="T173" s="85">
        <f>P173+30</f>
        <v>45827</v>
      </c>
      <c r="U173" s="85"/>
      <c r="V173" s="7">
        <f t="shared" ca="1" si="51"/>
        <v>-13</v>
      </c>
      <c r="W173" s="85"/>
      <c r="X173" s="8"/>
    </row>
    <row r="174" spans="1:24" ht="14.5" hidden="1">
      <c r="A174" s="14">
        <v>112</v>
      </c>
      <c r="B174" s="15" t="s">
        <v>59</v>
      </c>
      <c r="C174" s="20"/>
      <c r="D174" s="307" t="s">
        <v>157</v>
      </c>
      <c r="E174" s="146" t="s">
        <v>243</v>
      </c>
      <c r="F174" s="146" t="s">
        <v>155</v>
      </c>
      <c r="G174" s="240">
        <v>45856</v>
      </c>
      <c r="H174" s="17">
        <v>990</v>
      </c>
      <c r="I174" s="218">
        <v>0.30599999999999999</v>
      </c>
      <c r="J174" s="17">
        <f t="shared" ref="J174:J187" si="53">H174*I174</f>
        <v>302.94</v>
      </c>
      <c r="K174" s="18">
        <v>303</v>
      </c>
      <c r="L174" s="18">
        <v>303</v>
      </c>
      <c r="M174" s="40">
        <f t="shared" si="47"/>
        <v>-6.0000000000002274E-2</v>
      </c>
      <c r="N174" s="40">
        <f t="shared" si="48"/>
        <v>-6.0000000000002274E-2</v>
      </c>
      <c r="O174" s="301" t="s">
        <v>940</v>
      </c>
      <c r="P174" s="85">
        <f>T174-18</f>
        <v>45803</v>
      </c>
      <c r="Q174" s="85">
        <v>45813</v>
      </c>
      <c r="R174" s="85">
        <f t="shared" si="49"/>
        <v>45815</v>
      </c>
      <c r="S174" s="7">
        <f t="shared" ca="1" si="50"/>
        <v>-10</v>
      </c>
      <c r="T174" s="85">
        <f>G174-35</f>
        <v>45821</v>
      </c>
      <c r="U174" s="85">
        <v>45829</v>
      </c>
      <c r="V174" s="7">
        <f t="shared" ca="1" si="51"/>
        <v>-8</v>
      </c>
      <c r="W174" s="85"/>
      <c r="X174" s="8"/>
    </row>
    <row r="175" spans="1:24" ht="14.5" hidden="1">
      <c r="A175" s="14">
        <v>112</v>
      </c>
      <c r="B175" s="15" t="s">
        <v>59</v>
      </c>
      <c r="C175" s="20"/>
      <c r="D175" s="312" t="s">
        <v>189</v>
      </c>
      <c r="E175" s="146" t="s">
        <v>312</v>
      </c>
      <c r="F175" s="146" t="s">
        <v>90</v>
      </c>
      <c r="G175" s="240">
        <v>45856</v>
      </c>
      <c r="H175" s="17">
        <v>1116</v>
      </c>
      <c r="I175" s="218">
        <v>0.5</v>
      </c>
      <c r="J175" s="17">
        <f t="shared" si="53"/>
        <v>558</v>
      </c>
      <c r="K175" s="18">
        <v>558</v>
      </c>
      <c r="L175" s="18">
        <v>558</v>
      </c>
      <c r="M175" s="40">
        <f t="shared" si="47"/>
        <v>0</v>
      </c>
      <c r="N175" s="40">
        <f t="shared" si="48"/>
        <v>0</v>
      </c>
      <c r="O175" s="302" t="s">
        <v>178</v>
      </c>
      <c r="P175" s="85">
        <f>T175-15</f>
        <v>45797</v>
      </c>
      <c r="Q175" s="85">
        <v>45775</v>
      </c>
      <c r="R175" s="85">
        <f t="shared" si="49"/>
        <v>45777</v>
      </c>
      <c r="S175" s="7">
        <f t="shared" ca="1" si="50"/>
        <v>22</v>
      </c>
      <c r="T175" s="85">
        <f>G175-44</f>
        <v>45812</v>
      </c>
      <c r="U175" s="85">
        <v>45793</v>
      </c>
      <c r="V175" s="7">
        <f t="shared" ca="1" si="51"/>
        <v>19</v>
      </c>
      <c r="W175" s="85"/>
      <c r="X175" s="8"/>
    </row>
    <row r="176" spans="1:24" ht="14.5" hidden="1">
      <c r="A176" s="14">
        <v>112</v>
      </c>
      <c r="B176" s="15" t="s">
        <v>59</v>
      </c>
      <c r="C176" s="20"/>
      <c r="D176" s="307" t="s">
        <v>158</v>
      </c>
      <c r="E176" s="146" t="s">
        <v>242</v>
      </c>
      <c r="F176" s="146" t="s">
        <v>255</v>
      </c>
      <c r="G176" s="240">
        <v>45856</v>
      </c>
      <c r="H176" s="17">
        <v>1356</v>
      </c>
      <c r="I176" s="86">
        <v>0.44</v>
      </c>
      <c r="J176" s="17">
        <f t="shared" si="53"/>
        <v>596.64</v>
      </c>
      <c r="K176" s="18">
        <v>597</v>
      </c>
      <c r="L176" s="18">
        <v>597</v>
      </c>
      <c r="M176" s="40">
        <f t="shared" si="47"/>
        <v>-0.36000000000001364</v>
      </c>
      <c r="N176" s="40">
        <f t="shared" si="48"/>
        <v>-0.36000000000001364</v>
      </c>
      <c r="O176" s="302" t="s">
        <v>178</v>
      </c>
      <c r="P176" s="85">
        <v>45809</v>
      </c>
      <c r="Q176" s="85">
        <v>45810</v>
      </c>
      <c r="R176" s="85">
        <f t="shared" si="49"/>
        <v>45812</v>
      </c>
      <c r="S176" s="7">
        <f t="shared" ca="1" si="50"/>
        <v>-1</v>
      </c>
      <c r="T176" s="85">
        <f>P176+15</f>
        <v>45824</v>
      </c>
      <c r="U176" s="85">
        <v>45822</v>
      </c>
      <c r="V176" s="7">
        <f t="shared" ca="1" si="51"/>
        <v>2</v>
      </c>
      <c r="W176" s="85"/>
      <c r="X176" s="8"/>
    </row>
    <row r="177" spans="1:24" ht="14.5" hidden="1">
      <c r="A177" s="14">
        <v>113</v>
      </c>
      <c r="B177" s="15" t="s">
        <v>59</v>
      </c>
      <c r="C177" s="20"/>
      <c r="D177" s="307" t="s">
        <v>250</v>
      </c>
      <c r="E177" s="146" t="s">
        <v>269</v>
      </c>
      <c r="F177" s="146" t="s">
        <v>162</v>
      </c>
      <c r="G177" s="240">
        <v>45856</v>
      </c>
      <c r="H177" s="17">
        <v>1535</v>
      </c>
      <c r="I177" s="86">
        <v>2.8</v>
      </c>
      <c r="J177" s="17">
        <f t="shared" si="53"/>
        <v>4298</v>
      </c>
      <c r="K177" s="18">
        <v>4298</v>
      </c>
      <c r="L177" s="18">
        <v>4298</v>
      </c>
      <c r="M177" s="40">
        <f t="shared" si="47"/>
        <v>0</v>
      </c>
      <c r="N177" s="40">
        <f t="shared" si="48"/>
        <v>0</v>
      </c>
      <c r="O177" s="302" t="s">
        <v>178</v>
      </c>
      <c r="P177" s="85">
        <v>45801</v>
      </c>
      <c r="Q177" s="85">
        <v>45794</v>
      </c>
      <c r="R177" s="85">
        <f t="shared" si="49"/>
        <v>45796</v>
      </c>
      <c r="S177" s="7">
        <f t="shared" ca="1" si="50"/>
        <v>7</v>
      </c>
      <c r="T177" s="85">
        <f>P177+15</f>
        <v>45816</v>
      </c>
      <c r="U177" s="85">
        <v>45808</v>
      </c>
      <c r="V177" s="7">
        <f t="shared" ca="1" si="51"/>
        <v>8</v>
      </c>
      <c r="W177" s="85"/>
      <c r="X177" s="8"/>
    </row>
    <row r="178" spans="1:24" ht="14.5" hidden="1">
      <c r="A178" s="14">
        <v>113</v>
      </c>
      <c r="B178" s="15" t="s">
        <v>59</v>
      </c>
      <c r="C178" s="20"/>
      <c r="D178" s="307" t="s">
        <v>158</v>
      </c>
      <c r="E178" s="146" t="s">
        <v>242</v>
      </c>
      <c r="F178" s="146" t="s">
        <v>255</v>
      </c>
      <c r="G178" s="240">
        <v>45856</v>
      </c>
      <c r="H178" s="17">
        <v>1356</v>
      </c>
      <c r="I178" s="86">
        <v>0.44</v>
      </c>
      <c r="J178" s="17">
        <f t="shared" si="53"/>
        <v>596.64</v>
      </c>
      <c r="K178" s="18">
        <v>597</v>
      </c>
      <c r="L178" s="18">
        <v>597</v>
      </c>
      <c r="M178" s="40">
        <f t="shared" si="47"/>
        <v>-0.36000000000001364</v>
      </c>
      <c r="N178" s="40">
        <f t="shared" si="48"/>
        <v>-0.36000000000001364</v>
      </c>
      <c r="O178" s="302" t="s">
        <v>178</v>
      </c>
      <c r="P178" s="85">
        <v>45809</v>
      </c>
      <c r="Q178" s="85">
        <v>45810</v>
      </c>
      <c r="R178" s="85">
        <f t="shared" si="49"/>
        <v>45812</v>
      </c>
      <c r="S178" s="7">
        <f t="shared" ca="1" si="50"/>
        <v>-1</v>
      </c>
      <c r="T178" s="85">
        <f>P178+15</f>
        <v>45824</v>
      </c>
      <c r="U178" s="85">
        <v>45822</v>
      </c>
      <c r="V178" s="7">
        <f t="shared" ca="1" si="51"/>
        <v>2</v>
      </c>
      <c r="W178" s="85"/>
      <c r="X178" s="8"/>
    </row>
    <row r="179" spans="1:24" ht="14.5" hidden="1">
      <c r="A179" s="14">
        <v>114</v>
      </c>
      <c r="B179" s="15" t="s">
        <v>59</v>
      </c>
      <c r="C179" s="20"/>
      <c r="D179" s="311" t="s">
        <v>248</v>
      </c>
      <c r="E179" s="146" t="s">
        <v>270</v>
      </c>
      <c r="F179" s="146" t="s">
        <v>162</v>
      </c>
      <c r="G179" s="240">
        <v>45863</v>
      </c>
      <c r="H179" s="17">
        <v>1992</v>
      </c>
      <c r="I179" s="86">
        <v>1.8</v>
      </c>
      <c r="J179" s="17">
        <f t="shared" si="53"/>
        <v>3585.6</v>
      </c>
      <c r="K179" s="18">
        <v>3586</v>
      </c>
      <c r="L179" s="18">
        <v>3586</v>
      </c>
      <c r="M179" s="40">
        <f t="shared" si="47"/>
        <v>-0.40000000000009095</v>
      </c>
      <c r="N179" s="40">
        <f t="shared" si="48"/>
        <v>-0.40000000000009095</v>
      </c>
      <c r="O179" s="302" t="s">
        <v>178</v>
      </c>
      <c r="P179" s="85">
        <v>45801</v>
      </c>
      <c r="Q179" s="85">
        <v>45797</v>
      </c>
      <c r="R179" s="85">
        <f t="shared" si="49"/>
        <v>45799</v>
      </c>
      <c r="S179" s="7">
        <f t="shared" ca="1" si="50"/>
        <v>4</v>
      </c>
      <c r="T179" s="85">
        <f>G179-32-13</f>
        <v>45818</v>
      </c>
      <c r="U179" s="85">
        <v>45822</v>
      </c>
      <c r="V179" s="7">
        <f t="shared" ca="1" si="51"/>
        <v>-4</v>
      </c>
      <c r="W179" s="85">
        <v>45820</v>
      </c>
      <c r="X179" s="8"/>
    </row>
    <row r="180" spans="1:24" ht="14.5" hidden="1">
      <c r="A180" s="14">
        <v>114</v>
      </c>
      <c r="B180" s="15" t="s">
        <v>59</v>
      </c>
      <c r="C180" s="20"/>
      <c r="D180" s="307" t="s">
        <v>193</v>
      </c>
      <c r="E180" s="146" t="s">
        <v>246</v>
      </c>
      <c r="F180" s="146" t="s">
        <v>162</v>
      </c>
      <c r="G180" s="240">
        <v>45863</v>
      </c>
      <c r="H180" s="17">
        <v>3075</v>
      </c>
      <c r="I180" s="86">
        <v>0.32</v>
      </c>
      <c r="J180" s="17">
        <f t="shared" si="53"/>
        <v>984</v>
      </c>
      <c r="K180" s="18">
        <v>984</v>
      </c>
      <c r="L180" s="18">
        <v>984</v>
      </c>
      <c r="M180" s="40">
        <f t="shared" si="47"/>
        <v>0</v>
      </c>
      <c r="N180" s="40">
        <f t="shared" si="48"/>
        <v>0</v>
      </c>
      <c r="O180" s="302" t="s">
        <v>178</v>
      </c>
      <c r="P180" s="85">
        <v>45801</v>
      </c>
      <c r="Q180" s="85">
        <v>45797</v>
      </c>
      <c r="R180" s="85">
        <f t="shared" si="49"/>
        <v>45799</v>
      </c>
      <c r="S180" s="7">
        <f t="shared" ca="1" si="50"/>
        <v>4</v>
      </c>
      <c r="T180" s="85">
        <f>G180-32-13</f>
        <v>45818</v>
      </c>
      <c r="U180" s="85">
        <v>45822</v>
      </c>
      <c r="V180" s="7">
        <f t="shared" ca="1" si="51"/>
        <v>-4</v>
      </c>
      <c r="W180" s="85"/>
      <c r="X180" s="8"/>
    </row>
    <row r="181" spans="1:24" ht="14.5" hidden="1">
      <c r="A181" s="14">
        <v>114</v>
      </c>
      <c r="B181" s="15" t="s">
        <v>59</v>
      </c>
      <c r="C181" s="20"/>
      <c r="D181" s="307" t="s">
        <v>250</v>
      </c>
      <c r="E181" s="146" t="s">
        <v>269</v>
      </c>
      <c r="F181" s="146" t="s">
        <v>162</v>
      </c>
      <c r="G181" s="240">
        <v>45863</v>
      </c>
      <c r="H181" s="17">
        <v>340</v>
      </c>
      <c r="I181" s="86">
        <v>2.8</v>
      </c>
      <c r="J181" s="17">
        <f t="shared" si="53"/>
        <v>951.99999999999989</v>
      </c>
      <c r="K181" s="18">
        <v>952</v>
      </c>
      <c r="L181" s="18">
        <v>952</v>
      </c>
      <c r="M181" s="40">
        <f t="shared" si="47"/>
        <v>0</v>
      </c>
      <c r="N181" s="40">
        <f t="shared" si="48"/>
        <v>0</v>
      </c>
      <c r="O181" s="302" t="s">
        <v>178</v>
      </c>
      <c r="P181" s="85">
        <v>45801</v>
      </c>
      <c r="Q181" s="85">
        <v>45797</v>
      </c>
      <c r="R181" s="85">
        <f t="shared" si="49"/>
        <v>45799</v>
      </c>
      <c r="S181" s="7">
        <f t="shared" ca="1" si="50"/>
        <v>4</v>
      </c>
      <c r="T181" s="85">
        <f t="shared" ref="T181:T188" si="54">P181+15</f>
        <v>45816</v>
      </c>
      <c r="U181" s="85">
        <v>45817</v>
      </c>
      <c r="V181" s="7">
        <f t="shared" ca="1" si="51"/>
        <v>-1</v>
      </c>
      <c r="W181" s="85"/>
      <c r="X181" s="8"/>
    </row>
    <row r="182" spans="1:24" ht="14.5" hidden="1">
      <c r="A182" s="14">
        <v>114</v>
      </c>
      <c r="B182" s="15" t="s">
        <v>59</v>
      </c>
      <c r="C182" s="20"/>
      <c r="D182" s="311" t="s">
        <v>136</v>
      </c>
      <c r="E182" s="146" t="s">
        <v>247</v>
      </c>
      <c r="F182" s="146" t="s">
        <v>162</v>
      </c>
      <c r="G182" s="240">
        <v>45863</v>
      </c>
      <c r="H182" s="17">
        <v>3008</v>
      </c>
      <c r="I182" s="15">
        <v>0.28000000000000003</v>
      </c>
      <c r="J182" s="17">
        <f t="shared" si="53"/>
        <v>842.24000000000012</v>
      </c>
      <c r="K182" s="18">
        <v>842</v>
      </c>
      <c r="L182" s="18">
        <v>842</v>
      </c>
      <c r="M182" s="40">
        <f t="shared" si="47"/>
        <v>0.24000000000012278</v>
      </c>
      <c r="N182" s="40">
        <f t="shared" si="48"/>
        <v>0.24000000000012278</v>
      </c>
      <c r="O182" s="301" t="s">
        <v>265</v>
      </c>
      <c r="P182" s="85">
        <v>45797</v>
      </c>
      <c r="Q182" s="85">
        <v>45798</v>
      </c>
      <c r="R182" s="85">
        <f t="shared" si="49"/>
        <v>45800</v>
      </c>
      <c r="S182" s="7">
        <f t="shared" ca="1" si="50"/>
        <v>-1</v>
      </c>
      <c r="T182" s="85">
        <f t="shared" si="54"/>
        <v>45812</v>
      </c>
      <c r="U182" s="85">
        <v>45832</v>
      </c>
      <c r="V182" s="7">
        <f t="shared" ca="1" si="51"/>
        <v>-20</v>
      </c>
      <c r="W182" s="85"/>
      <c r="X182" s="8"/>
    </row>
    <row r="183" spans="1:24" ht="14.5" hidden="1">
      <c r="A183" s="14">
        <v>114</v>
      </c>
      <c r="B183" s="15" t="s">
        <v>59</v>
      </c>
      <c r="C183" s="20"/>
      <c r="D183" s="311" t="s">
        <v>136</v>
      </c>
      <c r="E183" s="146" t="s">
        <v>247</v>
      </c>
      <c r="F183" s="146" t="s">
        <v>163</v>
      </c>
      <c r="G183" s="240">
        <v>45863</v>
      </c>
      <c r="H183" s="17">
        <v>3008</v>
      </c>
      <c r="I183" s="15">
        <v>0.28000000000000003</v>
      </c>
      <c r="J183" s="17">
        <f t="shared" si="53"/>
        <v>842.24000000000012</v>
      </c>
      <c r="K183" s="18">
        <v>842</v>
      </c>
      <c r="L183" s="18">
        <v>842</v>
      </c>
      <c r="M183" s="40">
        <f t="shared" si="47"/>
        <v>0.24000000000012278</v>
      </c>
      <c r="N183" s="40">
        <f t="shared" si="48"/>
        <v>0.24000000000012278</v>
      </c>
      <c r="O183" s="301" t="s">
        <v>265</v>
      </c>
      <c r="P183" s="85">
        <v>45797</v>
      </c>
      <c r="Q183" s="85">
        <v>45798</v>
      </c>
      <c r="R183" s="85">
        <f t="shared" si="49"/>
        <v>45800</v>
      </c>
      <c r="S183" s="7">
        <f t="shared" ca="1" si="50"/>
        <v>-1</v>
      </c>
      <c r="T183" s="85">
        <f t="shared" si="54"/>
        <v>45812</v>
      </c>
      <c r="U183" s="85">
        <v>45832</v>
      </c>
      <c r="V183" s="7">
        <f t="shared" ca="1" si="51"/>
        <v>-20</v>
      </c>
      <c r="W183" s="85"/>
      <c r="X183" s="8"/>
    </row>
    <row r="184" spans="1:24" ht="14.5" hidden="1">
      <c r="A184" s="14">
        <v>114</v>
      </c>
      <c r="B184" s="15" t="s">
        <v>59</v>
      </c>
      <c r="C184" s="20"/>
      <c r="D184" s="311" t="s">
        <v>136</v>
      </c>
      <c r="E184" s="146" t="s">
        <v>247</v>
      </c>
      <c r="F184" s="146" t="s">
        <v>164</v>
      </c>
      <c r="G184" s="240">
        <v>45863</v>
      </c>
      <c r="H184" s="17">
        <v>3008</v>
      </c>
      <c r="I184" s="15">
        <v>0.28000000000000003</v>
      </c>
      <c r="J184" s="17">
        <f t="shared" si="53"/>
        <v>842.24000000000012</v>
      </c>
      <c r="K184" s="18">
        <v>842</v>
      </c>
      <c r="L184" s="18">
        <v>842</v>
      </c>
      <c r="M184" s="40">
        <f t="shared" si="47"/>
        <v>0.24000000000012278</v>
      </c>
      <c r="N184" s="40">
        <f t="shared" si="48"/>
        <v>0.24000000000012278</v>
      </c>
      <c r="O184" s="301" t="s">
        <v>265</v>
      </c>
      <c r="P184" s="85">
        <v>45797</v>
      </c>
      <c r="Q184" s="85">
        <v>45798</v>
      </c>
      <c r="R184" s="85">
        <f t="shared" si="49"/>
        <v>45800</v>
      </c>
      <c r="S184" s="7">
        <f t="shared" ca="1" si="50"/>
        <v>-1</v>
      </c>
      <c r="T184" s="85">
        <f t="shared" si="54"/>
        <v>45812</v>
      </c>
      <c r="U184" s="85">
        <v>45838</v>
      </c>
      <c r="V184" s="7">
        <f t="shared" ca="1" si="51"/>
        <v>-26</v>
      </c>
      <c r="W184" s="85"/>
      <c r="X184" s="8"/>
    </row>
    <row r="185" spans="1:24" ht="14.5" hidden="1">
      <c r="A185" s="14">
        <v>114</v>
      </c>
      <c r="B185" s="15" t="s">
        <v>59</v>
      </c>
      <c r="C185" s="20"/>
      <c r="D185" s="307" t="s">
        <v>288</v>
      </c>
      <c r="E185" s="146" t="s">
        <v>289</v>
      </c>
      <c r="F185" s="146" t="s">
        <v>155</v>
      </c>
      <c r="G185" s="240">
        <v>45863</v>
      </c>
      <c r="H185" s="17">
        <v>2028</v>
      </c>
      <c r="I185" s="218">
        <v>0.62</v>
      </c>
      <c r="J185" s="17">
        <f t="shared" si="53"/>
        <v>1257.3599999999999</v>
      </c>
      <c r="K185" s="18">
        <v>1257</v>
      </c>
      <c r="L185" s="18">
        <v>1257</v>
      </c>
      <c r="M185" s="40">
        <f t="shared" si="47"/>
        <v>0.35999999999989996</v>
      </c>
      <c r="N185" s="40">
        <f t="shared" si="48"/>
        <v>0.35999999999989996</v>
      </c>
      <c r="O185" s="302" t="s">
        <v>178</v>
      </c>
      <c r="P185" s="85">
        <v>45809</v>
      </c>
      <c r="Q185" s="85">
        <v>45822</v>
      </c>
      <c r="R185" s="85">
        <f t="shared" si="49"/>
        <v>45824</v>
      </c>
      <c r="S185" s="7">
        <f t="shared" ca="1" si="50"/>
        <v>-13</v>
      </c>
      <c r="T185" s="85">
        <f t="shared" si="54"/>
        <v>45824</v>
      </c>
      <c r="U185" s="85">
        <v>45832</v>
      </c>
      <c r="V185" s="7">
        <f t="shared" ca="1" si="51"/>
        <v>-8</v>
      </c>
      <c r="W185" s="85"/>
      <c r="X185" s="8"/>
    </row>
    <row r="186" spans="1:24" ht="14.5" hidden="1">
      <c r="A186" s="14">
        <v>114</v>
      </c>
      <c r="B186" s="15" t="s">
        <v>59</v>
      </c>
      <c r="C186" s="20"/>
      <c r="D186" s="307" t="s">
        <v>288</v>
      </c>
      <c r="E186" s="146" t="s">
        <v>289</v>
      </c>
      <c r="F186" s="146" t="s">
        <v>154</v>
      </c>
      <c r="G186" s="240">
        <v>45863</v>
      </c>
      <c r="H186" s="17">
        <v>1690</v>
      </c>
      <c r="I186" s="218">
        <v>0.62</v>
      </c>
      <c r="J186" s="17">
        <f t="shared" si="53"/>
        <v>1047.8</v>
      </c>
      <c r="K186" s="18">
        <v>1048</v>
      </c>
      <c r="L186" s="18">
        <v>1048</v>
      </c>
      <c r="M186" s="40">
        <f t="shared" si="47"/>
        <v>-0.20000000000004547</v>
      </c>
      <c r="N186" s="40">
        <f t="shared" si="48"/>
        <v>-0.20000000000004547</v>
      </c>
      <c r="O186" s="302" t="s">
        <v>178</v>
      </c>
      <c r="P186" s="85">
        <v>45809</v>
      </c>
      <c r="Q186" s="85">
        <v>45816</v>
      </c>
      <c r="R186" s="85">
        <f t="shared" si="49"/>
        <v>45818</v>
      </c>
      <c r="S186" s="7">
        <f t="shared" ca="1" si="50"/>
        <v>-7</v>
      </c>
      <c r="T186" s="85">
        <f t="shared" si="54"/>
        <v>45824</v>
      </c>
      <c r="U186" s="85">
        <v>45832</v>
      </c>
      <c r="V186" s="7">
        <f t="shared" ca="1" si="51"/>
        <v>-8</v>
      </c>
      <c r="W186" s="85"/>
      <c r="X186" s="8"/>
    </row>
    <row r="187" spans="1:24" ht="14.5" hidden="1">
      <c r="A187" s="14">
        <v>114</v>
      </c>
      <c r="B187" s="15" t="s">
        <v>59</v>
      </c>
      <c r="C187" s="20"/>
      <c r="D187" s="307" t="s">
        <v>288</v>
      </c>
      <c r="E187" s="146" t="s">
        <v>289</v>
      </c>
      <c r="F187" s="146" t="s">
        <v>156</v>
      </c>
      <c r="G187" s="240">
        <v>45863</v>
      </c>
      <c r="H187" s="17">
        <v>1352</v>
      </c>
      <c r="I187" s="218">
        <v>0.62</v>
      </c>
      <c r="J187" s="17">
        <f t="shared" si="53"/>
        <v>838.24</v>
      </c>
      <c r="K187" s="18">
        <v>838</v>
      </c>
      <c r="L187" s="18">
        <v>838</v>
      </c>
      <c r="M187" s="40">
        <f t="shared" si="47"/>
        <v>0.24000000000000909</v>
      </c>
      <c r="N187" s="40">
        <f t="shared" si="48"/>
        <v>0.24000000000000909</v>
      </c>
      <c r="O187" s="302" t="s">
        <v>178</v>
      </c>
      <c r="P187" s="85">
        <v>45809</v>
      </c>
      <c r="Q187" s="85">
        <v>45807</v>
      </c>
      <c r="R187" s="85">
        <f t="shared" si="49"/>
        <v>45809</v>
      </c>
      <c r="S187" s="7">
        <f t="shared" ca="1" si="50"/>
        <v>2</v>
      </c>
      <c r="T187" s="85">
        <f t="shared" si="54"/>
        <v>45824</v>
      </c>
      <c r="U187" s="85">
        <v>45819</v>
      </c>
      <c r="V187" s="7">
        <f t="shared" ca="1" si="51"/>
        <v>5</v>
      </c>
      <c r="W187" s="85"/>
      <c r="X187" s="8"/>
    </row>
    <row r="188" spans="1:24" ht="14.5" hidden="1">
      <c r="A188" s="14">
        <v>114</v>
      </c>
      <c r="B188" s="15" t="s">
        <v>59</v>
      </c>
      <c r="C188" s="20"/>
      <c r="D188" s="307" t="s">
        <v>158</v>
      </c>
      <c r="E188" s="146" t="s">
        <v>242</v>
      </c>
      <c r="F188" s="146" t="s">
        <v>154</v>
      </c>
      <c r="G188" s="240">
        <v>45863</v>
      </c>
      <c r="H188" s="17">
        <v>1380</v>
      </c>
      <c r="I188" s="86">
        <v>0.42799999999999999</v>
      </c>
      <c r="J188" s="17">
        <f>H188*I188</f>
        <v>590.64</v>
      </c>
      <c r="K188" s="18">
        <v>591</v>
      </c>
      <c r="L188" s="18">
        <v>591</v>
      </c>
      <c r="M188" s="40">
        <f t="shared" si="47"/>
        <v>-0.36000000000001364</v>
      </c>
      <c r="N188" s="40">
        <f t="shared" si="48"/>
        <v>-0.36000000000001364</v>
      </c>
      <c r="O188" s="302" t="s">
        <v>178</v>
      </c>
      <c r="P188" s="85">
        <v>45809</v>
      </c>
      <c r="Q188" s="85">
        <v>45810</v>
      </c>
      <c r="R188" s="85">
        <f t="shared" si="49"/>
        <v>45812</v>
      </c>
      <c r="S188" s="7">
        <f t="shared" ca="1" si="50"/>
        <v>-1</v>
      </c>
      <c r="T188" s="85">
        <f t="shared" si="54"/>
        <v>45824</v>
      </c>
      <c r="U188" s="85">
        <v>45819</v>
      </c>
      <c r="V188" s="7">
        <f t="shared" ca="1" si="51"/>
        <v>5</v>
      </c>
      <c r="W188" s="85"/>
      <c r="X188" s="8"/>
    </row>
    <row r="189" spans="1:24" ht="14.5" hidden="1">
      <c r="A189" s="14">
        <v>114</v>
      </c>
      <c r="B189" s="15" t="s">
        <v>59</v>
      </c>
      <c r="C189" s="20"/>
      <c r="D189" s="307" t="s">
        <v>195</v>
      </c>
      <c r="E189" s="146" t="s">
        <v>838</v>
      </c>
      <c r="F189" s="146" t="s">
        <v>162</v>
      </c>
      <c r="G189" s="240">
        <v>45863</v>
      </c>
      <c r="H189" s="17">
        <v>4536</v>
      </c>
      <c r="I189" s="86">
        <v>0.44</v>
      </c>
      <c r="J189" s="17">
        <v>1004</v>
      </c>
      <c r="K189" s="18">
        <v>1004</v>
      </c>
      <c r="L189" s="18">
        <v>652</v>
      </c>
      <c r="M189" s="40">
        <f t="shared" si="47"/>
        <v>352</v>
      </c>
      <c r="N189" s="40">
        <f t="shared" si="48"/>
        <v>0</v>
      </c>
      <c r="O189" s="302" t="s">
        <v>178</v>
      </c>
      <c r="P189" s="85">
        <f>T189-15</f>
        <v>45814</v>
      </c>
      <c r="Q189" s="85">
        <v>45832</v>
      </c>
      <c r="R189" s="85">
        <f t="shared" si="49"/>
        <v>45834</v>
      </c>
      <c r="S189" s="7">
        <f t="shared" ca="1" si="50"/>
        <v>-18</v>
      </c>
      <c r="T189" s="85">
        <f>G189-34</f>
        <v>45829</v>
      </c>
      <c r="U189" s="85"/>
      <c r="V189" s="7">
        <f t="shared" ca="1" si="51"/>
        <v>-11</v>
      </c>
      <c r="W189" s="85"/>
      <c r="X189" s="8"/>
    </row>
    <row r="190" spans="1:24" ht="14.5" hidden="1">
      <c r="A190" s="14">
        <v>114</v>
      </c>
      <c r="B190" s="15" t="s">
        <v>59</v>
      </c>
      <c r="C190" s="20"/>
      <c r="D190" s="307" t="s">
        <v>158</v>
      </c>
      <c r="E190" s="146" t="s">
        <v>242</v>
      </c>
      <c r="F190" s="146" t="s">
        <v>255</v>
      </c>
      <c r="G190" s="240">
        <v>45863</v>
      </c>
      <c r="H190" s="17">
        <v>1220</v>
      </c>
      <c r="I190" s="86">
        <v>0.42799999999999999</v>
      </c>
      <c r="J190" s="17">
        <f>H190*I190</f>
        <v>522.16</v>
      </c>
      <c r="K190" s="18">
        <v>522</v>
      </c>
      <c r="L190" s="18">
        <v>522</v>
      </c>
      <c r="M190" s="40">
        <f t="shared" si="47"/>
        <v>0.15999999999996817</v>
      </c>
      <c r="N190" s="40">
        <f t="shared" si="48"/>
        <v>0.15999999999996817</v>
      </c>
      <c r="O190" s="302" t="s">
        <v>178</v>
      </c>
      <c r="P190" s="85">
        <v>45809</v>
      </c>
      <c r="Q190" s="85">
        <v>45810</v>
      </c>
      <c r="R190" s="85">
        <f t="shared" si="49"/>
        <v>45812</v>
      </c>
      <c r="S190" s="7">
        <f t="shared" ca="1" si="50"/>
        <v>-1</v>
      </c>
      <c r="T190" s="85">
        <f>P190+15</f>
        <v>45824</v>
      </c>
      <c r="U190" s="85">
        <v>45832</v>
      </c>
      <c r="V190" s="7">
        <f t="shared" ca="1" si="51"/>
        <v>-8</v>
      </c>
      <c r="W190" s="85"/>
      <c r="X190" s="8"/>
    </row>
    <row r="191" spans="1:24" ht="14.5" hidden="1">
      <c r="A191" s="14">
        <v>115</v>
      </c>
      <c r="B191" s="15" t="s">
        <v>99</v>
      </c>
      <c r="C191" s="20"/>
      <c r="D191" s="310" t="s">
        <v>559</v>
      </c>
      <c r="E191" s="146" t="s">
        <v>367</v>
      </c>
      <c r="F191" s="146" t="s">
        <v>155</v>
      </c>
      <c r="G191" s="240">
        <v>45828</v>
      </c>
      <c r="H191" s="17"/>
      <c r="I191" s="86"/>
      <c r="J191" s="17">
        <v>3377</v>
      </c>
      <c r="K191" s="18">
        <v>3377</v>
      </c>
      <c r="L191" s="18">
        <v>3336</v>
      </c>
      <c r="M191" s="40">
        <f t="shared" si="47"/>
        <v>41</v>
      </c>
      <c r="N191" s="40">
        <f t="shared" si="48"/>
        <v>0</v>
      </c>
      <c r="O191" s="301" t="s">
        <v>871</v>
      </c>
      <c r="P191" s="85">
        <f>T191-15</f>
        <v>45772</v>
      </c>
      <c r="Q191" s="85">
        <v>45803</v>
      </c>
      <c r="R191" s="85">
        <f t="shared" si="49"/>
        <v>45805</v>
      </c>
      <c r="S191" s="7">
        <f t="shared" ca="1" si="50"/>
        <v>-31</v>
      </c>
      <c r="T191" s="85">
        <f>G191-32-9</f>
        <v>45787</v>
      </c>
      <c r="U191" s="85">
        <v>45836</v>
      </c>
      <c r="V191" s="7">
        <f t="shared" ca="1" si="51"/>
        <v>-49</v>
      </c>
      <c r="W191" s="85"/>
      <c r="X191" s="8"/>
    </row>
    <row r="192" spans="1:24" ht="14.5" hidden="1">
      <c r="A192" s="14">
        <v>119</v>
      </c>
      <c r="B192" s="15" t="s">
        <v>59</v>
      </c>
      <c r="C192" s="20"/>
      <c r="D192" s="307" t="s">
        <v>189</v>
      </c>
      <c r="E192" s="146" t="s">
        <v>854</v>
      </c>
      <c r="F192" s="146" t="s">
        <v>855</v>
      </c>
      <c r="G192" s="240">
        <v>45849</v>
      </c>
      <c r="H192" s="17"/>
      <c r="I192" s="86"/>
      <c r="J192" s="17">
        <v>675</v>
      </c>
      <c r="K192" s="18">
        <v>675</v>
      </c>
      <c r="L192" s="18">
        <v>675</v>
      </c>
      <c r="M192" s="40">
        <f t="shared" si="47"/>
        <v>0</v>
      </c>
      <c r="N192" s="40">
        <f t="shared" si="48"/>
        <v>0</v>
      </c>
      <c r="O192" s="302" t="s">
        <v>178</v>
      </c>
      <c r="P192" s="85">
        <v>45789</v>
      </c>
      <c r="Q192" s="85">
        <v>45787</v>
      </c>
      <c r="R192" s="85">
        <f t="shared" si="49"/>
        <v>45789</v>
      </c>
      <c r="S192" s="7">
        <f t="shared" ca="1" si="50"/>
        <v>2</v>
      </c>
      <c r="T192" s="85">
        <f>P192+12</f>
        <v>45801</v>
      </c>
      <c r="U192" s="85">
        <v>45806</v>
      </c>
      <c r="V192" s="7">
        <f t="shared" ca="1" si="51"/>
        <v>-5</v>
      </c>
      <c r="W192" s="85"/>
      <c r="X192" s="8"/>
    </row>
    <row r="193" spans="1:24" ht="14.5" hidden="1">
      <c r="A193" s="14">
        <v>119</v>
      </c>
      <c r="B193" s="15" t="s">
        <v>59</v>
      </c>
      <c r="C193" s="20"/>
      <c r="D193" s="307" t="s">
        <v>158</v>
      </c>
      <c r="E193" s="146" t="s">
        <v>854</v>
      </c>
      <c r="F193" s="146" t="s">
        <v>592</v>
      </c>
      <c r="G193" s="240">
        <v>45849</v>
      </c>
      <c r="H193" s="17"/>
      <c r="I193" s="86"/>
      <c r="J193" s="17">
        <v>1054</v>
      </c>
      <c r="K193" s="18">
        <v>1054</v>
      </c>
      <c r="L193" s="18">
        <v>1054</v>
      </c>
      <c r="M193" s="40">
        <f t="shared" si="47"/>
        <v>0</v>
      </c>
      <c r="N193" s="40">
        <f t="shared" si="48"/>
        <v>0</v>
      </c>
      <c r="O193" s="302" t="s">
        <v>178</v>
      </c>
      <c r="P193" s="85">
        <v>45822</v>
      </c>
      <c r="Q193" s="85"/>
      <c r="R193" s="85">
        <f t="shared" si="49"/>
        <v>2</v>
      </c>
      <c r="S193" s="7">
        <f t="shared" ca="1" si="50"/>
        <v>-18</v>
      </c>
      <c r="T193" s="85">
        <f>P193+15</f>
        <v>45837</v>
      </c>
      <c r="U193" s="85">
        <v>45820</v>
      </c>
      <c r="V193" s="7">
        <f t="shared" ca="1" si="51"/>
        <v>17</v>
      </c>
      <c r="W193" s="85"/>
      <c r="X193" s="8"/>
    </row>
    <row r="194" spans="1:24" ht="14.5" hidden="1">
      <c r="A194" s="14">
        <v>120</v>
      </c>
      <c r="B194" s="15" t="s">
        <v>59</v>
      </c>
      <c r="C194" s="20"/>
      <c r="D194" s="307" t="s">
        <v>189</v>
      </c>
      <c r="E194" s="146" t="s">
        <v>242</v>
      </c>
      <c r="F194" s="146" t="s">
        <v>855</v>
      </c>
      <c r="G194" s="240">
        <v>45849</v>
      </c>
      <c r="H194" s="17"/>
      <c r="I194" s="86"/>
      <c r="J194" s="17">
        <v>769.37868800000012</v>
      </c>
      <c r="K194" s="18">
        <v>769</v>
      </c>
      <c r="L194" s="18">
        <v>777</v>
      </c>
      <c r="M194" s="40">
        <f t="shared" si="47"/>
        <v>-7.6213119999998753</v>
      </c>
      <c r="N194" s="40">
        <f t="shared" si="48"/>
        <v>0.3786880000001247</v>
      </c>
      <c r="O194" s="302" t="s">
        <v>178</v>
      </c>
      <c r="P194" s="85">
        <v>45789</v>
      </c>
      <c r="Q194" s="85">
        <v>45787</v>
      </c>
      <c r="R194" s="85">
        <f t="shared" si="49"/>
        <v>45789</v>
      </c>
      <c r="S194" s="7">
        <f t="shared" ca="1" si="50"/>
        <v>2</v>
      </c>
      <c r="T194" s="85">
        <f>P194+12</f>
        <v>45801</v>
      </c>
      <c r="U194" s="85">
        <v>45815</v>
      </c>
      <c r="V194" s="7">
        <f t="shared" ca="1" si="51"/>
        <v>-14</v>
      </c>
      <c r="W194" s="85"/>
      <c r="X194" s="8"/>
    </row>
    <row r="195" spans="1:24" ht="14.5" hidden="1">
      <c r="A195" s="14">
        <v>121</v>
      </c>
      <c r="B195" s="15" t="s">
        <v>59</v>
      </c>
      <c r="C195" s="20"/>
      <c r="D195" s="311" t="s">
        <v>248</v>
      </c>
      <c r="E195" s="146" t="s">
        <v>270</v>
      </c>
      <c r="F195" s="146" t="s">
        <v>162</v>
      </c>
      <c r="G195" s="240">
        <v>45849</v>
      </c>
      <c r="H195" s="17"/>
      <c r="I195" s="86"/>
      <c r="J195" s="17">
        <v>2261</v>
      </c>
      <c r="K195" s="18">
        <v>2261</v>
      </c>
      <c r="L195" s="18">
        <v>2261</v>
      </c>
      <c r="M195" s="40">
        <f t="shared" si="47"/>
        <v>0</v>
      </c>
      <c r="N195" s="40">
        <f t="shared" si="48"/>
        <v>0</v>
      </c>
      <c r="O195" s="302" t="s">
        <v>178</v>
      </c>
      <c r="P195" s="85">
        <v>45798</v>
      </c>
      <c r="Q195" s="85">
        <v>45794</v>
      </c>
      <c r="R195" s="85">
        <f t="shared" si="49"/>
        <v>45796</v>
      </c>
      <c r="S195" s="7">
        <f t="shared" ca="1" si="50"/>
        <v>4</v>
      </c>
      <c r="T195" s="85">
        <v>45816</v>
      </c>
      <c r="U195" s="85">
        <v>45815</v>
      </c>
      <c r="V195" s="7">
        <f t="shared" ca="1" si="51"/>
        <v>1</v>
      </c>
      <c r="W195" s="85">
        <v>45810</v>
      </c>
      <c r="X195" s="8"/>
    </row>
    <row r="196" spans="1:24" ht="14.5" hidden="1">
      <c r="A196" s="14">
        <v>121</v>
      </c>
      <c r="B196" s="15" t="s">
        <v>59</v>
      </c>
      <c r="C196" s="20"/>
      <c r="D196" s="308" t="s">
        <v>288</v>
      </c>
      <c r="E196" s="146" t="s">
        <v>289</v>
      </c>
      <c r="F196" s="146" t="s">
        <v>155</v>
      </c>
      <c r="G196" s="240">
        <v>45849</v>
      </c>
      <c r="H196" s="17"/>
      <c r="I196" s="86"/>
      <c r="J196" s="17">
        <v>1239</v>
      </c>
      <c r="K196" s="18">
        <v>1239</v>
      </c>
      <c r="L196" s="18">
        <v>1239</v>
      </c>
      <c r="M196" s="40">
        <f t="shared" si="47"/>
        <v>0</v>
      </c>
      <c r="N196" s="40">
        <f t="shared" si="48"/>
        <v>0</v>
      </c>
      <c r="O196" s="302" t="s">
        <v>178</v>
      </c>
      <c r="P196" s="85">
        <v>45812</v>
      </c>
      <c r="Q196" s="85">
        <v>45819</v>
      </c>
      <c r="R196" s="85">
        <f t="shared" si="49"/>
        <v>45821</v>
      </c>
      <c r="S196" s="7">
        <f t="shared" ca="1" si="50"/>
        <v>-7</v>
      </c>
      <c r="T196" s="85">
        <f>P196+15</f>
        <v>45827</v>
      </c>
      <c r="U196" s="85">
        <v>45832</v>
      </c>
      <c r="V196" s="7">
        <f t="shared" ca="1" si="51"/>
        <v>-5</v>
      </c>
      <c r="W196" s="85"/>
      <c r="X196" s="8"/>
    </row>
    <row r="197" spans="1:24" ht="14.5" hidden="1">
      <c r="A197" s="14">
        <v>121</v>
      </c>
      <c r="B197" s="15" t="s">
        <v>59</v>
      </c>
      <c r="C197" s="20"/>
      <c r="D197" s="308" t="s">
        <v>288</v>
      </c>
      <c r="E197" s="146" t="s">
        <v>289</v>
      </c>
      <c r="F197" s="146" t="s">
        <v>154</v>
      </c>
      <c r="G197" s="240">
        <v>45849</v>
      </c>
      <c r="H197" s="17"/>
      <c r="I197" s="86"/>
      <c r="J197" s="17">
        <v>1375</v>
      </c>
      <c r="K197" s="18">
        <v>1375</v>
      </c>
      <c r="L197" s="18">
        <v>1375</v>
      </c>
      <c r="M197" s="40">
        <f t="shared" si="47"/>
        <v>0</v>
      </c>
      <c r="N197" s="40">
        <f t="shared" si="48"/>
        <v>0</v>
      </c>
      <c r="O197" s="302" t="s">
        <v>178</v>
      </c>
      <c r="P197" s="85">
        <v>45812</v>
      </c>
      <c r="Q197" s="85">
        <v>45813</v>
      </c>
      <c r="R197" s="85">
        <f t="shared" si="49"/>
        <v>45815</v>
      </c>
      <c r="S197" s="7">
        <f t="shared" ca="1" si="50"/>
        <v>-1</v>
      </c>
      <c r="T197" s="85">
        <f>P197+15</f>
        <v>45827</v>
      </c>
      <c r="U197" s="85">
        <v>45832</v>
      </c>
      <c r="V197" s="7">
        <f t="shared" ca="1" si="51"/>
        <v>-5</v>
      </c>
      <c r="W197" s="85"/>
      <c r="X197" s="8"/>
    </row>
    <row r="198" spans="1:24" ht="14.5" hidden="1">
      <c r="A198" s="14">
        <v>121</v>
      </c>
      <c r="B198" s="15" t="s">
        <v>59</v>
      </c>
      <c r="C198" s="20"/>
      <c r="D198" s="308" t="s">
        <v>288</v>
      </c>
      <c r="E198" s="146" t="s">
        <v>289</v>
      </c>
      <c r="F198" s="146" t="s">
        <v>156</v>
      </c>
      <c r="G198" s="240">
        <v>45849</v>
      </c>
      <c r="H198" s="17"/>
      <c r="I198" s="86"/>
      <c r="J198" s="17">
        <v>821</v>
      </c>
      <c r="K198" s="18">
        <v>821</v>
      </c>
      <c r="L198" s="18">
        <v>821</v>
      </c>
      <c r="M198" s="40">
        <f t="shared" si="47"/>
        <v>0</v>
      </c>
      <c r="N198" s="40">
        <f t="shared" si="48"/>
        <v>0</v>
      </c>
      <c r="O198" s="302" t="s">
        <v>178</v>
      </c>
      <c r="P198" s="85">
        <v>45812</v>
      </c>
      <c r="Q198" s="85">
        <v>45807</v>
      </c>
      <c r="R198" s="85">
        <f t="shared" si="49"/>
        <v>45809</v>
      </c>
      <c r="S198" s="7">
        <f t="shared" ca="1" si="50"/>
        <v>5</v>
      </c>
      <c r="T198" s="85">
        <f>P198+15</f>
        <v>45827</v>
      </c>
      <c r="U198" s="85">
        <v>45819</v>
      </c>
      <c r="V198" s="7">
        <f t="shared" ca="1" si="51"/>
        <v>8</v>
      </c>
      <c r="W198" s="85"/>
      <c r="X198" s="8"/>
    </row>
    <row r="199" spans="1:24" ht="14.5" hidden="1">
      <c r="A199" s="14">
        <v>121</v>
      </c>
      <c r="B199" s="15" t="s">
        <v>59</v>
      </c>
      <c r="C199" s="20"/>
      <c r="D199" s="307" t="s">
        <v>157</v>
      </c>
      <c r="E199" s="146" t="s">
        <v>243</v>
      </c>
      <c r="F199" s="146" t="s">
        <v>162</v>
      </c>
      <c r="G199" s="240">
        <v>45849</v>
      </c>
      <c r="H199" s="17"/>
      <c r="I199" s="86"/>
      <c r="J199" s="17">
        <v>845.19740000000013</v>
      </c>
      <c r="K199" s="18">
        <v>845</v>
      </c>
      <c r="L199" s="18">
        <v>845</v>
      </c>
      <c r="M199" s="40">
        <f t="shared" si="47"/>
        <v>0.19740000000012969</v>
      </c>
      <c r="N199" s="40">
        <f t="shared" si="48"/>
        <v>0.19740000000012969</v>
      </c>
      <c r="O199" s="301" t="s">
        <v>871</v>
      </c>
      <c r="P199" s="85">
        <f>T199-18</f>
        <v>45796</v>
      </c>
      <c r="Q199" s="85">
        <v>45813</v>
      </c>
      <c r="R199" s="85">
        <f t="shared" si="49"/>
        <v>45815</v>
      </c>
      <c r="S199" s="7">
        <f t="shared" ca="1" si="50"/>
        <v>-17</v>
      </c>
      <c r="T199" s="85">
        <f>G199-35</f>
        <v>45814</v>
      </c>
      <c r="U199" s="85">
        <v>45826</v>
      </c>
      <c r="V199" s="7">
        <f t="shared" ca="1" si="51"/>
        <v>-12</v>
      </c>
      <c r="W199" s="85"/>
      <c r="X199" s="8"/>
    </row>
    <row r="200" spans="1:24" ht="14.5" hidden="1">
      <c r="A200" s="14">
        <v>121</v>
      </c>
      <c r="B200" s="15" t="s">
        <v>59</v>
      </c>
      <c r="C200" s="20"/>
      <c r="D200" s="309" t="s">
        <v>195</v>
      </c>
      <c r="E200" s="146" t="s">
        <v>838</v>
      </c>
      <c r="F200" s="146" t="s">
        <v>162</v>
      </c>
      <c r="G200" s="240">
        <v>45849</v>
      </c>
      <c r="H200" s="17"/>
      <c r="I200" s="86"/>
      <c r="J200" s="17">
        <v>1004.4972</v>
      </c>
      <c r="K200" s="18">
        <v>1004</v>
      </c>
      <c r="L200" s="18">
        <v>1004</v>
      </c>
      <c r="M200" s="40">
        <f t="shared" si="47"/>
        <v>0.49720000000002074</v>
      </c>
      <c r="N200" s="40">
        <f t="shared" si="48"/>
        <v>0.49720000000002074</v>
      </c>
      <c r="O200" s="301" t="s">
        <v>259</v>
      </c>
      <c r="P200" s="85">
        <f>T200-15</f>
        <v>45793</v>
      </c>
      <c r="Q200" s="85">
        <v>45787</v>
      </c>
      <c r="R200" s="85">
        <f t="shared" si="49"/>
        <v>45789</v>
      </c>
      <c r="S200" s="7">
        <f t="shared" ca="1" si="50"/>
        <v>6</v>
      </c>
      <c r="T200" s="85">
        <f>G200-32-9</f>
        <v>45808</v>
      </c>
      <c r="U200" s="85">
        <v>45787</v>
      </c>
      <c r="V200" s="7">
        <f t="shared" ca="1" si="51"/>
        <v>21</v>
      </c>
      <c r="W200" s="85"/>
      <c r="X200" s="8"/>
    </row>
    <row r="201" spans="1:24" ht="14.5" hidden="1">
      <c r="A201" s="14">
        <v>121</v>
      </c>
      <c r="B201" s="15" t="s">
        <v>59</v>
      </c>
      <c r="C201" s="20"/>
      <c r="D201" s="307" t="s">
        <v>158</v>
      </c>
      <c r="E201" s="146" t="s">
        <v>242</v>
      </c>
      <c r="F201" s="146" t="s">
        <v>255</v>
      </c>
      <c r="G201" s="240">
        <v>45849</v>
      </c>
      <c r="H201" s="17"/>
      <c r="I201" s="86"/>
      <c r="J201" s="17">
        <v>593.30060000000003</v>
      </c>
      <c r="K201" s="18">
        <v>593</v>
      </c>
      <c r="L201" s="18">
        <v>593</v>
      </c>
      <c r="M201" s="40">
        <f t="shared" si="47"/>
        <v>0.30060000000003129</v>
      </c>
      <c r="N201" s="40">
        <f t="shared" si="48"/>
        <v>0.30060000000003129</v>
      </c>
      <c r="O201" s="302" t="s">
        <v>178</v>
      </c>
      <c r="P201" s="85">
        <v>45822</v>
      </c>
      <c r="Q201" s="85"/>
      <c r="R201" s="85">
        <f t="shared" si="49"/>
        <v>2</v>
      </c>
      <c r="S201" s="7">
        <f t="shared" ca="1" si="50"/>
        <v>-18</v>
      </c>
      <c r="T201" s="85">
        <f>P201+15</f>
        <v>45837</v>
      </c>
      <c r="U201" s="85">
        <v>45820</v>
      </c>
      <c r="V201" s="7">
        <f t="shared" ca="1" si="51"/>
        <v>17</v>
      </c>
      <c r="W201" s="85"/>
      <c r="X201" s="8"/>
    </row>
    <row r="202" spans="1:24" ht="14.5" hidden="1">
      <c r="A202" s="14">
        <v>122</v>
      </c>
      <c r="B202" s="15" t="s">
        <v>59</v>
      </c>
      <c r="C202" s="20"/>
      <c r="D202" s="307" t="s">
        <v>193</v>
      </c>
      <c r="E202" s="146" t="s">
        <v>249</v>
      </c>
      <c r="F202" s="146" t="s">
        <v>162</v>
      </c>
      <c r="G202" s="240">
        <v>45863</v>
      </c>
      <c r="H202" s="17"/>
      <c r="I202" s="86"/>
      <c r="J202" s="17">
        <v>5691.92832</v>
      </c>
      <c r="K202" s="18">
        <v>5692</v>
      </c>
      <c r="L202" s="18">
        <v>5692</v>
      </c>
      <c r="M202" s="40">
        <f t="shared" si="47"/>
        <v>-7.1680000000014843E-2</v>
      </c>
      <c r="N202" s="40">
        <f t="shared" si="48"/>
        <v>-7.1680000000014843E-2</v>
      </c>
      <c r="O202" s="302" t="s">
        <v>178</v>
      </c>
      <c r="P202" s="85">
        <v>45798</v>
      </c>
      <c r="Q202" s="85">
        <v>45797</v>
      </c>
      <c r="R202" s="85">
        <f t="shared" si="49"/>
        <v>45799</v>
      </c>
      <c r="S202" s="7">
        <f t="shared" ca="1" si="50"/>
        <v>1</v>
      </c>
      <c r="T202" s="85">
        <f>G202-32-13</f>
        <v>45818</v>
      </c>
      <c r="U202" s="85">
        <v>45822</v>
      </c>
      <c r="V202" s="7">
        <f t="shared" ca="1" si="51"/>
        <v>-4</v>
      </c>
      <c r="W202" s="85"/>
      <c r="X202" s="8"/>
    </row>
    <row r="203" spans="1:24" ht="14.5" hidden="1">
      <c r="A203" s="14">
        <v>122</v>
      </c>
      <c r="B203" s="15" t="s">
        <v>59</v>
      </c>
      <c r="C203" s="20"/>
      <c r="D203" s="307" t="s">
        <v>157</v>
      </c>
      <c r="E203" s="146" t="s">
        <v>243</v>
      </c>
      <c r="F203" s="146" t="s">
        <v>162</v>
      </c>
      <c r="G203" s="240">
        <v>45863</v>
      </c>
      <c r="H203" s="17"/>
      <c r="I203" s="86"/>
      <c r="J203" s="17">
        <v>1076.2058000000002</v>
      </c>
      <c r="K203" s="18">
        <v>1076</v>
      </c>
      <c r="L203" s="18">
        <v>1076</v>
      </c>
      <c r="M203" s="40">
        <f t="shared" si="47"/>
        <v>0.20580000000018117</v>
      </c>
      <c r="N203" s="40">
        <f t="shared" si="48"/>
        <v>0.20580000000018117</v>
      </c>
      <c r="O203" s="301" t="s">
        <v>871</v>
      </c>
      <c r="P203" s="85">
        <f>T203-18</f>
        <v>45810</v>
      </c>
      <c r="Q203" s="85">
        <v>45813</v>
      </c>
      <c r="R203" s="85">
        <f t="shared" si="49"/>
        <v>45815</v>
      </c>
      <c r="S203" s="7">
        <f t="shared" ca="1" si="50"/>
        <v>-3</v>
      </c>
      <c r="T203" s="85">
        <f>G203-35</f>
        <v>45828</v>
      </c>
      <c r="U203" s="85">
        <v>45834</v>
      </c>
      <c r="V203" s="7">
        <f t="shared" ca="1" si="51"/>
        <v>-6</v>
      </c>
      <c r="W203" s="85"/>
      <c r="X203" s="8"/>
    </row>
    <row r="204" spans="1:24" ht="14.5" hidden="1">
      <c r="A204" s="14">
        <v>122</v>
      </c>
      <c r="B204" s="15" t="s">
        <v>59</v>
      </c>
      <c r="C204" s="20"/>
      <c r="D204" s="307" t="s">
        <v>158</v>
      </c>
      <c r="E204" s="146" t="s">
        <v>242</v>
      </c>
      <c r="F204" s="146" t="s">
        <v>154</v>
      </c>
      <c r="G204" s="240">
        <v>45863</v>
      </c>
      <c r="H204" s="17"/>
      <c r="I204" s="86"/>
      <c r="J204" s="17">
        <v>314.60320000000002</v>
      </c>
      <c r="K204" s="18">
        <v>315</v>
      </c>
      <c r="L204" s="18">
        <v>315</v>
      </c>
      <c r="M204" s="40">
        <f t="shared" si="47"/>
        <v>-0.39679999999998472</v>
      </c>
      <c r="N204" s="40">
        <f t="shared" si="48"/>
        <v>-0.39679999999998472</v>
      </c>
      <c r="O204" s="302" t="s">
        <v>178</v>
      </c>
      <c r="P204" s="85">
        <v>45822</v>
      </c>
      <c r="Q204" s="85">
        <v>45818</v>
      </c>
      <c r="R204" s="85">
        <f t="shared" si="49"/>
        <v>45820</v>
      </c>
      <c r="S204" s="7">
        <f t="shared" ca="1" si="50"/>
        <v>4</v>
      </c>
      <c r="T204" s="85">
        <f>P204+15</f>
        <v>45837</v>
      </c>
      <c r="U204" s="85">
        <v>45819</v>
      </c>
      <c r="V204" s="7">
        <f t="shared" ca="1" si="51"/>
        <v>18</v>
      </c>
      <c r="W204" s="85"/>
      <c r="X204" s="8"/>
    </row>
    <row r="205" spans="1:24" ht="14.5" hidden="1">
      <c r="A205" s="14">
        <v>123</v>
      </c>
      <c r="B205" s="15" t="s">
        <v>59</v>
      </c>
      <c r="C205" s="20"/>
      <c r="D205" s="307" t="s">
        <v>193</v>
      </c>
      <c r="E205" s="146" t="s">
        <v>249</v>
      </c>
      <c r="F205" s="146" t="s">
        <v>404</v>
      </c>
      <c r="G205" s="240">
        <v>45870</v>
      </c>
      <c r="H205" s="17"/>
      <c r="I205" s="86"/>
      <c r="J205" s="17">
        <v>3078.567</v>
      </c>
      <c r="K205" s="18">
        <v>3079</v>
      </c>
      <c r="L205" s="18">
        <v>3079</v>
      </c>
      <c r="M205" s="40">
        <f t="shared" si="47"/>
        <v>-0.43299999999999272</v>
      </c>
      <c r="N205" s="40">
        <f t="shared" si="48"/>
        <v>-0.43299999999999272</v>
      </c>
      <c r="O205" s="302" t="s">
        <v>178</v>
      </c>
      <c r="P205" s="85">
        <f>T205-15</f>
        <v>45810</v>
      </c>
      <c r="Q205" s="85">
        <v>45798</v>
      </c>
      <c r="R205" s="85">
        <f t="shared" si="49"/>
        <v>45800</v>
      </c>
      <c r="S205" s="7">
        <f t="shared" ca="1" si="50"/>
        <v>12</v>
      </c>
      <c r="T205" s="85">
        <f>G205-32-13</f>
        <v>45825</v>
      </c>
      <c r="U205" s="85">
        <v>45832</v>
      </c>
      <c r="V205" s="7">
        <f t="shared" ca="1" si="51"/>
        <v>-7</v>
      </c>
      <c r="W205" s="85"/>
      <c r="X205" s="8"/>
    </row>
    <row r="206" spans="1:24" ht="14.5" hidden="1">
      <c r="A206" s="14">
        <v>123</v>
      </c>
      <c r="B206" s="15" t="s">
        <v>59</v>
      </c>
      <c r="C206" s="20"/>
      <c r="D206" s="307" t="s">
        <v>157</v>
      </c>
      <c r="E206" s="146" t="s">
        <v>243</v>
      </c>
      <c r="F206" s="146" t="s">
        <v>162</v>
      </c>
      <c r="G206" s="240">
        <v>45870</v>
      </c>
      <c r="H206" s="17"/>
      <c r="I206" s="86"/>
      <c r="J206" s="17">
        <v>1133.0412000000001</v>
      </c>
      <c r="K206" s="18">
        <v>1133</v>
      </c>
      <c r="L206" s="18">
        <v>234</v>
      </c>
      <c r="M206" s="40">
        <f t="shared" si="47"/>
        <v>899.04120000000012</v>
      </c>
      <c r="N206" s="40">
        <f t="shared" si="48"/>
        <v>4.1200000000117143E-2</v>
      </c>
      <c r="O206" s="301" t="s">
        <v>871</v>
      </c>
      <c r="P206" s="85">
        <f>T206-18</f>
        <v>45817</v>
      </c>
      <c r="Q206" s="85">
        <v>45813</v>
      </c>
      <c r="R206" s="85">
        <f t="shared" si="49"/>
        <v>45815</v>
      </c>
      <c r="S206" s="7">
        <f t="shared" ca="1" si="50"/>
        <v>4</v>
      </c>
      <c r="T206" s="85">
        <f>G206-35</f>
        <v>45835</v>
      </c>
      <c r="U206" s="85"/>
      <c r="V206" s="7">
        <f t="shared" ca="1" si="51"/>
        <v>-5</v>
      </c>
      <c r="W206" s="85"/>
      <c r="X206" s="8"/>
    </row>
    <row r="207" spans="1:24" ht="14.5" hidden="1">
      <c r="A207" s="14">
        <v>124</v>
      </c>
      <c r="B207" s="15" t="s">
        <v>59</v>
      </c>
      <c r="C207" s="20"/>
      <c r="D207" s="307" t="s">
        <v>250</v>
      </c>
      <c r="E207" s="146" t="s">
        <v>269</v>
      </c>
      <c r="F207" s="146" t="s">
        <v>162</v>
      </c>
      <c r="G207" s="240">
        <v>45877</v>
      </c>
      <c r="H207" s="17"/>
      <c r="I207" s="86"/>
      <c r="J207" s="17">
        <v>4809</v>
      </c>
      <c r="K207" s="18">
        <v>4809</v>
      </c>
      <c r="L207" s="18">
        <v>4809</v>
      </c>
      <c r="M207" s="40">
        <f t="shared" si="47"/>
        <v>0</v>
      </c>
      <c r="N207" s="40">
        <f t="shared" si="48"/>
        <v>0</v>
      </c>
      <c r="O207" s="302" t="s">
        <v>178</v>
      </c>
      <c r="P207" s="85">
        <f t="shared" ref="P207:P213" si="55">T207-15</f>
        <v>45818</v>
      </c>
      <c r="Q207" s="85">
        <v>45798</v>
      </c>
      <c r="R207" s="85">
        <f t="shared" si="49"/>
        <v>45800</v>
      </c>
      <c r="S207" s="7">
        <f t="shared" ca="1" si="50"/>
        <v>20</v>
      </c>
      <c r="T207" s="85">
        <f>G207-32-12</f>
        <v>45833</v>
      </c>
      <c r="U207" s="85">
        <v>45835</v>
      </c>
      <c r="V207" s="7">
        <f t="shared" ca="1" si="51"/>
        <v>-2</v>
      </c>
      <c r="W207" s="85"/>
      <c r="X207" s="8"/>
    </row>
    <row r="208" spans="1:24" ht="14.5" hidden="1">
      <c r="A208" s="14">
        <v>124</v>
      </c>
      <c r="B208" s="15" t="s">
        <v>59</v>
      </c>
      <c r="C208" s="20"/>
      <c r="D208" s="307" t="s">
        <v>288</v>
      </c>
      <c r="E208" s="146" t="s">
        <v>289</v>
      </c>
      <c r="F208" s="146" t="s">
        <v>155</v>
      </c>
      <c r="G208" s="240">
        <v>45877</v>
      </c>
      <c r="H208" s="17"/>
      <c r="I208" s="86"/>
      <c r="J208" s="17">
        <v>1239</v>
      </c>
      <c r="K208" s="18">
        <v>1239</v>
      </c>
      <c r="L208" s="18">
        <v>619</v>
      </c>
      <c r="M208" s="40">
        <f t="shared" si="47"/>
        <v>620</v>
      </c>
      <c r="N208" s="40">
        <f t="shared" si="48"/>
        <v>0</v>
      </c>
      <c r="O208" s="302" t="s">
        <v>178</v>
      </c>
      <c r="P208" s="85">
        <f t="shared" si="55"/>
        <v>45822</v>
      </c>
      <c r="Q208" s="85">
        <v>45822</v>
      </c>
      <c r="R208" s="85">
        <f t="shared" si="49"/>
        <v>45824</v>
      </c>
      <c r="S208" s="7">
        <f t="shared" ca="1" si="50"/>
        <v>0</v>
      </c>
      <c r="T208" s="85">
        <f>G208-32-8</f>
        <v>45837</v>
      </c>
      <c r="U208" s="85"/>
      <c r="V208" s="7">
        <f t="shared" ca="1" si="51"/>
        <v>-3</v>
      </c>
      <c r="W208" s="85"/>
      <c r="X208" s="8"/>
    </row>
    <row r="209" spans="1:24" ht="14.5" hidden="1">
      <c r="A209" s="14">
        <v>124</v>
      </c>
      <c r="B209" s="15" t="s">
        <v>59</v>
      </c>
      <c r="C209" s="20"/>
      <c r="D209" s="307" t="s">
        <v>288</v>
      </c>
      <c r="E209" s="146" t="s">
        <v>289</v>
      </c>
      <c r="F209" s="146" t="s">
        <v>154</v>
      </c>
      <c r="G209" s="240">
        <v>45877</v>
      </c>
      <c r="H209" s="17"/>
      <c r="I209" s="86"/>
      <c r="J209" s="17">
        <v>1383</v>
      </c>
      <c r="K209" s="18">
        <v>1383</v>
      </c>
      <c r="L209" s="18">
        <v>516</v>
      </c>
      <c r="M209" s="40">
        <f t="shared" si="47"/>
        <v>867</v>
      </c>
      <c r="N209" s="40">
        <f t="shared" si="48"/>
        <v>0</v>
      </c>
      <c r="O209" s="302" t="s">
        <v>178</v>
      </c>
      <c r="P209" s="85">
        <f t="shared" si="55"/>
        <v>45822</v>
      </c>
      <c r="Q209" s="85">
        <v>45816</v>
      </c>
      <c r="R209" s="85">
        <f t="shared" si="49"/>
        <v>45818</v>
      </c>
      <c r="S209" s="7">
        <f t="shared" ca="1" si="50"/>
        <v>6</v>
      </c>
      <c r="T209" s="85">
        <f>G209-32-8</f>
        <v>45837</v>
      </c>
      <c r="U209" s="85"/>
      <c r="V209" s="7">
        <f t="shared" ca="1" si="51"/>
        <v>-3</v>
      </c>
      <c r="W209" s="85"/>
      <c r="X209" s="8"/>
    </row>
    <row r="210" spans="1:24" ht="14.5" hidden="1">
      <c r="A210" s="14">
        <v>124</v>
      </c>
      <c r="B210" s="15" t="s">
        <v>59</v>
      </c>
      <c r="C210" s="20"/>
      <c r="D210" s="307" t="s">
        <v>288</v>
      </c>
      <c r="E210" s="146" t="s">
        <v>289</v>
      </c>
      <c r="F210" s="146" t="s">
        <v>156</v>
      </c>
      <c r="G210" s="240">
        <v>45877</v>
      </c>
      <c r="H210" s="17"/>
      <c r="I210" s="86"/>
      <c r="J210" s="17">
        <v>1089</v>
      </c>
      <c r="K210" s="18">
        <v>1089</v>
      </c>
      <c r="L210" s="18">
        <v>72</v>
      </c>
      <c r="M210" s="40">
        <f t="shared" si="47"/>
        <v>1017</v>
      </c>
      <c r="N210" s="40">
        <f t="shared" si="48"/>
        <v>0</v>
      </c>
      <c r="O210" s="302" t="s">
        <v>178</v>
      </c>
      <c r="P210" s="85">
        <f t="shared" si="55"/>
        <v>45822</v>
      </c>
      <c r="Q210" s="85">
        <v>45807</v>
      </c>
      <c r="R210" s="85">
        <f t="shared" si="49"/>
        <v>45809</v>
      </c>
      <c r="S210" s="7">
        <f t="shared" ca="1" si="50"/>
        <v>15</v>
      </c>
      <c r="T210" s="85">
        <f>G210-32-8</f>
        <v>45837</v>
      </c>
      <c r="U210" s="85"/>
      <c r="V210" s="7">
        <f t="shared" ca="1" si="51"/>
        <v>-3</v>
      </c>
      <c r="W210" s="85"/>
      <c r="X210" s="8"/>
    </row>
    <row r="211" spans="1:24" ht="14.5" hidden="1">
      <c r="A211" s="14">
        <v>124</v>
      </c>
      <c r="B211" s="15" t="s">
        <v>59</v>
      </c>
      <c r="C211" s="20"/>
      <c r="D211" s="307" t="s">
        <v>158</v>
      </c>
      <c r="E211" s="146" t="s">
        <v>242</v>
      </c>
      <c r="F211" s="146" t="s">
        <v>154</v>
      </c>
      <c r="G211" s="240">
        <v>45877</v>
      </c>
      <c r="H211" s="17"/>
      <c r="I211" s="86"/>
      <c r="J211" s="17">
        <v>335</v>
      </c>
      <c r="K211" s="18">
        <v>335</v>
      </c>
      <c r="L211" s="18">
        <v>335</v>
      </c>
      <c r="M211" s="40">
        <f t="shared" si="47"/>
        <v>0</v>
      </c>
      <c r="N211" s="40">
        <f t="shared" si="48"/>
        <v>0</v>
      </c>
      <c r="O211" s="302" t="s">
        <v>178</v>
      </c>
      <c r="P211" s="85">
        <f t="shared" si="55"/>
        <v>45830</v>
      </c>
      <c r="Q211" s="85">
        <v>45818</v>
      </c>
      <c r="R211" s="85">
        <f t="shared" si="49"/>
        <v>45820</v>
      </c>
      <c r="S211" s="7">
        <f t="shared" ca="1" si="50"/>
        <v>12</v>
      </c>
      <c r="T211" s="85">
        <f>G211-32</f>
        <v>45845</v>
      </c>
      <c r="U211" s="85">
        <v>45832</v>
      </c>
      <c r="V211" s="7">
        <f t="shared" ca="1" si="51"/>
        <v>13</v>
      </c>
      <c r="W211" s="85"/>
      <c r="X211" s="8"/>
    </row>
    <row r="212" spans="1:24" ht="14.5" hidden="1">
      <c r="A212" s="14">
        <v>124</v>
      </c>
      <c r="B212" s="15" t="s">
        <v>59</v>
      </c>
      <c r="C212" s="20"/>
      <c r="D212" s="312" t="s">
        <v>158</v>
      </c>
      <c r="E212" s="146" t="s">
        <v>242</v>
      </c>
      <c r="F212" s="146" t="s">
        <v>155</v>
      </c>
      <c r="G212" s="240">
        <v>45877</v>
      </c>
      <c r="H212" s="17"/>
      <c r="I212" s="86"/>
      <c r="J212" s="17">
        <v>413</v>
      </c>
      <c r="K212" s="18">
        <v>413</v>
      </c>
      <c r="L212" s="18"/>
      <c r="M212" s="40">
        <f t="shared" si="47"/>
        <v>413</v>
      </c>
      <c r="N212" s="40">
        <f t="shared" si="48"/>
        <v>0</v>
      </c>
      <c r="O212" s="302" t="s">
        <v>178</v>
      </c>
      <c r="P212" s="85">
        <f t="shared" si="55"/>
        <v>45830</v>
      </c>
      <c r="Q212" s="85">
        <v>45811</v>
      </c>
      <c r="R212" s="85">
        <f t="shared" si="49"/>
        <v>45813</v>
      </c>
      <c r="S212" s="7">
        <f t="shared" ca="1" si="50"/>
        <v>19</v>
      </c>
      <c r="T212" s="85">
        <f>G212-32</f>
        <v>45845</v>
      </c>
      <c r="U212" s="85"/>
      <c r="V212" s="7">
        <f t="shared" ca="1" si="51"/>
        <v>5</v>
      </c>
      <c r="W212" s="85"/>
      <c r="X212" s="8"/>
    </row>
    <row r="213" spans="1:24" ht="14.5" hidden="1">
      <c r="A213" s="14">
        <v>124</v>
      </c>
      <c r="B213" s="15" t="s">
        <v>59</v>
      </c>
      <c r="C213" s="20"/>
      <c r="D213" s="307" t="s">
        <v>195</v>
      </c>
      <c r="E213" s="146" t="s">
        <v>838</v>
      </c>
      <c r="F213" s="146" t="s">
        <v>162</v>
      </c>
      <c r="G213" s="240">
        <v>45877</v>
      </c>
      <c r="H213" s="17"/>
      <c r="I213" s="86"/>
      <c r="J213" s="17">
        <v>988</v>
      </c>
      <c r="K213" s="18">
        <v>988</v>
      </c>
      <c r="L213" s="18"/>
      <c r="M213" s="40">
        <f t="shared" si="47"/>
        <v>988</v>
      </c>
      <c r="N213" s="40">
        <f t="shared" si="48"/>
        <v>0</v>
      </c>
      <c r="O213" s="302" t="s">
        <v>178</v>
      </c>
      <c r="P213" s="85">
        <f t="shared" si="55"/>
        <v>45821</v>
      </c>
      <c r="Q213" s="85">
        <v>45832</v>
      </c>
      <c r="R213" s="85">
        <f t="shared" si="49"/>
        <v>45834</v>
      </c>
      <c r="S213" s="7">
        <f t="shared" ca="1" si="50"/>
        <v>-11</v>
      </c>
      <c r="T213" s="85">
        <f>G213-32-9</f>
        <v>45836</v>
      </c>
      <c r="U213" s="85"/>
      <c r="V213" s="7">
        <f t="shared" ca="1" si="51"/>
        <v>-4</v>
      </c>
      <c r="W213" s="85"/>
      <c r="X213" s="8"/>
    </row>
    <row r="214" spans="1:24" ht="14.5" hidden="1">
      <c r="A214" s="14">
        <v>128</v>
      </c>
      <c r="B214" s="15" t="s">
        <v>59</v>
      </c>
      <c r="C214" s="20"/>
      <c r="D214" s="312" t="s">
        <v>245</v>
      </c>
      <c r="E214" s="146" t="s">
        <v>242</v>
      </c>
      <c r="F214" s="146" t="s">
        <v>244</v>
      </c>
      <c r="G214" s="240">
        <v>45814</v>
      </c>
      <c r="H214" s="17"/>
      <c r="I214" s="86"/>
      <c r="J214" s="17">
        <v>594</v>
      </c>
      <c r="K214" s="18">
        <v>594</v>
      </c>
      <c r="L214" s="18">
        <v>594</v>
      </c>
      <c r="M214" s="40">
        <f t="shared" si="47"/>
        <v>0</v>
      </c>
      <c r="N214" s="40">
        <f t="shared" si="48"/>
        <v>0</v>
      </c>
      <c r="O214" s="301" t="s">
        <v>257</v>
      </c>
      <c r="P214" s="85">
        <v>45782</v>
      </c>
      <c r="Q214" s="85">
        <v>45787</v>
      </c>
      <c r="R214" s="85">
        <f t="shared" si="49"/>
        <v>45789</v>
      </c>
      <c r="S214" s="7">
        <f t="shared" ca="1" si="50"/>
        <v>-5</v>
      </c>
      <c r="T214" s="85">
        <f>P214+12</f>
        <v>45794</v>
      </c>
      <c r="U214" s="85">
        <v>45808</v>
      </c>
      <c r="V214" s="7">
        <f t="shared" ca="1" si="51"/>
        <v>-14</v>
      </c>
      <c r="W214" s="85">
        <v>45803</v>
      </c>
      <c r="X214" s="8"/>
    </row>
    <row r="215" spans="1:24" ht="14.5" hidden="1">
      <c r="A215" s="14">
        <v>130</v>
      </c>
      <c r="B215" s="15" t="s">
        <v>59</v>
      </c>
      <c r="C215" s="20"/>
      <c r="D215" s="307" t="s">
        <v>189</v>
      </c>
      <c r="E215" s="146" t="s">
        <v>242</v>
      </c>
      <c r="F215" s="146" t="s">
        <v>855</v>
      </c>
      <c r="G215" s="240">
        <v>45850</v>
      </c>
      <c r="H215" s="17"/>
      <c r="I215" s="86"/>
      <c r="J215" s="17">
        <v>1450</v>
      </c>
      <c r="K215" s="18">
        <v>1450</v>
      </c>
      <c r="L215" s="18">
        <v>1450</v>
      </c>
      <c r="M215" s="40">
        <f t="shared" si="47"/>
        <v>0</v>
      </c>
      <c r="N215" s="40">
        <f t="shared" si="48"/>
        <v>0</v>
      </c>
      <c r="O215" s="302" t="s">
        <v>178</v>
      </c>
      <c r="P215" s="85">
        <v>45789</v>
      </c>
      <c r="Q215" s="85">
        <v>45787</v>
      </c>
      <c r="R215" s="85">
        <f t="shared" si="49"/>
        <v>45789</v>
      </c>
      <c r="S215" s="7">
        <f t="shared" ca="1" si="50"/>
        <v>2</v>
      </c>
      <c r="T215" s="85">
        <f>P215+12</f>
        <v>45801</v>
      </c>
      <c r="U215" s="85">
        <v>45801</v>
      </c>
      <c r="V215" s="7">
        <f t="shared" ca="1" si="51"/>
        <v>0</v>
      </c>
      <c r="W215" s="85"/>
      <c r="X215" s="8"/>
    </row>
    <row r="216" spans="1:24" ht="14.5" hidden="1">
      <c r="A216" s="14">
        <v>130</v>
      </c>
      <c r="B216" s="15" t="s">
        <v>59</v>
      </c>
      <c r="C216" s="20"/>
      <c r="D216" s="307" t="s">
        <v>206</v>
      </c>
      <c r="E216" s="146" t="s">
        <v>242</v>
      </c>
      <c r="F216" s="146" t="s">
        <v>90</v>
      </c>
      <c r="G216" s="240">
        <v>45850</v>
      </c>
      <c r="H216" s="17"/>
      <c r="I216" s="86"/>
      <c r="J216" s="17">
        <v>400</v>
      </c>
      <c r="K216" s="18">
        <v>400</v>
      </c>
      <c r="L216" s="18">
        <v>400</v>
      </c>
      <c r="M216" s="40">
        <f t="shared" ref="M216:M266" si="56">+J216-L216</f>
        <v>0</v>
      </c>
      <c r="N216" s="40">
        <f t="shared" ref="N216:N266" si="57">+J216-K216</f>
        <v>0</v>
      </c>
      <c r="O216" s="302" t="s">
        <v>178</v>
      </c>
      <c r="P216" s="85">
        <v>45789</v>
      </c>
      <c r="Q216" s="85"/>
      <c r="R216" s="85">
        <f t="shared" ref="R216:R266" si="58">Q216+2</f>
        <v>2</v>
      </c>
      <c r="S216" s="7">
        <f t="shared" ref="S216:S266" ca="1" si="59">+IF(Q216="",P216-TODAY(),P216-Q216)</f>
        <v>-51</v>
      </c>
      <c r="T216" s="85">
        <f>P216+12</f>
        <v>45801</v>
      </c>
      <c r="U216" s="85">
        <v>45801</v>
      </c>
      <c r="V216" s="7">
        <f t="shared" ref="V216:V266" ca="1" si="60">+IF(U216="",T216-TODAY(),T216-U216)</f>
        <v>0</v>
      </c>
      <c r="W216" s="85"/>
      <c r="X216" s="8"/>
    </row>
    <row r="217" spans="1:24" ht="14.5" hidden="1">
      <c r="A217" s="14">
        <v>131</v>
      </c>
      <c r="B217" s="15" t="s">
        <v>59</v>
      </c>
      <c r="C217" s="20"/>
      <c r="D217" s="311" t="s">
        <v>248</v>
      </c>
      <c r="E217" s="146" t="s">
        <v>270</v>
      </c>
      <c r="F217" s="146" t="s">
        <v>162</v>
      </c>
      <c r="G217" s="240">
        <v>45856</v>
      </c>
      <c r="H217" s="17"/>
      <c r="I217" s="86"/>
      <c r="J217" s="17">
        <v>3556.5207839999998</v>
      </c>
      <c r="K217" s="18">
        <v>3557</v>
      </c>
      <c r="L217" s="18">
        <v>3547</v>
      </c>
      <c r="M217" s="40">
        <f t="shared" si="56"/>
        <v>9.5207839999998214</v>
      </c>
      <c r="N217" s="40">
        <f t="shared" si="57"/>
        <v>-0.47921600000017861</v>
      </c>
      <c r="O217" s="302" t="s">
        <v>178</v>
      </c>
      <c r="P217" s="85">
        <v>45798</v>
      </c>
      <c r="Q217" s="85">
        <v>45794</v>
      </c>
      <c r="R217" s="85">
        <f t="shared" si="58"/>
        <v>45796</v>
      </c>
      <c r="S217" s="7">
        <f t="shared" ca="1" si="59"/>
        <v>4</v>
      </c>
      <c r="T217" s="85">
        <v>45816</v>
      </c>
      <c r="U217" s="85">
        <v>45815</v>
      </c>
      <c r="V217" s="7">
        <f t="shared" ca="1" si="60"/>
        <v>1</v>
      </c>
      <c r="W217" s="85">
        <v>45813</v>
      </c>
      <c r="X217" s="8"/>
    </row>
    <row r="218" spans="1:24" ht="14.5" hidden="1">
      <c r="A218" s="14">
        <v>131</v>
      </c>
      <c r="B218" s="15" t="s">
        <v>59</v>
      </c>
      <c r="C218" s="20"/>
      <c r="D218" s="307" t="s">
        <v>157</v>
      </c>
      <c r="E218" s="146" t="s">
        <v>243</v>
      </c>
      <c r="F218" s="146" t="s">
        <v>162</v>
      </c>
      <c r="G218" s="240">
        <v>45856</v>
      </c>
      <c r="H218" s="17"/>
      <c r="I218" s="86"/>
      <c r="J218" s="17">
        <v>1147.7084000000002</v>
      </c>
      <c r="K218" s="18">
        <v>1148</v>
      </c>
      <c r="L218" s="18">
        <v>1148</v>
      </c>
      <c r="M218" s="40">
        <f t="shared" si="56"/>
        <v>-0.29159999999978936</v>
      </c>
      <c r="N218" s="40">
        <f t="shared" si="57"/>
        <v>-0.29159999999978936</v>
      </c>
      <c r="O218" s="301" t="s">
        <v>871</v>
      </c>
      <c r="P218" s="85">
        <f>T218-18</f>
        <v>45803</v>
      </c>
      <c r="Q218" s="85">
        <v>45813</v>
      </c>
      <c r="R218" s="85">
        <f t="shared" si="58"/>
        <v>45815</v>
      </c>
      <c r="S218" s="7">
        <f t="shared" ca="1" si="59"/>
        <v>-10</v>
      </c>
      <c r="T218" s="85">
        <f>G218-35</f>
        <v>45821</v>
      </c>
      <c r="U218" s="85">
        <v>45832</v>
      </c>
      <c r="V218" s="7">
        <f t="shared" ca="1" si="60"/>
        <v>-11</v>
      </c>
      <c r="W218" s="85"/>
      <c r="X218" s="8"/>
    </row>
    <row r="219" spans="1:24" ht="14.5" hidden="1">
      <c r="A219" s="14">
        <v>131</v>
      </c>
      <c r="B219" s="15" t="s">
        <v>59</v>
      </c>
      <c r="C219" s="20"/>
      <c r="D219" s="307" t="s">
        <v>195</v>
      </c>
      <c r="E219" s="146" t="s">
        <v>838</v>
      </c>
      <c r="F219" s="146" t="s">
        <v>162</v>
      </c>
      <c r="G219" s="240">
        <v>45856</v>
      </c>
      <c r="H219" s="17"/>
      <c r="I219" s="86"/>
      <c r="J219" s="17">
        <v>988</v>
      </c>
      <c r="K219" s="18">
        <v>988</v>
      </c>
      <c r="L219" s="18">
        <v>988</v>
      </c>
      <c r="M219" s="40">
        <f t="shared" si="56"/>
        <v>0</v>
      </c>
      <c r="N219" s="40">
        <f t="shared" si="57"/>
        <v>0</v>
      </c>
      <c r="O219" s="302" t="s">
        <v>178</v>
      </c>
      <c r="P219" s="85">
        <f>T219-15</f>
        <v>45800</v>
      </c>
      <c r="Q219" s="85">
        <v>45832</v>
      </c>
      <c r="R219" s="85">
        <f t="shared" si="58"/>
        <v>45834</v>
      </c>
      <c r="S219" s="7">
        <f t="shared" ca="1" si="59"/>
        <v>-32</v>
      </c>
      <c r="T219" s="85">
        <f>G219-32-9</f>
        <v>45815</v>
      </c>
      <c r="U219" s="85"/>
      <c r="V219" s="7">
        <f t="shared" ca="1" si="60"/>
        <v>-25</v>
      </c>
      <c r="W219" s="85"/>
      <c r="X219" s="8"/>
    </row>
    <row r="220" spans="1:24" ht="14.5" hidden="1">
      <c r="A220" s="14">
        <v>131</v>
      </c>
      <c r="B220" s="15" t="s">
        <v>59</v>
      </c>
      <c r="C220" s="20"/>
      <c r="D220" s="307" t="s">
        <v>158</v>
      </c>
      <c r="E220" s="146" t="s">
        <v>242</v>
      </c>
      <c r="F220" s="146" t="s">
        <v>255</v>
      </c>
      <c r="G220" s="240">
        <v>45856</v>
      </c>
      <c r="H220" s="17"/>
      <c r="I220" s="86"/>
      <c r="J220" s="17">
        <v>318</v>
      </c>
      <c r="K220" s="18">
        <v>318</v>
      </c>
      <c r="L220" s="18">
        <v>318</v>
      </c>
      <c r="M220" s="40">
        <f t="shared" si="56"/>
        <v>0</v>
      </c>
      <c r="N220" s="40">
        <f t="shared" si="57"/>
        <v>0</v>
      </c>
      <c r="O220" s="302" t="s">
        <v>178</v>
      </c>
      <c r="P220" s="85">
        <v>45822</v>
      </c>
      <c r="Q220" s="85"/>
      <c r="R220" s="85">
        <f t="shared" si="58"/>
        <v>2</v>
      </c>
      <c r="S220" s="7">
        <f t="shared" ca="1" si="59"/>
        <v>-18</v>
      </c>
      <c r="T220" s="85">
        <f t="shared" ref="T220" si="61">P220+15</f>
        <v>45837</v>
      </c>
      <c r="U220" s="85">
        <v>45820</v>
      </c>
      <c r="V220" s="7">
        <f t="shared" ca="1" si="60"/>
        <v>17</v>
      </c>
      <c r="W220" s="85"/>
      <c r="X220" s="8"/>
    </row>
    <row r="221" spans="1:24" ht="14.5" hidden="1">
      <c r="A221" s="14">
        <v>132</v>
      </c>
      <c r="B221" s="15" t="s">
        <v>59</v>
      </c>
      <c r="C221" s="20"/>
      <c r="D221" s="307" t="s">
        <v>158</v>
      </c>
      <c r="E221" s="146" t="s">
        <v>242</v>
      </c>
      <c r="F221" s="146" t="s">
        <v>255</v>
      </c>
      <c r="G221" s="240">
        <v>45856</v>
      </c>
      <c r="H221" s="17"/>
      <c r="I221" s="86"/>
      <c r="J221" s="17">
        <v>1665</v>
      </c>
      <c r="K221" s="18">
        <v>1665</v>
      </c>
      <c r="L221" s="18">
        <v>1665</v>
      </c>
      <c r="M221" s="40">
        <f t="shared" si="56"/>
        <v>0</v>
      </c>
      <c r="N221" s="40">
        <f t="shared" si="57"/>
        <v>0</v>
      </c>
      <c r="O221" s="302" t="s">
        <v>178</v>
      </c>
      <c r="P221" s="85">
        <v>45822</v>
      </c>
      <c r="Q221" s="85">
        <v>45819</v>
      </c>
      <c r="R221" s="85">
        <f t="shared" si="58"/>
        <v>45821</v>
      </c>
      <c r="S221" s="7">
        <f t="shared" ca="1" si="59"/>
        <v>3</v>
      </c>
      <c r="T221" s="85">
        <f>P221+15</f>
        <v>45837</v>
      </c>
      <c r="U221" s="85">
        <v>45832</v>
      </c>
      <c r="V221" s="7">
        <f t="shared" ca="1" si="60"/>
        <v>5</v>
      </c>
      <c r="W221" s="85"/>
      <c r="X221" s="8"/>
    </row>
    <row r="222" spans="1:24" ht="14.5" hidden="1">
      <c r="A222" s="14">
        <v>118</v>
      </c>
      <c r="B222" s="15" t="s">
        <v>89</v>
      </c>
      <c r="C222" s="20"/>
      <c r="D222" s="307" t="s">
        <v>872</v>
      </c>
      <c r="E222" s="146" t="s">
        <v>874</v>
      </c>
      <c r="F222" s="146" t="s">
        <v>888</v>
      </c>
      <c r="G222" s="240">
        <v>45863</v>
      </c>
      <c r="H222" s="17">
        <v>2152</v>
      </c>
      <c r="I222" s="86"/>
      <c r="J222" s="17">
        <v>1248.624</v>
      </c>
      <c r="K222" s="18">
        <v>1249</v>
      </c>
      <c r="L222" s="18">
        <v>1249</v>
      </c>
      <c r="M222" s="40">
        <f t="shared" si="56"/>
        <v>-0.37599999999997635</v>
      </c>
      <c r="N222" s="40">
        <f t="shared" si="57"/>
        <v>-0.37599999999997635</v>
      </c>
      <c r="O222" s="301" t="s">
        <v>905</v>
      </c>
      <c r="P222" s="85">
        <v>45797</v>
      </c>
      <c r="Q222" s="85">
        <v>45808</v>
      </c>
      <c r="R222" s="85">
        <f t="shared" si="58"/>
        <v>45810</v>
      </c>
      <c r="S222" s="7">
        <f t="shared" ca="1" si="59"/>
        <v>-11</v>
      </c>
      <c r="T222" s="85">
        <f t="shared" ref="T222:T237" si="62">P222+15</f>
        <v>45812</v>
      </c>
      <c r="U222" s="85">
        <v>45829</v>
      </c>
      <c r="V222" s="7">
        <f t="shared" ca="1" si="60"/>
        <v>-17</v>
      </c>
      <c r="W222" s="85"/>
      <c r="X222" s="8"/>
    </row>
    <row r="223" spans="1:24" ht="14.5" hidden="1">
      <c r="A223" s="14">
        <v>118</v>
      </c>
      <c r="B223" s="15" t="s">
        <v>89</v>
      </c>
      <c r="C223" s="20"/>
      <c r="D223" s="307" t="s">
        <v>872</v>
      </c>
      <c r="E223" s="146" t="s">
        <v>875</v>
      </c>
      <c r="F223" s="146" t="s">
        <v>888</v>
      </c>
      <c r="G223" s="240">
        <v>45863</v>
      </c>
      <c r="H223" s="17">
        <v>2153</v>
      </c>
      <c r="I223" s="86"/>
      <c r="J223" s="17">
        <v>3174.8080000000004</v>
      </c>
      <c r="K223" s="18">
        <v>3175</v>
      </c>
      <c r="L223" s="18">
        <v>3175</v>
      </c>
      <c r="M223" s="40">
        <f t="shared" si="56"/>
        <v>-0.19199999999955253</v>
      </c>
      <c r="N223" s="40">
        <f t="shared" si="57"/>
        <v>-0.19199999999955253</v>
      </c>
      <c r="O223" s="301" t="s">
        <v>905</v>
      </c>
      <c r="P223" s="85">
        <v>45797</v>
      </c>
      <c r="Q223" s="85">
        <v>45808</v>
      </c>
      <c r="R223" s="85">
        <f t="shared" si="58"/>
        <v>45810</v>
      </c>
      <c r="S223" s="7">
        <f t="shared" ca="1" si="59"/>
        <v>-11</v>
      </c>
      <c r="T223" s="85">
        <f t="shared" si="62"/>
        <v>45812</v>
      </c>
      <c r="U223" s="85">
        <v>45833</v>
      </c>
      <c r="V223" s="7">
        <f t="shared" ca="1" si="60"/>
        <v>-21</v>
      </c>
      <c r="W223" s="85"/>
      <c r="X223" s="8"/>
    </row>
    <row r="224" spans="1:24" ht="14.5" hidden="1">
      <c r="A224" s="14">
        <v>118</v>
      </c>
      <c r="B224" s="15" t="s">
        <v>89</v>
      </c>
      <c r="C224" s="20"/>
      <c r="D224" s="307" t="s">
        <v>872</v>
      </c>
      <c r="E224" s="146" t="s">
        <v>876</v>
      </c>
      <c r="F224" s="146" t="s">
        <v>888</v>
      </c>
      <c r="G224" s="240">
        <v>45863</v>
      </c>
      <c r="H224" s="17">
        <v>2154</v>
      </c>
      <c r="I224" s="86"/>
      <c r="J224" s="17">
        <v>2308.8000000000002</v>
      </c>
      <c r="K224" s="18">
        <v>2309</v>
      </c>
      <c r="L224" s="18">
        <v>1000</v>
      </c>
      <c r="M224" s="40">
        <f t="shared" si="56"/>
        <v>1308.8000000000002</v>
      </c>
      <c r="N224" s="40">
        <f t="shared" si="57"/>
        <v>-0.1999999999998181</v>
      </c>
      <c r="O224" s="301" t="s">
        <v>905</v>
      </c>
      <c r="P224" s="85">
        <v>45797</v>
      </c>
      <c r="Q224" s="85">
        <v>45808</v>
      </c>
      <c r="R224" s="85">
        <f t="shared" si="58"/>
        <v>45810</v>
      </c>
      <c r="S224" s="7">
        <f t="shared" ca="1" si="59"/>
        <v>-11</v>
      </c>
      <c r="T224" s="85">
        <f t="shared" si="62"/>
        <v>45812</v>
      </c>
      <c r="U224" s="85"/>
      <c r="V224" s="7">
        <f t="shared" ca="1" si="60"/>
        <v>-28</v>
      </c>
      <c r="W224" s="85"/>
      <c r="X224" s="8"/>
    </row>
    <row r="225" spans="1:24" ht="14.5" hidden="1">
      <c r="A225" s="14">
        <v>118</v>
      </c>
      <c r="B225" s="15" t="s">
        <v>89</v>
      </c>
      <c r="C225" s="20"/>
      <c r="D225" s="307" t="s">
        <v>872</v>
      </c>
      <c r="E225" s="146" t="s">
        <v>877</v>
      </c>
      <c r="F225" s="146" t="s">
        <v>888</v>
      </c>
      <c r="G225" s="240">
        <v>45863</v>
      </c>
      <c r="H225" s="17">
        <v>2155</v>
      </c>
      <c r="I225" s="86"/>
      <c r="J225" s="17">
        <v>941.40800000000002</v>
      </c>
      <c r="K225" s="18">
        <v>941</v>
      </c>
      <c r="L225" s="18">
        <v>941</v>
      </c>
      <c r="M225" s="40">
        <f t="shared" si="56"/>
        <v>0.40800000000001546</v>
      </c>
      <c r="N225" s="40">
        <f t="shared" si="57"/>
        <v>0.40800000000001546</v>
      </c>
      <c r="O225" s="301" t="s">
        <v>905</v>
      </c>
      <c r="P225" s="85">
        <v>45797</v>
      </c>
      <c r="Q225" s="85">
        <v>45808</v>
      </c>
      <c r="R225" s="85">
        <f t="shared" si="58"/>
        <v>45810</v>
      </c>
      <c r="S225" s="7">
        <f t="shared" ca="1" si="59"/>
        <v>-11</v>
      </c>
      <c r="T225" s="85">
        <f t="shared" si="62"/>
        <v>45812</v>
      </c>
      <c r="U225" s="85">
        <v>45833</v>
      </c>
      <c r="V225" s="7">
        <f t="shared" ca="1" si="60"/>
        <v>-21</v>
      </c>
      <c r="W225" s="85"/>
      <c r="X225" s="8"/>
    </row>
    <row r="226" spans="1:24" ht="14.5" hidden="1">
      <c r="A226" s="14">
        <v>118</v>
      </c>
      <c r="B226" s="15" t="s">
        <v>89</v>
      </c>
      <c r="C226" s="20"/>
      <c r="D226" s="307" t="s">
        <v>872</v>
      </c>
      <c r="E226" s="146" t="s">
        <v>897</v>
      </c>
      <c r="F226" s="146" t="s">
        <v>888</v>
      </c>
      <c r="G226" s="240">
        <v>45863</v>
      </c>
      <c r="H226" s="17">
        <v>2156</v>
      </c>
      <c r="I226" s="86"/>
      <c r="J226" s="17">
        <v>291.2</v>
      </c>
      <c r="K226" s="18">
        <v>291</v>
      </c>
      <c r="L226" s="18">
        <v>278</v>
      </c>
      <c r="M226" s="40">
        <f t="shared" si="56"/>
        <v>13.199999999999989</v>
      </c>
      <c r="N226" s="40">
        <f t="shared" si="57"/>
        <v>0.19999999999998863</v>
      </c>
      <c r="O226" s="301" t="s">
        <v>905</v>
      </c>
      <c r="P226" s="85">
        <v>45797</v>
      </c>
      <c r="Q226" s="85">
        <v>45808</v>
      </c>
      <c r="R226" s="85">
        <f t="shared" si="58"/>
        <v>45810</v>
      </c>
      <c r="S226" s="7">
        <f t="shared" ca="1" si="59"/>
        <v>-11</v>
      </c>
      <c r="T226" s="85">
        <f t="shared" si="62"/>
        <v>45812</v>
      </c>
      <c r="U226" s="85">
        <v>45838</v>
      </c>
      <c r="V226" s="7">
        <f t="shared" ca="1" si="60"/>
        <v>-26</v>
      </c>
      <c r="W226" s="85"/>
      <c r="X226" s="8"/>
    </row>
    <row r="227" spans="1:24" ht="14.5" hidden="1">
      <c r="A227" s="14">
        <v>118</v>
      </c>
      <c r="B227" s="15" t="s">
        <v>89</v>
      </c>
      <c r="C227" s="20"/>
      <c r="D227" s="307" t="s">
        <v>872</v>
      </c>
      <c r="E227" s="146" t="s">
        <v>878</v>
      </c>
      <c r="F227" s="146" t="s">
        <v>888</v>
      </c>
      <c r="G227" s="240">
        <v>45863</v>
      </c>
      <c r="H227" s="17">
        <v>2157</v>
      </c>
      <c r="I227" s="86"/>
      <c r="J227" s="17">
        <v>299.93599999999998</v>
      </c>
      <c r="K227" s="18">
        <v>300</v>
      </c>
      <c r="L227" s="18">
        <v>300</v>
      </c>
      <c r="M227" s="40">
        <f t="shared" si="56"/>
        <v>-6.4000000000021373E-2</v>
      </c>
      <c r="N227" s="40">
        <f t="shared" si="57"/>
        <v>-6.4000000000021373E-2</v>
      </c>
      <c r="O227" s="301" t="s">
        <v>905</v>
      </c>
      <c r="P227" s="85">
        <v>45797</v>
      </c>
      <c r="Q227" s="85">
        <v>45808</v>
      </c>
      <c r="R227" s="85">
        <f t="shared" si="58"/>
        <v>45810</v>
      </c>
      <c r="S227" s="7">
        <f t="shared" ca="1" si="59"/>
        <v>-11</v>
      </c>
      <c r="T227" s="85">
        <f t="shared" si="62"/>
        <v>45812</v>
      </c>
      <c r="U227" s="85">
        <v>45829</v>
      </c>
      <c r="V227" s="7">
        <f t="shared" ca="1" si="60"/>
        <v>-17</v>
      </c>
      <c r="W227" s="85"/>
      <c r="X227" s="8"/>
    </row>
    <row r="228" spans="1:24" ht="14.5" hidden="1">
      <c r="A228" s="14">
        <v>118</v>
      </c>
      <c r="B228" s="15" t="s">
        <v>89</v>
      </c>
      <c r="C228" s="20"/>
      <c r="D228" s="307" t="s">
        <v>872</v>
      </c>
      <c r="E228" s="146" t="s">
        <v>879</v>
      </c>
      <c r="F228" s="146" t="s">
        <v>888</v>
      </c>
      <c r="G228" s="240">
        <v>45863</v>
      </c>
      <c r="H228" s="17">
        <v>2158</v>
      </c>
      <c r="I228" s="86"/>
      <c r="J228" s="17">
        <v>455.43680000000001</v>
      </c>
      <c r="K228" s="18">
        <v>455</v>
      </c>
      <c r="L228" s="18">
        <v>410</v>
      </c>
      <c r="M228" s="40">
        <f t="shared" si="56"/>
        <v>45.436800000000005</v>
      </c>
      <c r="N228" s="40">
        <f t="shared" si="57"/>
        <v>0.43680000000000518</v>
      </c>
      <c r="O228" s="301" t="s">
        <v>905</v>
      </c>
      <c r="P228" s="85">
        <v>45797</v>
      </c>
      <c r="Q228" s="85">
        <v>45808</v>
      </c>
      <c r="R228" s="85">
        <f t="shared" si="58"/>
        <v>45810</v>
      </c>
      <c r="S228" s="7">
        <f t="shared" ca="1" si="59"/>
        <v>-11</v>
      </c>
      <c r="T228" s="85">
        <f t="shared" si="62"/>
        <v>45812</v>
      </c>
      <c r="U228" s="85">
        <v>45838</v>
      </c>
      <c r="V228" s="7">
        <f t="shared" ca="1" si="60"/>
        <v>-26</v>
      </c>
      <c r="W228" s="85"/>
      <c r="X228" s="8"/>
    </row>
    <row r="229" spans="1:24" ht="14.5" hidden="1">
      <c r="A229" s="14">
        <v>118</v>
      </c>
      <c r="B229" s="15" t="s">
        <v>89</v>
      </c>
      <c r="C229" s="20"/>
      <c r="D229" s="307" t="s">
        <v>872</v>
      </c>
      <c r="E229" s="146" t="s">
        <v>898</v>
      </c>
      <c r="F229" s="146" t="s">
        <v>888</v>
      </c>
      <c r="G229" s="240">
        <v>45863</v>
      </c>
      <c r="H229" s="17">
        <v>2159</v>
      </c>
      <c r="I229" s="86"/>
      <c r="J229" s="17">
        <v>27.156480000000009</v>
      </c>
      <c r="K229" s="18">
        <v>27</v>
      </c>
      <c r="L229" s="18">
        <v>27</v>
      </c>
      <c r="M229" s="40">
        <f t="shared" si="56"/>
        <v>0.15648000000000906</v>
      </c>
      <c r="N229" s="40">
        <f t="shared" si="57"/>
        <v>0.15648000000000906</v>
      </c>
      <c r="O229" s="301" t="s">
        <v>905</v>
      </c>
      <c r="P229" s="85">
        <v>45797</v>
      </c>
      <c r="Q229" s="85">
        <v>45808</v>
      </c>
      <c r="R229" s="85">
        <f t="shared" si="58"/>
        <v>45810</v>
      </c>
      <c r="S229" s="7">
        <f t="shared" ca="1" si="59"/>
        <v>-11</v>
      </c>
      <c r="T229" s="85">
        <f t="shared" si="62"/>
        <v>45812</v>
      </c>
      <c r="U229" s="85">
        <v>45829</v>
      </c>
      <c r="V229" s="7">
        <f t="shared" ca="1" si="60"/>
        <v>-17</v>
      </c>
      <c r="W229" s="85"/>
      <c r="X229" s="8"/>
    </row>
    <row r="230" spans="1:24" ht="14.5" hidden="1">
      <c r="A230" s="14">
        <v>118</v>
      </c>
      <c r="B230" s="15" t="s">
        <v>89</v>
      </c>
      <c r="C230" s="20"/>
      <c r="D230" s="307" t="s">
        <v>873</v>
      </c>
      <c r="E230" s="146" t="s">
        <v>880</v>
      </c>
      <c r="F230" s="146" t="s">
        <v>899</v>
      </c>
      <c r="G230" s="240">
        <v>45863</v>
      </c>
      <c r="H230" s="17">
        <v>2160</v>
      </c>
      <c r="I230" s="86"/>
      <c r="J230" s="17">
        <v>230.26432000000003</v>
      </c>
      <c r="K230" s="18">
        <v>230</v>
      </c>
      <c r="L230" s="18">
        <v>230</v>
      </c>
      <c r="M230" s="40">
        <f t="shared" si="56"/>
        <v>0.26432000000002631</v>
      </c>
      <c r="N230" s="40">
        <f t="shared" si="57"/>
        <v>0.26432000000002631</v>
      </c>
      <c r="O230" s="301" t="s">
        <v>905</v>
      </c>
      <c r="P230" s="85">
        <v>45789</v>
      </c>
      <c r="Q230" s="85">
        <v>45782</v>
      </c>
      <c r="R230" s="85">
        <f t="shared" si="58"/>
        <v>45784</v>
      </c>
      <c r="S230" s="7">
        <f t="shared" ca="1" si="59"/>
        <v>7</v>
      </c>
      <c r="T230" s="85">
        <f t="shared" si="62"/>
        <v>45804</v>
      </c>
      <c r="U230" s="85">
        <v>45811</v>
      </c>
      <c r="V230" s="7">
        <f t="shared" ca="1" si="60"/>
        <v>-7</v>
      </c>
      <c r="W230" s="85">
        <v>45811</v>
      </c>
      <c r="X230" s="8"/>
    </row>
    <row r="231" spans="1:24" ht="14.5" hidden="1">
      <c r="A231" s="14">
        <v>118</v>
      </c>
      <c r="B231" s="15" t="s">
        <v>89</v>
      </c>
      <c r="C231" s="20"/>
      <c r="D231" s="307" t="s">
        <v>873</v>
      </c>
      <c r="E231" s="146" t="s">
        <v>881</v>
      </c>
      <c r="F231" s="146" t="s">
        <v>899</v>
      </c>
      <c r="G231" s="240">
        <v>45863</v>
      </c>
      <c r="H231" s="17">
        <v>2161</v>
      </c>
      <c r="I231" s="86"/>
      <c r="J231" s="17">
        <v>146.83967999999999</v>
      </c>
      <c r="K231" s="18">
        <v>147</v>
      </c>
      <c r="L231" s="18">
        <v>147</v>
      </c>
      <c r="M231" s="40">
        <f t="shared" si="56"/>
        <v>-0.1603200000000129</v>
      </c>
      <c r="N231" s="40">
        <f t="shared" si="57"/>
        <v>-0.1603200000000129</v>
      </c>
      <c r="O231" s="301" t="s">
        <v>905</v>
      </c>
      <c r="P231" s="85">
        <v>45789</v>
      </c>
      <c r="Q231" s="85">
        <v>45782</v>
      </c>
      <c r="R231" s="85">
        <f t="shared" si="58"/>
        <v>45784</v>
      </c>
      <c r="S231" s="7">
        <f t="shared" ca="1" si="59"/>
        <v>7</v>
      </c>
      <c r="T231" s="85">
        <f t="shared" si="62"/>
        <v>45804</v>
      </c>
      <c r="U231" s="85">
        <v>45811</v>
      </c>
      <c r="V231" s="7">
        <f t="shared" ca="1" si="60"/>
        <v>-7</v>
      </c>
      <c r="W231" s="85">
        <v>45811</v>
      </c>
      <c r="X231" s="8"/>
    </row>
    <row r="232" spans="1:24" ht="14.5" hidden="1">
      <c r="A232" s="14">
        <v>118</v>
      </c>
      <c r="B232" s="15" t="s">
        <v>89</v>
      </c>
      <c r="C232" s="20"/>
      <c r="D232" s="307" t="s">
        <v>873</v>
      </c>
      <c r="E232" s="146" t="s">
        <v>882</v>
      </c>
      <c r="F232" s="146" t="s">
        <v>899</v>
      </c>
      <c r="G232" s="240">
        <v>45863</v>
      </c>
      <c r="H232" s="17">
        <v>2162</v>
      </c>
      <c r="I232" s="86"/>
      <c r="J232" s="17">
        <v>1274.7271679999999</v>
      </c>
      <c r="K232" s="18">
        <v>1275</v>
      </c>
      <c r="L232" s="18">
        <v>1275</v>
      </c>
      <c r="M232" s="40">
        <f t="shared" si="56"/>
        <v>-0.27283200000010766</v>
      </c>
      <c r="N232" s="40">
        <f t="shared" si="57"/>
        <v>-0.27283200000010766</v>
      </c>
      <c r="O232" s="301" t="s">
        <v>905</v>
      </c>
      <c r="P232" s="85">
        <v>45789</v>
      </c>
      <c r="Q232" s="85">
        <v>45782</v>
      </c>
      <c r="R232" s="85">
        <f t="shared" si="58"/>
        <v>45784</v>
      </c>
      <c r="S232" s="7">
        <f t="shared" ca="1" si="59"/>
        <v>7</v>
      </c>
      <c r="T232" s="85">
        <f t="shared" si="62"/>
        <v>45804</v>
      </c>
      <c r="U232" s="85">
        <v>45811</v>
      </c>
      <c r="V232" s="7">
        <f t="shared" ca="1" si="60"/>
        <v>-7</v>
      </c>
      <c r="W232" s="85">
        <v>45811</v>
      </c>
      <c r="X232" s="8"/>
    </row>
    <row r="233" spans="1:24" ht="14.5" hidden="1">
      <c r="A233" s="14">
        <v>118</v>
      </c>
      <c r="B233" s="15" t="s">
        <v>89</v>
      </c>
      <c r="C233" s="20"/>
      <c r="D233" s="307" t="s">
        <v>873</v>
      </c>
      <c r="E233" s="146" t="s">
        <v>883</v>
      </c>
      <c r="F233" s="146" t="s">
        <v>899</v>
      </c>
      <c r="G233" s="240">
        <v>45863</v>
      </c>
      <c r="H233" s="17">
        <v>2163</v>
      </c>
      <c r="I233" s="86"/>
      <c r="J233" s="17">
        <v>3189.1991040000003</v>
      </c>
      <c r="K233" s="18">
        <v>3189</v>
      </c>
      <c r="L233" s="18">
        <v>3189</v>
      </c>
      <c r="M233" s="40">
        <f t="shared" si="56"/>
        <v>0.19910400000026129</v>
      </c>
      <c r="N233" s="40">
        <f t="shared" si="57"/>
        <v>0.19910400000026129</v>
      </c>
      <c r="O233" s="301" t="s">
        <v>905</v>
      </c>
      <c r="P233" s="85">
        <v>45789</v>
      </c>
      <c r="Q233" s="85">
        <v>45782</v>
      </c>
      <c r="R233" s="85">
        <f t="shared" si="58"/>
        <v>45784</v>
      </c>
      <c r="S233" s="7">
        <f t="shared" ca="1" si="59"/>
        <v>7</v>
      </c>
      <c r="T233" s="85">
        <f t="shared" si="62"/>
        <v>45804</v>
      </c>
      <c r="U233" s="85">
        <v>45813</v>
      </c>
      <c r="V233" s="7">
        <f t="shared" ca="1" si="60"/>
        <v>-9</v>
      </c>
      <c r="W233" s="85">
        <v>45811</v>
      </c>
      <c r="X233" s="8"/>
    </row>
    <row r="234" spans="1:24" ht="14.5" hidden="1">
      <c r="A234" s="14">
        <v>118</v>
      </c>
      <c r="B234" s="15" t="s">
        <v>89</v>
      </c>
      <c r="C234" s="20"/>
      <c r="D234" s="307" t="s">
        <v>873</v>
      </c>
      <c r="E234" s="146" t="s">
        <v>884</v>
      </c>
      <c r="F234" s="146" t="s">
        <v>899</v>
      </c>
      <c r="G234" s="240">
        <v>45863</v>
      </c>
      <c r="H234" s="17">
        <v>2164</v>
      </c>
      <c r="I234" s="86"/>
      <c r="J234" s="17">
        <v>2198.0974080000001</v>
      </c>
      <c r="K234" s="18">
        <v>2198</v>
      </c>
      <c r="L234" s="18">
        <v>2198</v>
      </c>
      <c r="M234" s="40">
        <f t="shared" si="56"/>
        <v>9.7408000000086759E-2</v>
      </c>
      <c r="N234" s="40">
        <f t="shared" si="57"/>
        <v>9.7408000000086759E-2</v>
      </c>
      <c r="O234" s="301" t="s">
        <v>905</v>
      </c>
      <c r="P234" s="85">
        <v>45789</v>
      </c>
      <c r="Q234" s="85">
        <v>45782</v>
      </c>
      <c r="R234" s="85">
        <f t="shared" si="58"/>
        <v>45784</v>
      </c>
      <c r="S234" s="7">
        <f t="shared" ca="1" si="59"/>
        <v>7</v>
      </c>
      <c r="T234" s="85">
        <f t="shared" si="62"/>
        <v>45804</v>
      </c>
      <c r="U234" s="85">
        <v>45811</v>
      </c>
      <c r="V234" s="7">
        <f t="shared" ca="1" si="60"/>
        <v>-7</v>
      </c>
      <c r="W234" s="85">
        <v>45811</v>
      </c>
      <c r="X234" s="8"/>
    </row>
    <row r="235" spans="1:24" ht="14.5" hidden="1">
      <c r="A235" s="14">
        <v>118</v>
      </c>
      <c r="B235" s="15" t="s">
        <v>89</v>
      </c>
      <c r="C235" s="20"/>
      <c r="D235" s="307" t="s">
        <v>873</v>
      </c>
      <c r="E235" s="146" t="s">
        <v>885</v>
      </c>
      <c r="F235" s="146" t="s">
        <v>899</v>
      </c>
      <c r="G235" s="240">
        <v>45863</v>
      </c>
      <c r="H235" s="17">
        <v>2165</v>
      </c>
      <c r="I235" s="86"/>
      <c r="J235" s="17">
        <v>970.5529600000001</v>
      </c>
      <c r="K235" s="18">
        <v>971</v>
      </c>
      <c r="L235" s="18">
        <v>971</v>
      </c>
      <c r="M235" s="40">
        <f t="shared" si="56"/>
        <v>-0.44703999999990174</v>
      </c>
      <c r="N235" s="40">
        <f t="shared" si="57"/>
        <v>-0.44703999999990174</v>
      </c>
      <c r="O235" s="301" t="s">
        <v>905</v>
      </c>
      <c r="P235" s="85">
        <v>45789</v>
      </c>
      <c r="Q235" s="85">
        <v>45782</v>
      </c>
      <c r="R235" s="85">
        <f t="shared" si="58"/>
        <v>45784</v>
      </c>
      <c r="S235" s="7">
        <f t="shared" ca="1" si="59"/>
        <v>7</v>
      </c>
      <c r="T235" s="85">
        <f t="shared" si="62"/>
        <v>45804</v>
      </c>
      <c r="U235" s="85">
        <v>45811</v>
      </c>
      <c r="V235" s="7">
        <f t="shared" ca="1" si="60"/>
        <v>-7</v>
      </c>
      <c r="W235" s="85">
        <v>45811</v>
      </c>
      <c r="X235" s="8"/>
    </row>
    <row r="236" spans="1:24" ht="14.5" hidden="1">
      <c r="A236" s="14">
        <v>118</v>
      </c>
      <c r="B236" s="15" t="s">
        <v>89</v>
      </c>
      <c r="C236" s="20"/>
      <c r="D236" s="307" t="s">
        <v>873</v>
      </c>
      <c r="E236" s="146" t="s">
        <v>886</v>
      </c>
      <c r="F236" s="146" t="s">
        <v>899</v>
      </c>
      <c r="G236" s="240">
        <v>45863</v>
      </c>
      <c r="H236" s="17">
        <v>2166</v>
      </c>
      <c r="I236" s="86"/>
      <c r="J236" s="17">
        <v>518.56895999999995</v>
      </c>
      <c r="K236" s="18">
        <v>519</v>
      </c>
      <c r="L236" s="18">
        <v>519</v>
      </c>
      <c r="M236" s="40">
        <f t="shared" si="56"/>
        <v>-0.43104000000005271</v>
      </c>
      <c r="N236" s="40">
        <f t="shared" si="57"/>
        <v>-0.43104000000005271</v>
      </c>
      <c r="O236" s="301" t="s">
        <v>905</v>
      </c>
      <c r="P236" s="85">
        <v>45789</v>
      </c>
      <c r="Q236" s="85">
        <v>45782</v>
      </c>
      <c r="R236" s="85">
        <f t="shared" si="58"/>
        <v>45784</v>
      </c>
      <c r="S236" s="7">
        <f t="shared" ca="1" si="59"/>
        <v>7</v>
      </c>
      <c r="T236" s="85">
        <f t="shared" si="62"/>
        <v>45804</v>
      </c>
      <c r="U236" s="85">
        <v>45817</v>
      </c>
      <c r="V236" s="7">
        <f t="shared" ca="1" si="60"/>
        <v>-13</v>
      </c>
      <c r="W236" s="85">
        <v>45811</v>
      </c>
      <c r="X236" s="8"/>
    </row>
    <row r="237" spans="1:24" ht="14.5" hidden="1">
      <c r="A237" s="14">
        <v>118</v>
      </c>
      <c r="B237" s="15" t="s">
        <v>89</v>
      </c>
      <c r="C237" s="20"/>
      <c r="D237" s="307" t="s">
        <v>873</v>
      </c>
      <c r="E237" s="146" t="s">
        <v>887</v>
      </c>
      <c r="F237" s="146" t="s">
        <v>899</v>
      </c>
      <c r="G237" s="240">
        <v>45863</v>
      </c>
      <c r="H237" s="17">
        <v>2167</v>
      </c>
      <c r="I237" s="86"/>
      <c r="J237" s="17">
        <v>454.36518400000006</v>
      </c>
      <c r="K237" s="18">
        <v>454</v>
      </c>
      <c r="L237" s="18">
        <v>454</v>
      </c>
      <c r="M237" s="40">
        <f t="shared" si="56"/>
        <v>0.36518400000005613</v>
      </c>
      <c r="N237" s="40">
        <f t="shared" si="57"/>
        <v>0.36518400000005613</v>
      </c>
      <c r="O237" s="301" t="s">
        <v>905</v>
      </c>
      <c r="P237" s="85">
        <v>45789</v>
      </c>
      <c r="Q237" s="85">
        <v>45782</v>
      </c>
      <c r="R237" s="85">
        <f t="shared" si="58"/>
        <v>45784</v>
      </c>
      <c r="S237" s="7">
        <f t="shared" ca="1" si="59"/>
        <v>7</v>
      </c>
      <c r="T237" s="85">
        <f t="shared" si="62"/>
        <v>45804</v>
      </c>
      <c r="U237" s="85">
        <v>45817</v>
      </c>
      <c r="V237" s="7">
        <f t="shared" ca="1" si="60"/>
        <v>-13</v>
      </c>
      <c r="W237" s="85">
        <v>45811</v>
      </c>
      <c r="X237" s="8"/>
    </row>
    <row r="238" spans="1:24" ht="14.5" hidden="1">
      <c r="A238" s="14">
        <v>133</v>
      </c>
      <c r="B238" s="15" t="s">
        <v>59</v>
      </c>
      <c r="C238" s="20"/>
      <c r="D238" s="307" t="s">
        <v>193</v>
      </c>
      <c r="E238" s="146" t="s">
        <v>246</v>
      </c>
      <c r="F238" s="146" t="s">
        <v>162</v>
      </c>
      <c r="G238" s="240">
        <v>45863</v>
      </c>
      <c r="H238" s="17">
        <v>2170</v>
      </c>
      <c r="I238" s="86"/>
      <c r="J238" s="17">
        <v>1292</v>
      </c>
      <c r="K238" s="17">
        <v>1292</v>
      </c>
      <c r="L238" s="18">
        <v>1292</v>
      </c>
      <c r="M238" s="40">
        <f t="shared" si="56"/>
        <v>0</v>
      </c>
      <c r="N238" s="40">
        <f t="shared" si="57"/>
        <v>0</v>
      </c>
      <c r="O238" s="302" t="s">
        <v>178</v>
      </c>
      <c r="P238" s="85">
        <v>45798</v>
      </c>
      <c r="Q238" s="85">
        <v>45797</v>
      </c>
      <c r="R238" s="85">
        <f t="shared" si="58"/>
        <v>45799</v>
      </c>
      <c r="S238" s="7">
        <f t="shared" ca="1" si="59"/>
        <v>1</v>
      </c>
      <c r="T238" s="85">
        <f>G238-32-13</f>
        <v>45818</v>
      </c>
      <c r="U238" s="85">
        <v>45826</v>
      </c>
      <c r="V238" s="7">
        <f t="shared" ca="1" si="60"/>
        <v>-8</v>
      </c>
      <c r="W238" s="85"/>
      <c r="X238" s="8"/>
    </row>
    <row r="239" spans="1:24" ht="14.5" hidden="1">
      <c r="A239" s="14">
        <v>133</v>
      </c>
      <c r="B239" s="15" t="s">
        <v>59</v>
      </c>
      <c r="C239" s="20"/>
      <c r="D239" s="307" t="s">
        <v>288</v>
      </c>
      <c r="E239" s="146" t="s">
        <v>289</v>
      </c>
      <c r="F239" s="146" t="s">
        <v>155</v>
      </c>
      <c r="G239" s="240">
        <v>45863</v>
      </c>
      <c r="H239" s="17">
        <v>2171</v>
      </c>
      <c r="I239" s="86"/>
      <c r="J239" s="17">
        <v>219</v>
      </c>
      <c r="K239" s="18">
        <v>219</v>
      </c>
      <c r="L239" s="18">
        <v>219</v>
      </c>
      <c r="M239" s="40">
        <f t="shared" si="56"/>
        <v>0</v>
      </c>
      <c r="N239" s="40">
        <f t="shared" si="57"/>
        <v>0</v>
      </c>
      <c r="O239" s="302" t="s">
        <v>178</v>
      </c>
      <c r="P239" s="85">
        <v>45812</v>
      </c>
      <c r="Q239" s="85">
        <v>45822</v>
      </c>
      <c r="R239" s="85">
        <f t="shared" si="58"/>
        <v>45824</v>
      </c>
      <c r="S239" s="7">
        <f t="shared" ca="1" si="59"/>
        <v>-10</v>
      </c>
      <c r="T239" s="85">
        <f>P239+15</f>
        <v>45827</v>
      </c>
      <c r="U239" s="85">
        <v>45832</v>
      </c>
      <c r="V239" s="7">
        <f t="shared" ca="1" si="60"/>
        <v>-5</v>
      </c>
      <c r="W239" s="85"/>
      <c r="X239" s="8"/>
    </row>
    <row r="240" spans="1:24" ht="14.5" hidden="1">
      <c r="A240" s="14">
        <v>133</v>
      </c>
      <c r="B240" s="15" t="s">
        <v>59</v>
      </c>
      <c r="C240" s="20"/>
      <c r="D240" s="307" t="s">
        <v>288</v>
      </c>
      <c r="E240" s="146" t="s">
        <v>289</v>
      </c>
      <c r="F240" s="146" t="s">
        <v>154</v>
      </c>
      <c r="G240" s="240">
        <v>45863</v>
      </c>
      <c r="H240" s="17">
        <v>2172</v>
      </c>
      <c r="I240" s="86"/>
      <c r="J240" s="17">
        <v>175.58753333333331</v>
      </c>
      <c r="K240" s="18">
        <v>176</v>
      </c>
      <c r="L240" s="18">
        <v>176</v>
      </c>
      <c r="M240" s="40">
        <f t="shared" si="56"/>
        <v>-0.4124666666666883</v>
      </c>
      <c r="N240" s="40">
        <f t="shared" si="57"/>
        <v>-0.4124666666666883</v>
      </c>
      <c r="O240" s="302" t="s">
        <v>178</v>
      </c>
      <c r="P240" s="85">
        <v>45812</v>
      </c>
      <c r="Q240" s="85">
        <v>45816</v>
      </c>
      <c r="R240" s="85">
        <f t="shared" si="58"/>
        <v>45818</v>
      </c>
      <c r="S240" s="7">
        <f t="shared" ca="1" si="59"/>
        <v>-4</v>
      </c>
      <c r="T240" s="85">
        <f>P240+15</f>
        <v>45827</v>
      </c>
      <c r="U240" s="85">
        <v>45832</v>
      </c>
      <c r="V240" s="7">
        <f t="shared" ca="1" si="60"/>
        <v>-5</v>
      </c>
      <c r="W240" s="85"/>
      <c r="X240" s="8"/>
    </row>
    <row r="241" spans="1:24" ht="14.5" hidden="1">
      <c r="A241" s="14">
        <v>133</v>
      </c>
      <c r="B241" s="15" t="s">
        <v>59</v>
      </c>
      <c r="C241" s="20"/>
      <c r="D241" s="307" t="s">
        <v>288</v>
      </c>
      <c r="E241" s="146" t="s">
        <v>289</v>
      </c>
      <c r="F241" s="146" t="s">
        <v>156</v>
      </c>
      <c r="G241" s="240">
        <v>45863</v>
      </c>
      <c r="H241" s="17">
        <v>2173</v>
      </c>
      <c r="I241" s="86"/>
      <c r="J241" s="17">
        <v>140.47002666666666</v>
      </c>
      <c r="K241" s="18">
        <v>140</v>
      </c>
      <c r="L241" s="18">
        <v>140</v>
      </c>
      <c r="M241" s="40">
        <f t="shared" si="56"/>
        <v>0.47002666666665505</v>
      </c>
      <c r="N241" s="40">
        <f t="shared" si="57"/>
        <v>0.47002666666665505</v>
      </c>
      <c r="O241" s="302" t="s">
        <v>178</v>
      </c>
      <c r="P241" s="85">
        <v>45812</v>
      </c>
      <c r="Q241" s="85">
        <v>45807</v>
      </c>
      <c r="R241" s="85">
        <f t="shared" si="58"/>
        <v>45809</v>
      </c>
      <c r="S241" s="7">
        <f t="shared" ca="1" si="59"/>
        <v>5</v>
      </c>
      <c r="T241" s="85">
        <f>P241+15</f>
        <v>45827</v>
      </c>
      <c r="U241" s="85">
        <v>45819</v>
      </c>
      <c r="V241" s="7">
        <f t="shared" ca="1" si="60"/>
        <v>8</v>
      </c>
      <c r="W241" s="85"/>
      <c r="X241" s="8"/>
    </row>
    <row r="242" spans="1:24" ht="14.5" hidden="1">
      <c r="A242" s="14">
        <v>133</v>
      </c>
      <c r="B242" s="15" t="s">
        <v>59</v>
      </c>
      <c r="C242" s="20"/>
      <c r="D242" s="307" t="s">
        <v>157</v>
      </c>
      <c r="E242" s="146" t="s">
        <v>243</v>
      </c>
      <c r="F242" s="146" t="s">
        <v>162</v>
      </c>
      <c r="G242" s="240">
        <v>45863</v>
      </c>
      <c r="H242" s="17">
        <v>2174</v>
      </c>
      <c r="I242" s="86"/>
      <c r="J242" s="17">
        <v>1081.7060000000001</v>
      </c>
      <c r="K242" s="18">
        <v>1082</v>
      </c>
      <c r="L242" s="18">
        <v>1082</v>
      </c>
      <c r="M242" s="40">
        <f t="shared" si="56"/>
        <v>-0.29399999999986903</v>
      </c>
      <c r="N242" s="40">
        <f t="shared" si="57"/>
        <v>-0.29399999999986903</v>
      </c>
      <c r="O242" s="301" t="s">
        <v>871</v>
      </c>
      <c r="P242" s="85">
        <f>T242-18</f>
        <v>45810</v>
      </c>
      <c r="Q242" s="85">
        <v>45813</v>
      </c>
      <c r="R242" s="85">
        <f t="shared" si="58"/>
        <v>45815</v>
      </c>
      <c r="S242" s="7">
        <f t="shared" ca="1" si="59"/>
        <v>-3</v>
      </c>
      <c r="T242" s="85">
        <f>G242-35</f>
        <v>45828</v>
      </c>
      <c r="U242" s="85">
        <v>45834</v>
      </c>
      <c r="V242" s="7">
        <f t="shared" ca="1" si="60"/>
        <v>-6</v>
      </c>
      <c r="W242" s="85"/>
      <c r="X242" s="8"/>
    </row>
    <row r="243" spans="1:24" ht="14.5" hidden="1">
      <c r="A243" s="14">
        <v>133</v>
      </c>
      <c r="B243" s="15" t="s">
        <v>59</v>
      </c>
      <c r="C243" s="20"/>
      <c r="D243" s="307" t="s">
        <v>189</v>
      </c>
      <c r="E243" s="146" t="s">
        <v>242</v>
      </c>
      <c r="F243" s="146" t="s">
        <v>90</v>
      </c>
      <c r="G243" s="240">
        <v>45863</v>
      </c>
      <c r="H243" s="17">
        <v>2175</v>
      </c>
      <c r="I243" s="86"/>
      <c r="J243" s="17">
        <v>1106.2210986666669</v>
      </c>
      <c r="K243" s="18">
        <v>1106</v>
      </c>
      <c r="L243" s="18">
        <v>1106</v>
      </c>
      <c r="M243" s="40">
        <f t="shared" si="56"/>
        <v>0.22109866666687594</v>
      </c>
      <c r="N243" s="40">
        <f t="shared" si="57"/>
        <v>0.22109866666687594</v>
      </c>
      <c r="O243" s="302" t="s">
        <v>178</v>
      </c>
      <c r="P243" s="85">
        <v>45789</v>
      </c>
      <c r="Q243" s="85">
        <v>45787</v>
      </c>
      <c r="R243" s="85">
        <f t="shared" si="58"/>
        <v>45789</v>
      </c>
      <c r="S243" s="7">
        <f t="shared" ca="1" si="59"/>
        <v>2</v>
      </c>
      <c r="T243" s="85">
        <f>P243+12</f>
        <v>45801</v>
      </c>
      <c r="U243" s="85">
        <v>45810</v>
      </c>
      <c r="V243" s="7">
        <f t="shared" ca="1" si="60"/>
        <v>-9</v>
      </c>
      <c r="W243" s="85"/>
      <c r="X243" s="8"/>
    </row>
    <row r="244" spans="1:24" ht="14.5" hidden="1">
      <c r="A244" s="14">
        <v>134</v>
      </c>
      <c r="B244" s="15" t="s">
        <v>59</v>
      </c>
      <c r="C244" s="20"/>
      <c r="D244" s="307" t="s">
        <v>157</v>
      </c>
      <c r="E244" s="146" t="s">
        <v>243</v>
      </c>
      <c r="F244" s="146" t="s">
        <v>162</v>
      </c>
      <c r="G244" s="240">
        <v>45863</v>
      </c>
      <c r="H244" s="17">
        <v>2176</v>
      </c>
      <c r="I244" s="86"/>
      <c r="J244" s="17">
        <v>1147.7084000000002</v>
      </c>
      <c r="K244" s="18">
        <v>1148</v>
      </c>
      <c r="L244" s="18">
        <v>1148</v>
      </c>
      <c r="M244" s="40">
        <f t="shared" si="56"/>
        <v>-0.29159999999978936</v>
      </c>
      <c r="N244" s="40">
        <f t="shared" si="57"/>
        <v>-0.29159999999978936</v>
      </c>
      <c r="O244" s="301" t="s">
        <v>871</v>
      </c>
      <c r="P244" s="85">
        <f>T244-18</f>
        <v>45810</v>
      </c>
      <c r="Q244" s="85">
        <v>45832</v>
      </c>
      <c r="R244" s="85">
        <f t="shared" si="58"/>
        <v>45834</v>
      </c>
      <c r="S244" s="7">
        <f t="shared" ca="1" si="59"/>
        <v>-22</v>
      </c>
      <c r="T244" s="85">
        <f>G244-35</f>
        <v>45828</v>
      </c>
      <c r="U244" s="85">
        <v>45838</v>
      </c>
      <c r="V244" s="7">
        <f t="shared" ca="1" si="60"/>
        <v>-10</v>
      </c>
      <c r="W244" s="85"/>
      <c r="X244" s="8"/>
    </row>
    <row r="245" spans="1:24" ht="14.5" hidden="1">
      <c r="A245" s="14">
        <v>134</v>
      </c>
      <c r="B245" s="15" t="s">
        <v>59</v>
      </c>
      <c r="C245" s="20"/>
      <c r="D245" s="307" t="s">
        <v>158</v>
      </c>
      <c r="E245" s="146" t="s">
        <v>242</v>
      </c>
      <c r="F245" s="146" t="s">
        <v>154</v>
      </c>
      <c r="G245" s="240">
        <v>45863</v>
      </c>
      <c r="H245" s="17">
        <v>2177</v>
      </c>
      <c r="I245" s="86"/>
      <c r="J245" s="17">
        <v>584.75159999999994</v>
      </c>
      <c r="K245" s="18">
        <v>585</v>
      </c>
      <c r="L245" s="18">
        <v>585</v>
      </c>
      <c r="M245" s="40">
        <f t="shared" si="56"/>
        <v>-0.24840000000006057</v>
      </c>
      <c r="N245" s="40">
        <f t="shared" si="57"/>
        <v>-0.24840000000006057</v>
      </c>
      <c r="O245" s="302" t="s">
        <v>178</v>
      </c>
      <c r="P245" s="85">
        <v>45822</v>
      </c>
      <c r="Q245" s="85">
        <v>45818</v>
      </c>
      <c r="R245" s="85">
        <f t="shared" si="58"/>
        <v>45820</v>
      </c>
      <c r="S245" s="7">
        <f t="shared" ca="1" si="59"/>
        <v>4</v>
      </c>
      <c r="T245" s="85">
        <f>P245+15</f>
        <v>45837</v>
      </c>
      <c r="U245" s="85">
        <v>45832</v>
      </c>
      <c r="V245" s="7">
        <f t="shared" ca="1" si="60"/>
        <v>5</v>
      </c>
      <c r="W245" s="85"/>
      <c r="X245" s="8"/>
    </row>
    <row r="246" spans="1:24" ht="14.5" hidden="1">
      <c r="A246" s="14">
        <v>134</v>
      </c>
      <c r="B246" s="15" t="s">
        <v>59</v>
      </c>
      <c r="C246" s="20"/>
      <c r="D246" s="307" t="s">
        <v>158</v>
      </c>
      <c r="E246" s="146" t="s">
        <v>242</v>
      </c>
      <c r="F246" s="146" t="s">
        <v>255</v>
      </c>
      <c r="G246" s="240">
        <v>45863</v>
      </c>
      <c r="H246" s="17">
        <v>2178</v>
      </c>
      <c r="I246" s="86"/>
      <c r="J246" s="17">
        <v>465.06560000000002</v>
      </c>
      <c r="K246" s="18">
        <v>465</v>
      </c>
      <c r="L246" s="18">
        <v>465</v>
      </c>
      <c r="M246" s="40">
        <f t="shared" si="56"/>
        <v>6.5600000000017644E-2</v>
      </c>
      <c r="N246" s="40">
        <f t="shared" si="57"/>
        <v>6.5600000000017644E-2</v>
      </c>
      <c r="O246" s="302" t="s">
        <v>178</v>
      </c>
      <c r="P246" s="85">
        <v>45822</v>
      </c>
      <c r="Q246" s="85">
        <v>45819</v>
      </c>
      <c r="R246" s="85">
        <f t="shared" si="58"/>
        <v>45821</v>
      </c>
      <c r="S246" s="7">
        <f t="shared" ca="1" si="59"/>
        <v>3</v>
      </c>
      <c r="T246" s="85">
        <f>P246+15</f>
        <v>45837</v>
      </c>
      <c r="U246" s="85">
        <v>45832</v>
      </c>
      <c r="V246" s="7">
        <f t="shared" ca="1" si="60"/>
        <v>5</v>
      </c>
      <c r="W246" s="85"/>
      <c r="X246" s="8"/>
    </row>
    <row r="247" spans="1:24" ht="14.5" hidden="1">
      <c r="A247" s="14">
        <v>135</v>
      </c>
      <c r="B247" s="15" t="s">
        <v>59</v>
      </c>
      <c r="C247" s="20"/>
      <c r="D247" s="307" t="s">
        <v>193</v>
      </c>
      <c r="E247" s="146" t="s">
        <v>249</v>
      </c>
      <c r="F247" s="146" t="s">
        <v>162</v>
      </c>
      <c r="G247" s="240">
        <v>45863</v>
      </c>
      <c r="H247" s="17">
        <v>2179</v>
      </c>
      <c r="I247" s="86"/>
      <c r="J247" s="17">
        <v>5582.4681600000004</v>
      </c>
      <c r="K247" s="18">
        <v>5582</v>
      </c>
      <c r="L247" s="18">
        <v>5582</v>
      </c>
      <c r="M247" s="40">
        <f t="shared" si="56"/>
        <v>0.46816000000035274</v>
      </c>
      <c r="N247" s="40">
        <f t="shared" si="57"/>
        <v>0.46816000000035274</v>
      </c>
      <c r="O247" s="302" t="s">
        <v>178</v>
      </c>
      <c r="P247" s="85">
        <v>45798</v>
      </c>
      <c r="Q247" s="85">
        <v>45797</v>
      </c>
      <c r="R247" s="85">
        <f t="shared" si="58"/>
        <v>45799</v>
      </c>
      <c r="S247" s="7">
        <f t="shared" ca="1" si="59"/>
        <v>1</v>
      </c>
      <c r="T247" s="85">
        <f>G247-32-13</f>
        <v>45818</v>
      </c>
      <c r="U247" s="85">
        <v>45828</v>
      </c>
      <c r="V247" s="7">
        <f t="shared" ca="1" si="60"/>
        <v>-10</v>
      </c>
      <c r="W247" s="85"/>
      <c r="X247" s="8"/>
    </row>
    <row r="248" spans="1:24" ht="14.5" hidden="1">
      <c r="A248" s="14">
        <v>135</v>
      </c>
      <c r="B248" s="15" t="s">
        <v>59</v>
      </c>
      <c r="C248" s="20"/>
      <c r="D248" s="307" t="s">
        <v>250</v>
      </c>
      <c r="E248" s="146" t="s">
        <v>269</v>
      </c>
      <c r="F248" s="146" t="s">
        <v>162</v>
      </c>
      <c r="G248" s="240">
        <v>45863</v>
      </c>
      <c r="H248" s="17">
        <v>2180</v>
      </c>
      <c r="I248" s="86"/>
      <c r="J248" s="17">
        <v>5435.0010000000002</v>
      </c>
      <c r="K248" s="18">
        <v>5435</v>
      </c>
      <c r="L248" s="18">
        <v>5435</v>
      </c>
      <c r="M248" s="40">
        <f t="shared" si="56"/>
        <v>1.0000000002037268E-3</v>
      </c>
      <c r="N248" s="40">
        <f t="shared" si="57"/>
        <v>1.0000000002037268E-3</v>
      </c>
      <c r="O248" s="302" t="s">
        <v>178</v>
      </c>
      <c r="P248" s="85">
        <v>45798</v>
      </c>
      <c r="Q248" s="85">
        <v>45797</v>
      </c>
      <c r="R248" s="85">
        <f t="shared" si="58"/>
        <v>45799</v>
      </c>
      <c r="S248" s="7">
        <f t="shared" ca="1" si="59"/>
        <v>1</v>
      </c>
      <c r="T248" s="85">
        <f>P248+15</f>
        <v>45813</v>
      </c>
      <c r="U248" s="85">
        <v>45819</v>
      </c>
      <c r="V248" s="7">
        <f t="shared" ca="1" si="60"/>
        <v>-6</v>
      </c>
      <c r="W248" s="85"/>
      <c r="X248" s="8"/>
    </row>
    <row r="249" spans="1:24" ht="14.5" hidden="1">
      <c r="A249" s="14">
        <v>135</v>
      </c>
      <c r="B249" s="15" t="s">
        <v>59</v>
      </c>
      <c r="C249" s="20"/>
      <c r="D249" s="307" t="s">
        <v>201</v>
      </c>
      <c r="E249" s="146" t="s">
        <v>247</v>
      </c>
      <c r="F249" s="146" t="s">
        <v>155</v>
      </c>
      <c r="G249" s="240">
        <v>45863</v>
      </c>
      <c r="H249" s="17">
        <v>2181</v>
      </c>
      <c r="I249" s="86"/>
      <c r="J249" s="17">
        <v>3997.9549209599991</v>
      </c>
      <c r="K249" s="18">
        <v>3998</v>
      </c>
      <c r="L249" s="18">
        <v>3998</v>
      </c>
      <c r="M249" s="40">
        <f t="shared" si="56"/>
        <v>-4.5079040000928217E-2</v>
      </c>
      <c r="N249" s="40">
        <f t="shared" si="57"/>
        <v>-4.5079040000928217E-2</v>
      </c>
      <c r="O249" s="302" t="s">
        <v>265</v>
      </c>
      <c r="P249" s="85">
        <v>45803</v>
      </c>
      <c r="Q249" s="85">
        <v>45810</v>
      </c>
      <c r="R249" s="85">
        <f t="shared" si="58"/>
        <v>45812</v>
      </c>
      <c r="S249" s="7">
        <f t="shared" ca="1" si="59"/>
        <v>-7</v>
      </c>
      <c r="T249" s="85">
        <f>P249+15</f>
        <v>45818</v>
      </c>
      <c r="U249" s="85">
        <v>45829</v>
      </c>
      <c r="V249" s="7">
        <f t="shared" ca="1" si="60"/>
        <v>-11</v>
      </c>
      <c r="W249" s="85"/>
      <c r="X249" s="8"/>
    </row>
    <row r="250" spans="1:24" ht="14.5" hidden="1">
      <c r="A250" s="14">
        <v>135</v>
      </c>
      <c r="B250" s="15" t="s">
        <v>59</v>
      </c>
      <c r="C250" s="20"/>
      <c r="D250" s="307" t="s">
        <v>158</v>
      </c>
      <c r="E250" s="146" t="s">
        <v>242</v>
      </c>
      <c r="F250" s="146" t="s">
        <v>154</v>
      </c>
      <c r="G250" s="240">
        <v>45863</v>
      </c>
      <c r="H250" s="17">
        <v>2184</v>
      </c>
      <c r="I250" s="86"/>
      <c r="J250" s="17">
        <v>379.57560000000001</v>
      </c>
      <c r="K250" s="18">
        <v>380</v>
      </c>
      <c r="L250" s="18">
        <v>380</v>
      </c>
      <c r="M250" s="40">
        <f t="shared" si="56"/>
        <v>-0.42439999999999145</v>
      </c>
      <c r="N250" s="40">
        <f t="shared" si="57"/>
        <v>-0.42439999999999145</v>
      </c>
      <c r="O250" s="302" t="s">
        <v>178</v>
      </c>
      <c r="P250" s="85">
        <v>45822</v>
      </c>
      <c r="Q250" s="85">
        <v>45818</v>
      </c>
      <c r="R250" s="85">
        <f t="shared" si="58"/>
        <v>45820</v>
      </c>
      <c r="S250" s="7">
        <f t="shared" ca="1" si="59"/>
        <v>4</v>
      </c>
      <c r="T250" s="85">
        <f>P250+15</f>
        <v>45837</v>
      </c>
      <c r="U250" s="85">
        <v>45832</v>
      </c>
      <c r="V250" s="7">
        <f t="shared" ca="1" si="60"/>
        <v>5</v>
      </c>
      <c r="W250" s="85"/>
      <c r="X250" s="8"/>
    </row>
    <row r="251" spans="1:24" ht="14.5" hidden="1">
      <c r="A251" s="14">
        <v>135</v>
      </c>
      <c r="B251" s="15" t="s">
        <v>59</v>
      </c>
      <c r="C251" s="20"/>
      <c r="D251" s="307" t="s">
        <v>195</v>
      </c>
      <c r="E251" s="146" t="s">
        <v>838</v>
      </c>
      <c r="F251" s="146" t="s">
        <v>162</v>
      </c>
      <c r="G251" s="240">
        <v>45863</v>
      </c>
      <c r="H251" s="17">
        <v>2185</v>
      </c>
      <c r="I251" s="86">
        <v>0.23</v>
      </c>
      <c r="J251" s="17">
        <v>988.55280000000005</v>
      </c>
      <c r="K251" s="18">
        <v>989</v>
      </c>
      <c r="L251" s="18"/>
      <c r="M251" s="40">
        <f t="shared" si="56"/>
        <v>988.55280000000005</v>
      </c>
      <c r="N251" s="40">
        <f t="shared" si="57"/>
        <v>-0.44719999999995252</v>
      </c>
      <c r="O251" s="302" t="s">
        <v>178</v>
      </c>
      <c r="P251" s="85">
        <v>45815</v>
      </c>
      <c r="Q251" s="85">
        <v>45832</v>
      </c>
      <c r="R251" s="85">
        <f t="shared" si="58"/>
        <v>45834</v>
      </c>
      <c r="S251" s="7">
        <f t="shared" ca="1" si="59"/>
        <v>-17</v>
      </c>
      <c r="T251" s="85">
        <f>P251+15</f>
        <v>45830</v>
      </c>
      <c r="U251" s="85"/>
      <c r="V251" s="7">
        <f t="shared" ca="1" si="60"/>
        <v>-10</v>
      </c>
      <c r="W251" s="85"/>
      <c r="X251" s="8"/>
    </row>
    <row r="252" spans="1:24" ht="14.5" hidden="1">
      <c r="A252" s="14">
        <v>136</v>
      </c>
      <c r="B252" s="15" t="s">
        <v>59</v>
      </c>
      <c r="C252" s="20"/>
      <c r="D252" s="307" t="s">
        <v>189</v>
      </c>
      <c r="E252" s="146" t="s">
        <v>838</v>
      </c>
      <c r="F252" s="146" t="s">
        <v>90</v>
      </c>
      <c r="G252" s="240">
        <v>45863</v>
      </c>
      <c r="H252" s="17">
        <v>2186</v>
      </c>
      <c r="I252" s="86"/>
      <c r="J252" s="17">
        <v>1850.7193813333336</v>
      </c>
      <c r="K252" s="18">
        <v>1851</v>
      </c>
      <c r="L252" s="18">
        <v>1851</v>
      </c>
      <c r="M252" s="40">
        <f t="shared" si="56"/>
        <v>-0.28061866666644164</v>
      </c>
      <c r="N252" s="40">
        <f t="shared" si="57"/>
        <v>-0.28061866666644164</v>
      </c>
      <c r="O252" s="302" t="s">
        <v>178</v>
      </c>
      <c r="P252" s="85">
        <v>45789</v>
      </c>
      <c r="Q252" s="85">
        <v>45787</v>
      </c>
      <c r="R252" s="85">
        <f t="shared" si="58"/>
        <v>45789</v>
      </c>
      <c r="S252" s="7">
        <f t="shared" ca="1" si="59"/>
        <v>2</v>
      </c>
      <c r="T252" s="85">
        <f>P252+12</f>
        <v>45801</v>
      </c>
      <c r="U252" s="85">
        <v>45811</v>
      </c>
      <c r="V252" s="7">
        <f t="shared" ca="1" si="60"/>
        <v>-10</v>
      </c>
      <c r="W252" s="85"/>
      <c r="X252" s="8"/>
    </row>
    <row r="253" spans="1:24" ht="14.5" hidden="1">
      <c r="A253" s="14">
        <v>137</v>
      </c>
      <c r="B253" s="15" t="s">
        <v>59</v>
      </c>
      <c r="C253" s="20"/>
      <c r="D253" s="307" t="s">
        <v>250</v>
      </c>
      <c r="E253" s="146" t="s">
        <v>269</v>
      </c>
      <c r="F253" s="146" t="s">
        <v>162</v>
      </c>
      <c r="G253" s="240">
        <v>45863</v>
      </c>
      <c r="H253" s="17">
        <v>2187</v>
      </c>
      <c r="I253" s="86"/>
      <c r="J253" s="17">
        <v>2675.6928000000003</v>
      </c>
      <c r="K253" s="18">
        <v>2676</v>
      </c>
      <c r="L253" s="18">
        <v>2676</v>
      </c>
      <c r="M253" s="40">
        <f t="shared" si="56"/>
        <v>-0.30719999999973879</v>
      </c>
      <c r="N253" s="40">
        <f t="shared" si="57"/>
        <v>-0.30719999999973879</v>
      </c>
      <c r="O253" s="302" t="s">
        <v>178</v>
      </c>
      <c r="P253" s="85">
        <v>45798</v>
      </c>
      <c r="Q253" s="85">
        <v>45797</v>
      </c>
      <c r="R253" s="85">
        <f t="shared" si="58"/>
        <v>45799</v>
      </c>
      <c r="S253" s="7">
        <f t="shared" ca="1" si="59"/>
        <v>1</v>
      </c>
      <c r="T253" s="85">
        <f t="shared" ref="T253:T258" si="63">P253+15</f>
        <v>45813</v>
      </c>
      <c r="U253" s="85">
        <v>45819</v>
      </c>
      <c r="V253" s="7">
        <f t="shared" ca="1" si="60"/>
        <v>-6</v>
      </c>
      <c r="W253" s="85"/>
      <c r="X253" s="8"/>
    </row>
    <row r="254" spans="1:24" ht="14.5" hidden="1">
      <c r="A254" s="14">
        <v>137</v>
      </c>
      <c r="B254" s="15" t="s">
        <v>59</v>
      </c>
      <c r="C254" s="20"/>
      <c r="D254" s="307" t="s">
        <v>158</v>
      </c>
      <c r="E254" s="146" t="s">
        <v>242</v>
      </c>
      <c r="F254" s="146" t="s">
        <v>154</v>
      </c>
      <c r="G254" s="240">
        <v>45863</v>
      </c>
      <c r="H254" s="17">
        <v>2189</v>
      </c>
      <c r="I254" s="86"/>
      <c r="J254" s="17">
        <v>620.65739999999994</v>
      </c>
      <c r="K254" s="18">
        <v>621</v>
      </c>
      <c r="L254" s="18">
        <v>621</v>
      </c>
      <c r="M254" s="40">
        <f t="shared" si="56"/>
        <v>-0.3426000000000613</v>
      </c>
      <c r="N254" s="40">
        <f t="shared" si="57"/>
        <v>-0.3426000000000613</v>
      </c>
      <c r="O254" s="302" t="s">
        <v>178</v>
      </c>
      <c r="P254" s="85">
        <v>45822</v>
      </c>
      <c r="Q254" s="85">
        <v>45818</v>
      </c>
      <c r="R254" s="85">
        <f t="shared" si="58"/>
        <v>45820</v>
      </c>
      <c r="S254" s="7">
        <f t="shared" ca="1" si="59"/>
        <v>4</v>
      </c>
      <c r="T254" s="85">
        <f t="shared" si="63"/>
        <v>45837</v>
      </c>
      <c r="U254" s="85">
        <v>45832</v>
      </c>
      <c r="V254" s="7">
        <f t="shared" ca="1" si="60"/>
        <v>5</v>
      </c>
      <c r="W254" s="85"/>
      <c r="X254" s="8"/>
    </row>
    <row r="255" spans="1:24" ht="14.5" hidden="1">
      <c r="A255" s="14">
        <v>138</v>
      </c>
      <c r="B255" s="15" t="s">
        <v>59</v>
      </c>
      <c r="C255" s="20"/>
      <c r="D255" s="307" t="s">
        <v>288</v>
      </c>
      <c r="E255" s="146" t="s">
        <v>289</v>
      </c>
      <c r="F255" s="146" t="s">
        <v>155</v>
      </c>
      <c r="G255" s="240">
        <v>45863</v>
      </c>
      <c r="H255" s="17">
        <v>2191</v>
      </c>
      <c r="I255" s="86"/>
      <c r="J255" s="17">
        <v>1536.3709265882353</v>
      </c>
      <c r="K255" s="18">
        <v>1536</v>
      </c>
      <c r="L255" s="18">
        <v>1536</v>
      </c>
      <c r="M255" s="40">
        <f t="shared" si="56"/>
        <v>0.37092658823530655</v>
      </c>
      <c r="N255" s="40">
        <f t="shared" si="57"/>
        <v>0.37092658823530655</v>
      </c>
      <c r="O255" s="302" t="s">
        <v>178</v>
      </c>
      <c r="P255" s="85">
        <v>45812</v>
      </c>
      <c r="Q255" s="85">
        <v>45822</v>
      </c>
      <c r="R255" s="85">
        <f t="shared" si="58"/>
        <v>45824</v>
      </c>
      <c r="S255" s="7">
        <f t="shared" ca="1" si="59"/>
        <v>-10</v>
      </c>
      <c r="T255" s="85">
        <f t="shared" si="63"/>
        <v>45827</v>
      </c>
      <c r="U255" s="85">
        <v>45832</v>
      </c>
      <c r="V255" s="7">
        <f t="shared" ca="1" si="60"/>
        <v>-5</v>
      </c>
      <c r="W255" s="85"/>
      <c r="X255" s="8"/>
    </row>
    <row r="256" spans="1:24" ht="14.5" hidden="1">
      <c r="A256" s="14">
        <v>138</v>
      </c>
      <c r="B256" s="15" t="s">
        <v>59</v>
      </c>
      <c r="C256" s="20"/>
      <c r="D256" s="307" t="s">
        <v>288</v>
      </c>
      <c r="E256" s="146" t="s">
        <v>289</v>
      </c>
      <c r="F256" s="146" t="s">
        <v>154</v>
      </c>
      <c r="G256" s="240">
        <v>45863</v>
      </c>
      <c r="H256" s="17">
        <v>2192</v>
      </c>
      <c r="I256" s="86"/>
      <c r="J256" s="17">
        <v>1270.0831577777776</v>
      </c>
      <c r="K256" s="18">
        <v>1270</v>
      </c>
      <c r="L256" s="18">
        <v>1270</v>
      </c>
      <c r="M256" s="40">
        <f t="shared" si="56"/>
        <v>8.3157777777614683E-2</v>
      </c>
      <c r="N256" s="40">
        <f t="shared" si="57"/>
        <v>8.3157777777614683E-2</v>
      </c>
      <c r="O256" s="302" t="s">
        <v>178</v>
      </c>
      <c r="P256" s="85">
        <v>45812</v>
      </c>
      <c r="Q256" s="85">
        <v>45816</v>
      </c>
      <c r="R256" s="85">
        <f t="shared" si="58"/>
        <v>45818</v>
      </c>
      <c r="S256" s="7">
        <f t="shared" ca="1" si="59"/>
        <v>-4</v>
      </c>
      <c r="T256" s="85">
        <f t="shared" si="63"/>
        <v>45827</v>
      </c>
      <c r="U256" s="85">
        <v>45832</v>
      </c>
      <c r="V256" s="7">
        <f t="shared" ca="1" si="60"/>
        <v>-5</v>
      </c>
      <c r="W256" s="85"/>
      <c r="X256" s="8"/>
    </row>
    <row r="257" spans="1:24" ht="14.5" hidden="1">
      <c r="A257" s="14">
        <v>138</v>
      </c>
      <c r="B257" s="15" t="s">
        <v>59</v>
      </c>
      <c r="C257" s="20"/>
      <c r="D257" s="307" t="s">
        <v>288</v>
      </c>
      <c r="E257" s="146" t="s">
        <v>289</v>
      </c>
      <c r="F257" s="146" t="s">
        <v>156</v>
      </c>
      <c r="G257" s="240">
        <v>45863</v>
      </c>
      <c r="H257" s="17">
        <v>2193</v>
      </c>
      <c r="I257" s="86"/>
      <c r="J257" s="17">
        <v>1016.0665262222221</v>
      </c>
      <c r="K257" s="18">
        <v>1016</v>
      </c>
      <c r="L257" s="18">
        <v>1016</v>
      </c>
      <c r="M257" s="40">
        <f t="shared" si="56"/>
        <v>6.6526222222137221E-2</v>
      </c>
      <c r="N257" s="40">
        <f t="shared" si="57"/>
        <v>6.6526222222137221E-2</v>
      </c>
      <c r="O257" s="302" t="s">
        <v>178</v>
      </c>
      <c r="P257" s="85">
        <v>45812</v>
      </c>
      <c r="Q257" s="85">
        <v>45807</v>
      </c>
      <c r="R257" s="85">
        <f t="shared" si="58"/>
        <v>45809</v>
      </c>
      <c r="S257" s="7">
        <f t="shared" ca="1" si="59"/>
        <v>5</v>
      </c>
      <c r="T257" s="85">
        <f t="shared" si="63"/>
        <v>45827</v>
      </c>
      <c r="U257" s="85">
        <v>45833</v>
      </c>
      <c r="V257" s="7">
        <f t="shared" ca="1" si="60"/>
        <v>-6</v>
      </c>
      <c r="W257" s="85"/>
      <c r="X257" s="8"/>
    </row>
    <row r="258" spans="1:24" ht="14.5" hidden="1">
      <c r="A258" s="14">
        <v>138</v>
      </c>
      <c r="B258" s="15" t="s">
        <v>59</v>
      </c>
      <c r="C258" s="20"/>
      <c r="D258" s="307" t="s">
        <v>195</v>
      </c>
      <c r="E258" s="146" t="s">
        <v>838</v>
      </c>
      <c r="F258" s="146" t="s">
        <v>162</v>
      </c>
      <c r="G258" s="240">
        <v>45863</v>
      </c>
      <c r="H258" s="17">
        <v>2195</v>
      </c>
      <c r="I258" s="86">
        <v>0.23</v>
      </c>
      <c r="J258" s="17">
        <v>988.55280000000005</v>
      </c>
      <c r="K258" s="18">
        <v>989</v>
      </c>
      <c r="L258" s="18"/>
      <c r="M258" s="40">
        <f t="shared" si="56"/>
        <v>988.55280000000005</v>
      </c>
      <c r="N258" s="40">
        <f t="shared" si="57"/>
        <v>-0.44719999999995252</v>
      </c>
      <c r="O258" s="302" t="s">
        <v>178</v>
      </c>
      <c r="P258" s="85">
        <v>45825</v>
      </c>
      <c r="Q258" s="85">
        <v>45832</v>
      </c>
      <c r="R258" s="85">
        <f t="shared" si="58"/>
        <v>45834</v>
      </c>
      <c r="S258" s="7">
        <f t="shared" ca="1" si="59"/>
        <v>-7</v>
      </c>
      <c r="T258" s="85">
        <f t="shared" si="63"/>
        <v>45840</v>
      </c>
      <c r="U258" s="85"/>
      <c r="V258" s="7">
        <f t="shared" ca="1" si="60"/>
        <v>0</v>
      </c>
      <c r="W258" s="85"/>
      <c r="X258" s="8"/>
    </row>
    <row r="259" spans="1:24" ht="14.5" hidden="1">
      <c r="A259" s="14">
        <v>138</v>
      </c>
      <c r="B259" s="15" t="s">
        <v>59</v>
      </c>
      <c r="C259" s="20"/>
      <c r="D259" s="307" t="s">
        <v>189</v>
      </c>
      <c r="E259" s="146" t="s">
        <v>242</v>
      </c>
      <c r="F259" s="146" t="s">
        <v>90</v>
      </c>
      <c r="G259" s="240">
        <v>45863</v>
      </c>
      <c r="H259" s="17">
        <v>2196</v>
      </c>
      <c r="I259" s="86"/>
      <c r="J259" s="17">
        <v>675.59869866666679</v>
      </c>
      <c r="K259" s="18">
        <v>676</v>
      </c>
      <c r="L259" s="18">
        <v>676</v>
      </c>
      <c r="M259" s="40">
        <f t="shared" si="56"/>
        <v>-0.40130133333320828</v>
      </c>
      <c r="N259" s="40">
        <f t="shared" si="57"/>
        <v>-0.40130133333320828</v>
      </c>
      <c r="O259" s="302" t="s">
        <v>178</v>
      </c>
      <c r="P259" s="85">
        <v>45789</v>
      </c>
      <c r="Q259" s="85">
        <v>45787</v>
      </c>
      <c r="R259" s="85">
        <f t="shared" si="58"/>
        <v>45789</v>
      </c>
      <c r="S259" s="7">
        <f t="shared" ca="1" si="59"/>
        <v>2</v>
      </c>
      <c r="T259" s="85">
        <f>P259+12</f>
        <v>45801</v>
      </c>
      <c r="U259" s="85">
        <v>45815</v>
      </c>
      <c r="V259" s="7">
        <f t="shared" ca="1" si="60"/>
        <v>-14</v>
      </c>
      <c r="W259" s="85"/>
      <c r="X259" s="8"/>
    </row>
    <row r="260" spans="1:24" ht="14.5" hidden="1">
      <c r="A260" s="14">
        <v>138</v>
      </c>
      <c r="B260" s="15" t="s">
        <v>59</v>
      </c>
      <c r="C260" s="20"/>
      <c r="D260" s="312" t="s">
        <v>190</v>
      </c>
      <c r="E260" s="146" t="s">
        <v>242</v>
      </c>
      <c r="F260" s="146" t="s">
        <v>244</v>
      </c>
      <c r="G260" s="240">
        <v>45863</v>
      </c>
      <c r="H260" s="17">
        <v>2197</v>
      </c>
      <c r="I260" s="86"/>
      <c r="J260" s="17">
        <v>145.340416</v>
      </c>
      <c r="K260" s="18">
        <v>145</v>
      </c>
      <c r="L260" s="18">
        <v>145</v>
      </c>
      <c r="M260" s="40">
        <f t="shared" si="56"/>
        <v>0.34041600000000471</v>
      </c>
      <c r="N260" s="40">
        <f t="shared" si="57"/>
        <v>0.34041600000000471</v>
      </c>
      <c r="O260" s="302" t="s">
        <v>178</v>
      </c>
      <c r="P260" s="85">
        <v>45792</v>
      </c>
      <c r="Q260" s="85">
        <v>45792</v>
      </c>
      <c r="R260" s="85">
        <f t="shared" si="58"/>
        <v>45794</v>
      </c>
      <c r="S260" s="7">
        <f t="shared" ca="1" si="59"/>
        <v>0</v>
      </c>
      <c r="T260" s="85">
        <f>P260+15</f>
        <v>45807</v>
      </c>
      <c r="U260" s="85">
        <v>45801</v>
      </c>
      <c r="V260" s="7">
        <f t="shared" ca="1" si="60"/>
        <v>6</v>
      </c>
      <c r="W260" s="85">
        <v>45794</v>
      </c>
      <c r="X260" s="8"/>
    </row>
    <row r="261" spans="1:24" ht="14.5" hidden="1">
      <c r="A261" s="14">
        <v>139</v>
      </c>
      <c r="B261" s="15" t="s">
        <v>59</v>
      </c>
      <c r="C261" s="20"/>
      <c r="D261" s="307" t="s">
        <v>193</v>
      </c>
      <c r="E261" s="146" t="s">
        <v>249</v>
      </c>
      <c r="F261" s="146" t="s">
        <v>162</v>
      </c>
      <c r="G261" s="240">
        <v>45870</v>
      </c>
      <c r="H261" s="17">
        <v>2198</v>
      </c>
      <c r="I261" s="86"/>
      <c r="J261" s="17">
        <v>5254.0876800000005</v>
      </c>
      <c r="K261" s="18">
        <v>5254</v>
      </c>
      <c r="L261" s="18">
        <v>5254</v>
      </c>
      <c r="M261" s="40">
        <f t="shared" si="56"/>
        <v>8.7680000000545988E-2</v>
      </c>
      <c r="N261" s="40">
        <f t="shared" si="57"/>
        <v>8.7680000000545988E-2</v>
      </c>
      <c r="O261" s="302" t="s">
        <v>178</v>
      </c>
      <c r="P261" s="85">
        <f>T261-15</f>
        <v>45810</v>
      </c>
      <c r="Q261" s="85">
        <v>45798</v>
      </c>
      <c r="R261" s="85">
        <f t="shared" si="58"/>
        <v>45800</v>
      </c>
      <c r="S261" s="7">
        <f t="shared" ca="1" si="59"/>
        <v>12</v>
      </c>
      <c r="T261" s="85">
        <f>G261-32-13</f>
        <v>45825</v>
      </c>
      <c r="U261" s="85">
        <v>45832</v>
      </c>
      <c r="V261" s="7">
        <f t="shared" ca="1" si="60"/>
        <v>-7</v>
      </c>
      <c r="W261" s="85"/>
      <c r="X261" s="8"/>
    </row>
    <row r="262" spans="1:24" ht="14.5" hidden="1">
      <c r="A262" s="14">
        <v>139</v>
      </c>
      <c r="B262" s="15" t="s">
        <v>59</v>
      </c>
      <c r="C262" s="20"/>
      <c r="D262" s="307" t="s">
        <v>193</v>
      </c>
      <c r="E262" s="146" t="s">
        <v>246</v>
      </c>
      <c r="F262" s="146" t="s">
        <v>162</v>
      </c>
      <c r="G262" s="240">
        <v>45870</v>
      </c>
      <c r="H262" s="17">
        <v>2199</v>
      </c>
      <c r="I262" s="86"/>
      <c r="J262" s="17">
        <v>1928.1600000000003</v>
      </c>
      <c r="K262" s="18">
        <v>1928</v>
      </c>
      <c r="L262" s="18">
        <v>1928</v>
      </c>
      <c r="M262" s="40">
        <f t="shared" si="56"/>
        <v>0.16000000000030923</v>
      </c>
      <c r="N262" s="40">
        <f t="shared" si="57"/>
        <v>0.16000000000030923</v>
      </c>
      <c r="O262" s="302" t="s">
        <v>178</v>
      </c>
      <c r="P262" s="85">
        <f>T262-15</f>
        <v>45810</v>
      </c>
      <c r="Q262" s="85">
        <v>45798</v>
      </c>
      <c r="R262" s="85">
        <f t="shared" si="58"/>
        <v>45800</v>
      </c>
      <c r="S262" s="7">
        <f t="shared" ca="1" si="59"/>
        <v>12</v>
      </c>
      <c r="T262" s="85">
        <f>G262-32-13</f>
        <v>45825</v>
      </c>
      <c r="U262" s="85">
        <v>45832</v>
      </c>
      <c r="V262" s="7">
        <f t="shared" ca="1" si="60"/>
        <v>-7</v>
      </c>
      <c r="W262" s="85"/>
      <c r="X262" s="8"/>
    </row>
    <row r="263" spans="1:24" ht="14.5" hidden="1">
      <c r="A263" s="14">
        <v>139</v>
      </c>
      <c r="B263" s="15" t="s">
        <v>59</v>
      </c>
      <c r="C263" s="20"/>
      <c r="D263" s="307" t="s">
        <v>201</v>
      </c>
      <c r="E263" s="146" t="s">
        <v>247</v>
      </c>
      <c r="F263" s="146" t="s">
        <v>155</v>
      </c>
      <c r="G263" s="240">
        <v>45870</v>
      </c>
      <c r="H263" s="17">
        <v>2200</v>
      </c>
      <c r="I263" s="86"/>
      <c r="J263" s="17">
        <v>3997.9549209599991</v>
      </c>
      <c r="K263" s="18">
        <v>3998</v>
      </c>
      <c r="L263" s="18">
        <v>3998</v>
      </c>
      <c r="M263" s="40">
        <f t="shared" si="56"/>
        <v>-4.5079040000928217E-2</v>
      </c>
      <c r="N263" s="40">
        <f t="shared" si="57"/>
        <v>-4.5079040000928217E-2</v>
      </c>
      <c r="O263" s="302" t="s">
        <v>265</v>
      </c>
      <c r="P263" s="85">
        <f>T263-15</f>
        <v>45811</v>
      </c>
      <c r="Q263" s="85">
        <v>45810</v>
      </c>
      <c r="R263" s="85">
        <f t="shared" si="58"/>
        <v>45812</v>
      </c>
      <c r="S263" s="7">
        <f t="shared" ca="1" si="59"/>
        <v>1</v>
      </c>
      <c r="T263" s="85">
        <f>G263-32-12</f>
        <v>45826</v>
      </c>
      <c r="U263" s="85">
        <v>45838</v>
      </c>
      <c r="V263" s="7">
        <f t="shared" ca="1" si="60"/>
        <v>-12</v>
      </c>
      <c r="W263" s="85"/>
      <c r="X263" s="8"/>
    </row>
    <row r="264" spans="1:24" ht="14.5" hidden="1">
      <c r="A264" s="14">
        <v>139</v>
      </c>
      <c r="B264" s="15" t="s">
        <v>59</v>
      </c>
      <c r="C264" s="20"/>
      <c r="D264" s="307" t="s">
        <v>81</v>
      </c>
      <c r="E264" s="146" t="s">
        <v>399</v>
      </c>
      <c r="F264" s="146" t="s">
        <v>291</v>
      </c>
      <c r="G264" s="240">
        <v>45870</v>
      </c>
      <c r="H264" s="17"/>
      <c r="I264" s="86"/>
      <c r="J264" s="17">
        <v>1944</v>
      </c>
      <c r="K264" s="18">
        <v>1944</v>
      </c>
      <c r="L264" s="18"/>
      <c r="M264" s="40">
        <f t="shared" si="56"/>
        <v>1944</v>
      </c>
      <c r="N264" s="40">
        <f t="shared" si="57"/>
        <v>0</v>
      </c>
      <c r="O264" s="301" t="s">
        <v>292</v>
      </c>
      <c r="P264" s="85">
        <f>T264-30</f>
        <v>45810</v>
      </c>
      <c r="Q264" s="85">
        <v>45834</v>
      </c>
      <c r="R264" s="85">
        <f t="shared" si="58"/>
        <v>45836</v>
      </c>
      <c r="S264" s="7">
        <f t="shared" ca="1" si="59"/>
        <v>-24</v>
      </c>
      <c r="T264" s="85">
        <f>G264-30</f>
        <v>45840</v>
      </c>
      <c r="U264" s="85"/>
      <c r="V264" s="7">
        <f t="shared" ca="1" si="60"/>
        <v>0</v>
      </c>
      <c r="W264" s="85"/>
      <c r="X264" s="8"/>
    </row>
    <row r="265" spans="1:24" ht="14.5" hidden="1">
      <c r="A265" s="14">
        <v>139</v>
      </c>
      <c r="B265" s="15" t="s">
        <v>59</v>
      </c>
      <c r="C265" s="20"/>
      <c r="D265" s="307" t="s">
        <v>81</v>
      </c>
      <c r="E265" s="146" t="s">
        <v>399</v>
      </c>
      <c r="F265" s="146" t="s">
        <v>293</v>
      </c>
      <c r="G265" s="240">
        <v>45870</v>
      </c>
      <c r="H265" s="17"/>
      <c r="I265" s="86"/>
      <c r="J265" s="17">
        <v>1944</v>
      </c>
      <c r="K265" s="18">
        <v>1944</v>
      </c>
      <c r="L265" s="18"/>
      <c r="M265" s="40">
        <f t="shared" si="56"/>
        <v>1944</v>
      </c>
      <c r="N265" s="40">
        <f t="shared" si="57"/>
        <v>0</v>
      </c>
      <c r="O265" s="301" t="s">
        <v>292</v>
      </c>
      <c r="P265" s="85">
        <f>T265-30</f>
        <v>45810</v>
      </c>
      <c r="Q265" s="85">
        <v>45834</v>
      </c>
      <c r="R265" s="85">
        <f t="shared" si="58"/>
        <v>45836</v>
      </c>
      <c r="S265" s="7">
        <f t="shared" ca="1" si="59"/>
        <v>-24</v>
      </c>
      <c r="T265" s="85">
        <f>G265-30</f>
        <v>45840</v>
      </c>
      <c r="U265" s="85"/>
      <c r="V265" s="7">
        <f t="shared" ca="1" si="60"/>
        <v>0</v>
      </c>
      <c r="W265" s="85"/>
      <c r="X265" s="8"/>
    </row>
    <row r="266" spans="1:24" ht="14.5" hidden="1">
      <c r="A266" s="14">
        <v>139</v>
      </c>
      <c r="B266" s="15" t="s">
        <v>59</v>
      </c>
      <c r="C266" s="20"/>
      <c r="D266" s="307" t="s">
        <v>81</v>
      </c>
      <c r="E266" s="146" t="s">
        <v>399</v>
      </c>
      <c r="F266" s="146" t="s">
        <v>294</v>
      </c>
      <c r="G266" s="240">
        <v>45870</v>
      </c>
      <c r="H266" s="17"/>
      <c r="I266" s="86"/>
      <c r="J266" s="17">
        <v>1944</v>
      </c>
      <c r="K266" s="18">
        <v>1944</v>
      </c>
      <c r="L266" s="18"/>
      <c r="M266" s="40">
        <f t="shared" si="56"/>
        <v>1944</v>
      </c>
      <c r="N266" s="40">
        <f t="shared" si="57"/>
        <v>0</v>
      </c>
      <c r="O266" s="301" t="s">
        <v>292</v>
      </c>
      <c r="P266" s="85">
        <f>T266-30</f>
        <v>45810</v>
      </c>
      <c r="Q266" s="85">
        <v>45834</v>
      </c>
      <c r="R266" s="85">
        <f t="shared" si="58"/>
        <v>45836</v>
      </c>
      <c r="S266" s="7">
        <f t="shared" ca="1" si="59"/>
        <v>-24</v>
      </c>
      <c r="T266" s="85">
        <f>G266-30</f>
        <v>45840</v>
      </c>
      <c r="U266" s="85"/>
      <c r="V266" s="7">
        <f t="shared" ca="1" si="60"/>
        <v>0</v>
      </c>
      <c r="W266" s="85"/>
      <c r="X266" s="8"/>
    </row>
    <row r="267" spans="1:24" ht="14.5" hidden="1">
      <c r="A267" s="14">
        <v>139</v>
      </c>
      <c r="B267" s="15" t="s">
        <v>59</v>
      </c>
      <c r="C267" s="20"/>
      <c r="D267" s="307" t="s">
        <v>288</v>
      </c>
      <c r="E267" s="146" t="s">
        <v>289</v>
      </c>
      <c r="F267" s="146" t="s">
        <v>155</v>
      </c>
      <c r="G267" s="240">
        <v>45870</v>
      </c>
      <c r="H267" s="17">
        <v>2204</v>
      </c>
      <c r="I267" s="86"/>
      <c r="J267" s="17">
        <v>1182.3684089411765</v>
      </c>
      <c r="K267" s="18">
        <v>1182</v>
      </c>
      <c r="L267" s="18">
        <v>591</v>
      </c>
      <c r="M267" s="40">
        <f t="shared" ref="M267:M330" si="64">+J267-L267</f>
        <v>591.36840894117654</v>
      </c>
      <c r="N267" s="40">
        <f t="shared" ref="N267:N330" si="65">+J267-K267</f>
        <v>0.36840894117653988</v>
      </c>
      <c r="O267" s="302" t="s">
        <v>178</v>
      </c>
      <c r="P267" s="85">
        <f t="shared" ref="P267:P277" si="66">T267-15</f>
        <v>45815</v>
      </c>
      <c r="Q267" s="85">
        <v>45822</v>
      </c>
      <c r="R267" s="85">
        <f t="shared" ref="R267:R330" si="67">Q267+2</f>
        <v>45824</v>
      </c>
      <c r="S267" s="7">
        <f t="shared" ref="S267:S330" ca="1" si="68">+IF(Q267="",P267-TODAY(),P267-Q267)</f>
        <v>-7</v>
      </c>
      <c r="T267" s="85">
        <f>G267-32-8</f>
        <v>45830</v>
      </c>
      <c r="U267" s="85"/>
      <c r="V267" s="7">
        <f t="shared" ref="V267:V330" ca="1" si="69">+IF(U267="",T267-TODAY(),T267-U267)</f>
        <v>-10</v>
      </c>
      <c r="W267" s="85"/>
      <c r="X267" s="8"/>
    </row>
    <row r="268" spans="1:24" ht="14.5" hidden="1">
      <c r="A268" s="14">
        <v>139</v>
      </c>
      <c r="B268" s="15" t="s">
        <v>59</v>
      </c>
      <c r="C268" s="20"/>
      <c r="D268" s="307" t="s">
        <v>288</v>
      </c>
      <c r="E268" s="146" t="s">
        <v>289</v>
      </c>
      <c r="F268" s="146" t="s">
        <v>154</v>
      </c>
      <c r="G268" s="240">
        <v>45870</v>
      </c>
      <c r="H268" s="17">
        <v>2205</v>
      </c>
      <c r="I268" s="86"/>
      <c r="J268" s="17">
        <v>977.43726888888887</v>
      </c>
      <c r="K268" s="18">
        <v>977</v>
      </c>
      <c r="L268" s="18">
        <v>489</v>
      </c>
      <c r="M268" s="40">
        <f t="shared" si="64"/>
        <v>488.43726888888887</v>
      </c>
      <c r="N268" s="40">
        <f t="shared" si="65"/>
        <v>0.43726888888886606</v>
      </c>
      <c r="O268" s="302" t="s">
        <v>178</v>
      </c>
      <c r="P268" s="85">
        <f t="shared" si="66"/>
        <v>45815</v>
      </c>
      <c r="Q268" s="85">
        <v>45816</v>
      </c>
      <c r="R268" s="85">
        <f t="shared" si="67"/>
        <v>45818</v>
      </c>
      <c r="S268" s="7">
        <f t="shared" ca="1" si="68"/>
        <v>-1</v>
      </c>
      <c r="T268" s="85">
        <f>G268-32-8</f>
        <v>45830</v>
      </c>
      <c r="U268" s="85"/>
      <c r="V268" s="7">
        <f t="shared" ca="1" si="69"/>
        <v>-10</v>
      </c>
      <c r="W268" s="85"/>
      <c r="X268" s="8"/>
    </row>
    <row r="269" spans="1:24" ht="14.5" hidden="1">
      <c r="A269" s="14">
        <v>139</v>
      </c>
      <c r="B269" s="15" t="s">
        <v>59</v>
      </c>
      <c r="C269" s="20"/>
      <c r="D269" s="307" t="s">
        <v>288</v>
      </c>
      <c r="E269" s="146" t="s">
        <v>289</v>
      </c>
      <c r="F269" s="146" t="s">
        <v>156</v>
      </c>
      <c r="G269" s="240">
        <v>45870</v>
      </c>
      <c r="H269" s="17">
        <v>2206</v>
      </c>
      <c r="I269" s="86"/>
      <c r="J269" s="17">
        <v>781.94981511111109</v>
      </c>
      <c r="K269" s="18">
        <v>782</v>
      </c>
      <c r="L269" s="18">
        <v>782</v>
      </c>
      <c r="M269" s="40">
        <f t="shared" si="64"/>
        <v>-5.0184888888907153E-2</v>
      </c>
      <c r="N269" s="40">
        <f t="shared" si="65"/>
        <v>-5.0184888888907153E-2</v>
      </c>
      <c r="O269" s="302" t="s">
        <v>178</v>
      </c>
      <c r="P269" s="85">
        <f t="shared" si="66"/>
        <v>45815</v>
      </c>
      <c r="Q269" s="85">
        <v>45807</v>
      </c>
      <c r="R269" s="85">
        <f t="shared" si="67"/>
        <v>45809</v>
      </c>
      <c r="S269" s="7">
        <f t="shared" ca="1" si="68"/>
        <v>8</v>
      </c>
      <c r="T269" s="85">
        <f>G269-32-8</f>
        <v>45830</v>
      </c>
      <c r="U269" s="85">
        <v>45822</v>
      </c>
      <c r="V269" s="7">
        <f t="shared" ca="1" si="69"/>
        <v>8</v>
      </c>
      <c r="W269" s="85"/>
      <c r="X269" s="8"/>
    </row>
    <row r="270" spans="1:24" ht="14.5" hidden="1">
      <c r="A270" s="14">
        <v>139</v>
      </c>
      <c r="B270" s="15" t="s">
        <v>59</v>
      </c>
      <c r="C270" s="20"/>
      <c r="D270" s="307" t="s">
        <v>189</v>
      </c>
      <c r="E270" s="146" t="s">
        <v>242</v>
      </c>
      <c r="F270" s="146" t="s">
        <v>90</v>
      </c>
      <c r="G270" s="240">
        <v>45870</v>
      </c>
      <c r="H270" s="17">
        <v>2207</v>
      </c>
      <c r="I270" s="86"/>
      <c r="J270" s="17">
        <v>605</v>
      </c>
      <c r="K270" s="18">
        <v>605</v>
      </c>
      <c r="L270" s="18">
        <v>605</v>
      </c>
      <c r="M270" s="40">
        <f t="shared" si="64"/>
        <v>0</v>
      </c>
      <c r="N270" s="40">
        <f t="shared" si="65"/>
        <v>0</v>
      </c>
      <c r="O270" s="302" t="s">
        <v>178</v>
      </c>
      <c r="P270" s="85">
        <f t="shared" si="66"/>
        <v>45811</v>
      </c>
      <c r="Q270" s="85">
        <v>45797</v>
      </c>
      <c r="R270" s="85">
        <f t="shared" si="67"/>
        <v>45799</v>
      </c>
      <c r="S270" s="7">
        <f t="shared" ca="1" si="68"/>
        <v>14</v>
      </c>
      <c r="T270" s="85">
        <f>G270-44</f>
        <v>45826</v>
      </c>
      <c r="U270" s="85">
        <v>45820</v>
      </c>
      <c r="V270" s="7">
        <f t="shared" ca="1" si="69"/>
        <v>6</v>
      </c>
      <c r="W270" s="85"/>
      <c r="X270" s="8"/>
    </row>
    <row r="271" spans="1:24" ht="14.5" hidden="1">
      <c r="A271" s="14">
        <v>139</v>
      </c>
      <c r="B271" s="15" t="s">
        <v>59</v>
      </c>
      <c r="C271" s="20"/>
      <c r="D271" s="307" t="s">
        <v>158</v>
      </c>
      <c r="E271" s="146" t="s">
        <v>242</v>
      </c>
      <c r="F271" s="146" t="s">
        <v>255</v>
      </c>
      <c r="G271" s="240">
        <v>45870</v>
      </c>
      <c r="H271" s="17">
        <v>2209</v>
      </c>
      <c r="I271" s="86"/>
      <c r="J271" s="17">
        <v>222.274</v>
      </c>
      <c r="K271" s="18">
        <v>222</v>
      </c>
      <c r="L271" s="18">
        <v>222</v>
      </c>
      <c r="M271" s="40">
        <f t="shared" si="64"/>
        <v>0.27400000000000091</v>
      </c>
      <c r="N271" s="40">
        <f t="shared" si="65"/>
        <v>0.27400000000000091</v>
      </c>
      <c r="O271" s="302" t="s">
        <v>178</v>
      </c>
      <c r="P271" s="85">
        <f t="shared" si="66"/>
        <v>45823</v>
      </c>
      <c r="Q271" s="85">
        <v>45819</v>
      </c>
      <c r="R271" s="85">
        <f t="shared" si="67"/>
        <v>45821</v>
      </c>
      <c r="S271" s="7">
        <f t="shared" ca="1" si="68"/>
        <v>4</v>
      </c>
      <c r="T271" s="85">
        <f>G271-32</f>
        <v>45838</v>
      </c>
      <c r="U271" s="85">
        <v>45833</v>
      </c>
      <c r="V271" s="7">
        <f t="shared" ca="1" si="69"/>
        <v>5</v>
      </c>
      <c r="W271" s="85"/>
      <c r="X271" s="8"/>
    </row>
    <row r="272" spans="1:24" ht="14.5" hidden="1">
      <c r="A272" s="14">
        <v>140</v>
      </c>
      <c r="B272" s="15" t="s">
        <v>59</v>
      </c>
      <c r="C272" s="20"/>
      <c r="D272" s="307" t="s">
        <v>193</v>
      </c>
      <c r="E272" s="146" t="s">
        <v>246</v>
      </c>
      <c r="F272" s="146" t="s">
        <v>162</v>
      </c>
      <c r="G272" s="240">
        <v>45870</v>
      </c>
      <c r="H272" s="17">
        <v>2210</v>
      </c>
      <c r="I272" s="86"/>
      <c r="J272" s="17">
        <v>1214.7408</v>
      </c>
      <c r="K272" s="18">
        <v>1215</v>
      </c>
      <c r="L272" s="18">
        <v>1215</v>
      </c>
      <c r="M272" s="40">
        <f t="shared" si="64"/>
        <v>-0.25919999999996435</v>
      </c>
      <c r="N272" s="40">
        <f t="shared" si="65"/>
        <v>-0.25919999999996435</v>
      </c>
      <c r="O272" s="302" t="s">
        <v>178</v>
      </c>
      <c r="P272" s="85">
        <f t="shared" si="66"/>
        <v>45810</v>
      </c>
      <c r="Q272" s="85">
        <v>45798</v>
      </c>
      <c r="R272" s="85">
        <f t="shared" si="67"/>
        <v>45800</v>
      </c>
      <c r="S272" s="7">
        <f t="shared" ca="1" si="68"/>
        <v>12</v>
      </c>
      <c r="T272" s="85">
        <f>G272-32-13</f>
        <v>45825</v>
      </c>
      <c r="U272" s="85">
        <v>45832</v>
      </c>
      <c r="V272" s="7">
        <f t="shared" ca="1" si="69"/>
        <v>-7</v>
      </c>
      <c r="W272" s="85"/>
      <c r="X272" s="8"/>
    </row>
    <row r="273" spans="1:24" ht="14.5" hidden="1">
      <c r="A273" s="14">
        <v>140</v>
      </c>
      <c r="B273" s="15" t="s">
        <v>59</v>
      </c>
      <c r="C273" s="20"/>
      <c r="D273" s="307" t="s">
        <v>158</v>
      </c>
      <c r="E273" s="146" t="s">
        <v>242</v>
      </c>
      <c r="F273" s="146" t="s">
        <v>154</v>
      </c>
      <c r="G273" s="240">
        <v>45870</v>
      </c>
      <c r="H273" s="17">
        <v>2211</v>
      </c>
      <c r="I273" s="86"/>
      <c r="J273" s="17">
        <v>253.0504</v>
      </c>
      <c r="K273" s="18">
        <v>253</v>
      </c>
      <c r="L273" s="18">
        <v>253</v>
      </c>
      <c r="M273" s="40">
        <f t="shared" si="64"/>
        <v>5.0399999999996226E-2</v>
      </c>
      <c r="N273" s="40">
        <f t="shared" si="65"/>
        <v>5.0399999999996226E-2</v>
      </c>
      <c r="O273" s="302" t="s">
        <v>178</v>
      </c>
      <c r="P273" s="85">
        <f t="shared" si="66"/>
        <v>45823</v>
      </c>
      <c r="Q273" s="85">
        <v>45818</v>
      </c>
      <c r="R273" s="85">
        <f t="shared" si="67"/>
        <v>45820</v>
      </c>
      <c r="S273" s="7">
        <f t="shared" ca="1" si="68"/>
        <v>5</v>
      </c>
      <c r="T273" s="85">
        <f>G273-32</f>
        <v>45838</v>
      </c>
      <c r="U273" s="85">
        <v>45832</v>
      </c>
      <c r="V273" s="7">
        <f t="shared" ca="1" si="69"/>
        <v>6</v>
      </c>
      <c r="W273" s="85"/>
      <c r="X273" s="8"/>
    </row>
    <row r="274" spans="1:24" ht="14.5" hidden="1">
      <c r="A274" s="14">
        <v>140</v>
      </c>
      <c r="B274" s="15" t="s">
        <v>59</v>
      </c>
      <c r="C274" s="20"/>
      <c r="D274" s="307" t="s">
        <v>158</v>
      </c>
      <c r="E274" s="146" t="s">
        <v>242</v>
      </c>
      <c r="F274" s="146" t="s">
        <v>255</v>
      </c>
      <c r="G274" s="240">
        <v>45870</v>
      </c>
      <c r="H274" s="17">
        <v>2213</v>
      </c>
      <c r="I274" s="86"/>
      <c r="J274" s="17">
        <v>1015.6212</v>
      </c>
      <c r="K274" s="18">
        <v>1016</v>
      </c>
      <c r="L274" s="18">
        <v>1016</v>
      </c>
      <c r="M274" s="40">
        <f t="shared" si="64"/>
        <v>-0.37879999999995562</v>
      </c>
      <c r="N274" s="40">
        <f t="shared" si="65"/>
        <v>-0.37879999999995562</v>
      </c>
      <c r="O274" s="302" t="s">
        <v>178</v>
      </c>
      <c r="P274" s="85">
        <f t="shared" si="66"/>
        <v>45823</v>
      </c>
      <c r="Q274" s="85">
        <v>45819</v>
      </c>
      <c r="R274" s="85">
        <f t="shared" si="67"/>
        <v>45821</v>
      </c>
      <c r="S274" s="7">
        <f t="shared" ca="1" si="68"/>
        <v>4</v>
      </c>
      <c r="T274" s="85">
        <f>G274-32</f>
        <v>45838</v>
      </c>
      <c r="U274" s="85">
        <v>45838</v>
      </c>
      <c r="V274" s="7">
        <f t="shared" ca="1" si="69"/>
        <v>0</v>
      </c>
      <c r="W274" s="85"/>
      <c r="X274" s="8"/>
    </row>
    <row r="275" spans="1:24" ht="14.5" hidden="1">
      <c r="A275" s="14">
        <v>141</v>
      </c>
      <c r="B275" s="15" t="s">
        <v>59</v>
      </c>
      <c r="C275" s="20"/>
      <c r="D275" s="307" t="s">
        <v>288</v>
      </c>
      <c r="E275" s="146" t="s">
        <v>289</v>
      </c>
      <c r="F275" s="146" t="s">
        <v>155</v>
      </c>
      <c r="G275" s="240">
        <v>45870</v>
      </c>
      <c r="H275" s="17">
        <v>2214</v>
      </c>
      <c r="I275" s="86"/>
      <c r="J275" s="17">
        <v>339.84241694117645</v>
      </c>
      <c r="K275" s="18">
        <v>340</v>
      </c>
      <c r="L275" s="18">
        <v>340</v>
      </c>
      <c r="M275" s="40">
        <f t="shared" si="64"/>
        <v>-0.15758305882354762</v>
      </c>
      <c r="N275" s="40">
        <f t="shared" si="65"/>
        <v>-0.15758305882354762</v>
      </c>
      <c r="O275" s="302" t="s">
        <v>178</v>
      </c>
      <c r="P275" s="85">
        <f t="shared" si="66"/>
        <v>45815</v>
      </c>
      <c r="Q275" s="85">
        <v>45822</v>
      </c>
      <c r="R275" s="85">
        <f t="shared" si="67"/>
        <v>45824</v>
      </c>
      <c r="S275" s="7">
        <f t="shared" ca="1" si="68"/>
        <v>-7</v>
      </c>
      <c r="T275" s="85">
        <f>G275-32-8</f>
        <v>45830</v>
      </c>
      <c r="U275" s="85">
        <v>45838</v>
      </c>
      <c r="V275" s="7">
        <f t="shared" ca="1" si="69"/>
        <v>-8</v>
      </c>
      <c r="W275" s="85"/>
      <c r="X275" s="8"/>
    </row>
    <row r="276" spans="1:24" ht="14.5" hidden="1">
      <c r="A276" s="14">
        <v>141</v>
      </c>
      <c r="B276" s="15" t="s">
        <v>59</v>
      </c>
      <c r="C276" s="20"/>
      <c r="D276" s="307" t="s">
        <v>288</v>
      </c>
      <c r="E276" s="146" t="s">
        <v>289</v>
      </c>
      <c r="F276" s="146" t="s">
        <v>154</v>
      </c>
      <c r="G276" s="240">
        <v>45870</v>
      </c>
      <c r="H276" s="17">
        <v>2215</v>
      </c>
      <c r="I276" s="86"/>
      <c r="J276" s="17">
        <v>280.94005333333331</v>
      </c>
      <c r="K276" s="18">
        <v>281</v>
      </c>
      <c r="L276" s="18">
        <v>281</v>
      </c>
      <c r="M276" s="40">
        <f t="shared" si="64"/>
        <v>-5.9946666666689907E-2</v>
      </c>
      <c r="N276" s="40">
        <f t="shared" si="65"/>
        <v>-5.9946666666689907E-2</v>
      </c>
      <c r="O276" s="302" t="s">
        <v>178</v>
      </c>
      <c r="P276" s="85">
        <f t="shared" si="66"/>
        <v>45815</v>
      </c>
      <c r="Q276" s="85">
        <v>45816</v>
      </c>
      <c r="R276" s="85">
        <f t="shared" si="67"/>
        <v>45818</v>
      </c>
      <c r="S276" s="7">
        <f t="shared" ca="1" si="68"/>
        <v>-1</v>
      </c>
      <c r="T276" s="85">
        <f>G276-32-8</f>
        <v>45830</v>
      </c>
      <c r="U276" s="85">
        <v>45838</v>
      </c>
      <c r="V276" s="7">
        <f t="shared" ca="1" si="69"/>
        <v>-8</v>
      </c>
      <c r="W276" s="85"/>
      <c r="X276" s="8"/>
    </row>
    <row r="277" spans="1:24" ht="14.5" hidden="1">
      <c r="A277" s="14">
        <v>141</v>
      </c>
      <c r="B277" s="15" t="s">
        <v>59</v>
      </c>
      <c r="C277" s="20"/>
      <c r="D277" s="307" t="s">
        <v>288</v>
      </c>
      <c r="E277" s="146" t="s">
        <v>289</v>
      </c>
      <c r="F277" s="146" t="s">
        <v>156</v>
      </c>
      <c r="G277" s="240">
        <v>45870</v>
      </c>
      <c r="H277" s="17">
        <v>2216</v>
      </c>
      <c r="I277" s="86"/>
      <c r="J277" s="17">
        <v>224.75204266666665</v>
      </c>
      <c r="K277" s="18">
        <v>225</v>
      </c>
      <c r="L277" s="18"/>
      <c r="M277" s="40">
        <f t="shared" si="64"/>
        <v>224.75204266666665</v>
      </c>
      <c r="N277" s="40">
        <f t="shared" si="65"/>
        <v>-0.24795733333334624</v>
      </c>
      <c r="O277" s="302" t="s">
        <v>178</v>
      </c>
      <c r="P277" s="85">
        <f t="shared" si="66"/>
        <v>45815</v>
      </c>
      <c r="Q277" s="85">
        <v>45807</v>
      </c>
      <c r="R277" s="85">
        <f t="shared" si="67"/>
        <v>45809</v>
      </c>
      <c r="S277" s="7">
        <f t="shared" ca="1" si="68"/>
        <v>8</v>
      </c>
      <c r="T277" s="85">
        <f>G277-32-8</f>
        <v>45830</v>
      </c>
      <c r="U277" s="85"/>
      <c r="V277" s="7">
        <f t="shared" ca="1" si="69"/>
        <v>-10</v>
      </c>
      <c r="W277" s="85"/>
      <c r="X277" s="8"/>
    </row>
    <row r="278" spans="1:24" ht="14.5" hidden="1">
      <c r="A278" s="14">
        <v>141</v>
      </c>
      <c r="B278" s="15" t="s">
        <v>59</v>
      </c>
      <c r="C278" s="20"/>
      <c r="D278" s="307" t="s">
        <v>157</v>
      </c>
      <c r="E278" s="146" t="s">
        <v>243</v>
      </c>
      <c r="F278" s="146" t="s">
        <v>162</v>
      </c>
      <c r="G278" s="240">
        <v>45870</v>
      </c>
      <c r="H278" s="17">
        <v>2217</v>
      </c>
      <c r="I278" s="86"/>
      <c r="J278" s="17">
        <v>925.86700000000008</v>
      </c>
      <c r="K278" s="18">
        <v>926</v>
      </c>
      <c r="L278" s="18"/>
      <c r="M278" s="40">
        <f t="shared" si="64"/>
        <v>925.86700000000008</v>
      </c>
      <c r="N278" s="40">
        <f t="shared" si="65"/>
        <v>-0.13299999999992451</v>
      </c>
      <c r="O278" s="301" t="s">
        <v>871</v>
      </c>
      <c r="P278" s="85">
        <f>T278-18</f>
        <v>45817</v>
      </c>
      <c r="Q278" s="85">
        <v>45832</v>
      </c>
      <c r="R278" s="85">
        <f t="shared" si="67"/>
        <v>45834</v>
      </c>
      <c r="S278" s="7">
        <f t="shared" ca="1" si="68"/>
        <v>-15</v>
      </c>
      <c r="T278" s="85">
        <f>G278-35</f>
        <v>45835</v>
      </c>
      <c r="U278" s="85"/>
      <c r="V278" s="7">
        <f t="shared" ca="1" si="69"/>
        <v>-5</v>
      </c>
      <c r="W278" s="85"/>
      <c r="X278" s="8"/>
    </row>
    <row r="279" spans="1:24" ht="14.5" hidden="1">
      <c r="A279" s="14">
        <v>141</v>
      </c>
      <c r="B279" s="15" t="s">
        <v>59</v>
      </c>
      <c r="C279" s="20"/>
      <c r="D279" s="312" t="s">
        <v>190</v>
      </c>
      <c r="E279" s="146" t="s">
        <v>242</v>
      </c>
      <c r="F279" s="146" t="s">
        <v>244</v>
      </c>
      <c r="G279" s="240">
        <v>45870</v>
      </c>
      <c r="H279" s="17">
        <v>2220</v>
      </c>
      <c r="I279" s="86"/>
      <c r="J279" s="17">
        <v>345.52627200000001</v>
      </c>
      <c r="K279" s="18">
        <v>346</v>
      </c>
      <c r="L279" s="18">
        <v>346</v>
      </c>
      <c r="M279" s="40">
        <f t="shared" si="64"/>
        <v>-0.47372799999999415</v>
      </c>
      <c r="N279" s="40">
        <f t="shared" si="65"/>
        <v>-0.47372799999999415</v>
      </c>
      <c r="O279" s="302" t="s">
        <v>178</v>
      </c>
      <c r="P279" s="85">
        <f>T279-15</f>
        <v>45810</v>
      </c>
      <c r="Q279" s="85">
        <v>45792</v>
      </c>
      <c r="R279" s="85">
        <f t="shared" si="67"/>
        <v>45794</v>
      </c>
      <c r="S279" s="7">
        <f t="shared" ca="1" si="68"/>
        <v>18</v>
      </c>
      <c r="T279" s="85">
        <f>G279-32-13</f>
        <v>45825</v>
      </c>
      <c r="U279" s="85">
        <v>45801</v>
      </c>
      <c r="V279" s="7">
        <f t="shared" ca="1" si="69"/>
        <v>24</v>
      </c>
      <c r="W279" s="85">
        <v>45794</v>
      </c>
      <c r="X279" s="8"/>
    </row>
    <row r="280" spans="1:24" ht="14.5" hidden="1">
      <c r="A280" s="14">
        <v>142</v>
      </c>
      <c r="B280" s="15" t="s">
        <v>59</v>
      </c>
      <c r="C280" s="20"/>
      <c r="D280" s="307" t="s">
        <v>193</v>
      </c>
      <c r="E280" s="146" t="s">
        <v>246</v>
      </c>
      <c r="F280" s="146" t="s">
        <v>162</v>
      </c>
      <c r="G280" s="240">
        <v>45877</v>
      </c>
      <c r="H280" s="17">
        <v>2221</v>
      </c>
      <c r="I280" s="86"/>
      <c r="J280" s="17">
        <v>1205.1000000000001</v>
      </c>
      <c r="K280" s="18">
        <v>1205</v>
      </c>
      <c r="L280" s="18">
        <v>1205</v>
      </c>
      <c r="M280" s="40">
        <f t="shared" si="64"/>
        <v>0.10000000000013642</v>
      </c>
      <c r="N280" s="40">
        <f t="shared" si="65"/>
        <v>0.10000000000013642</v>
      </c>
      <c r="O280" s="302" t="s">
        <v>178</v>
      </c>
      <c r="P280" s="85">
        <f>T280-15</f>
        <v>45817</v>
      </c>
      <c r="Q280" s="85">
        <v>45798</v>
      </c>
      <c r="R280" s="85">
        <f t="shared" si="67"/>
        <v>45800</v>
      </c>
      <c r="S280" s="7">
        <f t="shared" ca="1" si="68"/>
        <v>19</v>
      </c>
      <c r="T280" s="85">
        <f>G280-32-13</f>
        <v>45832</v>
      </c>
      <c r="U280" s="85">
        <v>45835</v>
      </c>
      <c r="V280" s="7">
        <f t="shared" ca="1" si="69"/>
        <v>-3</v>
      </c>
      <c r="W280" s="85"/>
      <c r="X280" s="8"/>
    </row>
    <row r="281" spans="1:24" ht="14.5">
      <c r="A281" s="14">
        <v>142</v>
      </c>
      <c r="B281" s="15" t="s">
        <v>59</v>
      </c>
      <c r="C281" s="20"/>
      <c r="D281" s="307" t="s">
        <v>201</v>
      </c>
      <c r="E281" s="146" t="s">
        <v>247</v>
      </c>
      <c r="F281" s="146" t="s">
        <v>155</v>
      </c>
      <c r="G281" s="240">
        <v>45877</v>
      </c>
      <c r="H281" s="17">
        <v>2222</v>
      </c>
      <c r="I281" s="86"/>
      <c r="J281" s="17">
        <v>4765.239198719999</v>
      </c>
      <c r="K281" s="18">
        <v>4765</v>
      </c>
      <c r="L281" s="18">
        <v>1759</v>
      </c>
      <c r="M281" s="40">
        <f t="shared" si="64"/>
        <v>3006.239198719999</v>
      </c>
      <c r="N281" s="40">
        <f t="shared" si="65"/>
        <v>0.23919871999896714</v>
      </c>
      <c r="O281" s="302" t="s">
        <v>178</v>
      </c>
      <c r="P281" s="85">
        <f>T281-15</f>
        <v>45818</v>
      </c>
      <c r="Q281" s="85">
        <v>45815</v>
      </c>
      <c r="R281" s="85">
        <f t="shared" si="67"/>
        <v>45817</v>
      </c>
      <c r="S281" s="7">
        <f t="shared" ca="1" si="68"/>
        <v>3</v>
      </c>
      <c r="T281" s="85">
        <f>G281-32-12</f>
        <v>45833</v>
      </c>
      <c r="U281" s="85"/>
      <c r="V281" s="7">
        <f t="shared" ca="1" si="69"/>
        <v>-7</v>
      </c>
      <c r="W281" s="85"/>
      <c r="X281" s="8"/>
    </row>
    <row r="282" spans="1:24" ht="14.5" hidden="1">
      <c r="A282" s="14">
        <v>142</v>
      </c>
      <c r="B282" s="15" t="s">
        <v>59</v>
      </c>
      <c r="C282" s="20"/>
      <c r="D282" s="307" t="s">
        <v>81</v>
      </c>
      <c r="E282" s="146" t="s">
        <v>399</v>
      </c>
      <c r="F282" s="146" t="s">
        <v>291</v>
      </c>
      <c r="G282" s="240">
        <v>45877</v>
      </c>
      <c r="H282" s="17"/>
      <c r="I282" s="86"/>
      <c r="J282" s="17">
        <v>1728</v>
      </c>
      <c r="K282" s="18">
        <v>1728</v>
      </c>
      <c r="L282" s="18"/>
      <c r="M282" s="40">
        <f t="shared" si="64"/>
        <v>1728</v>
      </c>
      <c r="N282" s="40">
        <f t="shared" si="65"/>
        <v>0</v>
      </c>
      <c r="O282" s="301" t="s">
        <v>292</v>
      </c>
      <c r="P282" s="85">
        <f>T282-30</f>
        <v>45817</v>
      </c>
      <c r="Q282" s="85">
        <v>45834</v>
      </c>
      <c r="R282" s="85">
        <f t="shared" si="67"/>
        <v>45836</v>
      </c>
      <c r="S282" s="7">
        <f t="shared" ca="1" si="68"/>
        <v>-17</v>
      </c>
      <c r="T282" s="85">
        <f>G282-30</f>
        <v>45847</v>
      </c>
      <c r="U282" s="85"/>
      <c r="V282" s="7">
        <f t="shared" ca="1" si="69"/>
        <v>7</v>
      </c>
      <c r="W282" s="85"/>
      <c r="X282" s="8"/>
    </row>
    <row r="283" spans="1:24" ht="14.5" hidden="1">
      <c r="A283" s="14">
        <v>142</v>
      </c>
      <c r="B283" s="15" t="s">
        <v>59</v>
      </c>
      <c r="C283" s="20"/>
      <c r="D283" s="307" t="s">
        <v>81</v>
      </c>
      <c r="E283" s="146" t="s">
        <v>399</v>
      </c>
      <c r="F283" s="146" t="s">
        <v>293</v>
      </c>
      <c r="G283" s="240">
        <v>45877</v>
      </c>
      <c r="H283" s="17"/>
      <c r="I283" s="86"/>
      <c r="J283" s="17">
        <v>1728</v>
      </c>
      <c r="K283" s="18">
        <v>1728</v>
      </c>
      <c r="L283" s="18"/>
      <c r="M283" s="40">
        <f t="shared" si="64"/>
        <v>1728</v>
      </c>
      <c r="N283" s="40">
        <f t="shared" si="65"/>
        <v>0</v>
      </c>
      <c r="O283" s="301" t="s">
        <v>292</v>
      </c>
      <c r="P283" s="85">
        <f>T283-30</f>
        <v>45817</v>
      </c>
      <c r="Q283" s="85">
        <v>45834</v>
      </c>
      <c r="R283" s="85">
        <f t="shared" si="67"/>
        <v>45836</v>
      </c>
      <c r="S283" s="7">
        <f t="shared" ca="1" si="68"/>
        <v>-17</v>
      </c>
      <c r="T283" s="85">
        <f>G283-30</f>
        <v>45847</v>
      </c>
      <c r="U283" s="85"/>
      <c r="V283" s="7">
        <f t="shared" ca="1" si="69"/>
        <v>7</v>
      </c>
      <c r="W283" s="85"/>
      <c r="X283" s="8"/>
    </row>
    <row r="284" spans="1:24" ht="14.5" hidden="1">
      <c r="A284" s="14">
        <v>142</v>
      </c>
      <c r="B284" s="15" t="s">
        <v>59</v>
      </c>
      <c r="C284" s="20"/>
      <c r="D284" s="307" t="s">
        <v>81</v>
      </c>
      <c r="E284" s="146" t="s">
        <v>399</v>
      </c>
      <c r="F284" s="146" t="s">
        <v>294</v>
      </c>
      <c r="G284" s="240">
        <v>45877</v>
      </c>
      <c r="H284" s="17"/>
      <c r="I284" s="86"/>
      <c r="J284" s="17">
        <v>1728</v>
      </c>
      <c r="K284" s="18">
        <v>1728</v>
      </c>
      <c r="L284" s="18"/>
      <c r="M284" s="40">
        <f t="shared" si="64"/>
        <v>1728</v>
      </c>
      <c r="N284" s="40">
        <f t="shared" si="65"/>
        <v>0</v>
      </c>
      <c r="O284" s="301" t="s">
        <v>292</v>
      </c>
      <c r="P284" s="85">
        <f>T284-30</f>
        <v>45817</v>
      </c>
      <c r="Q284" s="85">
        <v>45834</v>
      </c>
      <c r="R284" s="85">
        <f t="shared" si="67"/>
        <v>45836</v>
      </c>
      <c r="S284" s="7">
        <f t="shared" ca="1" si="68"/>
        <v>-17</v>
      </c>
      <c r="T284" s="85">
        <f>G284-30</f>
        <v>45847</v>
      </c>
      <c r="U284" s="85"/>
      <c r="V284" s="7">
        <f t="shared" ca="1" si="69"/>
        <v>7</v>
      </c>
      <c r="W284" s="85"/>
      <c r="X284" s="8"/>
    </row>
    <row r="285" spans="1:24" ht="14.5" hidden="1">
      <c r="A285" s="14">
        <v>142</v>
      </c>
      <c r="B285" s="15" t="s">
        <v>59</v>
      </c>
      <c r="C285" s="20"/>
      <c r="D285" s="307" t="s">
        <v>189</v>
      </c>
      <c r="E285" s="146" t="s">
        <v>242</v>
      </c>
      <c r="F285" s="146" t="s">
        <v>90</v>
      </c>
      <c r="G285" s="240">
        <v>45877</v>
      </c>
      <c r="H285" s="17">
        <v>2226</v>
      </c>
      <c r="I285" s="86"/>
      <c r="J285" s="17">
        <v>675.59869866666679</v>
      </c>
      <c r="K285" s="18">
        <v>676</v>
      </c>
      <c r="L285" s="18">
        <v>676</v>
      </c>
      <c r="M285" s="40">
        <f t="shared" si="64"/>
        <v>-0.40130133333320828</v>
      </c>
      <c r="N285" s="40">
        <f t="shared" si="65"/>
        <v>-0.40130133333320828</v>
      </c>
      <c r="O285" s="302" t="s">
        <v>178</v>
      </c>
      <c r="P285" s="85">
        <f t="shared" ref="P285:P290" si="70">T285-15</f>
        <v>45818</v>
      </c>
      <c r="Q285" s="85">
        <v>45797</v>
      </c>
      <c r="R285" s="85">
        <f t="shared" si="67"/>
        <v>45799</v>
      </c>
      <c r="S285" s="7">
        <f t="shared" ca="1" si="68"/>
        <v>21</v>
      </c>
      <c r="T285" s="85">
        <f>G285-44</f>
        <v>45833</v>
      </c>
      <c r="U285" s="85">
        <v>45822</v>
      </c>
      <c r="V285" s="7">
        <f t="shared" ca="1" si="69"/>
        <v>11</v>
      </c>
      <c r="W285" s="85"/>
      <c r="X285" s="8"/>
    </row>
    <row r="286" spans="1:24" ht="14.5" hidden="1">
      <c r="A286" s="14">
        <v>142</v>
      </c>
      <c r="B286" s="15" t="s">
        <v>59</v>
      </c>
      <c r="C286" s="20"/>
      <c r="D286" s="307" t="s">
        <v>158</v>
      </c>
      <c r="E286" s="146" t="s">
        <v>242</v>
      </c>
      <c r="F286" s="146" t="s">
        <v>255</v>
      </c>
      <c r="G286" s="240">
        <v>45877</v>
      </c>
      <c r="H286" s="17">
        <v>2227</v>
      </c>
      <c r="I286" s="86"/>
      <c r="J286" s="17">
        <v>818.99419999999998</v>
      </c>
      <c r="K286" s="18">
        <v>819</v>
      </c>
      <c r="L286" s="18"/>
      <c r="M286" s="40">
        <f t="shared" si="64"/>
        <v>818.99419999999998</v>
      </c>
      <c r="N286" s="40">
        <f t="shared" si="65"/>
        <v>-5.8000000000220098E-3</v>
      </c>
      <c r="O286" s="302" t="s">
        <v>178</v>
      </c>
      <c r="P286" s="85">
        <f t="shared" si="70"/>
        <v>45830</v>
      </c>
      <c r="Q286" s="85">
        <v>45819</v>
      </c>
      <c r="R286" s="85">
        <f t="shared" si="67"/>
        <v>45821</v>
      </c>
      <c r="S286" s="7">
        <f t="shared" ca="1" si="68"/>
        <v>11</v>
      </c>
      <c r="T286" s="85">
        <f>G286-32</f>
        <v>45845</v>
      </c>
      <c r="U286" s="85"/>
      <c r="V286" s="7">
        <f t="shared" ca="1" si="69"/>
        <v>5</v>
      </c>
      <c r="W286" s="85"/>
      <c r="X286" s="8"/>
    </row>
    <row r="287" spans="1:24" ht="14.5" hidden="1">
      <c r="A287" s="14">
        <v>143</v>
      </c>
      <c r="B287" s="15" t="s">
        <v>59</v>
      </c>
      <c r="C287" s="20"/>
      <c r="D287" s="307" t="s">
        <v>193</v>
      </c>
      <c r="E287" s="146" t="s">
        <v>246</v>
      </c>
      <c r="F287" s="146" t="s">
        <v>162</v>
      </c>
      <c r="G287" s="240">
        <v>45877</v>
      </c>
      <c r="H287" s="17">
        <v>2228</v>
      </c>
      <c r="I287" s="86"/>
      <c r="J287" s="17">
        <v>1205.1000000000001</v>
      </c>
      <c r="K287" s="18">
        <v>1205</v>
      </c>
      <c r="L287" s="18">
        <v>1215</v>
      </c>
      <c r="M287" s="40">
        <f t="shared" si="64"/>
        <v>-9.8999999999998636</v>
      </c>
      <c r="N287" s="40">
        <f t="shared" si="65"/>
        <v>0.10000000000013642</v>
      </c>
      <c r="O287" s="302" t="s">
        <v>178</v>
      </c>
      <c r="P287" s="85">
        <f t="shared" si="70"/>
        <v>45817</v>
      </c>
      <c r="Q287" s="85">
        <v>45798</v>
      </c>
      <c r="R287" s="85">
        <f t="shared" si="67"/>
        <v>45800</v>
      </c>
      <c r="S287" s="7">
        <f t="shared" ca="1" si="68"/>
        <v>19</v>
      </c>
      <c r="T287" s="85">
        <f>G287-32-13</f>
        <v>45832</v>
      </c>
      <c r="U287" s="85">
        <v>45835</v>
      </c>
      <c r="V287" s="7">
        <f t="shared" ca="1" si="69"/>
        <v>-3</v>
      </c>
      <c r="W287" s="85"/>
      <c r="X287" s="8"/>
    </row>
    <row r="288" spans="1:24" ht="14.5" hidden="1">
      <c r="A288" s="14">
        <v>143</v>
      </c>
      <c r="B288" s="15" t="s">
        <v>59</v>
      </c>
      <c r="C288" s="20"/>
      <c r="D288" s="307" t="s">
        <v>189</v>
      </c>
      <c r="E288" s="146" t="s">
        <v>242</v>
      </c>
      <c r="F288" s="146" t="s">
        <v>90</v>
      </c>
      <c r="G288" s="240">
        <v>45877</v>
      </c>
      <c r="H288" s="17">
        <v>2230</v>
      </c>
      <c r="I288" s="86"/>
      <c r="J288" s="17">
        <v>675.59869866666679</v>
      </c>
      <c r="K288" s="18">
        <v>676</v>
      </c>
      <c r="L288" s="18">
        <v>676</v>
      </c>
      <c r="M288" s="40">
        <f t="shared" si="64"/>
        <v>-0.40130133333320828</v>
      </c>
      <c r="N288" s="40">
        <f t="shared" si="65"/>
        <v>-0.40130133333320828</v>
      </c>
      <c r="O288" s="302" t="s">
        <v>178</v>
      </c>
      <c r="P288" s="85">
        <f t="shared" si="70"/>
        <v>45818</v>
      </c>
      <c r="Q288" s="85">
        <v>45797</v>
      </c>
      <c r="R288" s="85">
        <f t="shared" si="67"/>
        <v>45799</v>
      </c>
      <c r="S288" s="7">
        <f t="shared" ca="1" si="68"/>
        <v>21</v>
      </c>
      <c r="T288" s="85">
        <f>G288-44</f>
        <v>45833</v>
      </c>
      <c r="U288" s="85">
        <v>45822</v>
      </c>
      <c r="V288" s="7">
        <f t="shared" ca="1" si="69"/>
        <v>11</v>
      </c>
      <c r="W288" s="85"/>
      <c r="X288" s="8"/>
    </row>
    <row r="289" spans="1:24" ht="14.5" hidden="1">
      <c r="A289" s="14">
        <v>143</v>
      </c>
      <c r="B289" s="15" t="s">
        <v>59</v>
      </c>
      <c r="C289" s="20"/>
      <c r="D289" s="307" t="s">
        <v>158</v>
      </c>
      <c r="E289" s="146" t="s">
        <v>242</v>
      </c>
      <c r="F289" s="146" t="s">
        <v>255</v>
      </c>
      <c r="G289" s="240">
        <v>45877</v>
      </c>
      <c r="H289" s="17">
        <v>2231</v>
      </c>
      <c r="I289" s="86"/>
      <c r="J289" s="17">
        <v>865.15880000000004</v>
      </c>
      <c r="K289" s="18">
        <v>865</v>
      </c>
      <c r="L289" s="18"/>
      <c r="M289" s="40">
        <f t="shared" si="64"/>
        <v>865.15880000000004</v>
      </c>
      <c r="N289" s="40">
        <f t="shared" si="65"/>
        <v>0.15880000000004202</v>
      </c>
      <c r="O289" s="302" t="s">
        <v>178</v>
      </c>
      <c r="P289" s="85">
        <f t="shared" si="70"/>
        <v>45830</v>
      </c>
      <c r="Q289" s="85">
        <v>45819</v>
      </c>
      <c r="R289" s="85">
        <f t="shared" si="67"/>
        <v>45821</v>
      </c>
      <c r="S289" s="7">
        <f t="shared" ca="1" si="68"/>
        <v>11</v>
      </c>
      <c r="T289" s="85">
        <f>G289-32</f>
        <v>45845</v>
      </c>
      <c r="U289" s="85"/>
      <c r="V289" s="7">
        <f t="shared" ca="1" si="69"/>
        <v>5</v>
      </c>
      <c r="W289" s="85"/>
      <c r="X289" s="8"/>
    </row>
    <row r="290" spans="1:24" ht="14.5" hidden="1">
      <c r="A290" s="14">
        <v>144</v>
      </c>
      <c r="B290" s="15" t="s">
        <v>59</v>
      </c>
      <c r="C290" s="20"/>
      <c r="D290" s="307" t="s">
        <v>250</v>
      </c>
      <c r="E290" s="146" t="s">
        <v>269</v>
      </c>
      <c r="F290" s="146" t="s">
        <v>162</v>
      </c>
      <c r="G290" s="240">
        <v>45877</v>
      </c>
      <c r="H290" s="17">
        <v>2232</v>
      </c>
      <c r="I290" s="86"/>
      <c r="J290" s="17">
        <v>4515.2316000000001</v>
      </c>
      <c r="K290" s="18">
        <v>4515</v>
      </c>
      <c r="L290" s="18">
        <v>4515</v>
      </c>
      <c r="M290" s="40">
        <f t="shared" si="64"/>
        <v>0.2316000000000713</v>
      </c>
      <c r="N290" s="40">
        <f t="shared" si="65"/>
        <v>0.2316000000000713</v>
      </c>
      <c r="O290" s="301" t="s">
        <v>263</v>
      </c>
      <c r="P290" s="85">
        <f t="shared" si="70"/>
        <v>45818</v>
      </c>
      <c r="Q290" s="85">
        <v>45798</v>
      </c>
      <c r="R290" s="85">
        <f t="shared" si="67"/>
        <v>45800</v>
      </c>
      <c r="S290" s="7">
        <f t="shared" ca="1" si="68"/>
        <v>20</v>
      </c>
      <c r="T290" s="85">
        <f>G290-32-12</f>
        <v>45833</v>
      </c>
      <c r="U290" s="85">
        <v>45828</v>
      </c>
      <c r="V290" s="7">
        <f t="shared" ca="1" si="69"/>
        <v>5</v>
      </c>
      <c r="W290" s="85"/>
      <c r="X290" s="8"/>
    </row>
    <row r="291" spans="1:24" ht="14.5" hidden="1">
      <c r="A291" s="14">
        <v>144</v>
      </c>
      <c r="B291" s="15" t="s">
        <v>59</v>
      </c>
      <c r="C291" s="20"/>
      <c r="D291" s="307" t="s">
        <v>81</v>
      </c>
      <c r="E291" s="146" t="s">
        <v>399</v>
      </c>
      <c r="F291" s="146" t="s">
        <v>291</v>
      </c>
      <c r="G291" s="240">
        <v>45877</v>
      </c>
      <c r="H291" s="17"/>
      <c r="I291" s="86"/>
      <c r="J291" s="17">
        <v>1728</v>
      </c>
      <c r="K291" s="18">
        <v>1728</v>
      </c>
      <c r="L291" s="18"/>
      <c r="M291" s="40">
        <f t="shared" si="64"/>
        <v>1728</v>
      </c>
      <c r="N291" s="40">
        <f t="shared" si="65"/>
        <v>0</v>
      </c>
      <c r="O291" s="301" t="s">
        <v>292</v>
      </c>
      <c r="P291" s="85">
        <f>T291-30</f>
        <v>45817</v>
      </c>
      <c r="Q291" s="85">
        <v>45834</v>
      </c>
      <c r="R291" s="85">
        <f t="shared" si="67"/>
        <v>45836</v>
      </c>
      <c r="S291" s="7">
        <f t="shared" ca="1" si="68"/>
        <v>-17</v>
      </c>
      <c r="T291" s="85">
        <f>G291-30</f>
        <v>45847</v>
      </c>
      <c r="U291" s="85"/>
      <c r="V291" s="7">
        <f t="shared" ca="1" si="69"/>
        <v>7</v>
      </c>
      <c r="W291" s="85"/>
      <c r="X291" s="8"/>
    </row>
    <row r="292" spans="1:24" ht="14.5" hidden="1">
      <c r="A292" s="14">
        <v>144</v>
      </c>
      <c r="B292" s="15" t="s">
        <v>59</v>
      </c>
      <c r="C292" s="20"/>
      <c r="D292" s="307" t="s">
        <v>81</v>
      </c>
      <c r="E292" s="146" t="s">
        <v>399</v>
      </c>
      <c r="F292" s="146" t="s">
        <v>293</v>
      </c>
      <c r="G292" s="240">
        <v>45877</v>
      </c>
      <c r="H292" s="17"/>
      <c r="I292" s="86"/>
      <c r="J292" s="17">
        <v>1728</v>
      </c>
      <c r="K292" s="18">
        <v>1728</v>
      </c>
      <c r="L292" s="18"/>
      <c r="M292" s="40">
        <f t="shared" si="64"/>
        <v>1728</v>
      </c>
      <c r="N292" s="40">
        <f t="shared" si="65"/>
        <v>0</v>
      </c>
      <c r="O292" s="301" t="s">
        <v>292</v>
      </c>
      <c r="P292" s="85">
        <f>T292-30</f>
        <v>45817</v>
      </c>
      <c r="Q292" s="85">
        <v>45834</v>
      </c>
      <c r="R292" s="85">
        <f t="shared" si="67"/>
        <v>45836</v>
      </c>
      <c r="S292" s="7">
        <f t="shared" ca="1" si="68"/>
        <v>-17</v>
      </c>
      <c r="T292" s="85">
        <f>G292-30</f>
        <v>45847</v>
      </c>
      <c r="U292" s="85"/>
      <c r="V292" s="7">
        <f t="shared" ca="1" si="69"/>
        <v>7</v>
      </c>
      <c r="W292" s="85"/>
      <c r="X292" s="8"/>
    </row>
    <row r="293" spans="1:24" ht="14.5" hidden="1">
      <c r="A293" s="14">
        <v>144</v>
      </c>
      <c r="B293" s="15" t="s">
        <v>59</v>
      </c>
      <c r="C293" s="20"/>
      <c r="D293" s="307" t="s">
        <v>81</v>
      </c>
      <c r="E293" s="146" t="s">
        <v>399</v>
      </c>
      <c r="F293" s="146" t="s">
        <v>294</v>
      </c>
      <c r="G293" s="240">
        <v>45877</v>
      </c>
      <c r="H293" s="17"/>
      <c r="I293" s="86"/>
      <c r="J293" s="17">
        <v>1728</v>
      </c>
      <c r="K293" s="18">
        <v>1728</v>
      </c>
      <c r="L293" s="18"/>
      <c r="M293" s="40">
        <f t="shared" si="64"/>
        <v>1728</v>
      </c>
      <c r="N293" s="40">
        <f t="shared" si="65"/>
        <v>0</v>
      </c>
      <c r="O293" s="301" t="s">
        <v>292</v>
      </c>
      <c r="P293" s="85">
        <f>T293-30</f>
        <v>45817</v>
      </c>
      <c r="Q293" s="85">
        <v>45834</v>
      </c>
      <c r="R293" s="85">
        <f t="shared" si="67"/>
        <v>45836</v>
      </c>
      <c r="S293" s="7">
        <f t="shared" ca="1" si="68"/>
        <v>-17</v>
      </c>
      <c r="T293" s="85">
        <f>G293-30</f>
        <v>45847</v>
      </c>
      <c r="U293" s="85"/>
      <c r="V293" s="7">
        <f t="shared" ca="1" si="69"/>
        <v>7</v>
      </c>
      <c r="W293" s="85"/>
      <c r="X293" s="8"/>
    </row>
    <row r="294" spans="1:24" ht="14.5" hidden="1">
      <c r="A294" s="14">
        <v>144</v>
      </c>
      <c r="B294" s="15" t="s">
        <v>59</v>
      </c>
      <c r="C294" s="20"/>
      <c r="D294" s="307" t="s">
        <v>288</v>
      </c>
      <c r="E294" s="146" t="s">
        <v>289</v>
      </c>
      <c r="F294" s="146" t="s">
        <v>155</v>
      </c>
      <c r="G294" s="240">
        <v>45877</v>
      </c>
      <c r="H294" s="17">
        <v>2236</v>
      </c>
      <c r="I294" s="86"/>
      <c r="J294" s="17">
        <v>991.20704941176473</v>
      </c>
      <c r="K294" s="18">
        <v>991</v>
      </c>
      <c r="L294" s="18">
        <v>510</v>
      </c>
      <c r="M294" s="40">
        <f t="shared" si="64"/>
        <v>481.20704941176473</v>
      </c>
      <c r="N294" s="40">
        <f t="shared" si="65"/>
        <v>0.20704941176472857</v>
      </c>
      <c r="O294" s="302" t="s">
        <v>178</v>
      </c>
      <c r="P294" s="85">
        <f t="shared" ref="P294:P303" si="71">T294-15</f>
        <v>45822</v>
      </c>
      <c r="Q294" s="85">
        <v>45822</v>
      </c>
      <c r="R294" s="85">
        <f t="shared" si="67"/>
        <v>45824</v>
      </c>
      <c r="S294" s="7">
        <f t="shared" ca="1" si="68"/>
        <v>0</v>
      </c>
      <c r="T294" s="85">
        <f>G294-32-8</f>
        <v>45837</v>
      </c>
      <c r="U294" s="85"/>
      <c r="V294" s="7">
        <f t="shared" ca="1" si="69"/>
        <v>-3</v>
      </c>
      <c r="W294" s="85"/>
      <c r="X294" s="8"/>
    </row>
    <row r="295" spans="1:24" ht="14.5" hidden="1">
      <c r="A295" s="14">
        <v>144</v>
      </c>
      <c r="B295" s="15" t="s">
        <v>59</v>
      </c>
      <c r="C295" s="20"/>
      <c r="D295" s="307" t="s">
        <v>288</v>
      </c>
      <c r="E295" s="146" t="s">
        <v>289</v>
      </c>
      <c r="F295" s="146" t="s">
        <v>154</v>
      </c>
      <c r="G295" s="240">
        <v>45877</v>
      </c>
      <c r="H295" s="17">
        <v>2237</v>
      </c>
      <c r="I295" s="86"/>
      <c r="J295" s="17">
        <v>819.40848888888888</v>
      </c>
      <c r="K295" s="18">
        <v>819</v>
      </c>
      <c r="L295" s="18">
        <v>425</v>
      </c>
      <c r="M295" s="40">
        <f t="shared" si="64"/>
        <v>394.40848888888888</v>
      </c>
      <c r="N295" s="40">
        <f t="shared" si="65"/>
        <v>0.40848888888888268</v>
      </c>
      <c r="O295" s="302" t="s">
        <v>178</v>
      </c>
      <c r="P295" s="85">
        <f t="shared" si="71"/>
        <v>45822</v>
      </c>
      <c r="Q295" s="85">
        <v>45822</v>
      </c>
      <c r="R295" s="85">
        <f t="shared" si="67"/>
        <v>45824</v>
      </c>
      <c r="S295" s="7">
        <f t="shared" ca="1" si="68"/>
        <v>0</v>
      </c>
      <c r="T295" s="85">
        <f>G295-32-8</f>
        <v>45837</v>
      </c>
      <c r="U295" s="85"/>
      <c r="V295" s="7">
        <f t="shared" ca="1" si="69"/>
        <v>-3</v>
      </c>
      <c r="W295" s="85"/>
      <c r="X295" s="8"/>
    </row>
    <row r="296" spans="1:24" ht="14.5" hidden="1">
      <c r="A296" s="14">
        <v>144</v>
      </c>
      <c r="B296" s="15" t="s">
        <v>59</v>
      </c>
      <c r="C296" s="20"/>
      <c r="D296" s="307" t="s">
        <v>288</v>
      </c>
      <c r="E296" s="146" t="s">
        <v>289</v>
      </c>
      <c r="F296" s="146" t="s">
        <v>156</v>
      </c>
      <c r="G296" s="240">
        <v>45877</v>
      </c>
      <c r="H296" s="17">
        <v>2238</v>
      </c>
      <c r="I296" s="86"/>
      <c r="J296" s="17">
        <v>655.52679111111104</v>
      </c>
      <c r="K296" s="18">
        <v>656</v>
      </c>
      <c r="L296" s="18"/>
      <c r="M296" s="40">
        <f t="shared" si="64"/>
        <v>655.52679111111104</v>
      </c>
      <c r="N296" s="40">
        <f t="shared" si="65"/>
        <v>-0.47320888888896206</v>
      </c>
      <c r="O296" s="302" t="s">
        <v>178</v>
      </c>
      <c r="P296" s="85">
        <f t="shared" si="71"/>
        <v>45822</v>
      </c>
      <c r="Q296" s="85">
        <v>45807</v>
      </c>
      <c r="R296" s="85">
        <f t="shared" si="67"/>
        <v>45809</v>
      </c>
      <c r="S296" s="7">
        <f t="shared" ca="1" si="68"/>
        <v>15</v>
      </c>
      <c r="T296" s="85">
        <f>G296-32-8</f>
        <v>45837</v>
      </c>
      <c r="U296" s="85"/>
      <c r="V296" s="7">
        <f t="shared" ca="1" si="69"/>
        <v>-3</v>
      </c>
      <c r="W296" s="85"/>
      <c r="X296" s="8"/>
    </row>
    <row r="297" spans="1:24" ht="14.5" hidden="1">
      <c r="A297" s="14">
        <v>144</v>
      </c>
      <c r="B297" s="15" t="s">
        <v>59</v>
      </c>
      <c r="C297" s="20"/>
      <c r="D297" s="307" t="s">
        <v>158</v>
      </c>
      <c r="E297" s="146" t="s">
        <v>242</v>
      </c>
      <c r="F297" s="146" t="s">
        <v>154</v>
      </c>
      <c r="G297" s="240">
        <v>45877</v>
      </c>
      <c r="H297" s="17">
        <v>2239</v>
      </c>
      <c r="I297" s="86"/>
      <c r="J297" s="17">
        <v>583.04179999999997</v>
      </c>
      <c r="K297" s="18">
        <v>583</v>
      </c>
      <c r="L297" s="18">
        <v>584</v>
      </c>
      <c r="M297" s="40">
        <f t="shared" si="64"/>
        <v>-0.95820000000003347</v>
      </c>
      <c r="N297" s="40">
        <f t="shared" si="65"/>
        <v>4.1799999999966531E-2</v>
      </c>
      <c r="O297" s="302" t="s">
        <v>178</v>
      </c>
      <c r="P297" s="85">
        <f t="shared" si="71"/>
        <v>45830</v>
      </c>
      <c r="Q297" s="85">
        <v>45818</v>
      </c>
      <c r="R297" s="85">
        <f t="shared" si="67"/>
        <v>45820</v>
      </c>
      <c r="S297" s="7">
        <f t="shared" ca="1" si="68"/>
        <v>12</v>
      </c>
      <c r="T297" s="85">
        <f>G297-32</f>
        <v>45845</v>
      </c>
      <c r="U297" s="85">
        <v>45838</v>
      </c>
      <c r="V297" s="7">
        <f t="shared" ca="1" si="69"/>
        <v>7</v>
      </c>
      <c r="W297" s="85"/>
      <c r="X297" s="8"/>
    </row>
    <row r="298" spans="1:24" ht="14.5" hidden="1">
      <c r="A298" s="14">
        <v>144</v>
      </c>
      <c r="B298" s="15" t="s">
        <v>59</v>
      </c>
      <c r="C298" s="20"/>
      <c r="D298" s="307" t="s">
        <v>189</v>
      </c>
      <c r="E298" s="146" t="s">
        <v>242</v>
      </c>
      <c r="F298" s="146" t="s">
        <v>90</v>
      </c>
      <c r="G298" s="240">
        <v>45877</v>
      </c>
      <c r="H298" s="17">
        <v>2240</v>
      </c>
      <c r="I298" s="86"/>
      <c r="J298" s="17">
        <v>497.60810666666674</v>
      </c>
      <c r="K298" s="18">
        <v>498</v>
      </c>
      <c r="L298" s="18">
        <v>498</v>
      </c>
      <c r="M298" s="40">
        <f t="shared" si="64"/>
        <v>-0.39189333333325749</v>
      </c>
      <c r="N298" s="40">
        <f t="shared" si="65"/>
        <v>-0.39189333333325749</v>
      </c>
      <c r="O298" s="302" t="s">
        <v>178</v>
      </c>
      <c r="P298" s="85">
        <f t="shared" si="71"/>
        <v>45818</v>
      </c>
      <c r="Q298" s="85">
        <v>45797</v>
      </c>
      <c r="R298" s="85">
        <f t="shared" si="67"/>
        <v>45799</v>
      </c>
      <c r="S298" s="7">
        <f t="shared" ca="1" si="68"/>
        <v>21</v>
      </c>
      <c r="T298" s="85">
        <f>G298-44</f>
        <v>45833</v>
      </c>
      <c r="U298" s="85">
        <v>45829</v>
      </c>
      <c r="V298" s="7">
        <f t="shared" ca="1" si="69"/>
        <v>4</v>
      </c>
      <c r="W298" s="85"/>
      <c r="X298" s="8"/>
    </row>
    <row r="299" spans="1:24" ht="14.5" hidden="1">
      <c r="A299" s="14">
        <v>145</v>
      </c>
      <c r="B299" s="15" t="s">
        <v>59</v>
      </c>
      <c r="C299" s="20"/>
      <c r="D299" s="307" t="s">
        <v>193</v>
      </c>
      <c r="E299" s="146" t="s">
        <v>246</v>
      </c>
      <c r="F299" s="146" t="s">
        <v>162</v>
      </c>
      <c r="G299" s="240">
        <v>45877</v>
      </c>
      <c r="H299" s="17">
        <v>2242</v>
      </c>
      <c r="I299" s="86"/>
      <c r="J299" s="17">
        <v>477.21960000000007</v>
      </c>
      <c r="K299" s="18">
        <v>477</v>
      </c>
      <c r="L299" s="18"/>
      <c r="M299" s="40">
        <f t="shared" si="64"/>
        <v>477.21960000000007</v>
      </c>
      <c r="N299" s="40">
        <f t="shared" si="65"/>
        <v>0.21960000000007085</v>
      </c>
      <c r="O299" s="302" t="s">
        <v>178</v>
      </c>
      <c r="P299" s="85">
        <f t="shared" si="71"/>
        <v>45817</v>
      </c>
      <c r="Q299" s="85">
        <v>45798</v>
      </c>
      <c r="R299" s="85">
        <f t="shared" si="67"/>
        <v>45800</v>
      </c>
      <c r="S299" s="7">
        <f t="shared" ca="1" si="68"/>
        <v>19</v>
      </c>
      <c r="T299" s="85">
        <f>G299-32-13</f>
        <v>45832</v>
      </c>
      <c r="U299" s="85"/>
      <c r="V299" s="7">
        <f t="shared" ca="1" si="69"/>
        <v>-8</v>
      </c>
      <c r="W299" s="85"/>
      <c r="X299" s="8"/>
    </row>
    <row r="300" spans="1:24" ht="14.5" hidden="1">
      <c r="A300" s="14">
        <v>145</v>
      </c>
      <c r="B300" s="15" t="s">
        <v>59</v>
      </c>
      <c r="C300" s="20"/>
      <c r="D300" s="307" t="s">
        <v>193</v>
      </c>
      <c r="E300" s="146" t="s">
        <v>249</v>
      </c>
      <c r="F300" s="146" t="s">
        <v>162</v>
      </c>
      <c r="G300" s="240">
        <v>45877</v>
      </c>
      <c r="H300" s="17">
        <v>2242</v>
      </c>
      <c r="I300" s="86"/>
      <c r="J300" s="17">
        <v>5644</v>
      </c>
      <c r="K300" s="18">
        <v>5644</v>
      </c>
      <c r="L300" s="18">
        <v>2345</v>
      </c>
      <c r="M300" s="40">
        <f t="shared" ref="M300" si="72">+J300-L300</f>
        <v>3299</v>
      </c>
      <c r="N300" s="40">
        <f t="shared" ref="N300" si="73">+J300-K300</f>
        <v>0</v>
      </c>
      <c r="O300" s="301" t="s">
        <v>263</v>
      </c>
      <c r="P300" s="85">
        <f t="shared" ref="P300" si="74">T300-15</f>
        <v>45817</v>
      </c>
      <c r="Q300" s="85">
        <v>45798</v>
      </c>
      <c r="R300" s="85">
        <f t="shared" ref="R300" si="75">Q300+2</f>
        <v>45800</v>
      </c>
      <c r="S300" s="7">
        <f t="shared" ref="S300" ca="1" si="76">+IF(Q300="",P300-TODAY(),P300-Q300)</f>
        <v>19</v>
      </c>
      <c r="T300" s="85">
        <f>G300-32-13</f>
        <v>45832</v>
      </c>
      <c r="U300" s="85"/>
      <c r="V300" s="7">
        <f t="shared" ref="V300" ca="1" si="77">+IF(U300="",T300-TODAY(),T300-U300)</f>
        <v>-8</v>
      </c>
      <c r="W300" s="85"/>
      <c r="X300" s="8"/>
    </row>
    <row r="301" spans="1:24" ht="14.5" hidden="1">
      <c r="A301" s="14">
        <v>145</v>
      </c>
      <c r="B301" s="15" t="s">
        <v>59</v>
      </c>
      <c r="C301" s="20"/>
      <c r="D301" s="307" t="s">
        <v>288</v>
      </c>
      <c r="E301" s="146" t="s">
        <v>289</v>
      </c>
      <c r="F301" s="146" t="s">
        <v>155</v>
      </c>
      <c r="G301" s="240">
        <v>45877</v>
      </c>
      <c r="H301" s="17">
        <v>2243</v>
      </c>
      <c r="I301" s="86"/>
      <c r="J301" s="17">
        <v>637.20453176470585</v>
      </c>
      <c r="K301" s="18">
        <v>637</v>
      </c>
      <c r="L301" s="18">
        <v>438</v>
      </c>
      <c r="M301" s="40">
        <f t="shared" si="64"/>
        <v>199.20453176470585</v>
      </c>
      <c r="N301" s="40">
        <f t="shared" si="65"/>
        <v>0.20453176470584822</v>
      </c>
      <c r="O301" s="302" t="s">
        <v>178</v>
      </c>
      <c r="P301" s="85">
        <f t="shared" si="71"/>
        <v>45822</v>
      </c>
      <c r="Q301" s="85">
        <v>45822</v>
      </c>
      <c r="R301" s="85">
        <f t="shared" si="67"/>
        <v>45824</v>
      </c>
      <c r="S301" s="7">
        <f t="shared" ca="1" si="68"/>
        <v>0</v>
      </c>
      <c r="T301" s="85">
        <f>G301-32-8</f>
        <v>45837</v>
      </c>
      <c r="U301" s="85"/>
      <c r="V301" s="7">
        <f t="shared" ca="1" si="69"/>
        <v>-3</v>
      </c>
      <c r="W301" s="85"/>
      <c r="X301" s="8"/>
    </row>
    <row r="302" spans="1:24" ht="14.5" hidden="1">
      <c r="A302" s="14">
        <v>145</v>
      </c>
      <c r="B302" s="15" t="s">
        <v>59</v>
      </c>
      <c r="C302" s="20"/>
      <c r="D302" s="307" t="s">
        <v>288</v>
      </c>
      <c r="E302" s="146" t="s">
        <v>289</v>
      </c>
      <c r="F302" s="146" t="s">
        <v>154</v>
      </c>
      <c r="G302" s="240">
        <v>45877</v>
      </c>
      <c r="H302" s="17">
        <v>2244</v>
      </c>
      <c r="I302" s="86"/>
      <c r="J302" s="17">
        <v>526.76260000000002</v>
      </c>
      <c r="K302" s="18">
        <v>527</v>
      </c>
      <c r="L302" s="18">
        <v>365</v>
      </c>
      <c r="M302" s="40">
        <f t="shared" si="64"/>
        <v>161.76260000000002</v>
      </c>
      <c r="N302" s="40">
        <f t="shared" si="65"/>
        <v>-0.23739999999997963</v>
      </c>
      <c r="O302" s="302" t="s">
        <v>178</v>
      </c>
      <c r="P302" s="85">
        <f t="shared" si="71"/>
        <v>45822</v>
      </c>
      <c r="Q302" s="85">
        <v>45822</v>
      </c>
      <c r="R302" s="85">
        <f t="shared" si="67"/>
        <v>45824</v>
      </c>
      <c r="S302" s="7">
        <f t="shared" ca="1" si="68"/>
        <v>0</v>
      </c>
      <c r="T302" s="85">
        <f>G302-32-8</f>
        <v>45837</v>
      </c>
      <c r="U302" s="85"/>
      <c r="V302" s="7">
        <f t="shared" ca="1" si="69"/>
        <v>-3</v>
      </c>
      <c r="W302" s="85"/>
      <c r="X302" s="8"/>
    </row>
    <row r="303" spans="1:24" ht="14.5" hidden="1">
      <c r="A303" s="14">
        <v>145</v>
      </c>
      <c r="B303" s="15" t="s">
        <v>59</v>
      </c>
      <c r="C303" s="20"/>
      <c r="D303" s="307" t="s">
        <v>288</v>
      </c>
      <c r="E303" s="146" t="s">
        <v>289</v>
      </c>
      <c r="F303" s="146" t="s">
        <v>156</v>
      </c>
      <c r="G303" s="240">
        <v>45877</v>
      </c>
      <c r="H303" s="17">
        <v>2245</v>
      </c>
      <c r="I303" s="86"/>
      <c r="J303" s="17">
        <v>421.41007999999999</v>
      </c>
      <c r="K303" s="18">
        <v>421</v>
      </c>
      <c r="L303" s="18"/>
      <c r="M303" s="40">
        <f t="shared" si="64"/>
        <v>421.41007999999999</v>
      </c>
      <c r="N303" s="40">
        <f t="shared" si="65"/>
        <v>0.41007999999999356</v>
      </c>
      <c r="O303" s="302" t="s">
        <v>178</v>
      </c>
      <c r="P303" s="85">
        <f t="shared" si="71"/>
        <v>45822</v>
      </c>
      <c r="Q303" s="85">
        <v>45807</v>
      </c>
      <c r="R303" s="85">
        <f t="shared" si="67"/>
        <v>45809</v>
      </c>
      <c r="S303" s="7">
        <f t="shared" ca="1" si="68"/>
        <v>15</v>
      </c>
      <c r="T303" s="85">
        <f>G303-32-8</f>
        <v>45837</v>
      </c>
      <c r="U303" s="85"/>
      <c r="V303" s="7">
        <f t="shared" ca="1" si="69"/>
        <v>-3</v>
      </c>
      <c r="W303" s="85"/>
      <c r="X303" s="8"/>
    </row>
    <row r="304" spans="1:24" ht="14.5" hidden="1">
      <c r="A304" s="14">
        <v>145</v>
      </c>
      <c r="B304" s="15" t="s">
        <v>59</v>
      </c>
      <c r="C304" s="20"/>
      <c r="D304" s="307" t="s">
        <v>189</v>
      </c>
      <c r="E304" s="146" t="s">
        <v>242</v>
      </c>
      <c r="F304" s="146" t="s">
        <v>90</v>
      </c>
      <c r="G304" s="240">
        <v>45877</v>
      </c>
      <c r="H304" s="17">
        <v>2248</v>
      </c>
      <c r="I304" s="86"/>
      <c r="J304" s="17">
        <v>37</v>
      </c>
      <c r="K304" s="18">
        <v>37</v>
      </c>
      <c r="L304" s="18"/>
      <c r="M304" s="40">
        <f t="shared" si="64"/>
        <v>37</v>
      </c>
      <c r="N304" s="40">
        <f t="shared" si="65"/>
        <v>0</v>
      </c>
      <c r="O304" s="302" t="s">
        <v>178</v>
      </c>
      <c r="P304" s="85">
        <f t="shared" ref="P304:P310" si="78">T304-15</f>
        <v>45830</v>
      </c>
      <c r="Q304" s="85">
        <v>45818</v>
      </c>
      <c r="R304" s="85">
        <f t="shared" si="67"/>
        <v>45820</v>
      </c>
      <c r="S304" s="7">
        <f t="shared" ca="1" si="68"/>
        <v>12</v>
      </c>
      <c r="T304" s="85">
        <f>G304-32</f>
        <v>45845</v>
      </c>
      <c r="U304" s="85"/>
      <c r="V304" s="7">
        <f t="shared" ca="1" si="69"/>
        <v>5</v>
      </c>
      <c r="W304" s="85"/>
      <c r="X304" s="8"/>
    </row>
    <row r="305" spans="1:24" ht="14.5" hidden="1">
      <c r="A305" s="14">
        <v>145</v>
      </c>
      <c r="B305" s="15" t="s">
        <v>59</v>
      </c>
      <c r="C305" s="20"/>
      <c r="D305" s="307" t="s">
        <v>158</v>
      </c>
      <c r="E305" s="146" t="s">
        <v>242</v>
      </c>
      <c r="F305" s="146" t="s">
        <v>255</v>
      </c>
      <c r="G305" s="240">
        <v>45877</v>
      </c>
      <c r="H305" s="17">
        <v>2249</v>
      </c>
      <c r="I305" s="86"/>
      <c r="J305" s="17">
        <v>571.07320000000004</v>
      </c>
      <c r="K305" s="18">
        <v>571</v>
      </c>
      <c r="L305" s="18"/>
      <c r="M305" s="40">
        <f t="shared" si="64"/>
        <v>571.07320000000004</v>
      </c>
      <c r="N305" s="40">
        <f t="shared" si="65"/>
        <v>7.3200000000042564E-2</v>
      </c>
      <c r="O305" s="302" t="s">
        <v>178</v>
      </c>
      <c r="P305" s="85">
        <f t="shared" si="78"/>
        <v>45830</v>
      </c>
      <c r="Q305" s="85">
        <v>45819</v>
      </c>
      <c r="R305" s="85">
        <f t="shared" si="67"/>
        <v>45821</v>
      </c>
      <c r="S305" s="7">
        <f t="shared" ca="1" si="68"/>
        <v>11</v>
      </c>
      <c r="T305" s="85">
        <f>G305-32</f>
        <v>45845</v>
      </c>
      <c r="U305" s="85"/>
      <c r="V305" s="7">
        <f t="shared" ca="1" si="69"/>
        <v>5</v>
      </c>
      <c r="W305" s="85"/>
      <c r="X305" s="8"/>
    </row>
    <row r="306" spans="1:24" ht="14.5" hidden="1">
      <c r="A306" s="14">
        <v>145</v>
      </c>
      <c r="B306" s="15" t="s">
        <v>59</v>
      </c>
      <c r="C306" s="20"/>
      <c r="D306" s="312" t="s">
        <v>190</v>
      </c>
      <c r="E306" s="146" t="s">
        <v>242</v>
      </c>
      <c r="F306" s="146" t="s">
        <v>244</v>
      </c>
      <c r="G306" s="240">
        <v>45877</v>
      </c>
      <c r="H306" s="17">
        <v>2250</v>
      </c>
      <c r="I306" s="86"/>
      <c r="J306" s="17">
        <v>491</v>
      </c>
      <c r="K306" s="18">
        <v>491</v>
      </c>
      <c r="L306" s="18">
        <v>491</v>
      </c>
      <c r="M306" s="40">
        <f t="shared" si="64"/>
        <v>0</v>
      </c>
      <c r="N306" s="40">
        <f t="shared" si="65"/>
        <v>0</v>
      </c>
      <c r="O306" s="302" t="s">
        <v>178</v>
      </c>
      <c r="P306" s="85">
        <f t="shared" si="78"/>
        <v>45817</v>
      </c>
      <c r="Q306" s="85">
        <v>45792</v>
      </c>
      <c r="R306" s="85">
        <f t="shared" si="67"/>
        <v>45794</v>
      </c>
      <c r="S306" s="7">
        <f t="shared" ca="1" si="68"/>
        <v>25</v>
      </c>
      <c r="T306" s="85">
        <f>G306-32-13</f>
        <v>45832</v>
      </c>
      <c r="U306" s="85">
        <v>45801</v>
      </c>
      <c r="V306" s="7">
        <f t="shared" ca="1" si="69"/>
        <v>31</v>
      </c>
      <c r="W306" s="85"/>
      <c r="X306" s="8"/>
    </row>
    <row r="307" spans="1:24" ht="14.5" hidden="1">
      <c r="A307" s="14">
        <v>146</v>
      </c>
      <c r="B307" s="15" t="s">
        <v>59</v>
      </c>
      <c r="C307" s="20"/>
      <c r="D307" s="307" t="s">
        <v>193</v>
      </c>
      <c r="E307" s="146" t="s">
        <v>246</v>
      </c>
      <c r="F307" s="146" t="s">
        <v>162</v>
      </c>
      <c r="G307" s="240">
        <v>45877</v>
      </c>
      <c r="H307" s="17">
        <v>2251</v>
      </c>
      <c r="I307" s="86"/>
      <c r="J307" s="17">
        <v>477.21960000000007</v>
      </c>
      <c r="K307" s="18">
        <v>477</v>
      </c>
      <c r="L307" s="18"/>
      <c r="M307" s="40">
        <f t="shared" si="64"/>
        <v>477.21960000000007</v>
      </c>
      <c r="N307" s="40">
        <f t="shared" si="65"/>
        <v>0.21960000000007085</v>
      </c>
      <c r="O307" s="302" t="s">
        <v>178</v>
      </c>
      <c r="P307" s="85">
        <f t="shared" si="78"/>
        <v>45817</v>
      </c>
      <c r="Q307" s="85">
        <v>45798</v>
      </c>
      <c r="R307" s="85">
        <f t="shared" si="67"/>
        <v>45800</v>
      </c>
      <c r="S307" s="7">
        <f t="shared" ca="1" si="68"/>
        <v>19</v>
      </c>
      <c r="T307" s="85">
        <f>G307-32-13</f>
        <v>45832</v>
      </c>
      <c r="U307" s="85"/>
      <c r="V307" s="7">
        <f t="shared" ca="1" si="69"/>
        <v>-8</v>
      </c>
      <c r="W307" s="85"/>
      <c r="X307" s="8"/>
    </row>
    <row r="308" spans="1:24" ht="14.5" hidden="1">
      <c r="A308" s="14">
        <v>146</v>
      </c>
      <c r="B308" s="15" t="s">
        <v>59</v>
      </c>
      <c r="C308" s="20"/>
      <c r="D308" s="307" t="s">
        <v>288</v>
      </c>
      <c r="E308" s="146" t="s">
        <v>289</v>
      </c>
      <c r="F308" s="146" t="s">
        <v>155</v>
      </c>
      <c r="G308" s="240">
        <v>45877</v>
      </c>
      <c r="H308" s="17">
        <v>2252</v>
      </c>
      <c r="I308" s="86"/>
      <c r="J308" s="17">
        <v>637.20453176470585</v>
      </c>
      <c r="K308" s="18">
        <v>637</v>
      </c>
      <c r="L308" s="18">
        <v>328</v>
      </c>
      <c r="M308" s="40">
        <f t="shared" si="64"/>
        <v>309.20453176470585</v>
      </c>
      <c r="N308" s="40">
        <f t="shared" si="65"/>
        <v>0.20453176470584822</v>
      </c>
      <c r="O308" s="302" t="s">
        <v>178</v>
      </c>
      <c r="P308" s="85">
        <f t="shared" si="78"/>
        <v>45822</v>
      </c>
      <c r="Q308" s="85">
        <v>45827</v>
      </c>
      <c r="R308" s="85">
        <f t="shared" si="67"/>
        <v>45829</v>
      </c>
      <c r="S308" s="7">
        <f t="shared" ca="1" si="68"/>
        <v>-5</v>
      </c>
      <c r="T308" s="85">
        <f>G308-32-8</f>
        <v>45837</v>
      </c>
      <c r="U308" s="85"/>
      <c r="V308" s="7">
        <f t="shared" ca="1" si="69"/>
        <v>-3</v>
      </c>
      <c r="W308" s="85"/>
      <c r="X308" s="8"/>
    </row>
    <row r="309" spans="1:24" ht="14.5" hidden="1">
      <c r="A309" s="14">
        <v>146</v>
      </c>
      <c r="B309" s="15" t="s">
        <v>59</v>
      </c>
      <c r="C309" s="20"/>
      <c r="D309" s="307" t="s">
        <v>288</v>
      </c>
      <c r="E309" s="146" t="s">
        <v>289</v>
      </c>
      <c r="F309" s="146" t="s">
        <v>154</v>
      </c>
      <c r="G309" s="240">
        <v>45877</v>
      </c>
      <c r="H309" s="17">
        <v>2253</v>
      </c>
      <c r="I309" s="86"/>
      <c r="J309" s="17">
        <v>526.76260000000002</v>
      </c>
      <c r="K309" s="18">
        <v>527</v>
      </c>
      <c r="L309" s="18">
        <v>273</v>
      </c>
      <c r="M309" s="40">
        <f t="shared" si="64"/>
        <v>253.76260000000002</v>
      </c>
      <c r="N309" s="40">
        <f t="shared" si="65"/>
        <v>-0.23739999999997963</v>
      </c>
      <c r="O309" s="302" t="s">
        <v>178</v>
      </c>
      <c r="P309" s="85">
        <f t="shared" si="78"/>
        <v>45822</v>
      </c>
      <c r="Q309" s="85">
        <v>45822</v>
      </c>
      <c r="R309" s="85">
        <f t="shared" si="67"/>
        <v>45824</v>
      </c>
      <c r="S309" s="7">
        <f t="shared" ca="1" si="68"/>
        <v>0</v>
      </c>
      <c r="T309" s="85">
        <f>G309-32-8</f>
        <v>45837</v>
      </c>
      <c r="U309" s="85"/>
      <c r="V309" s="7">
        <f t="shared" ca="1" si="69"/>
        <v>-3</v>
      </c>
      <c r="W309" s="85"/>
      <c r="X309" s="8"/>
    </row>
    <row r="310" spans="1:24" ht="14.5" hidden="1">
      <c r="A310" s="14">
        <v>146</v>
      </c>
      <c r="B310" s="15" t="s">
        <v>59</v>
      </c>
      <c r="C310" s="20"/>
      <c r="D310" s="307" t="s">
        <v>288</v>
      </c>
      <c r="E310" s="146" t="s">
        <v>289</v>
      </c>
      <c r="F310" s="146" t="s">
        <v>156</v>
      </c>
      <c r="G310" s="240">
        <v>45877</v>
      </c>
      <c r="H310" s="17">
        <v>2254</v>
      </c>
      <c r="I310" s="86"/>
      <c r="J310" s="17">
        <v>421.41007999999999</v>
      </c>
      <c r="K310" s="18">
        <v>421</v>
      </c>
      <c r="L310" s="18"/>
      <c r="M310" s="40">
        <f t="shared" si="64"/>
        <v>421.41007999999999</v>
      </c>
      <c r="N310" s="40">
        <f t="shared" si="65"/>
        <v>0.41007999999999356</v>
      </c>
      <c r="O310" s="302" t="s">
        <v>178</v>
      </c>
      <c r="P310" s="85">
        <f t="shared" si="78"/>
        <v>45822</v>
      </c>
      <c r="Q310" s="85">
        <v>45807</v>
      </c>
      <c r="R310" s="85">
        <f t="shared" si="67"/>
        <v>45809</v>
      </c>
      <c r="S310" s="7">
        <f t="shared" ca="1" si="68"/>
        <v>15</v>
      </c>
      <c r="T310" s="85">
        <f>G310-32-8</f>
        <v>45837</v>
      </c>
      <c r="U310" s="85"/>
      <c r="V310" s="7">
        <f t="shared" ca="1" si="69"/>
        <v>-3</v>
      </c>
      <c r="W310" s="85"/>
      <c r="X310" s="8"/>
    </row>
    <row r="311" spans="1:24" ht="14.5" hidden="1">
      <c r="A311" s="14">
        <v>146</v>
      </c>
      <c r="B311" s="15" t="s">
        <v>59</v>
      </c>
      <c r="C311" s="20"/>
      <c r="D311" s="307" t="s">
        <v>157</v>
      </c>
      <c r="E311" s="146" t="s">
        <v>243</v>
      </c>
      <c r="F311" s="146" t="s">
        <v>162</v>
      </c>
      <c r="G311" s="240">
        <v>45877</v>
      </c>
      <c r="H311" s="17">
        <v>2255</v>
      </c>
      <c r="I311" s="86"/>
      <c r="J311" s="17">
        <v>227.34160000000003</v>
      </c>
      <c r="K311" s="18">
        <v>227</v>
      </c>
      <c r="L311" s="18"/>
      <c r="M311" s="40">
        <f t="shared" si="64"/>
        <v>227.34160000000003</v>
      </c>
      <c r="N311" s="40">
        <f t="shared" si="65"/>
        <v>0.3416000000000281</v>
      </c>
      <c r="O311" s="301" t="s">
        <v>871</v>
      </c>
      <c r="P311" s="85">
        <f>T311-18</f>
        <v>45824</v>
      </c>
      <c r="Q311" s="85">
        <v>45832</v>
      </c>
      <c r="R311" s="85">
        <f t="shared" si="67"/>
        <v>45834</v>
      </c>
      <c r="S311" s="7">
        <f t="shared" ca="1" si="68"/>
        <v>-8</v>
      </c>
      <c r="T311" s="85">
        <f>G311-35</f>
        <v>45842</v>
      </c>
      <c r="U311" s="85"/>
      <c r="V311" s="7">
        <f t="shared" ca="1" si="69"/>
        <v>2</v>
      </c>
      <c r="W311" s="85"/>
      <c r="X311" s="8"/>
    </row>
    <row r="312" spans="1:24" ht="14.5" hidden="1">
      <c r="A312" s="14">
        <v>146</v>
      </c>
      <c r="B312" s="15" t="s">
        <v>59</v>
      </c>
      <c r="C312" s="20"/>
      <c r="D312" s="307" t="s">
        <v>158</v>
      </c>
      <c r="E312" s="146" t="s">
        <v>242</v>
      </c>
      <c r="F312" s="146" t="s">
        <v>154</v>
      </c>
      <c r="G312" s="240">
        <v>45877</v>
      </c>
      <c r="H312" s="17">
        <v>2257</v>
      </c>
      <c r="I312" s="86"/>
      <c r="J312" s="17">
        <v>571.07320000000004</v>
      </c>
      <c r="K312" s="18">
        <v>571</v>
      </c>
      <c r="L312" s="18">
        <v>571</v>
      </c>
      <c r="M312" s="40">
        <f t="shared" si="64"/>
        <v>7.3200000000042564E-2</v>
      </c>
      <c r="N312" s="40">
        <f t="shared" si="65"/>
        <v>7.3200000000042564E-2</v>
      </c>
      <c r="O312" s="302" t="s">
        <v>178</v>
      </c>
      <c r="P312" s="85">
        <f t="shared" ref="P312:P327" si="79">T312-15</f>
        <v>45830</v>
      </c>
      <c r="Q312" s="85">
        <v>45818</v>
      </c>
      <c r="R312" s="85">
        <f t="shared" si="67"/>
        <v>45820</v>
      </c>
      <c r="S312" s="7">
        <f t="shared" ca="1" si="68"/>
        <v>12</v>
      </c>
      <c r="T312" s="85">
        <f>G312-32</f>
        <v>45845</v>
      </c>
      <c r="U312" s="85">
        <v>45838</v>
      </c>
      <c r="V312" s="7">
        <f t="shared" ca="1" si="69"/>
        <v>7</v>
      </c>
      <c r="W312" s="85"/>
      <c r="X312" s="8"/>
    </row>
    <row r="313" spans="1:24" ht="14.5" hidden="1">
      <c r="A313" s="14">
        <v>146</v>
      </c>
      <c r="B313" s="15" t="s">
        <v>59</v>
      </c>
      <c r="C313" s="20"/>
      <c r="D313" s="307" t="s">
        <v>158</v>
      </c>
      <c r="E313" s="146" t="s">
        <v>242</v>
      </c>
      <c r="F313" s="146" t="s">
        <v>255</v>
      </c>
      <c r="G313" s="240">
        <v>45877</v>
      </c>
      <c r="H313" s="17">
        <v>2258</v>
      </c>
      <c r="I313" s="86"/>
      <c r="J313" s="17">
        <v>571.07320000000004</v>
      </c>
      <c r="K313" s="18">
        <v>571</v>
      </c>
      <c r="L313" s="18"/>
      <c r="M313" s="40">
        <f t="shared" si="64"/>
        <v>571.07320000000004</v>
      </c>
      <c r="N313" s="40">
        <f t="shared" si="65"/>
        <v>7.3200000000042564E-2</v>
      </c>
      <c r="O313" s="302" t="s">
        <v>178</v>
      </c>
      <c r="P313" s="85">
        <f t="shared" si="79"/>
        <v>45830</v>
      </c>
      <c r="Q313" s="85">
        <v>45819</v>
      </c>
      <c r="R313" s="85">
        <f t="shared" si="67"/>
        <v>45821</v>
      </c>
      <c r="S313" s="7">
        <f t="shared" ca="1" si="68"/>
        <v>11</v>
      </c>
      <c r="T313" s="85">
        <f>G313-32</f>
        <v>45845</v>
      </c>
      <c r="U313" s="85"/>
      <c r="V313" s="7">
        <f t="shared" ca="1" si="69"/>
        <v>5</v>
      </c>
      <c r="W313" s="85"/>
      <c r="X313" s="8"/>
    </row>
    <row r="314" spans="1:24" ht="14.5" hidden="1">
      <c r="A314" s="14">
        <v>146</v>
      </c>
      <c r="B314" s="15" t="s">
        <v>59</v>
      </c>
      <c r="C314" s="20"/>
      <c r="D314" s="312" t="s">
        <v>190</v>
      </c>
      <c r="E314" s="146" t="s">
        <v>242</v>
      </c>
      <c r="F314" s="146" t="s">
        <v>244</v>
      </c>
      <c r="G314" s="240">
        <v>45877</v>
      </c>
      <c r="H314" s="17">
        <v>2259</v>
      </c>
      <c r="I314" s="86"/>
      <c r="J314" s="17">
        <v>82.268160000000009</v>
      </c>
      <c r="K314" s="18">
        <v>82</v>
      </c>
      <c r="L314" s="18">
        <v>82</v>
      </c>
      <c r="M314" s="40">
        <f t="shared" si="64"/>
        <v>0.26816000000000884</v>
      </c>
      <c r="N314" s="40">
        <f t="shared" si="65"/>
        <v>0.26816000000000884</v>
      </c>
      <c r="O314" s="302" t="s">
        <v>178</v>
      </c>
      <c r="P314" s="85">
        <f t="shared" si="79"/>
        <v>45817</v>
      </c>
      <c r="Q314" s="85">
        <v>45792</v>
      </c>
      <c r="R314" s="85">
        <f t="shared" si="67"/>
        <v>45794</v>
      </c>
      <c r="S314" s="7">
        <f t="shared" ca="1" si="68"/>
        <v>25</v>
      </c>
      <c r="T314" s="85">
        <f>G314-32-13</f>
        <v>45832</v>
      </c>
      <c r="U314" s="85">
        <v>45801</v>
      </c>
      <c r="V314" s="7">
        <f t="shared" ca="1" si="69"/>
        <v>31</v>
      </c>
      <c r="W314" s="85"/>
      <c r="X314" s="8"/>
    </row>
    <row r="315" spans="1:24" ht="14.5" hidden="1">
      <c r="A315" s="14">
        <v>147</v>
      </c>
      <c r="B315" s="15" t="s">
        <v>59</v>
      </c>
      <c r="C315" s="20"/>
      <c r="D315" s="311" t="s">
        <v>248</v>
      </c>
      <c r="E315" s="146" t="s">
        <v>270</v>
      </c>
      <c r="F315" s="146" t="s">
        <v>162</v>
      </c>
      <c r="G315" s="240">
        <v>45877</v>
      </c>
      <c r="H315" s="17">
        <v>2260</v>
      </c>
      <c r="I315" s="86"/>
      <c r="J315" s="17">
        <v>3390.3282239999999</v>
      </c>
      <c r="K315" s="18">
        <v>3390</v>
      </c>
      <c r="L315" s="18">
        <v>3391</v>
      </c>
      <c r="M315" s="40">
        <f t="shared" si="64"/>
        <v>-0.67177600000013626</v>
      </c>
      <c r="N315" s="40">
        <f t="shared" si="65"/>
        <v>0.32822399999986374</v>
      </c>
      <c r="O315" s="302" t="s">
        <v>178</v>
      </c>
      <c r="P315" s="85">
        <f t="shared" si="79"/>
        <v>45817</v>
      </c>
      <c r="Q315" s="85">
        <v>45799</v>
      </c>
      <c r="R315" s="85">
        <f t="shared" si="67"/>
        <v>45801</v>
      </c>
      <c r="S315" s="7">
        <f t="shared" ca="1" si="68"/>
        <v>18</v>
      </c>
      <c r="T315" s="85">
        <f>G315-32-13</f>
        <v>45832</v>
      </c>
      <c r="U315" s="85">
        <v>45828</v>
      </c>
      <c r="V315" s="7">
        <f t="shared" ca="1" si="69"/>
        <v>4</v>
      </c>
      <c r="W315" s="85"/>
      <c r="X315" s="8"/>
    </row>
    <row r="316" spans="1:24" ht="14.5">
      <c r="A316" s="14">
        <v>147</v>
      </c>
      <c r="B316" s="15" t="s">
        <v>59</v>
      </c>
      <c r="C316" s="20"/>
      <c r="D316" s="307" t="s">
        <v>201</v>
      </c>
      <c r="E316" s="146" t="s">
        <v>247</v>
      </c>
      <c r="F316" s="146" t="s">
        <v>155</v>
      </c>
      <c r="G316" s="240">
        <v>45877</v>
      </c>
      <c r="H316" s="17">
        <v>2261</v>
      </c>
      <c r="I316" s="86"/>
      <c r="J316" s="17">
        <v>3997.9549209599991</v>
      </c>
      <c r="K316" s="18">
        <v>3998</v>
      </c>
      <c r="L316" s="18"/>
      <c r="M316" s="40">
        <f t="shared" si="64"/>
        <v>3997.9549209599991</v>
      </c>
      <c r="N316" s="40">
        <f t="shared" si="65"/>
        <v>-4.5079040000928217E-2</v>
      </c>
      <c r="O316" s="302" t="s">
        <v>178</v>
      </c>
      <c r="P316" s="85">
        <f t="shared" si="79"/>
        <v>45818</v>
      </c>
      <c r="Q316" s="85">
        <v>45815</v>
      </c>
      <c r="R316" s="85">
        <f t="shared" si="67"/>
        <v>45817</v>
      </c>
      <c r="S316" s="7">
        <f t="shared" ca="1" si="68"/>
        <v>3</v>
      </c>
      <c r="T316" s="85">
        <f>G316-32-12</f>
        <v>45833</v>
      </c>
      <c r="U316" s="85"/>
      <c r="V316" s="7">
        <f t="shared" ca="1" si="69"/>
        <v>-7</v>
      </c>
      <c r="W316" s="85"/>
      <c r="X316" s="8"/>
    </row>
    <row r="317" spans="1:24" ht="14.5" hidden="1">
      <c r="A317" s="14">
        <v>147</v>
      </c>
      <c r="B317" s="15" t="s">
        <v>59</v>
      </c>
      <c r="C317" s="20"/>
      <c r="D317" s="307" t="s">
        <v>158</v>
      </c>
      <c r="E317" s="146" t="s">
        <v>242</v>
      </c>
      <c r="F317" s="146" t="s">
        <v>155</v>
      </c>
      <c r="G317" s="240">
        <v>45877</v>
      </c>
      <c r="H317" s="17">
        <v>2262</v>
      </c>
      <c r="I317" s="86"/>
      <c r="J317" s="17">
        <v>598.42999999999995</v>
      </c>
      <c r="K317" s="18">
        <v>598</v>
      </c>
      <c r="L317" s="18"/>
      <c r="M317" s="40">
        <f t="shared" si="64"/>
        <v>598.42999999999995</v>
      </c>
      <c r="N317" s="40">
        <f t="shared" si="65"/>
        <v>0.42999999999994998</v>
      </c>
      <c r="O317" s="302" t="s">
        <v>178</v>
      </c>
      <c r="P317" s="85">
        <f t="shared" si="79"/>
        <v>45830</v>
      </c>
      <c r="Q317" s="85">
        <v>45822</v>
      </c>
      <c r="R317" s="85">
        <f t="shared" si="67"/>
        <v>45824</v>
      </c>
      <c r="S317" s="7">
        <f t="shared" ca="1" si="68"/>
        <v>8</v>
      </c>
      <c r="T317" s="85">
        <f>G317-32</f>
        <v>45845</v>
      </c>
      <c r="U317" s="85"/>
      <c r="V317" s="7">
        <f t="shared" ca="1" si="69"/>
        <v>5</v>
      </c>
      <c r="W317" s="85"/>
      <c r="X317" s="8"/>
    </row>
    <row r="318" spans="1:24" ht="14.5" hidden="1">
      <c r="A318" s="14">
        <v>147</v>
      </c>
      <c r="B318" s="15" t="s">
        <v>59</v>
      </c>
      <c r="C318" s="20"/>
      <c r="D318" s="307" t="s">
        <v>195</v>
      </c>
      <c r="E318" s="146" t="s">
        <v>838</v>
      </c>
      <c r="F318" s="146" t="s">
        <v>162</v>
      </c>
      <c r="G318" s="240">
        <v>45877</v>
      </c>
      <c r="H318" s="17">
        <v>2263</v>
      </c>
      <c r="I318" s="86">
        <v>0.23</v>
      </c>
      <c r="J318" s="17">
        <v>988.55280000000005</v>
      </c>
      <c r="K318" s="18">
        <v>989</v>
      </c>
      <c r="L318" s="18"/>
      <c r="M318" s="40">
        <f t="shared" si="64"/>
        <v>988.55280000000005</v>
      </c>
      <c r="N318" s="40">
        <f t="shared" si="65"/>
        <v>-0.44719999999995252</v>
      </c>
      <c r="O318" s="302" t="s">
        <v>178</v>
      </c>
      <c r="P318" s="85">
        <f t="shared" si="79"/>
        <v>45821</v>
      </c>
      <c r="Q318" s="85">
        <v>45832</v>
      </c>
      <c r="R318" s="85">
        <f t="shared" si="67"/>
        <v>45834</v>
      </c>
      <c r="S318" s="7">
        <f t="shared" ca="1" si="68"/>
        <v>-11</v>
      </c>
      <c r="T318" s="85">
        <f>G318-32-9</f>
        <v>45836</v>
      </c>
      <c r="U318" s="85"/>
      <c r="V318" s="7">
        <f t="shared" ca="1" si="69"/>
        <v>-4</v>
      </c>
      <c r="W318" s="85"/>
      <c r="X318" s="8"/>
    </row>
    <row r="319" spans="1:24" ht="14.5" hidden="1">
      <c r="A319" s="14">
        <v>147</v>
      </c>
      <c r="B319" s="15" t="s">
        <v>59</v>
      </c>
      <c r="C319" s="20"/>
      <c r="D319" s="307" t="s">
        <v>158</v>
      </c>
      <c r="E319" s="146" t="s">
        <v>242</v>
      </c>
      <c r="F319" s="146" t="s">
        <v>255</v>
      </c>
      <c r="G319" s="240">
        <v>45877</v>
      </c>
      <c r="H319" s="17">
        <v>2264</v>
      </c>
      <c r="I319" s="86"/>
      <c r="J319" s="17">
        <v>755.73159999999996</v>
      </c>
      <c r="K319" s="18">
        <v>756</v>
      </c>
      <c r="L319" s="18"/>
      <c r="M319" s="40">
        <f t="shared" si="64"/>
        <v>755.73159999999996</v>
      </c>
      <c r="N319" s="40">
        <f t="shared" si="65"/>
        <v>-0.26840000000004238</v>
      </c>
      <c r="O319" s="302" t="s">
        <v>178</v>
      </c>
      <c r="P319" s="85">
        <f t="shared" si="79"/>
        <v>45830</v>
      </c>
      <c r="Q319" s="85">
        <v>45819</v>
      </c>
      <c r="R319" s="85">
        <f t="shared" si="67"/>
        <v>45821</v>
      </c>
      <c r="S319" s="7">
        <f t="shared" ca="1" si="68"/>
        <v>11</v>
      </c>
      <c r="T319" s="85">
        <f>G319-32</f>
        <v>45845</v>
      </c>
      <c r="U319" s="85"/>
      <c r="V319" s="7">
        <f t="shared" ca="1" si="69"/>
        <v>5</v>
      </c>
      <c r="W319" s="85"/>
      <c r="X319" s="8"/>
    </row>
    <row r="320" spans="1:24" ht="14.5" hidden="1">
      <c r="A320" s="14">
        <v>148</v>
      </c>
      <c r="B320" s="15" t="s">
        <v>59</v>
      </c>
      <c r="C320" s="20"/>
      <c r="D320" s="307" t="s">
        <v>158</v>
      </c>
      <c r="E320" s="146" t="s">
        <v>242</v>
      </c>
      <c r="F320" s="146" t="s">
        <v>154</v>
      </c>
      <c r="G320" s="240">
        <v>45877</v>
      </c>
      <c r="H320" s="17">
        <v>2266</v>
      </c>
      <c r="I320" s="86"/>
      <c r="J320" s="17">
        <v>148.7526</v>
      </c>
      <c r="K320" s="18">
        <v>149</v>
      </c>
      <c r="L320" s="18">
        <v>149</v>
      </c>
      <c r="M320" s="40">
        <f t="shared" si="64"/>
        <v>-0.24739999999999895</v>
      </c>
      <c r="N320" s="40">
        <f t="shared" si="65"/>
        <v>-0.24739999999999895</v>
      </c>
      <c r="O320" s="302" t="s">
        <v>178</v>
      </c>
      <c r="P320" s="85">
        <f t="shared" si="79"/>
        <v>45830</v>
      </c>
      <c r="Q320" s="85">
        <v>45818</v>
      </c>
      <c r="R320" s="85">
        <f t="shared" si="67"/>
        <v>45820</v>
      </c>
      <c r="S320" s="7">
        <f t="shared" ca="1" si="68"/>
        <v>12</v>
      </c>
      <c r="T320" s="85">
        <f>G320-32</f>
        <v>45845</v>
      </c>
      <c r="U320" s="85">
        <v>45838</v>
      </c>
      <c r="V320" s="7">
        <f t="shared" ca="1" si="69"/>
        <v>7</v>
      </c>
      <c r="W320" s="85"/>
      <c r="X320" s="8"/>
    </row>
    <row r="321" spans="1:24" ht="14.5" hidden="1">
      <c r="A321" s="14">
        <v>148</v>
      </c>
      <c r="B321" s="15" t="s">
        <v>59</v>
      </c>
      <c r="C321" s="20"/>
      <c r="D321" s="307" t="s">
        <v>158</v>
      </c>
      <c r="E321" s="146" t="s">
        <v>242</v>
      </c>
      <c r="F321" s="146" t="s">
        <v>155</v>
      </c>
      <c r="G321" s="240">
        <v>45877</v>
      </c>
      <c r="H321" s="17">
        <v>2267</v>
      </c>
      <c r="I321" s="86"/>
      <c r="J321" s="17">
        <v>591.59079999999994</v>
      </c>
      <c r="K321" s="18">
        <v>592</v>
      </c>
      <c r="L321" s="18"/>
      <c r="M321" s="40">
        <f t="shared" si="64"/>
        <v>591.59079999999994</v>
      </c>
      <c r="N321" s="40">
        <f t="shared" si="65"/>
        <v>-0.4092000000000553</v>
      </c>
      <c r="O321" s="302" t="s">
        <v>178</v>
      </c>
      <c r="P321" s="85">
        <f t="shared" si="79"/>
        <v>45830</v>
      </c>
      <c r="Q321" s="85">
        <v>45822</v>
      </c>
      <c r="R321" s="85">
        <f t="shared" si="67"/>
        <v>45824</v>
      </c>
      <c r="S321" s="7">
        <f t="shared" ca="1" si="68"/>
        <v>8</v>
      </c>
      <c r="T321" s="85">
        <f>G321-32</f>
        <v>45845</v>
      </c>
      <c r="U321" s="85"/>
      <c r="V321" s="7">
        <f t="shared" ca="1" si="69"/>
        <v>5</v>
      </c>
      <c r="W321" s="85"/>
      <c r="X321" s="8"/>
    </row>
    <row r="322" spans="1:24" ht="14.5" hidden="1">
      <c r="A322" s="14">
        <v>148</v>
      </c>
      <c r="B322" s="15" t="s">
        <v>59</v>
      </c>
      <c r="C322" s="20"/>
      <c r="D322" s="307" t="s">
        <v>158</v>
      </c>
      <c r="E322" s="146" t="s">
        <v>242</v>
      </c>
      <c r="F322" s="146" t="s">
        <v>255</v>
      </c>
      <c r="G322" s="240">
        <v>45877</v>
      </c>
      <c r="H322" s="17">
        <v>2268</v>
      </c>
      <c r="I322" s="86"/>
      <c r="J322" s="17">
        <v>844.64120000000003</v>
      </c>
      <c r="K322" s="18">
        <v>845</v>
      </c>
      <c r="L322" s="18"/>
      <c r="M322" s="40">
        <f t="shared" si="64"/>
        <v>844.64120000000003</v>
      </c>
      <c r="N322" s="40">
        <f t="shared" si="65"/>
        <v>-0.35879999999997381</v>
      </c>
      <c r="O322" s="302" t="s">
        <v>178</v>
      </c>
      <c r="P322" s="85">
        <f t="shared" si="79"/>
        <v>45830</v>
      </c>
      <c r="Q322" s="85">
        <v>45818</v>
      </c>
      <c r="R322" s="85">
        <f t="shared" si="67"/>
        <v>45820</v>
      </c>
      <c r="S322" s="7">
        <f t="shared" ca="1" si="68"/>
        <v>12</v>
      </c>
      <c r="T322" s="85">
        <f>G322-32</f>
        <v>45845</v>
      </c>
      <c r="U322" s="85"/>
      <c r="V322" s="7">
        <f t="shared" ca="1" si="69"/>
        <v>5</v>
      </c>
      <c r="W322" s="85"/>
      <c r="X322" s="8"/>
    </row>
    <row r="323" spans="1:24" ht="14.5" hidden="1">
      <c r="A323" s="14">
        <v>149</v>
      </c>
      <c r="B323" s="15" t="s">
        <v>59</v>
      </c>
      <c r="C323" s="20"/>
      <c r="D323" s="307" t="s">
        <v>250</v>
      </c>
      <c r="E323" s="146" t="s">
        <v>269</v>
      </c>
      <c r="F323" s="146" t="s">
        <v>162</v>
      </c>
      <c r="G323" s="240">
        <v>45885</v>
      </c>
      <c r="H323" s="17">
        <v>2269</v>
      </c>
      <c r="I323" s="86"/>
      <c r="J323" s="17">
        <v>3233.1288000000004</v>
      </c>
      <c r="K323" s="18">
        <v>3233</v>
      </c>
      <c r="L323" s="18">
        <v>3233</v>
      </c>
      <c r="M323" s="40">
        <f t="shared" si="64"/>
        <v>0.12880000000041036</v>
      </c>
      <c r="N323" s="40">
        <f t="shared" si="65"/>
        <v>0.12880000000041036</v>
      </c>
      <c r="O323" s="301" t="s">
        <v>263</v>
      </c>
      <c r="P323" s="85">
        <f t="shared" si="79"/>
        <v>45826</v>
      </c>
      <c r="Q323" s="85">
        <v>45799</v>
      </c>
      <c r="R323" s="85">
        <f t="shared" si="67"/>
        <v>45801</v>
      </c>
      <c r="S323" s="7">
        <f t="shared" ca="1" si="68"/>
        <v>27</v>
      </c>
      <c r="T323" s="85">
        <f>G323-32-12</f>
        <v>45841</v>
      </c>
      <c r="U323" s="85">
        <v>45828</v>
      </c>
      <c r="V323" s="7">
        <f t="shared" ca="1" si="69"/>
        <v>13</v>
      </c>
      <c r="W323" s="85"/>
      <c r="X323" s="8"/>
    </row>
    <row r="324" spans="1:24" ht="14.5" hidden="1">
      <c r="A324" s="14">
        <v>149</v>
      </c>
      <c r="B324" s="15" t="s">
        <v>59</v>
      </c>
      <c r="C324" s="20"/>
      <c r="D324" s="307" t="s">
        <v>158</v>
      </c>
      <c r="E324" s="146" t="s">
        <v>242</v>
      </c>
      <c r="F324" s="146" t="s">
        <v>154</v>
      </c>
      <c r="G324" s="240">
        <v>45885</v>
      </c>
      <c r="H324" s="17">
        <v>2271</v>
      </c>
      <c r="I324" s="86"/>
      <c r="J324" s="17">
        <v>574.49279999999999</v>
      </c>
      <c r="K324" s="18">
        <v>574</v>
      </c>
      <c r="L324" s="18">
        <v>355</v>
      </c>
      <c r="M324" s="40">
        <f t="shared" si="64"/>
        <v>219.49279999999999</v>
      </c>
      <c r="N324" s="40">
        <f t="shared" si="65"/>
        <v>0.49279999999998836</v>
      </c>
      <c r="O324" s="302" t="s">
        <v>178</v>
      </c>
      <c r="P324" s="85">
        <f t="shared" si="79"/>
        <v>45838</v>
      </c>
      <c r="Q324" s="85">
        <v>45818</v>
      </c>
      <c r="R324" s="85">
        <f t="shared" si="67"/>
        <v>45820</v>
      </c>
      <c r="S324" s="7">
        <f t="shared" ca="1" si="68"/>
        <v>20</v>
      </c>
      <c r="T324" s="85">
        <f>G324-32</f>
        <v>45853</v>
      </c>
      <c r="U324" s="85"/>
      <c r="V324" s="7">
        <f t="shared" ca="1" si="69"/>
        <v>13</v>
      </c>
      <c r="W324" s="85"/>
      <c r="X324" s="8"/>
    </row>
    <row r="325" spans="1:24" ht="14.5" hidden="1">
      <c r="A325" s="14">
        <v>149</v>
      </c>
      <c r="B325" s="15" t="s">
        <v>59</v>
      </c>
      <c r="C325" s="20"/>
      <c r="D325" s="307" t="s">
        <v>195</v>
      </c>
      <c r="E325" s="146" t="s">
        <v>838</v>
      </c>
      <c r="F325" s="146" t="s">
        <v>162</v>
      </c>
      <c r="G325" s="240">
        <v>45885</v>
      </c>
      <c r="H325" s="17">
        <v>2272</v>
      </c>
      <c r="I325" s="86"/>
      <c r="J325" s="17">
        <v>1116.1079999999999</v>
      </c>
      <c r="K325" s="18">
        <v>1116</v>
      </c>
      <c r="L325" s="18"/>
      <c r="M325" s="40">
        <f t="shared" si="64"/>
        <v>1116.1079999999999</v>
      </c>
      <c r="N325" s="40">
        <f t="shared" si="65"/>
        <v>0.10799999999994725</v>
      </c>
      <c r="O325" s="302" t="s">
        <v>178</v>
      </c>
      <c r="P325" s="85">
        <f t="shared" si="79"/>
        <v>45829</v>
      </c>
      <c r="Q325" s="85">
        <v>45832</v>
      </c>
      <c r="R325" s="85">
        <f t="shared" si="67"/>
        <v>45834</v>
      </c>
      <c r="S325" s="7">
        <f t="shared" ca="1" si="68"/>
        <v>-3</v>
      </c>
      <c r="T325" s="85">
        <f>G325-32-9</f>
        <v>45844</v>
      </c>
      <c r="U325" s="85"/>
      <c r="V325" s="7">
        <f t="shared" ca="1" si="69"/>
        <v>4</v>
      </c>
      <c r="W325" s="85"/>
      <c r="X325" s="8"/>
    </row>
    <row r="326" spans="1:24" ht="14.5" hidden="1">
      <c r="A326" s="14">
        <v>149</v>
      </c>
      <c r="B326" s="15" t="s">
        <v>59</v>
      </c>
      <c r="C326" s="20"/>
      <c r="D326" s="307" t="s">
        <v>158</v>
      </c>
      <c r="E326" s="146" t="s">
        <v>242</v>
      </c>
      <c r="F326" s="146" t="s">
        <v>255</v>
      </c>
      <c r="G326" s="240">
        <v>45885</v>
      </c>
      <c r="H326" s="17">
        <v>2273</v>
      </c>
      <c r="I326" s="86"/>
      <c r="J326" s="17">
        <v>413.77159999999998</v>
      </c>
      <c r="K326" s="18">
        <v>414</v>
      </c>
      <c r="L326" s="18"/>
      <c r="M326" s="40">
        <f t="shared" si="64"/>
        <v>413.77159999999998</v>
      </c>
      <c r="N326" s="40">
        <f t="shared" si="65"/>
        <v>-0.22840000000002192</v>
      </c>
      <c r="O326" s="302" t="s">
        <v>178</v>
      </c>
      <c r="P326" s="85">
        <f t="shared" si="79"/>
        <v>45838</v>
      </c>
      <c r="Q326" s="85">
        <v>45818</v>
      </c>
      <c r="R326" s="85">
        <f t="shared" si="67"/>
        <v>45820</v>
      </c>
      <c r="S326" s="7">
        <f t="shared" ca="1" si="68"/>
        <v>20</v>
      </c>
      <c r="T326" s="85">
        <f>G326-32</f>
        <v>45853</v>
      </c>
      <c r="U326" s="85"/>
      <c r="V326" s="7">
        <f t="shared" ca="1" si="69"/>
        <v>13</v>
      </c>
      <c r="W326" s="85"/>
      <c r="X326" s="8"/>
    </row>
    <row r="327" spans="1:24" ht="14.5" hidden="1">
      <c r="A327" s="14">
        <v>150</v>
      </c>
      <c r="B327" s="15" t="s">
        <v>59</v>
      </c>
      <c r="C327" s="20"/>
      <c r="D327" s="307" t="s">
        <v>193</v>
      </c>
      <c r="E327" s="146" t="s">
        <v>246</v>
      </c>
      <c r="F327" s="146" t="s">
        <v>162</v>
      </c>
      <c r="G327" s="240">
        <v>45891</v>
      </c>
      <c r="H327" s="17">
        <v>2274</v>
      </c>
      <c r="I327" s="86"/>
      <c r="J327" s="17">
        <v>530.24400000000003</v>
      </c>
      <c r="K327" s="18">
        <v>530</v>
      </c>
      <c r="L327" s="18"/>
      <c r="M327" s="40">
        <f t="shared" si="64"/>
        <v>530.24400000000003</v>
      </c>
      <c r="N327" s="40">
        <f t="shared" si="65"/>
        <v>0.24400000000002819</v>
      </c>
      <c r="O327" s="302" t="s">
        <v>178</v>
      </c>
      <c r="P327" s="85">
        <f t="shared" si="79"/>
        <v>45831</v>
      </c>
      <c r="Q327" s="85">
        <v>45799</v>
      </c>
      <c r="R327" s="85">
        <f t="shared" si="67"/>
        <v>45801</v>
      </c>
      <c r="S327" s="7">
        <f t="shared" ca="1" si="68"/>
        <v>32</v>
      </c>
      <c r="T327" s="85">
        <f>G327-32-13</f>
        <v>45846</v>
      </c>
      <c r="U327" s="85"/>
      <c r="V327" s="7">
        <f t="shared" ca="1" si="69"/>
        <v>6</v>
      </c>
      <c r="W327" s="85"/>
      <c r="X327" s="8"/>
    </row>
    <row r="328" spans="1:24" ht="14.5" hidden="1">
      <c r="A328" s="14">
        <v>150</v>
      </c>
      <c r="B328" s="15" t="s">
        <v>59</v>
      </c>
      <c r="C328" s="20"/>
      <c r="D328" s="307" t="s">
        <v>136</v>
      </c>
      <c r="E328" s="146" t="s">
        <v>247</v>
      </c>
      <c r="F328" s="146" t="s">
        <v>162</v>
      </c>
      <c r="G328" s="240">
        <v>45891</v>
      </c>
      <c r="H328" s="17">
        <v>2275</v>
      </c>
      <c r="I328" s="15">
        <v>0.28000000000000003</v>
      </c>
      <c r="J328" s="17">
        <v>664.47360000000003</v>
      </c>
      <c r="K328" s="18">
        <v>664</v>
      </c>
      <c r="L328" s="18">
        <v>304</v>
      </c>
      <c r="M328" s="40">
        <f t="shared" si="64"/>
        <v>360.47360000000003</v>
      </c>
      <c r="N328" s="40">
        <f t="shared" si="65"/>
        <v>0.47360000000003311</v>
      </c>
      <c r="O328" s="301" t="s">
        <v>265</v>
      </c>
      <c r="P328" s="85">
        <f>T328-18</f>
        <v>45838</v>
      </c>
      <c r="Q328" s="85">
        <v>45822</v>
      </c>
      <c r="R328" s="85">
        <f t="shared" si="67"/>
        <v>45824</v>
      </c>
      <c r="S328" s="7">
        <f t="shared" ca="1" si="68"/>
        <v>16</v>
      </c>
      <c r="T328" s="85">
        <f>G328-35</f>
        <v>45856</v>
      </c>
      <c r="U328" s="85"/>
      <c r="V328" s="7">
        <f t="shared" ca="1" si="69"/>
        <v>16</v>
      </c>
      <c r="W328" s="85"/>
      <c r="X328" s="8"/>
    </row>
    <row r="329" spans="1:24" ht="14.5" hidden="1">
      <c r="A329" s="14">
        <v>150</v>
      </c>
      <c r="B329" s="15" t="s">
        <v>59</v>
      </c>
      <c r="C329" s="20"/>
      <c r="D329" s="307" t="s">
        <v>136</v>
      </c>
      <c r="E329" s="146" t="s">
        <v>247</v>
      </c>
      <c r="F329" s="146" t="s">
        <v>163</v>
      </c>
      <c r="G329" s="240">
        <v>45891</v>
      </c>
      <c r="H329" s="17">
        <v>2276</v>
      </c>
      <c r="I329" s="15">
        <v>0.28000000000000003</v>
      </c>
      <c r="J329" s="17">
        <v>664.47360000000003</v>
      </c>
      <c r="K329" s="18">
        <v>664</v>
      </c>
      <c r="L329" s="18">
        <v>664</v>
      </c>
      <c r="M329" s="40">
        <f t="shared" si="64"/>
        <v>0.47360000000003311</v>
      </c>
      <c r="N329" s="40">
        <f t="shared" si="65"/>
        <v>0.47360000000003311</v>
      </c>
      <c r="O329" s="301" t="s">
        <v>265</v>
      </c>
      <c r="P329" s="85">
        <f>T329-18</f>
        <v>45838</v>
      </c>
      <c r="Q329" s="85">
        <v>45822</v>
      </c>
      <c r="R329" s="85">
        <f t="shared" si="67"/>
        <v>45824</v>
      </c>
      <c r="S329" s="7">
        <f t="shared" ca="1" si="68"/>
        <v>16</v>
      </c>
      <c r="T329" s="85">
        <f>G329-35</f>
        <v>45856</v>
      </c>
      <c r="U329" s="85">
        <v>45833</v>
      </c>
      <c r="V329" s="7">
        <f t="shared" ca="1" si="69"/>
        <v>23</v>
      </c>
      <c r="W329" s="85"/>
      <c r="X329" s="8"/>
    </row>
    <row r="330" spans="1:24" ht="14.5" hidden="1">
      <c r="A330" s="14">
        <v>150</v>
      </c>
      <c r="B330" s="15" t="s">
        <v>59</v>
      </c>
      <c r="C330" s="20"/>
      <c r="D330" s="307" t="s">
        <v>136</v>
      </c>
      <c r="E330" s="146" t="s">
        <v>247</v>
      </c>
      <c r="F330" s="146" t="s">
        <v>164</v>
      </c>
      <c r="G330" s="240">
        <v>45891</v>
      </c>
      <c r="H330" s="17">
        <v>2277</v>
      </c>
      <c r="I330" s="15">
        <v>0.28000000000000003</v>
      </c>
      <c r="J330" s="17">
        <v>664.47360000000003</v>
      </c>
      <c r="K330" s="18">
        <v>664</v>
      </c>
      <c r="L330" s="18">
        <v>684</v>
      </c>
      <c r="M330" s="40">
        <f t="shared" si="64"/>
        <v>-19.526399999999967</v>
      </c>
      <c r="N330" s="40">
        <f t="shared" si="65"/>
        <v>0.47360000000003311</v>
      </c>
      <c r="O330" s="301" t="s">
        <v>265</v>
      </c>
      <c r="P330" s="85">
        <f>T330-18</f>
        <v>45838</v>
      </c>
      <c r="Q330" s="85">
        <v>45822</v>
      </c>
      <c r="R330" s="85">
        <f t="shared" si="67"/>
        <v>45824</v>
      </c>
      <c r="S330" s="7">
        <f t="shared" ca="1" si="68"/>
        <v>16</v>
      </c>
      <c r="T330" s="85">
        <f>G330-35</f>
        <v>45856</v>
      </c>
      <c r="U330" s="85">
        <v>45838</v>
      </c>
      <c r="V330" s="7">
        <f t="shared" ca="1" si="69"/>
        <v>18</v>
      </c>
      <c r="W330" s="85"/>
      <c r="X330" s="8"/>
    </row>
    <row r="331" spans="1:24" ht="14.5" hidden="1">
      <c r="A331" s="14">
        <v>150</v>
      </c>
      <c r="B331" s="15" t="s">
        <v>59</v>
      </c>
      <c r="C331" s="20"/>
      <c r="D331" s="311" t="s">
        <v>81</v>
      </c>
      <c r="E331" s="146" t="s">
        <v>399</v>
      </c>
      <c r="F331" s="146" t="s">
        <v>291</v>
      </c>
      <c r="G331" s="240">
        <v>45891</v>
      </c>
      <c r="H331" s="17"/>
      <c r="I331" s="86"/>
      <c r="J331" s="17">
        <v>1536</v>
      </c>
      <c r="K331" s="18">
        <v>1536</v>
      </c>
      <c r="L331" s="18"/>
      <c r="M331" s="40">
        <f t="shared" ref="M331:M394" si="80">+J331-L331</f>
        <v>1536</v>
      </c>
      <c r="N331" s="40">
        <f t="shared" ref="N331:N394" si="81">+J331-K331</f>
        <v>0</v>
      </c>
      <c r="O331" s="301" t="s">
        <v>292</v>
      </c>
      <c r="P331" s="85">
        <f>T331-30</f>
        <v>45831</v>
      </c>
      <c r="Q331" s="85">
        <v>45834</v>
      </c>
      <c r="R331" s="85">
        <f t="shared" ref="R331:R394" si="82">Q331+2</f>
        <v>45836</v>
      </c>
      <c r="S331" s="7">
        <f t="shared" ref="S331:S394" ca="1" si="83">+IF(Q331="",P331-TODAY(),P331-Q331)</f>
        <v>-3</v>
      </c>
      <c r="T331" s="85">
        <f>G331-30</f>
        <v>45861</v>
      </c>
      <c r="U331" s="85"/>
      <c r="V331" s="7">
        <f t="shared" ref="V331:V394" ca="1" si="84">+IF(U331="",T331-TODAY(),T331-U331)</f>
        <v>21</v>
      </c>
      <c r="W331" s="85"/>
      <c r="X331" s="8"/>
    </row>
    <row r="332" spans="1:24" ht="14.5" hidden="1">
      <c r="A332" s="14">
        <v>150</v>
      </c>
      <c r="B332" s="15" t="s">
        <v>59</v>
      </c>
      <c r="C332" s="20"/>
      <c r="D332" s="311" t="s">
        <v>81</v>
      </c>
      <c r="E332" s="146" t="s">
        <v>399</v>
      </c>
      <c r="F332" s="146" t="s">
        <v>293</v>
      </c>
      <c r="G332" s="240">
        <v>45891</v>
      </c>
      <c r="H332" s="17"/>
      <c r="I332" s="86"/>
      <c r="J332" s="17">
        <v>1536</v>
      </c>
      <c r="K332" s="18">
        <v>1536</v>
      </c>
      <c r="L332" s="18"/>
      <c r="M332" s="40">
        <f t="shared" si="80"/>
        <v>1536</v>
      </c>
      <c r="N332" s="40">
        <f t="shared" si="81"/>
        <v>0</v>
      </c>
      <c r="O332" s="301" t="s">
        <v>292</v>
      </c>
      <c r="P332" s="85">
        <f>T332-30</f>
        <v>45831</v>
      </c>
      <c r="Q332" s="85">
        <v>45834</v>
      </c>
      <c r="R332" s="85">
        <f t="shared" si="82"/>
        <v>45836</v>
      </c>
      <c r="S332" s="7">
        <f t="shared" ca="1" si="83"/>
        <v>-3</v>
      </c>
      <c r="T332" s="85">
        <f>G332-30</f>
        <v>45861</v>
      </c>
      <c r="U332" s="85"/>
      <c r="V332" s="7">
        <f t="shared" ca="1" si="84"/>
        <v>21</v>
      </c>
      <c r="W332" s="85"/>
      <c r="X332" s="8"/>
    </row>
    <row r="333" spans="1:24" ht="14.5" hidden="1">
      <c r="A333" s="14">
        <v>150</v>
      </c>
      <c r="B333" s="15" t="s">
        <v>59</v>
      </c>
      <c r="C333" s="20"/>
      <c r="D333" s="311" t="s">
        <v>81</v>
      </c>
      <c r="E333" s="146" t="s">
        <v>399</v>
      </c>
      <c r="F333" s="146" t="s">
        <v>294</v>
      </c>
      <c r="G333" s="240">
        <v>45891</v>
      </c>
      <c r="H333" s="17"/>
      <c r="I333" s="86"/>
      <c r="J333" s="17">
        <v>1536</v>
      </c>
      <c r="K333" s="18">
        <v>1536</v>
      </c>
      <c r="L333" s="18"/>
      <c r="M333" s="40">
        <f t="shared" si="80"/>
        <v>1536</v>
      </c>
      <c r="N333" s="40">
        <f t="shared" si="81"/>
        <v>0</v>
      </c>
      <c r="O333" s="301" t="s">
        <v>292</v>
      </c>
      <c r="P333" s="85">
        <f>T333-30</f>
        <v>45831</v>
      </c>
      <c r="Q333" s="85">
        <v>45834</v>
      </c>
      <c r="R333" s="85">
        <f t="shared" si="82"/>
        <v>45836</v>
      </c>
      <c r="S333" s="7">
        <f t="shared" ca="1" si="83"/>
        <v>-3</v>
      </c>
      <c r="T333" s="85">
        <f>G333-30</f>
        <v>45861</v>
      </c>
      <c r="U333" s="85"/>
      <c r="V333" s="7">
        <f t="shared" ca="1" si="84"/>
        <v>21</v>
      </c>
      <c r="W333" s="85"/>
      <c r="X333" s="8"/>
    </row>
    <row r="334" spans="1:24" ht="14.5" hidden="1">
      <c r="A334" s="14">
        <v>150</v>
      </c>
      <c r="B334" s="15" t="s">
        <v>59</v>
      </c>
      <c r="C334" s="20"/>
      <c r="D334" s="307" t="s">
        <v>158</v>
      </c>
      <c r="E334" s="146" t="s">
        <v>242</v>
      </c>
      <c r="F334" s="146" t="s">
        <v>154</v>
      </c>
      <c r="G334" s="240">
        <v>45891</v>
      </c>
      <c r="H334" s="17">
        <v>2282</v>
      </c>
      <c r="I334" s="86"/>
      <c r="J334" s="17">
        <v>140.20359999999999</v>
      </c>
      <c r="K334" s="18">
        <v>140</v>
      </c>
      <c r="L334" s="18"/>
      <c r="M334" s="40">
        <f t="shared" si="80"/>
        <v>140.20359999999999</v>
      </c>
      <c r="N334" s="40">
        <f t="shared" si="81"/>
        <v>0.20359999999999445</v>
      </c>
      <c r="O334" s="302" t="s">
        <v>178</v>
      </c>
      <c r="P334" s="85">
        <f t="shared" ref="P334:P341" si="85">T334-15</f>
        <v>45844</v>
      </c>
      <c r="Q334" s="85">
        <v>45818</v>
      </c>
      <c r="R334" s="85">
        <f t="shared" si="82"/>
        <v>45820</v>
      </c>
      <c r="S334" s="7">
        <f t="shared" ca="1" si="83"/>
        <v>26</v>
      </c>
      <c r="T334" s="85">
        <f>G334-32</f>
        <v>45859</v>
      </c>
      <c r="U334" s="85"/>
      <c r="V334" s="7">
        <f t="shared" ca="1" si="84"/>
        <v>19</v>
      </c>
      <c r="W334" s="85"/>
      <c r="X334" s="8"/>
    </row>
    <row r="335" spans="1:24" ht="14.5" hidden="1">
      <c r="A335" s="14">
        <v>150</v>
      </c>
      <c r="B335" s="15" t="s">
        <v>59</v>
      </c>
      <c r="C335" s="20"/>
      <c r="D335" s="307" t="s">
        <v>189</v>
      </c>
      <c r="E335" s="146" t="s">
        <v>242</v>
      </c>
      <c r="F335" s="146" t="s">
        <v>90</v>
      </c>
      <c r="G335" s="240">
        <v>45891</v>
      </c>
      <c r="H335" s="17">
        <v>2283</v>
      </c>
      <c r="I335" s="86"/>
      <c r="J335" s="17">
        <v>426.79464533333339</v>
      </c>
      <c r="K335" s="18">
        <v>427</v>
      </c>
      <c r="L335" s="18"/>
      <c r="M335" s="40">
        <f t="shared" si="80"/>
        <v>426.79464533333339</v>
      </c>
      <c r="N335" s="40">
        <f t="shared" si="81"/>
        <v>-0.20535466666660795</v>
      </c>
      <c r="O335" s="302" t="s">
        <v>178</v>
      </c>
      <c r="P335" s="85">
        <f t="shared" si="85"/>
        <v>45832</v>
      </c>
      <c r="Q335" s="85">
        <v>45797</v>
      </c>
      <c r="R335" s="85">
        <f t="shared" si="82"/>
        <v>45799</v>
      </c>
      <c r="S335" s="7">
        <f t="shared" ca="1" si="83"/>
        <v>35</v>
      </c>
      <c r="T335" s="85">
        <f>G335-44</f>
        <v>45847</v>
      </c>
      <c r="U335" s="85"/>
      <c r="V335" s="7">
        <f t="shared" ca="1" si="84"/>
        <v>7</v>
      </c>
      <c r="W335" s="85"/>
      <c r="X335" s="8"/>
    </row>
    <row r="336" spans="1:24" ht="14.5" hidden="1">
      <c r="A336" s="14">
        <v>150</v>
      </c>
      <c r="B336" s="15" t="s">
        <v>59</v>
      </c>
      <c r="C336" s="20"/>
      <c r="D336" s="307" t="s">
        <v>158</v>
      </c>
      <c r="E336" s="146" t="s">
        <v>242</v>
      </c>
      <c r="F336" s="146" t="s">
        <v>255</v>
      </c>
      <c r="G336" s="240">
        <v>45891</v>
      </c>
      <c r="H336" s="17">
        <v>2284</v>
      </c>
      <c r="I336" s="86"/>
      <c r="J336" s="17">
        <v>222.274</v>
      </c>
      <c r="K336" s="18">
        <v>222</v>
      </c>
      <c r="L336" s="18"/>
      <c r="M336" s="40">
        <f t="shared" si="80"/>
        <v>222.274</v>
      </c>
      <c r="N336" s="40">
        <f t="shared" si="81"/>
        <v>0.27400000000000091</v>
      </c>
      <c r="O336" s="302" t="s">
        <v>178</v>
      </c>
      <c r="P336" s="85">
        <f t="shared" si="85"/>
        <v>45844</v>
      </c>
      <c r="Q336" s="85">
        <v>45818</v>
      </c>
      <c r="R336" s="85">
        <f t="shared" si="82"/>
        <v>45820</v>
      </c>
      <c r="S336" s="7">
        <f t="shared" ca="1" si="83"/>
        <v>26</v>
      </c>
      <c r="T336" s="85">
        <f>G336-32</f>
        <v>45859</v>
      </c>
      <c r="U336" s="85"/>
      <c r="V336" s="7">
        <f t="shared" ca="1" si="84"/>
        <v>19</v>
      </c>
      <c r="W336" s="85"/>
      <c r="X336" s="8"/>
    </row>
    <row r="337" spans="1:24" ht="14.5" hidden="1">
      <c r="A337" s="14">
        <v>151</v>
      </c>
      <c r="B337" s="15" t="s">
        <v>59</v>
      </c>
      <c r="C337" s="20"/>
      <c r="D337" s="307" t="s">
        <v>189</v>
      </c>
      <c r="E337" s="146" t="s">
        <v>242</v>
      </c>
      <c r="F337" s="146" t="s">
        <v>90</v>
      </c>
      <c r="G337" s="240">
        <v>45891</v>
      </c>
      <c r="H337" s="17">
        <v>2285</v>
      </c>
      <c r="I337" s="86"/>
      <c r="J337" s="17">
        <v>1171.2929280000003</v>
      </c>
      <c r="K337" s="18">
        <v>1171</v>
      </c>
      <c r="L337" s="18"/>
      <c r="M337" s="40">
        <f t="shared" si="80"/>
        <v>1171.2929280000003</v>
      </c>
      <c r="N337" s="40">
        <f t="shared" si="81"/>
        <v>0.29292800000030184</v>
      </c>
      <c r="O337" s="302" t="s">
        <v>178</v>
      </c>
      <c r="P337" s="85">
        <f t="shared" si="85"/>
        <v>45832</v>
      </c>
      <c r="Q337" s="85">
        <v>45797</v>
      </c>
      <c r="R337" s="85">
        <f t="shared" si="82"/>
        <v>45799</v>
      </c>
      <c r="S337" s="7">
        <f t="shared" ca="1" si="83"/>
        <v>35</v>
      </c>
      <c r="T337" s="85">
        <f>G337-44</f>
        <v>45847</v>
      </c>
      <c r="U337" s="85"/>
      <c r="V337" s="7">
        <f t="shared" ca="1" si="84"/>
        <v>7</v>
      </c>
      <c r="W337" s="85"/>
      <c r="X337" s="8"/>
    </row>
    <row r="338" spans="1:24" ht="14.5" hidden="1">
      <c r="A338" s="14">
        <v>151</v>
      </c>
      <c r="B338" s="15" t="s">
        <v>59</v>
      </c>
      <c r="C338" s="20"/>
      <c r="D338" s="307" t="s">
        <v>158</v>
      </c>
      <c r="E338" s="146" t="s">
        <v>242</v>
      </c>
      <c r="F338" s="146" t="s">
        <v>255</v>
      </c>
      <c r="G338" s="240">
        <v>45891</v>
      </c>
      <c r="H338" s="17">
        <v>2286</v>
      </c>
      <c r="I338" s="86"/>
      <c r="J338" s="17">
        <v>625.78679999999997</v>
      </c>
      <c r="K338" s="18">
        <v>626</v>
      </c>
      <c r="L338" s="18"/>
      <c r="M338" s="40">
        <f t="shared" si="80"/>
        <v>625.78679999999997</v>
      </c>
      <c r="N338" s="40">
        <f t="shared" si="81"/>
        <v>-0.21320000000002892</v>
      </c>
      <c r="O338" s="302" t="s">
        <v>178</v>
      </c>
      <c r="P338" s="85">
        <f t="shared" si="85"/>
        <v>45844</v>
      </c>
      <c r="Q338" s="85">
        <v>45818</v>
      </c>
      <c r="R338" s="85">
        <f t="shared" si="82"/>
        <v>45820</v>
      </c>
      <c r="S338" s="7">
        <f t="shared" ca="1" si="83"/>
        <v>26</v>
      </c>
      <c r="T338" s="85">
        <f>G338-32</f>
        <v>45859</v>
      </c>
      <c r="U338" s="85"/>
      <c r="V338" s="7">
        <f t="shared" ca="1" si="84"/>
        <v>19</v>
      </c>
      <c r="W338" s="85"/>
      <c r="X338" s="8"/>
    </row>
    <row r="339" spans="1:24" ht="14.5" hidden="1">
      <c r="A339" s="14">
        <v>152</v>
      </c>
      <c r="B339" s="15" t="s">
        <v>59</v>
      </c>
      <c r="C339" s="20"/>
      <c r="D339" s="307" t="s">
        <v>193</v>
      </c>
      <c r="E339" s="146" t="s">
        <v>249</v>
      </c>
      <c r="F339" s="146" t="s">
        <v>162</v>
      </c>
      <c r="G339" s="240">
        <v>45891</v>
      </c>
      <c r="H339" s="17">
        <v>2287</v>
      </c>
      <c r="I339" s="86"/>
      <c r="J339" s="17">
        <v>5254.0876800000005</v>
      </c>
      <c r="K339" s="18">
        <v>5254</v>
      </c>
      <c r="L339" s="18">
        <v>4184</v>
      </c>
      <c r="M339" s="40">
        <f t="shared" si="80"/>
        <v>1070.0876800000005</v>
      </c>
      <c r="N339" s="40">
        <f t="shared" si="81"/>
        <v>8.7680000000545988E-2</v>
      </c>
      <c r="O339" s="301" t="s">
        <v>263</v>
      </c>
      <c r="P339" s="85">
        <f t="shared" si="85"/>
        <v>45831</v>
      </c>
      <c r="Q339" s="85">
        <v>45815</v>
      </c>
      <c r="R339" s="85">
        <f t="shared" si="82"/>
        <v>45817</v>
      </c>
      <c r="S339" s="7">
        <f t="shared" ca="1" si="83"/>
        <v>16</v>
      </c>
      <c r="T339" s="85">
        <f>G339-32-13</f>
        <v>45846</v>
      </c>
      <c r="U339" s="85"/>
      <c r="V339" s="7">
        <f t="shared" ca="1" si="84"/>
        <v>6</v>
      </c>
      <c r="W339" s="85"/>
      <c r="X339" s="8"/>
    </row>
    <row r="340" spans="1:24" ht="14.5" hidden="1">
      <c r="A340" s="14">
        <v>152</v>
      </c>
      <c r="B340" s="15" t="s">
        <v>59</v>
      </c>
      <c r="C340" s="20"/>
      <c r="D340" s="311" t="s">
        <v>248</v>
      </c>
      <c r="E340" s="146" t="s">
        <v>270</v>
      </c>
      <c r="F340" s="146" t="s">
        <v>162</v>
      </c>
      <c r="G340" s="240">
        <v>45891</v>
      </c>
      <c r="H340" s="17">
        <v>2288</v>
      </c>
      <c r="I340" s="86"/>
      <c r="J340" s="17">
        <v>3102.2611200000001</v>
      </c>
      <c r="K340" s="18">
        <v>3102</v>
      </c>
      <c r="L340" s="18">
        <v>3102</v>
      </c>
      <c r="M340" s="40">
        <f t="shared" si="80"/>
        <v>0.26112000000011903</v>
      </c>
      <c r="N340" s="40">
        <f t="shared" si="81"/>
        <v>0.26112000000011903</v>
      </c>
      <c r="O340" s="302" t="s">
        <v>178</v>
      </c>
      <c r="P340" s="85">
        <f t="shared" si="85"/>
        <v>45831</v>
      </c>
      <c r="Q340" s="85">
        <v>45815</v>
      </c>
      <c r="R340" s="85">
        <f t="shared" si="82"/>
        <v>45817</v>
      </c>
      <c r="S340" s="7">
        <f t="shared" ca="1" si="83"/>
        <v>16</v>
      </c>
      <c r="T340" s="85">
        <f>G340-32-13</f>
        <v>45846</v>
      </c>
      <c r="U340" s="85">
        <v>45835</v>
      </c>
      <c r="V340" s="7">
        <f t="shared" ca="1" si="84"/>
        <v>11</v>
      </c>
      <c r="W340" s="85"/>
      <c r="X340" s="8"/>
    </row>
    <row r="341" spans="1:24" ht="14.5" hidden="1">
      <c r="A341" s="14">
        <v>152</v>
      </c>
      <c r="B341" s="15" t="s">
        <v>59</v>
      </c>
      <c r="C341" s="20"/>
      <c r="D341" s="307" t="s">
        <v>193</v>
      </c>
      <c r="E341" s="146" t="s">
        <v>246</v>
      </c>
      <c r="F341" s="146" t="s">
        <v>162</v>
      </c>
      <c r="G341" s="240">
        <v>45891</v>
      </c>
      <c r="H341" s="17">
        <v>2289</v>
      </c>
      <c r="I341" s="86"/>
      <c r="J341" s="17">
        <v>1060.4880000000001</v>
      </c>
      <c r="K341" s="18">
        <v>1060</v>
      </c>
      <c r="L341" s="18"/>
      <c r="M341" s="40">
        <f t="shared" si="80"/>
        <v>1060.4880000000001</v>
      </c>
      <c r="N341" s="40">
        <f t="shared" si="81"/>
        <v>0.48800000000005639</v>
      </c>
      <c r="O341" s="302" t="s">
        <v>178</v>
      </c>
      <c r="P341" s="85">
        <f t="shared" si="85"/>
        <v>45831</v>
      </c>
      <c r="Q341" s="85">
        <v>45815</v>
      </c>
      <c r="R341" s="85">
        <f t="shared" si="82"/>
        <v>45817</v>
      </c>
      <c r="S341" s="7">
        <f t="shared" ca="1" si="83"/>
        <v>16</v>
      </c>
      <c r="T341" s="85">
        <f>G341-32-13</f>
        <v>45846</v>
      </c>
      <c r="U341" s="85"/>
      <c r="V341" s="7">
        <f t="shared" ca="1" si="84"/>
        <v>6</v>
      </c>
      <c r="W341" s="85"/>
      <c r="X341" s="8"/>
    </row>
    <row r="342" spans="1:24" ht="14.5" hidden="1">
      <c r="A342" s="14">
        <v>152</v>
      </c>
      <c r="B342" s="15" t="s">
        <v>59</v>
      </c>
      <c r="C342" s="20"/>
      <c r="D342" s="311" t="s">
        <v>81</v>
      </c>
      <c r="E342" s="146" t="s">
        <v>399</v>
      </c>
      <c r="F342" s="146" t="s">
        <v>291</v>
      </c>
      <c r="G342" s="240">
        <v>45891</v>
      </c>
      <c r="H342" s="17"/>
      <c r="I342" s="86"/>
      <c r="J342" s="17">
        <v>1728</v>
      </c>
      <c r="K342" s="18">
        <v>1728</v>
      </c>
      <c r="L342" s="18"/>
      <c r="M342" s="40">
        <f t="shared" si="80"/>
        <v>1728</v>
      </c>
      <c r="N342" s="40">
        <f t="shared" si="81"/>
        <v>0</v>
      </c>
      <c r="O342" s="301" t="s">
        <v>292</v>
      </c>
      <c r="P342" s="85">
        <f>T342-30</f>
        <v>45831</v>
      </c>
      <c r="Q342" s="85">
        <v>45834</v>
      </c>
      <c r="R342" s="85">
        <f t="shared" si="82"/>
        <v>45836</v>
      </c>
      <c r="S342" s="7">
        <f t="shared" ca="1" si="83"/>
        <v>-3</v>
      </c>
      <c r="T342" s="85">
        <f>G342-30</f>
        <v>45861</v>
      </c>
      <c r="U342" s="85"/>
      <c r="V342" s="7">
        <f t="shared" ca="1" si="84"/>
        <v>21</v>
      </c>
      <c r="W342" s="85"/>
      <c r="X342" s="8"/>
    </row>
    <row r="343" spans="1:24" ht="14.5" hidden="1">
      <c r="A343" s="14">
        <v>152</v>
      </c>
      <c r="B343" s="15" t="s">
        <v>59</v>
      </c>
      <c r="C343" s="20"/>
      <c r="D343" s="311" t="s">
        <v>81</v>
      </c>
      <c r="E343" s="146" t="s">
        <v>399</v>
      </c>
      <c r="F343" s="146" t="s">
        <v>293</v>
      </c>
      <c r="G343" s="240">
        <v>45891</v>
      </c>
      <c r="H343" s="17"/>
      <c r="I343" s="86"/>
      <c r="J343" s="17">
        <v>1728</v>
      </c>
      <c r="K343" s="18">
        <v>1728</v>
      </c>
      <c r="L343" s="18"/>
      <c r="M343" s="40">
        <f t="shared" si="80"/>
        <v>1728</v>
      </c>
      <c r="N343" s="40">
        <f t="shared" si="81"/>
        <v>0</v>
      </c>
      <c r="O343" s="301" t="s">
        <v>292</v>
      </c>
      <c r="P343" s="85">
        <f>T343-30</f>
        <v>45831</v>
      </c>
      <c r="Q343" s="85">
        <v>45834</v>
      </c>
      <c r="R343" s="85">
        <f t="shared" si="82"/>
        <v>45836</v>
      </c>
      <c r="S343" s="7">
        <f t="shared" ca="1" si="83"/>
        <v>-3</v>
      </c>
      <c r="T343" s="85">
        <f>G343-30</f>
        <v>45861</v>
      </c>
      <c r="U343" s="85"/>
      <c r="V343" s="7">
        <f t="shared" ca="1" si="84"/>
        <v>21</v>
      </c>
      <c r="W343" s="85"/>
      <c r="X343" s="8"/>
    </row>
    <row r="344" spans="1:24" ht="14.5" hidden="1">
      <c r="A344" s="14">
        <v>152</v>
      </c>
      <c r="B344" s="15" t="s">
        <v>59</v>
      </c>
      <c r="C344" s="20"/>
      <c r="D344" s="311" t="s">
        <v>81</v>
      </c>
      <c r="E344" s="146" t="s">
        <v>399</v>
      </c>
      <c r="F344" s="146" t="s">
        <v>294</v>
      </c>
      <c r="G344" s="240">
        <v>45891</v>
      </c>
      <c r="H344" s="17"/>
      <c r="I344" s="86"/>
      <c r="J344" s="17">
        <v>1728</v>
      </c>
      <c r="K344" s="18">
        <v>1728</v>
      </c>
      <c r="L344" s="18"/>
      <c r="M344" s="40">
        <f t="shared" si="80"/>
        <v>1728</v>
      </c>
      <c r="N344" s="40">
        <f t="shared" si="81"/>
        <v>0</v>
      </c>
      <c r="O344" s="301" t="s">
        <v>292</v>
      </c>
      <c r="P344" s="85">
        <f>T344-30</f>
        <v>45831</v>
      </c>
      <c r="Q344" s="85">
        <v>45834</v>
      </c>
      <c r="R344" s="85">
        <f t="shared" si="82"/>
        <v>45836</v>
      </c>
      <c r="S344" s="7">
        <f t="shared" ca="1" si="83"/>
        <v>-3</v>
      </c>
      <c r="T344" s="85">
        <f>G344-30</f>
        <v>45861</v>
      </c>
      <c r="U344" s="85"/>
      <c r="V344" s="7">
        <f t="shared" ca="1" si="84"/>
        <v>21</v>
      </c>
      <c r="W344" s="85"/>
      <c r="X344" s="8"/>
    </row>
    <row r="345" spans="1:24" ht="14.5" hidden="1">
      <c r="A345" s="14">
        <v>152</v>
      </c>
      <c r="B345" s="15" t="s">
        <v>59</v>
      </c>
      <c r="C345" s="20"/>
      <c r="D345" s="307" t="s">
        <v>158</v>
      </c>
      <c r="E345" s="146" t="s">
        <v>242</v>
      </c>
      <c r="F345" s="146" t="s">
        <v>154</v>
      </c>
      <c r="G345" s="240">
        <v>45891</v>
      </c>
      <c r="H345" s="17">
        <v>2294</v>
      </c>
      <c r="I345" s="86"/>
      <c r="J345" s="17">
        <v>738.6336</v>
      </c>
      <c r="K345" s="18">
        <v>739</v>
      </c>
      <c r="L345" s="18"/>
      <c r="M345" s="40">
        <f t="shared" si="80"/>
        <v>738.6336</v>
      </c>
      <c r="N345" s="40">
        <f t="shared" si="81"/>
        <v>-0.36639999999999873</v>
      </c>
      <c r="O345" s="302" t="s">
        <v>178</v>
      </c>
      <c r="P345" s="85">
        <f t="shared" ref="P345:P353" si="86">T345-15</f>
        <v>45844</v>
      </c>
      <c r="Q345" s="85">
        <v>45818</v>
      </c>
      <c r="R345" s="85">
        <f t="shared" si="82"/>
        <v>45820</v>
      </c>
      <c r="S345" s="7">
        <f t="shared" ca="1" si="83"/>
        <v>26</v>
      </c>
      <c r="T345" s="85">
        <f>G345-32</f>
        <v>45859</v>
      </c>
      <c r="U345" s="85"/>
      <c r="V345" s="7">
        <f t="shared" ca="1" si="84"/>
        <v>19</v>
      </c>
      <c r="W345" s="85"/>
      <c r="X345" s="8"/>
    </row>
    <row r="346" spans="1:24" ht="14.5" hidden="1">
      <c r="A346" s="14">
        <v>155</v>
      </c>
      <c r="B346" s="15" t="s">
        <v>59</v>
      </c>
      <c r="C346" s="20"/>
      <c r="D346" s="307" t="s">
        <v>158</v>
      </c>
      <c r="E346" s="146" t="s">
        <v>242</v>
      </c>
      <c r="F346" s="146" t="s">
        <v>255</v>
      </c>
      <c r="G346" s="240">
        <v>45874</v>
      </c>
      <c r="H346" s="17">
        <v>2294</v>
      </c>
      <c r="I346" s="86"/>
      <c r="J346" s="17">
        <v>709</v>
      </c>
      <c r="K346" s="18">
        <v>709</v>
      </c>
      <c r="L346" s="18">
        <v>546</v>
      </c>
      <c r="M346" s="40">
        <f t="shared" si="80"/>
        <v>163</v>
      </c>
      <c r="N346" s="40">
        <f t="shared" si="81"/>
        <v>0</v>
      </c>
      <c r="O346" s="302" t="s">
        <v>178</v>
      </c>
      <c r="P346" s="85">
        <f t="shared" si="86"/>
        <v>45827</v>
      </c>
      <c r="Q346" s="85">
        <v>45818</v>
      </c>
      <c r="R346" s="85">
        <f t="shared" si="82"/>
        <v>45820</v>
      </c>
      <c r="S346" s="7">
        <f t="shared" ca="1" si="83"/>
        <v>9</v>
      </c>
      <c r="T346" s="85">
        <f>G346-32</f>
        <v>45842</v>
      </c>
      <c r="U346" s="85"/>
      <c r="V346" s="7">
        <f t="shared" ca="1" si="84"/>
        <v>2</v>
      </c>
      <c r="W346" s="85"/>
      <c r="X346" s="8"/>
    </row>
    <row r="347" spans="1:24" ht="14.5" hidden="1">
      <c r="A347" s="14">
        <v>156</v>
      </c>
      <c r="B347" s="15" t="s">
        <v>59</v>
      </c>
      <c r="C347" s="20"/>
      <c r="D347" s="307" t="s">
        <v>193</v>
      </c>
      <c r="E347" s="146" t="s">
        <v>249</v>
      </c>
      <c r="F347" s="146" t="s">
        <v>162</v>
      </c>
      <c r="G347" s="240">
        <v>45877</v>
      </c>
      <c r="H347" s="17">
        <v>2295</v>
      </c>
      <c r="I347" s="86"/>
      <c r="J347" s="17">
        <v>5691.92832</v>
      </c>
      <c r="K347" s="18">
        <v>5692</v>
      </c>
      <c r="L347" s="18">
        <v>245</v>
      </c>
      <c r="M347" s="40">
        <f t="shared" si="80"/>
        <v>5446.92832</v>
      </c>
      <c r="N347" s="40">
        <f t="shared" si="81"/>
        <v>-7.1680000000014843E-2</v>
      </c>
      <c r="O347" s="302" t="s">
        <v>178</v>
      </c>
      <c r="P347" s="85">
        <f t="shared" si="86"/>
        <v>45817</v>
      </c>
      <c r="Q347" s="85">
        <v>45815</v>
      </c>
      <c r="R347" s="85">
        <f t="shared" si="82"/>
        <v>45817</v>
      </c>
      <c r="S347" s="7">
        <f t="shared" ca="1" si="83"/>
        <v>2</v>
      </c>
      <c r="T347" s="85">
        <f>G347-32-13</f>
        <v>45832</v>
      </c>
      <c r="U347" s="85"/>
      <c r="V347" s="7">
        <f t="shared" ca="1" si="84"/>
        <v>-8</v>
      </c>
      <c r="W347" s="85"/>
      <c r="X347" s="8"/>
    </row>
    <row r="348" spans="1:24" ht="14.5" hidden="1">
      <c r="A348" s="14">
        <v>156</v>
      </c>
      <c r="B348" s="15" t="s">
        <v>59</v>
      </c>
      <c r="C348" s="20"/>
      <c r="D348" s="311" t="s">
        <v>248</v>
      </c>
      <c r="E348" s="146" t="s">
        <v>270</v>
      </c>
      <c r="F348" s="146" t="s">
        <v>162</v>
      </c>
      <c r="G348" s="240">
        <v>45877</v>
      </c>
      <c r="H348" s="17">
        <v>2296</v>
      </c>
      <c r="I348" s="86"/>
      <c r="J348" s="17">
        <v>3600.8388</v>
      </c>
      <c r="K348" s="18">
        <v>3601</v>
      </c>
      <c r="L348" s="18">
        <v>3601</v>
      </c>
      <c r="M348" s="40">
        <f t="shared" si="80"/>
        <v>-0.161200000000008</v>
      </c>
      <c r="N348" s="40">
        <f t="shared" si="81"/>
        <v>-0.161200000000008</v>
      </c>
      <c r="O348" s="302" t="s">
        <v>178</v>
      </c>
      <c r="P348" s="85">
        <f t="shared" si="86"/>
        <v>45817</v>
      </c>
      <c r="Q348" s="85">
        <v>45815</v>
      </c>
      <c r="R348" s="85">
        <f t="shared" si="82"/>
        <v>45817</v>
      </c>
      <c r="S348" s="7">
        <f t="shared" ca="1" si="83"/>
        <v>2</v>
      </c>
      <c r="T348" s="85">
        <f>G348-32-13</f>
        <v>45832</v>
      </c>
      <c r="U348" s="85">
        <v>45832</v>
      </c>
      <c r="V348" s="7">
        <f t="shared" ca="1" si="84"/>
        <v>0</v>
      </c>
      <c r="W348" s="85"/>
      <c r="X348" s="8"/>
    </row>
    <row r="349" spans="1:24" ht="14.5">
      <c r="A349" s="14">
        <v>156</v>
      </c>
      <c r="B349" s="15" t="s">
        <v>59</v>
      </c>
      <c r="C349" s="20"/>
      <c r="D349" s="307" t="s">
        <v>201</v>
      </c>
      <c r="E349" s="146" t="s">
        <v>247</v>
      </c>
      <c r="F349" s="146" t="s">
        <v>155</v>
      </c>
      <c r="G349" s="240">
        <v>45877</v>
      </c>
      <c r="H349" s="17">
        <v>2297</v>
      </c>
      <c r="I349" s="86"/>
      <c r="J349" s="17">
        <v>3331</v>
      </c>
      <c r="K349" s="18">
        <v>3331</v>
      </c>
      <c r="L349" s="18"/>
      <c r="M349" s="40">
        <f t="shared" si="80"/>
        <v>3331</v>
      </c>
      <c r="N349" s="40">
        <f t="shared" si="81"/>
        <v>0</v>
      </c>
      <c r="O349" s="302" t="s">
        <v>178</v>
      </c>
      <c r="P349" s="85">
        <f t="shared" si="86"/>
        <v>45818</v>
      </c>
      <c r="Q349" s="85">
        <v>45815</v>
      </c>
      <c r="R349" s="85">
        <f t="shared" si="82"/>
        <v>45817</v>
      </c>
      <c r="S349" s="7">
        <f t="shared" ca="1" si="83"/>
        <v>3</v>
      </c>
      <c r="T349" s="85">
        <f>G349-32-12</f>
        <v>45833</v>
      </c>
      <c r="U349" s="85"/>
      <c r="V349" s="7">
        <f t="shared" ca="1" si="84"/>
        <v>-7</v>
      </c>
      <c r="W349" s="85"/>
      <c r="X349" s="8"/>
    </row>
    <row r="350" spans="1:24" ht="14.5" hidden="1">
      <c r="A350" s="14">
        <v>156</v>
      </c>
      <c r="B350" s="15" t="s">
        <v>59</v>
      </c>
      <c r="C350" s="20"/>
      <c r="D350" s="307" t="s">
        <v>189</v>
      </c>
      <c r="E350" s="146" t="s">
        <v>242</v>
      </c>
      <c r="F350" s="146" t="s">
        <v>90</v>
      </c>
      <c r="G350" s="240">
        <v>45877</v>
      </c>
      <c r="H350" s="17">
        <v>2298</v>
      </c>
      <c r="I350" s="86"/>
      <c r="J350" s="17">
        <v>675</v>
      </c>
      <c r="K350" s="18">
        <v>675</v>
      </c>
      <c r="L350" s="18">
        <v>675</v>
      </c>
      <c r="M350" s="40">
        <f t="shared" si="80"/>
        <v>0</v>
      </c>
      <c r="N350" s="40">
        <f t="shared" si="81"/>
        <v>0</v>
      </c>
      <c r="O350" s="302" t="s">
        <v>178</v>
      </c>
      <c r="P350" s="85">
        <f t="shared" si="86"/>
        <v>45818</v>
      </c>
      <c r="Q350" s="85">
        <v>45797</v>
      </c>
      <c r="R350" s="85">
        <f t="shared" si="82"/>
        <v>45799</v>
      </c>
      <c r="S350" s="7">
        <f t="shared" ca="1" si="83"/>
        <v>21</v>
      </c>
      <c r="T350" s="85">
        <f>G350-44</f>
        <v>45833</v>
      </c>
      <c r="U350" s="85">
        <v>45829</v>
      </c>
      <c r="V350" s="7">
        <f t="shared" ca="1" si="84"/>
        <v>4</v>
      </c>
      <c r="W350" s="85"/>
      <c r="X350" s="8"/>
    </row>
    <row r="351" spans="1:24" ht="14.5" hidden="1">
      <c r="A351" s="14">
        <v>156</v>
      </c>
      <c r="B351" s="15" t="s">
        <v>59</v>
      </c>
      <c r="C351" s="20"/>
      <c r="D351" s="307" t="s">
        <v>158</v>
      </c>
      <c r="E351" s="146" t="s">
        <v>242</v>
      </c>
      <c r="F351" s="146" t="s">
        <v>255</v>
      </c>
      <c r="G351" s="240">
        <v>45877</v>
      </c>
      <c r="H351" s="17">
        <v>2299</v>
      </c>
      <c r="I351" s="86"/>
      <c r="J351" s="17">
        <v>641</v>
      </c>
      <c r="K351" s="18">
        <v>641</v>
      </c>
      <c r="L351" s="18"/>
      <c r="M351" s="40">
        <f t="shared" si="80"/>
        <v>641</v>
      </c>
      <c r="N351" s="40">
        <f t="shared" si="81"/>
        <v>0</v>
      </c>
      <c r="O351" s="302" t="s">
        <v>178</v>
      </c>
      <c r="P351" s="85">
        <f t="shared" si="86"/>
        <v>45830</v>
      </c>
      <c r="Q351" s="85">
        <v>45818</v>
      </c>
      <c r="R351" s="85">
        <f t="shared" si="82"/>
        <v>45820</v>
      </c>
      <c r="S351" s="7">
        <f t="shared" ca="1" si="83"/>
        <v>12</v>
      </c>
      <c r="T351" s="85">
        <f>G351-32</f>
        <v>45845</v>
      </c>
      <c r="U351" s="85"/>
      <c r="V351" s="7">
        <f t="shared" ca="1" si="84"/>
        <v>5</v>
      </c>
      <c r="W351" s="85"/>
      <c r="X351" s="8"/>
    </row>
    <row r="352" spans="1:24" ht="14.5" hidden="1">
      <c r="A352" s="14">
        <v>157</v>
      </c>
      <c r="B352" s="15" t="s">
        <v>59</v>
      </c>
      <c r="C352" s="20"/>
      <c r="D352" s="307" t="s">
        <v>201</v>
      </c>
      <c r="E352" s="146" t="s">
        <v>247</v>
      </c>
      <c r="F352" s="146" t="s">
        <v>155</v>
      </c>
      <c r="G352" s="240">
        <v>45884</v>
      </c>
      <c r="H352" s="17">
        <v>2300</v>
      </c>
      <c r="I352" s="86"/>
      <c r="J352" s="17">
        <v>2725.8783551999995</v>
      </c>
      <c r="K352" s="18">
        <v>2726</v>
      </c>
      <c r="L352" s="18">
        <v>576</v>
      </c>
      <c r="M352" s="40">
        <f t="shared" si="80"/>
        <v>2149.8783551999995</v>
      </c>
      <c r="N352" s="40">
        <f t="shared" si="81"/>
        <v>-0.12164480000046751</v>
      </c>
      <c r="O352" s="302" t="s">
        <v>265</v>
      </c>
      <c r="P352" s="85">
        <f t="shared" si="86"/>
        <v>45825</v>
      </c>
      <c r="Q352" s="85">
        <v>45822</v>
      </c>
      <c r="R352" s="85">
        <f t="shared" si="82"/>
        <v>45824</v>
      </c>
      <c r="S352" s="7">
        <f t="shared" ca="1" si="83"/>
        <v>3</v>
      </c>
      <c r="T352" s="85">
        <f>G352-32-12</f>
        <v>45840</v>
      </c>
      <c r="U352" s="85"/>
      <c r="V352" s="7">
        <f t="shared" ca="1" si="84"/>
        <v>0</v>
      </c>
      <c r="W352" s="85"/>
      <c r="X352" s="8"/>
    </row>
    <row r="353" spans="1:24" ht="14.5" hidden="1">
      <c r="A353" s="14">
        <v>157</v>
      </c>
      <c r="B353" s="15" t="s">
        <v>59</v>
      </c>
      <c r="C353" s="20"/>
      <c r="D353" s="307" t="s">
        <v>189</v>
      </c>
      <c r="E353" s="146" t="s">
        <v>242</v>
      </c>
      <c r="F353" s="146" t="s">
        <v>90</v>
      </c>
      <c r="G353" s="240">
        <v>45884</v>
      </c>
      <c r="H353" s="17">
        <v>2302</v>
      </c>
      <c r="I353" s="86"/>
      <c r="J353" s="17">
        <v>675.59869866666679</v>
      </c>
      <c r="K353" s="18">
        <v>676</v>
      </c>
      <c r="L353" s="18">
        <v>676</v>
      </c>
      <c r="M353" s="40">
        <f t="shared" si="80"/>
        <v>-0.40130133333320828</v>
      </c>
      <c r="N353" s="40">
        <f t="shared" si="81"/>
        <v>-0.40130133333320828</v>
      </c>
      <c r="O353" s="302" t="s">
        <v>178</v>
      </c>
      <c r="P353" s="85">
        <f t="shared" si="86"/>
        <v>45825</v>
      </c>
      <c r="Q353" s="85">
        <v>45797</v>
      </c>
      <c r="R353" s="85">
        <f t="shared" si="82"/>
        <v>45799</v>
      </c>
      <c r="S353" s="7">
        <f t="shared" ca="1" si="83"/>
        <v>28</v>
      </c>
      <c r="T353" s="85">
        <f>G353-44</f>
        <v>45840</v>
      </c>
      <c r="U353" s="85">
        <v>45832</v>
      </c>
      <c r="V353" s="7">
        <f t="shared" ca="1" si="84"/>
        <v>8</v>
      </c>
      <c r="W353" s="85"/>
      <c r="X353" s="8"/>
    </row>
    <row r="354" spans="1:24" ht="14.5" hidden="1">
      <c r="A354" s="14">
        <v>158</v>
      </c>
      <c r="B354" s="15" t="s">
        <v>59</v>
      </c>
      <c r="C354" s="20"/>
      <c r="D354" s="307" t="s">
        <v>193</v>
      </c>
      <c r="E354" s="146" t="s">
        <v>249</v>
      </c>
      <c r="F354" s="146" t="s">
        <v>162</v>
      </c>
      <c r="G354" s="240">
        <v>45884</v>
      </c>
      <c r="H354" s="17">
        <v>2304</v>
      </c>
      <c r="I354" s="86"/>
      <c r="J354" s="17">
        <v>5637.1982399999997</v>
      </c>
      <c r="K354" s="18">
        <v>5637</v>
      </c>
      <c r="L354" s="18"/>
      <c r="M354" s="40">
        <f t="shared" si="80"/>
        <v>5637.1982399999997</v>
      </c>
      <c r="N354" s="40">
        <f t="shared" si="81"/>
        <v>0.1982399999997142</v>
      </c>
      <c r="O354" s="302" t="s">
        <v>178</v>
      </c>
      <c r="P354" s="85">
        <f>T354-12</f>
        <v>45827</v>
      </c>
      <c r="Q354" s="85">
        <v>45815</v>
      </c>
      <c r="R354" s="85">
        <f t="shared" si="82"/>
        <v>45817</v>
      </c>
      <c r="S354" s="7">
        <f t="shared" ca="1" si="83"/>
        <v>12</v>
      </c>
      <c r="T354" s="85">
        <f>G354-32-13</f>
        <v>45839</v>
      </c>
      <c r="U354" s="85"/>
      <c r="V354" s="7">
        <f t="shared" ca="1" si="84"/>
        <v>-1</v>
      </c>
      <c r="W354" s="85"/>
      <c r="X354" s="8"/>
    </row>
    <row r="355" spans="1:24" ht="14.5" hidden="1">
      <c r="A355" s="14">
        <v>158</v>
      </c>
      <c r="B355" s="15" t="s">
        <v>59</v>
      </c>
      <c r="C355" s="20"/>
      <c r="D355" s="307" t="s">
        <v>193</v>
      </c>
      <c r="E355" s="146" t="s">
        <v>246</v>
      </c>
      <c r="F355" s="146" t="s">
        <v>162</v>
      </c>
      <c r="G355" s="240">
        <v>45884</v>
      </c>
      <c r="H355" s="17">
        <v>2305</v>
      </c>
      <c r="I355" s="86"/>
      <c r="J355" s="17">
        <v>1041.2064</v>
      </c>
      <c r="K355" s="18">
        <v>1041</v>
      </c>
      <c r="L355" s="18"/>
      <c r="M355" s="40">
        <f t="shared" si="80"/>
        <v>1041.2064</v>
      </c>
      <c r="N355" s="40">
        <f t="shared" si="81"/>
        <v>0.20640000000003056</v>
      </c>
      <c r="O355" s="302" t="s">
        <v>178</v>
      </c>
      <c r="P355" s="85">
        <f>T355-12</f>
        <v>45827</v>
      </c>
      <c r="Q355" s="85">
        <v>45815</v>
      </c>
      <c r="R355" s="85">
        <f t="shared" si="82"/>
        <v>45817</v>
      </c>
      <c r="S355" s="7">
        <f t="shared" ca="1" si="83"/>
        <v>12</v>
      </c>
      <c r="T355" s="85">
        <f>G355-32-13</f>
        <v>45839</v>
      </c>
      <c r="U355" s="85"/>
      <c r="V355" s="7">
        <f t="shared" ca="1" si="84"/>
        <v>-1</v>
      </c>
      <c r="W355" s="85"/>
      <c r="X355" s="8"/>
    </row>
    <row r="356" spans="1:24" ht="14.5" hidden="1">
      <c r="A356" s="14">
        <v>158</v>
      </c>
      <c r="B356" s="15" t="s">
        <v>59</v>
      </c>
      <c r="C356" s="20"/>
      <c r="D356" s="307" t="s">
        <v>250</v>
      </c>
      <c r="E356" s="146" t="s">
        <v>269</v>
      </c>
      <c r="F356" s="146" t="s">
        <v>162</v>
      </c>
      <c r="G356" s="240">
        <v>45884</v>
      </c>
      <c r="H356" s="17">
        <v>2306</v>
      </c>
      <c r="I356" s="86"/>
      <c r="J356" s="17">
        <v>5365.3215</v>
      </c>
      <c r="K356" s="18">
        <v>5365</v>
      </c>
      <c r="L356" s="18"/>
      <c r="M356" s="40">
        <f t="shared" si="80"/>
        <v>5365.3215</v>
      </c>
      <c r="N356" s="40">
        <f t="shared" si="81"/>
        <v>0.32150000000001455</v>
      </c>
      <c r="O356" s="302" t="s">
        <v>178</v>
      </c>
      <c r="P356" s="85">
        <f t="shared" ref="P356:P363" si="87">T356-15</f>
        <v>45825</v>
      </c>
      <c r="Q356" s="85">
        <v>45815</v>
      </c>
      <c r="R356" s="85">
        <f t="shared" si="82"/>
        <v>45817</v>
      </c>
      <c r="S356" s="7">
        <f t="shared" ca="1" si="83"/>
        <v>10</v>
      </c>
      <c r="T356" s="85">
        <f>G356-32-12</f>
        <v>45840</v>
      </c>
      <c r="U356" s="85"/>
      <c r="V356" s="7">
        <f t="shared" ca="1" si="84"/>
        <v>0</v>
      </c>
      <c r="W356" s="85"/>
      <c r="X356" s="8"/>
    </row>
    <row r="357" spans="1:24" ht="14.5" hidden="1">
      <c r="A357" s="14">
        <v>158</v>
      </c>
      <c r="B357" s="15" t="s">
        <v>59</v>
      </c>
      <c r="C357" s="20"/>
      <c r="D357" s="307" t="s">
        <v>195</v>
      </c>
      <c r="E357" s="146" t="s">
        <v>242</v>
      </c>
      <c r="F357" s="146" t="s">
        <v>162</v>
      </c>
      <c r="G357" s="240">
        <v>45884</v>
      </c>
      <c r="H357" s="17">
        <v>2308</v>
      </c>
      <c r="I357" s="86">
        <v>0.23</v>
      </c>
      <c r="J357" s="17">
        <v>1036.386</v>
      </c>
      <c r="K357" s="18">
        <v>1036</v>
      </c>
      <c r="L357" s="18"/>
      <c r="M357" s="40">
        <f t="shared" si="80"/>
        <v>1036.386</v>
      </c>
      <c r="N357" s="40">
        <f t="shared" si="81"/>
        <v>0.38599999999996726</v>
      </c>
      <c r="O357" s="302" t="s">
        <v>178</v>
      </c>
      <c r="P357" s="85">
        <f t="shared" si="87"/>
        <v>45828</v>
      </c>
      <c r="Q357" s="85">
        <v>45832</v>
      </c>
      <c r="R357" s="85">
        <f t="shared" si="82"/>
        <v>45834</v>
      </c>
      <c r="S357" s="7">
        <f t="shared" ca="1" si="83"/>
        <v>-4</v>
      </c>
      <c r="T357" s="85">
        <f>G357-32-9</f>
        <v>45843</v>
      </c>
      <c r="U357" s="85"/>
      <c r="V357" s="7">
        <f t="shared" ca="1" si="84"/>
        <v>3</v>
      </c>
      <c r="W357" s="85"/>
      <c r="X357" s="8"/>
    </row>
    <row r="358" spans="1:24" ht="14.5" hidden="1">
      <c r="A358" s="14">
        <v>159</v>
      </c>
      <c r="B358" s="15" t="s">
        <v>59</v>
      </c>
      <c r="C358" s="20"/>
      <c r="D358" s="307" t="s">
        <v>189</v>
      </c>
      <c r="E358" s="146" t="s">
        <v>242</v>
      </c>
      <c r="F358" s="146" t="s">
        <v>90</v>
      </c>
      <c r="G358" s="240">
        <v>45891</v>
      </c>
      <c r="H358" s="17">
        <v>2310</v>
      </c>
      <c r="I358" s="86"/>
      <c r="J358" s="17">
        <v>746.41</v>
      </c>
      <c r="K358" s="18">
        <v>746</v>
      </c>
      <c r="L358" s="18"/>
      <c r="M358" s="40">
        <f t="shared" si="80"/>
        <v>746.41</v>
      </c>
      <c r="N358" s="40">
        <f t="shared" si="81"/>
        <v>0.40999999999996817</v>
      </c>
      <c r="O358" s="302" t="s">
        <v>178</v>
      </c>
      <c r="P358" s="85">
        <f t="shared" si="87"/>
        <v>45832</v>
      </c>
      <c r="Q358" s="85">
        <v>45797</v>
      </c>
      <c r="R358" s="85">
        <f t="shared" si="82"/>
        <v>45799</v>
      </c>
      <c r="S358" s="7">
        <f t="shared" ca="1" si="83"/>
        <v>35</v>
      </c>
      <c r="T358" s="85">
        <f>G358-44</f>
        <v>45847</v>
      </c>
      <c r="U358" s="85"/>
      <c r="V358" s="7">
        <f t="shared" ca="1" si="84"/>
        <v>7</v>
      </c>
      <c r="W358" s="85"/>
      <c r="X358" s="8"/>
    </row>
    <row r="359" spans="1:24" ht="14.5" hidden="1">
      <c r="A359" s="14">
        <v>159</v>
      </c>
      <c r="B359" s="15" t="s">
        <v>59</v>
      </c>
      <c r="C359" s="20"/>
      <c r="D359" s="307" t="s">
        <v>158</v>
      </c>
      <c r="E359" s="146" t="s">
        <v>242</v>
      </c>
      <c r="F359" s="146" t="s">
        <v>255</v>
      </c>
      <c r="G359" s="240">
        <v>45891</v>
      </c>
      <c r="H359" s="17">
        <v>2312</v>
      </c>
      <c r="I359" s="86"/>
      <c r="J359" s="17">
        <v>309</v>
      </c>
      <c r="K359" s="18">
        <v>309</v>
      </c>
      <c r="L359" s="18"/>
      <c r="M359" s="40">
        <f t="shared" si="80"/>
        <v>309</v>
      </c>
      <c r="N359" s="40">
        <f t="shared" si="81"/>
        <v>0</v>
      </c>
      <c r="O359" s="302" t="s">
        <v>178</v>
      </c>
      <c r="P359" s="85">
        <f t="shared" si="87"/>
        <v>45844</v>
      </c>
      <c r="Q359" s="85">
        <v>45818</v>
      </c>
      <c r="R359" s="85">
        <f t="shared" si="82"/>
        <v>45820</v>
      </c>
      <c r="S359" s="7">
        <f t="shared" ca="1" si="83"/>
        <v>26</v>
      </c>
      <c r="T359" s="85">
        <f>G359-32</f>
        <v>45859</v>
      </c>
      <c r="U359" s="85"/>
      <c r="V359" s="7">
        <f t="shared" ca="1" si="84"/>
        <v>19</v>
      </c>
      <c r="W359" s="85"/>
      <c r="X359" s="8"/>
    </row>
    <row r="360" spans="1:24" ht="14.5" hidden="1">
      <c r="A360" s="14">
        <v>160</v>
      </c>
      <c r="B360" s="15" t="s">
        <v>59</v>
      </c>
      <c r="C360" s="20"/>
      <c r="D360" s="307" t="s">
        <v>201</v>
      </c>
      <c r="E360" s="146" t="s">
        <v>247</v>
      </c>
      <c r="F360" s="146" t="s">
        <v>155</v>
      </c>
      <c r="G360" s="240">
        <v>45891</v>
      </c>
      <c r="H360" s="17">
        <v>2313</v>
      </c>
      <c r="I360" s="86"/>
      <c r="J360" s="17">
        <v>1696.1020876799994</v>
      </c>
      <c r="K360" s="18">
        <v>1696</v>
      </c>
      <c r="L360" s="18"/>
      <c r="M360" s="40">
        <f t="shared" si="80"/>
        <v>1696.1020876799994</v>
      </c>
      <c r="N360" s="40">
        <f t="shared" si="81"/>
        <v>0.10208767999938573</v>
      </c>
      <c r="O360" s="302" t="s">
        <v>265</v>
      </c>
      <c r="P360" s="85">
        <f t="shared" si="87"/>
        <v>45832</v>
      </c>
      <c r="Q360" s="85">
        <v>45822</v>
      </c>
      <c r="R360" s="85">
        <f t="shared" si="82"/>
        <v>45824</v>
      </c>
      <c r="S360" s="7">
        <f t="shared" ca="1" si="83"/>
        <v>10</v>
      </c>
      <c r="T360" s="85">
        <f>G360-32-12</f>
        <v>45847</v>
      </c>
      <c r="U360" s="85"/>
      <c r="V360" s="7">
        <f t="shared" ca="1" si="84"/>
        <v>7</v>
      </c>
      <c r="W360" s="85"/>
      <c r="X360" s="8"/>
    </row>
    <row r="361" spans="1:24" ht="14.5" hidden="1">
      <c r="A361" s="14">
        <v>160</v>
      </c>
      <c r="B361" s="15" t="s">
        <v>59</v>
      </c>
      <c r="C361" s="20"/>
      <c r="D361" s="307" t="s">
        <v>288</v>
      </c>
      <c r="E361" s="146" t="s">
        <v>289</v>
      </c>
      <c r="F361" s="146" t="s">
        <v>155</v>
      </c>
      <c r="G361" s="240">
        <v>45891</v>
      </c>
      <c r="H361" s="17">
        <v>2314</v>
      </c>
      <c r="I361" s="86"/>
      <c r="J361" s="17">
        <v>1097.4078047058824</v>
      </c>
      <c r="K361" s="18">
        <v>1097</v>
      </c>
      <c r="L361" s="18">
        <v>565</v>
      </c>
      <c r="M361" s="40">
        <f t="shared" si="80"/>
        <v>532.40780470588243</v>
      </c>
      <c r="N361" s="40">
        <f t="shared" si="81"/>
        <v>0.40780470588242679</v>
      </c>
      <c r="O361" s="302" t="s">
        <v>178</v>
      </c>
      <c r="P361" s="85">
        <f t="shared" si="87"/>
        <v>45836</v>
      </c>
      <c r="Q361" s="85">
        <v>45827</v>
      </c>
      <c r="R361" s="85">
        <f t="shared" si="82"/>
        <v>45829</v>
      </c>
      <c r="S361" s="7">
        <f t="shared" ca="1" si="83"/>
        <v>9</v>
      </c>
      <c r="T361" s="85">
        <f>G361-32-8</f>
        <v>45851</v>
      </c>
      <c r="U361" s="85"/>
      <c r="V361" s="7">
        <f t="shared" ca="1" si="84"/>
        <v>11</v>
      </c>
      <c r="W361" s="85"/>
      <c r="X361" s="8"/>
    </row>
    <row r="362" spans="1:24" ht="14.5" hidden="1">
      <c r="A362" s="14">
        <v>160</v>
      </c>
      <c r="B362" s="15" t="s">
        <v>59</v>
      </c>
      <c r="C362" s="20"/>
      <c r="D362" s="307" t="s">
        <v>288</v>
      </c>
      <c r="E362" s="146" t="s">
        <v>289</v>
      </c>
      <c r="F362" s="146" t="s">
        <v>154</v>
      </c>
      <c r="G362" s="240">
        <v>45891</v>
      </c>
      <c r="H362" s="17">
        <v>2315</v>
      </c>
      <c r="I362" s="86"/>
      <c r="J362" s="17">
        <v>907.20225555555555</v>
      </c>
      <c r="K362" s="18">
        <v>907</v>
      </c>
      <c r="L362" s="18">
        <v>192</v>
      </c>
      <c r="M362" s="40">
        <f t="shared" si="80"/>
        <v>715.20225555555555</v>
      </c>
      <c r="N362" s="40">
        <f t="shared" si="81"/>
        <v>0.20225555555555275</v>
      </c>
      <c r="O362" s="302" t="s">
        <v>178</v>
      </c>
      <c r="P362" s="85">
        <f t="shared" si="87"/>
        <v>45836</v>
      </c>
      <c r="Q362" s="85">
        <v>45822</v>
      </c>
      <c r="R362" s="85">
        <f t="shared" si="82"/>
        <v>45824</v>
      </c>
      <c r="S362" s="7">
        <f t="shared" ca="1" si="83"/>
        <v>14</v>
      </c>
      <c r="T362" s="85">
        <f>G362-32-8</f>
        <v>45851</v>
      </c>
      <c r="U362" s="85"/>
      <c r="V362" s="7">
        <f t="shared" ca="1" si="84"/>
        <v>11</v>
      </c>
      <c r="W362" s="85"/>
      <c r="X362" s="8"/>
    </row>
    <row r="363" spans="1:24" ht="14.5" hidden="1">
      <c r="A363" s="14">
        <v>160</v>
      </c>
      <c r="B363" s="15" t="s">
        <v>59</v>
      </c>
      <c r="C363" s="20"/>
      <c r="D363" s="307" t="s">
        <v>288</v>
      </c>
      <c r="E363" s="146" t="s">
        <v>289</v>
      </c>
      <c r="F363" s="146" t="s">
        <v>156</v>
      </c>
      <c r="G363" s="240">
        <v>45891</v>
      </c>
      <c r="H363" s="17">
        <v>2316</v>
      </c>
      <c r="I363" s="86"/>
      <c r="J363" s="17">
        <v>725.76180444444435</v>
      </c>
      <c r="K363" s="18">
        <v>726</v>
      </c>
      <c r="L363" s="18"/>
      <c r="M363" s="40">
        <f t="shared" si="80"/>
        <v>725.76180444444435</v>
      </c>
      <c r="N363" s="40">
        <f t="shared" si="81"/>
        <v>-0.23819555555564875</v>
      </c>
      <c r="O363" s="302" t="s">
        <v>178</v>
      </c>
      <c r="P363" s="85">
        <f t="shared" si="87"/>
        <v>45836</v>
      </c>
      <c r="Q363" s="85">
        <v>45807</v>
      </c>
      <c r="R363" s="85">
        <f t="shared" si="82"/>
        <v>45809</v>
      </c>
      <c r="S363" s="7">
        <f t="shared" ca="1" si="83"/>
        <v>29</v>
      </c>
      <c r="T363" s="85">
        <f>G363-32-8</f>
        <v>45851</v>
      </c>
      <c r="U363" s="85"/>
      <c r="V363" s="7">
        <f t="shared" ca="1" si="84"/>
        <v>11</v>
      </c>
      <c r="W363" s="85"/>
      <c r="X363" s="8"/>
    </row>
    <row r="364" spans="1:24" ht="14.5" hidden="1">
      <c r="A364" s="14">
        <v>160</v>
      </c>
      <c r="B364" s="15" t="s">
        <v>59</v>
      </c>
      <c r="C364" s="20"/>
      <c r="D364" s="307" t="s">
        <v>157</v>
      </c>
      <c r="E364" s="146" t="s">
        <v>243</v>
      </c>
      <c r="F364" s="146" t="s">
        <v>155</v>
      </c>
      <c r="G364" s="240">
        <v>45891</v>
      </c>
      <c r="H364" s="17">
        <v>2317</v>
      </c>
      <c r="I364" s="86"/>
      <c r="J364" s="17">
        <v>1147.7084000000002</v>
      </c>
      <c r="K364" s="18">
        <v>1148</v>
      </c>
      <c r="L364" s="18">
        <v>1002</v>
      </c>
      <c r="M364" s="40">
        <f t="shared" si="80"/>
        <v>145.70840000000021</v>
      </c>
      <c r="N364" s="40">
        <f t="shared" si="81"/>
        <v>-0.29159999999978936</v>
      </c>
      <c r="O364" s="301" t="s">
        <v>940</v>
      </c>
      <c r="P364" s="85">
        <f>T364-18</f>
        <v>45838</v>
      </c>
      <c r="Q364" s="85">
        <v>45813</v>
      </c>
      <c r="R364" s="85">
        <f t="shared" si="82"/>
        <v>45815</v>
      </c>
      <c r="S364" s="7">
        <f t="shared" ca="1" si="83"/>
        <v>25</v>
      </c>
      <c r="T364" s="85">
        <f>G364-35</f>
        <v>45856</v>
      </c>
      <c r="U364" s="85"/>
      <c r="V364" s="7">
        <f t="shared" ca="1" si="84"/>
        <v>16</v>
      </c>
      <c r="W364" s="85"/>
      <c r="X364" s="8"/>
    </row>
    <row r="365" spans="1:24" ht="14.5" hidden="1">
      <c r="A365" s="14">
        <v>160</v>
      </c>
      <c r="B365" s="15" t="s">
        <v>59</v>
      </c>
      <c r="C365" s="20"/>
      <c r="D365" s="307" t="s">
        <v>195</v>
      </c>
      <c r="E365" s="146" t="s">
        <v>838</v>
      </c>
      <c r="F365" s="146" t="s">
        <v>162</v>
      </c>
      <c r="G365" s="240">
        <v>45891</v>
      </c>
      <c r="H365" s="17">
        <v>2319</v>
      </c>
      <c r="I365" s="86"/>
      <c r="J365" s="17">
        <v>1004.4972</v>
      </c>
      <c r="K365" s="18">
        <v>1004</v>
      </c>
      <c r="L365" s="18"/>
      <c r="M365" s="40">
        <f t="shared" si="80"/>
        <v>1004.4972</v>
      </c>
      <c r="N365" s="40">
        <f t="shared" si="81"/>
        <v>0.49720000000002074</v>
      </c>
      <c r="O365" s="302" t="s">
        <v>178</v>
      </c>
      <c r="P365" s="85">
        <f>T365-15</f>
        <v>45835</v>
      </c>
      <c r="Q365" s="85">
        <v>45835</v>
      </c>
      <c r="R365" s="85">
        <f t="shared" si="82"/>
        <v>45837</v>
      </c>
      <c r="S365" s="7">
        <f t="shared" ca="1" si="83"/>
        <v>0</v>
      </c>
      <c r="T365" s="85">
        <f>G365-32-9</f>
        <v>45850</v>
      </c>
      <c r="U365" s="85"/>
      <c r="V365" s="7">
        <f t="shared" ca="1" si="84"/>
        <v>10</v>
      </c>
      <c r="W365" s="85"/>
      <c r="X365" s="8"/>
    </row>
    <row r="366" spans="1:24" ht="14.5" hidden="1">
      <c r="A366" s="14">
        <v>161</v>
      </c>
      <c r="B366" s="15" t="s">
        <v>59</v>
      </c>
      <c r="C366" s="20"/>
      <c r="D366" s="307" t="s">
        <v>193</v>
      </c>
      <c r="E366" s="146" t="s">
        <v>246</v>
      </c>
      <c r="F366" s="146" t="s">
        <v>162</v>
      </c>
      <c r="G366" s="240">
        <v>45898</v>
      </c>
      <c r="H366" s="17">
        <v>2321</v>
      </c>
      <c r="I366" s="86"/>
      <c r="J366" s="17">
        <v>1065.3084000000001</v>
      </c>
      <c r="K366" s="18">
        <v>1065</v>
      </c>
      <c r="L366" s="18"/>
      <c r="M366" s="40">
        <f t="shared" si="80"/>
        <v>1065.3084000000001</v>
      </c>
      <c r="N366" s="40">
        <f t="shared" si="81"/>
        <v>0.30840000000011969</v>
      </c>
      <c r="O366" s="302" t="s">
        <v>178</v>
      </c>
      <c r="P366" s="85">
        <f>T366-15</f>
        <v>45838</v>
      </c>
      <c r="Q366" s="85">
        <v>45815</v>
      </c>
      <c r="R366" s="85">
        <f t="shared" si="82"/>
        <v>45817</v>
      </c>
      <c r="S366" s="7">
        <f t="shared" ca="1" si="83"/>
        <v>23</v>
      </c>
      <c r="T366" s="85">
        <f>G366-32-13</f>
        <v>45853</v>
      </c>
      <c r="U366" s="85"/>
      <c r="V366" s="7">
        <f t="shared" ca="1" si="84"/>
        <v>13</v>
      </c>
      <c r="W366" s="85"/>
      <c r="X366" s="8"/>
    </row>
    <row r="367" spans="1:24" ht="14.5" hidden="1">
      <c r="A367" s="14">
        <v>161</v>
      </c>
      <c r="B367" s="15" t="s">
        <v>59</v>
      </c>
      <c r="C367" s="20"/>
      <c r="D367" s="311" t="s">
        <v>81</v>
      </c>
      <c r="E367" s="146" t="s">
        <v>399</v>
      </c>
      <c r="F367" s="146" t="s">
        <v>291</v>
      </c>
      <c r="G367" s="240">
        <v>45898</v>
      </c>
      <c r="H367" s="17"/>
      <c r="I367" s="86"/>
      <c r="J367" s="17">
        <v>3144</v>
      </c>
      <c r="K367" s="18">
        <v>3144</v>
      </c>
      <c r="L367" s="18"/>
      <c r="M367" s="40">
        <f t="shared" si="80"/>
        <v>3144</v>
      </c>
      <c r="N367" s="40">
        <f t="shared" si="81"/>
        <v>0</v>
      </c>
      <c r="O367" s="301" t="s">
        <v>292</v>
      </c>
      <c r="P367" s="85">
        <f>T367-30</f>
        <v>45838</v>
      </c>
      <c r="Q367" s="85">
        <v>45834</v>
      </c>
      <c r="R367" s="85">
        <f t="shared" si="82"/>
        <v>45836</v>
      </c>
      <c r="S367" s="7">
        <f t="shared" ca="1" si="83"/>
        <v>4</v>
      </c>
      <c r="T367" s="85">
        <f>G367-30</f>
        <v>45868</v>
      </c>
      <c r="U367" s="85"/>
      <c r="V367" s="7">
        <f t="shared" ca="1" si="84"/>
        <v>28</v>
      </c>
      <c r="W367" s="85"/>
      <c r="X367" s="8"/>
    </row>
    <row r="368" spans="1:24" ht="14.5" hidden="1">
      <c r="A368" s="14">
        <v>161</v>
      </c>
      <c r="B368" s="15" t="s">
        <v>59</v>
      </c>
      <c r="C368" s="20"/>
      <c r="D368" s="311" t="s">
        <v>81</v>
      </c>
      <c r="E368" s="146" t="s">
        <v>399</v>
      </c>
      <c r="F368" s="146" t="s">
        <v>293</v>
      </c>
      <c r="G368" s="240">
        <v>45898</v>
      </c>
      <c r="H368" s="17"/>
      <c r="I368" s="86"/>
      <c r="J368" s="17">
        <v>3144</v>
      </c>
      <c r="K368" s="18">
        <v>3144</v>
      </c>
      <c r="L368" s="18"/>
      <c r="M368" s="40">
        <f t="shared" si="80"/>
        <v>3144</v>
      </c>
      <c r="N368" s="40">
        <f t="shared" si="81"/>
        <v>0</v>
      </c>
      <c r="O368" s="301" t="s">
        <v>292</v>
      </c>
      <c r="P368" s="85">
        <f>T368-30</f>
        <v>45838</v>
      </c>
      <c r="Q368" s="85">
        <v>45834</v>
      </c>
      <c r="R368" s="85">
        <f t="shared" si="82"/>
        <v>45836</v>
      </c>
      <c r="S368" s="7">
        <f t="shared" ca="1" si="83"/>
        <v>4</v>
      </c>
      <c r="T368" s="85">
        <f>G368-30</f>
        <v>45868</v>
      </c>
      <c r="U368" s="85"/>
      <c r="V368" s="7">
        <f t="shared" ca="1" si="84"/>
        <v>28</v>
      </c>
      <c r="W368" s="85"/>
      <c r="X368" s="8"/>
    </row>
    <row r="369" spans="1:24" ht="14.5" hidden="1">
      <c r="A369" s="14">
        <v>161</v>
      </c>
      <c r="B369" s="15" t="s">
        <v>59</v>
      </c>
      <c r="C369" s="20"/>
      <c r="D369" s="311" t="s">
        <v>81</v>
      </c>
      <c r="E369" s="146" t="s">
        <v>399</v>
      </c>
      <c r="F369" s="146" t="s">
        <v>294</v>
      </c>
      <c r="G369" s="240">
        <v>45898</v>
      </c>
      <c r="H369" s="17"/>
      <c r="I369" s="86"/>
      <c r="J369" s="17">
        <v>3144</v>
      </c>
      <c r="K369" s="18">
        <v>3144</v>
      </c>
      <c r="L369" s="18"/>
      <c r="M369" s="40">
        <f t="shared" si="80"/>
        <v>3144</v>
      </c>
      <c r="N369" s="40">
        <f t="shared" si="81"/>
        <v>0</v>
      </c>
      <c r="O369" s="301" t="s">
        <v>292</v>
      </c>
      <c r="P369" s="85">
        <f>T369-30</f>
        <v>45838</v>
      </c>
      <c r="Q369" s="85">
        <v>45834</v>
      </c>
      <c r="R369" s="85">
        <f t="shared" si="82"/>
        <v>45836</v>
      </c>
      <c r="S369" s="7">
        <f t="shared" ca="1" si="83"/>
        <v>4</v>
      </c>
      <c r="T369" s="85">
        <f>G369-30</f>
        <v>45868</v>
      </c>
      <c r="U369" s="85"/>
      <c r="V369" s="7">
        <f t="shared" ca="1" si="84"/>
        <v>28</v>
      </c>
      <c r="W369" s="85"/>
      <c r="X369" s="8"/>
    </row>
    <row r="370" spans="1:24" ht="14.5" hidden="1">
      <c r="A370" s="14">
        <v>161</v>
      </c>
      <c r="B370" s="15" t="s">
        <v>59</v>
      </c>
      <c r="C370" s="20"/>
      <c r="D370" s="307" t="s">
        <v>157</v>
      </c>
      <c r="E370" s="146" t="s">
        <v>243</v>
      </c>
      <c r="F370" s="146" t="s">
        <v>162</v>
      </c>
      <c r="G370" s="240">
        <v>45898</v>
      </c>
      <c r="H370" s="17">
        <v>2325</v>
      </c>
      <c r="I370" s="86"/>
      <c r="J370" s="17">
        <v>1133.0412000000001</v>
      </c>
      <c r="K370" s="18">
        <v>1133</v>
      </c>
      <c r="L370" s="18"/>
      <c r="M370" s="40">
        <f t="shared" si="80"/>
        <v>1133.0412000000001</v>
      </c>
      <c r="N370" s="40">
        <f t="shared" si="81"/>
        <v>4.1200000000117143E-2</v>
      </c>
      <c r="O370" s="301" t="s">
        <v>871</v>
      </c>
      <c r="P370" s="85">
        <f>T370-18</f>
        <v>45845</v>
      </c>
      <c r="Q370" s="85">
        <v>45832</v>
      </c>
      <c r="R370" s="85">
        <f t="shared" si="82"/>
        <v>45834</v>
      </c>
      <c r="S370" s="7">
        <f t="shared" ca="1" si="83"/>
        <v>13</v>
      </c>
      <c r="T370" s="85">
        <f>G370-35</f>
        <v>45863</v>
      </c>
      <c r="U370" s="85"/>
      <c r="V370" s="7">
        <f t="shared" ca="1" si="84"/>
        <v>23</v>
      </c>
      <c r="W370" s="85"/>
      <c r="X370" s="8"/>
    </row>
    <row r="371" spans="1:24" ht="25.5" hidden="1" customHeight="1">
      <c r="A371" s="14">
        <v>161</v>
      </c>
      <c r="B371" s="15" t="s">
        <v>59</v>
      </c>
      <c r="C371" s="20"/>
      <c r="D371" s="307" t="s">
        <v>158</v>
      </c>
      <c r="E371" s="146" t="s">
        <v>242</v>
      </c>
      <c r="F371" s="146" t="s">
        <v>255</v>
      </c>
      <c r="G371" s="240">
        <v>45898</v>
      </c>
      <c r="H371" s="17">
        <v>2327</v>
      </c>
      <c r="I371" s="86"/>
      <c r="J371" s="17">
        <v>571</v>
      </c>
      <c r="K371" s="18">
        <v>571</v>
      </c>
      <c r="L371" s="18"/>
      <c r="M371" s="40">
        <f t="shared" si="80"/>
        <v>571</v>
      </c>
      <c r="N371" s="40">
        <f t="shared" si="81"/>
        <v>0</v>
      </c>
      <c r="O371" s="302" t="s">
        <v>178</v>
      </c>
      <c r="P371" s="85">
        <f t="shared" ref="P371:P376" si="88">T371-15</f>
        <v>45851</v>
      </c>
      <c r="Q371" s="85">
        <v>45818</v>
      </c>
      <c r="R371" s="85">
        <f t="shared" si="82"/>
        <v>45820</v>
      </c>
      <c r="S371" s="7">
        <f t="shared" ca="1" si="83"/>
        <v>33</v>
      </c>
      <c r="T371" s="85">
        <f>G371-32</f>
        <v>45866</v>
      </c>
      <c r="U371" s="85"/>
      <c r="V371" s="7">
        <f t="shared" ca="1" si="84"/>
        <v>26</v>
      </c>
      <c r="W371" s="85"/>
      <c r="X371" s="8"/>
    </row>
    <row r="372" spans="1:24" ht="14.5" hidden="1">
      <c r="A372" s="14">
        <v>162</v>
      </c>
      <c r="B372" s="15" t="s">
        <v>59</v>
      </c>
      <c r="C372" s="20"/>
      <c r="D372" s="307" t="s">
        <v>193</v>
      </c>
      <c r="E372" s="146" t="s">
        <v>246</v>
      </c>
      <c r="F372" s="146" t="s">
        <v>162</v>
      </c>
      <c r="G372" s="240">
        <v>45898</v>
      </c>
      <c r="H372" s="17">
        <v>2328</v>
      </c>
      <c r="I372" s="86"/>
      <c r="J372" s="17">
        <v>1253</v>
      </c>
      <c r="K372" s="18">
        <v>1253</v>
      </c>
      <c r="L372" s="18"/>
      <c r="M372" s="40">
        <f t="shared" si="80"/>
        <v>1253</v>
      </c>
      <c r="N372" s="40">
        <f t="shared" si="81"/>
        <v>0</v>
      </c>
      <c r="O372" s="302" t="s">
        <v>178</v>
      </c>
      <c r="P372" s="85">
        <f t="shared" si="88"/>
        <v>45838</v>
      </c>
      <c r="Q372" s="85">
        <v>45815</v>
      </c>
      <c r="R372" s="85">
        <f t="shared" si="82"/>
        <v>45817</v>
      </c>
      <c r="S372" s="7">
        <f t="shared" ca="1" si="83"/>
        <v>23</v>
      </c>
      <c r="T372" s="85">
        <f>G372-32-13</f>
        <v>45853</v>
      </c>
      <c r="U372" s="85"/>
      <c r="V372" s="7">
        <f t="shared" ca="1" si="84"/>
        <v>13</v>
      </c>
      <c r="W372" s="85"/>
      <c r="X372" s="8"/>
    </row>
    <row r="373" spans="1:24" ht="25.5" hidden="1" customHeight="1">
      <c r="A373" s="14">
        <v>162</v>
      </c>
      <c r="B373" s="15" t="s">
        <v>59</v>
      </c>
      <c r="C373" s="20"/>
      <c r="D373" s="307" t="s">
        <v>158</v>
      </c>
      <c r="E373" s="146" t="s">
        <v>242</v>
      </c>
      <c r="F373" s="146" t="s">
        <v>154</v>
      </c>
      <c r="G373" s="240">
        <v>45898</v>
      </c>
      <c r="H373" s="17">
        <v>2329</v>
      </c>
      <c r="I373" s="86"/>
      <c r="J373" s="17">
        <v>666</v>
      </c>
      <c r="K373" s="18">
        <v>666</v>
      </c>
      <c r="L373" s="18"/>
      <c r="M373" s="40">
        <f t="shared" si="80"/>
        <v>666</v>
      </c>
      <c r="N373" s="40">
        <f t="shared" si="81"/>
        <v>0</v>
      </c>
      <c r="O373" s="302" t="s">
        <v>178</v>
      </c>
      <c r="P373" s="85">
        <f t="shared" si="88"/>
        <v>45851</v>
      </c>
      <c r="Q373" s="85">
        <v>45822</v>
      </c>
      <c r="R373" s="85">
        <f t="shared" si="82"/>
        <v>45824</v>
      </c>
      <c r="S373" s="7">
        <f t="shared" ca="1" si="83"/>
        <v>29</v>
      </c>
      <c r="T373" s="85">
        <f>G373-32</f>
        <v>45866</v>
      </c>
      <c r="U373" s="85"/>
      <c r="V373" s="7">
        <f t="shared" ca="1" si="84"/>
        <v>26</v>
      </c>
      <c r="W373" s="85"/>
      <c r="X373" s="8"/>
    </row>
    <row r="374" spans="1:24" ht="18.75" hidden="1" customHeight="1">
      <c r="A374" s="14">
        <v>163</v>
      </c>
      <c r="B374" s="15" t="s">
        <v>59</v>
      </c>
      <c r="C374" s="20"/>
      <c r="D374" s="307" t="s">
        <v>189</v>
      </c>
      <c r="E374" s="146" t="s">
        <v>242</v>
      </c>
      <c r="F374" s="146" t="s">
        <v>90</v>
      </c>
      <c r="G374" s="240">
        <v>45905</v>
      </c>
      <c r="H374" s="17">
        <v>2331</v>
      </c>
      <c r="I374" s="86"/>
      <c r="J374" s="17">
        <v>1207</v>
      </c>
      <c r="K374" s="18">
        <v>1207</v>
      </c>
      <c r="L374" s="18"/>
      <c r="M374" s="40">
        <f t="shared" si="80"/>
        <v>1207</v>
      </c>
      <c r="N374" s="40">
        <f t="shared" si="81"/>
        <v>0</v>
      </c>
      <c r="O374" s="302" t="s">
        <v>178</v>
      </c>
      <c r="P374" s="85">
        <f t="shared" si="88"/>
        <v>45846</v>
      </c>
      <c r="Q374" s="85">
        <v>45797</v>
      </c>
      <c r="R374" s="85">
        <f t="shared" si="82"/>
        <v>45799</v>
      </c>
      <c r="S374" s="7">
        <f t="shared" ca="1" si="83"/>
        <v>49</v>
      </c>
      <c r="T374" s="85">
        <f>G374-44</f>
        <v>45861</v>
      </c>
      <c r="U374" s="85"/>
      <c r="V374" s="7">
        <f t="shared" ca="1" si="84"/>
        <v>21</v>
      </c>
      <c r="W374" s="85"/>
      <c r="X374" s="8"/>
    </row>
    <row r="375" spans="1:24" ht="18.75" hidden="1" customHeight="1">
      <c r="A375" s="14">
        <v>165</v>
      </c>
      <c r="B375" s="15" t="s">
        <v>59</v>
      </c>
      <c r="C375" s="20"/>
      <c r="D375" s="307" t="s">
        <v>189</v>
      </c>
      <c r="E375" s="146" t="s">
        <v>242</v>
      </c>
      <c r="F375" s="146" t="s">
        <v>90</v>
      </c>
      <c r="G375" s="240">
        <v>45870</v>
      </c>
      <c r="H375" s="17">
        <v>2331</v>
      </c>
      <c r="I375" s="218">
        <v>0.5</v>
      </c>
      <c r="J375" s="17">
        <v>1881</v>
      </c>
      <c r="K375" s="18">
        <v>1881</v>
      </c>
      <c r="L375" s="18">
        <v>1881</v>
      </c>
      <c r="M375" s="40">
        <f t="shared" si="80"/>
        <v>0</v>
      </c>
      <c r="N375" s="40">
        <f t="shared" si="81"/>
        <v>0</v>
      </c>
      <c r="O375" s="302" t="s">
        <v>178</v>
      </c>
      <c r="P375" s="85">
        <f t="shared" si="88"/>
        <v>45811</v>
      </c>
      <c r="Q375" s="85">
        <v>45797</v>
      </c>
      <c r="R375" s="85">
        <f t="shared" si="82"/>
        <v>45799</v>
      </c>
      <c r="S375" s="7">
        <f t="shared" ca="1" si="83"/>
        <v>14</v>
      </c>
      <c r="T375" s="85">
        <f>G375-44</f>
        <v>45826</v>
      </c>
      <c r="U375" s="85">
        <v>45820</v>
      </c>
      <c r="V375" s="7">
        <f t="shared" ca="1" si="84"/>
        <v>6</v>
      </c>
      <c r="W375" s="85"/>
      <c r="X375" s="8"/>
    </row>
    <row r="376" spans="1:24" ht="18.75" hidden="1" customHeight="1">
      <c r="A376" s="316">
        <v>166</v>
      </c>
      <c r="B376" s="15" t="s">
        <v>59</v>
      </c>
      <c r="C376" s="317"/>
      <c r="D376" s="307" t="s">
        <v>189</v>
      </c>
      <c r="E376" s="146" t="s">
        <v>242</v>
      </c>
      <c r="F376" s="146" t="s">
        <v>90</v>
      </c>
      <c r="G376" s="240">
        <v>45870</v>
      </c>
      <c r="H376" s="320"/>
      <c r="I376" s="321"/>
      <c r="J376" s="320">
        <v>1349</v>
      </c>
      <c r="K376" s="18">
        <v>1349</v>
      </c>
      <c r="L376" s="18">
        <v>1349</v>
      </c>
      <c r="M376" s="40">
        <f t="shared" si="80"/>
        <v>0</v>
      </c>
      <c r="N376" s="40">
        <f>+J376-K376</f>
        <v>0</v>
      </c>
      <c r="O376" s="302" t="s">
        <v>178</v>
      </c>
      <c r="P376" s="85">
        <f t="shared" si="88"/>
        <v>45811</v>
      </c>
      <c r="Q376" s="85">
        <v>45811</v>
      </c>
      <c r="R376" s="85">
        <f t="shared" si="82"/>
        <v>45813</v>
      </c>
      <c r="S376" s="7">
        <f t="shared" ca="1" si="83"/>
        <v>0</v>
      </c>
      <c r="T376" s="85">
        <f>G376-44</f>
        <v>45826</v>
      </c>
      <c r="U376" s="85">
        <v>45822</v>
      </c>
      <c r="V376" s="7">
        <f t="shared" ca="1" si="84"/>
        <v>4</v>
      </c>
      <c r="W376" s="85"/>
      <c r="X376" s="8"/>
    </row>
    <row r="377" spans="1:24" ht="18.75" hidden="1" customHeight="1">
      <c r="A377" s="316">
        <v>167</v>
      </c>
      <c r="B377" s="15" t="s">
        <v>59</v>
      </c>
      <c r="C377" s="317"/>
      <c r="D377" s="307" t="s">
        <v>157</v>
      </c>
      <c r="E377" s="146" t="s">
        <v>243</v>
      </c>
      <c r="F377" s="146" t="s">
        <v>155</v>
      </c>
      <c r="G377" s="240">
        <v>45874</v>
      </c>
      <c r="H377" s="320"/>
      <c r="I377" s="321"/>
      <c r="J377" s="320">
        <v>1147</v>
      </c>
      <c r="K377" s="18">
        <v>1147</v>
      </c>
      <c r="L377" s="18">
        <v>1147</v>
      </c>
      <c r="M377" s="40">
        <f t="shared" si="80"/>
        <v>0</v>
      </c>
      <c r="N377" s="40">
        <f t="shared" si="81"/>
        <v>0</v>
      </c>
      <c r="O377" s="301" t="s">
        <v>940</v>
      </c>
      <c r="P377" s="85">
        <f>T377-18</f>
        <v>45821</v>
      </c>
      <c r="Q377" s="85">
        <v>45813</v>
      </c>
      <c r="R377" s="85">
        <f t="shared" si="82"/>
        <v>45815</v>
      </c>
      <c r="S377" s="7">
        <f t="shared" ca="1" si="83"/>
        <v>8</v>
      </c>
      <c r="T377" s="85">
        <f>G377-35</f>
        <v>45839</v>
      </c>
      <c r="U377" s="85">
        <v>45834</v>
      </c>
      <c r="V377" s="7">
        <f t="shared" ca="1" si="84"/>
        <v>5</v>
      </c>
      <c r="W377" s="85"/>
      <c r="X377" s="8"/>
    </row>
    <row r="378" spans="1:24" ht="18.75" hidden="1" customHeight="1">
      <c r="A378" s="316">
        <v>167</v>
      </c>
      <c r="B378" s="15" t="s">
        <v>59</v>
      </c>
      <c r="C378" s="317"/>
      <c r="D378" s="307" t="s">
        <v>158</v>
      </c>
      <c r="E378" s="146" t="s">
        <v>242</v>
      </c>
      <c r="F378" s="146" t="s">
        <v>154</v>
      </c>
      <c r="G378" s="240">
        <v>45874</v>
      </c>
      <c r="H378" s="320"/>
      <c r="I378" s="321"/>
      <c r="J378" s="320">
        <v>119</v>
      </c>
      <c r="K378" s="18">
        <v>119</v>
      </c>
      <c r="L378" s="18">
        <v>120</v>
      </c>
      <c r="M378" s="40">
        <f t="shared" si="80"/>
        <v>-1</v>
      </c>
      <c r="N378" s="40">
        <f t="shared" si="81"/>
        <v>0</v>
      </c>
      <c r="O378" s="302" t="s">
        <v>178</v>
      </c>
      <c r="P378" s="85">
        <f>T378-15</f>
        <v>45827</v>
      </c>
      <c r="Q378" s="85">
        <v>45822</v>
      </c>
      <c r="R378" s="85">
        <f t="shared" si="82"/>
        <v>45824</v>
      </c>
      <c r="S378" s="7">
        <f t="shared" ca="1" si="83"/>
        <v>5</v>
      </c>
      <c r="T378" s="85">
        <f>G378-32</f>
        <v>45842</v>
      </c>
      <c r="U378" s="85">
        <v>45832</v>
      </c>
      <c r="V378" s="7">
        <f t="shared" ca="1" si="84"/>
        <v>10</v>
      </c>
      <c r="W378" s="85"/>
      <c r="X378" s="8"/>
    </row>
    <row r="379" spans="1:24" ht="18.75" hidden="1" customHeight="1">
      <c r="A379" s="316">
        <v>167</v>
      </c>
      <c r="B379" s="15" t="s">
        <v>59</v>
      </c>
      <c r="C379" s="317"/>
      <c r="D379" s="307" t="s">
        <v>158</v>
      </c>
      <c r="E379" s="146" t="s">
        <v>242</v>
      </c>
      <c r="F379" s="146" t="s">
        <v>255</v>
      </c>
      <c r="G379" s="240">
        <v>45874</v>
      </c>
      <c r="H379" s="320"/>
      <c r="I379" s="321"/>
      <c r="J379" s="320">
        <v>919</v>
      </c>
      <c r="K379" s="18">
        <v>919</v>
      </c>
      <c r="L379" s="18"/>
      <c r="M379" s="40">
        <f t="shared" si="80"/>
        <v>919</v>
      </c>
      <c r="N379" s="40">
        <f t="shared" si="81"/>
        <v>0</v>
      </c>
      <c r="O379" s="302" t="s">
        <v>178</v>
      </c>
      <c r="P379" s="85">
        <f>T379-15</f>
        <v>45827</v>
      </c>
      <c r="Q379" s="85">
        <v>45832</v>
      </c>
      <c r="R379" s="85">
        <f t="shared" si="82"/>
        <v>45834</v>
      </c>
      <c r="S379" s="7">
        <f t="shared" ca="1" si="83"/>
        <v>-5</v>
      </c>
      <c r="T379" s="85">
        <f>G379-32</f>
        <v>45842</v>
      </c>
      <c r="U379" s="85"/>
      <c r="V379" s="7">
        <f t="shared" ca="1" si="84"/>
        <v>2</v>
      </c>
      <c r="W379" s="85"/>
      <c r="X379" s="8"/>
    </row>
    <row r="380" spans="1:24" ht="18.75" hidden="1" customHeight="1">
      <c r="A380" s="316">
        <v>168</v>
      </c>
      <c r="B380" s="15" t="s">
        <v>59</v>
      </c>
      <c r="C380" s="317"/>
      <c r="D380" s="307" t="s">
        <v>157</v>
      </c>
      <c r="E380" s="146" t="s">
        <v>243</v>
      </c>
      <c r="F380" s="301" t="s">
        <v>162</v>
      </c>
      <c r="G380" s="240">
        <v>45874</v>
      </c>
      <c r="H380" s="320"/>
      <c r="I380" s="321"/>
      <c r="J380" s="320">
        <v>1147</v>
      </c>
      <c r="K380" s="18">
        <v>1147</v>
      </c>
      <c r="L380" s="18">
        <v>1147</v>
      </c>
      <c r="M380" s="40">
        <f t="shared" si="80"/>
        <v>0</v>
      </c>
      <c r="N380" s="40">
        <f t="shared" si="81"/>
        <v>0</v>
      </c>
      <c r="O380" s="301" t="s">
        <v>948</v>
      </c>
      <c r="P380" s="85">
        <f>T380-18</f>
        <v>45821</v>
      </c>
      <c r="Q380" s="85">
        <v>45793</v>
      </c>
      <c r="R380" s="85">
        <f t="shared" si="82"/>
        <v>45795</v>
      </c>
      <c r="S380" s="7">
        <f t="shared" ca="1" si="83"/>
        <v>28</v>
      </c>
      <c r="T380" s="85">
        <f>G380-35</f>
        <v>45839</v>
      </c>
      <c r="U380" s="85">
        <v>45793</v>
      </c>
      <c r="V380" s="7">
        <f t="shared" ca="1" si="84"/>
        <v>46</v>
      </c>
      <c r="W380" s="85"/>
      <c r="X380" s="8"/>
    </row>
    <row r="381" spans="1:24" ht="18.75" hidden="1" customHeight="1">
      <c r="A381" s="316">
        <v>168</v>
      </c>
      <c r="B381" s="15" t="s">
        <v>59</v>
      </c>
      <c r="C381" s="317"/>
      <c r="D381" s="307" t="s">
        <v>158</v>
      </c>
      <c r="E381" s="301" t="s">
        <v>242</v>
      </c>
      <c r="F381" s="301" t="s">
        <v>255</v>
      </c>
      <c r="G381" s="240">
        <v>45874</v>
      </c>
      <c r="H381" s="320"/>
      <c r="I381" s="321"/>
      <c r="J381" s="320">
        <v>145</v>
      </c>
      <c r="K381" s="18">
        <v>145</v>
      </c>
      <c r="L381" s="18"/>
      <c r="M381" s="40">
        <f t="shared" si="80"/>
        <v>145</v>
      </c>
      <c r="N381" s="40">
        <f t="shared" si="81"/>
        <v>0</v>
      </c>
      <c r="O381" s="302" t="s">
        <v>178</v>
      </c>
      <c r="P381" s="85">
        <f>T381-15</f>
        <v>45827</v>
      </c>
      <c r="Q381" s="85">
        <v>45832</v>
      </c>
      <c r="R381" s="85">
        <f t="shared" si="82"/>
        <v>45834</v>
      </c>
      <c r="S381" s="7">
        <f t="shared" ca="1" si="83"/>
        <v>-5</v>
      </c>
      <c r="T381" s="85">
        <f>G381-32</f>
        <v>45842</v>
      </c>
      <c r="U381" s="85"/>
      <c r="V381" s="7">
        <f t="shared" ca="1" si="84"/>
        <v>2</v>
      </c>
      <c r="W381" s="85"/>
      <c r="X381" s="8"/>
    </row>
    <row r="382" spans="1:24" ht="18.75" hidden="1" customHeight="1">
      <c r="A382" s="316">
        <v>168</v>
      </c>
      <c r="B382" s="15" t="s">
        <v>59</v>
      </c>
      <c r="C382" s="317"/>
      <c r="D382" s="307" t="s">
        <v>271</v>
      </c>
      <c r="E382" s="301" t="s">
        <v>242</v>
      </c>
      <c r="F382" s="146" t="s">
        <v>244</v>
      </c>
      <c r="G382" s="240">
        <v>45874</v>
      </c>
      <c r="H382" s="320"/>
      <c r="I382" s="321"/>
      <c r="J382" s="320">
        <v>457</v>
      </c>
      <c r="K382" s="18">
        <v>457</v>
      </c>
      <c r="L382" s="18">
        <v>457</v>
      </c>
      <c r="M382" s="40">
        <f t="shared" si="80"/>
        <v>0</v>
      </c>
      <c r="N382" s="40">
        <f t="shared" si="81"/>
        <v>0</v>
      </c>
      <c r="O382" s="302" t="s">
        <v>178</v>
      </c>
      <c r="P382" s="85">
        <f>T382-15</f>
        <v>45819</v>
      </c>
      <c r="Q382" s="85">
        <v>45797</v>
      </c>
      <c r="R382" s="85">
        <f t="shared" si="82"/>
        <v>45799</v>
      </c>
      <c r="S382" s="7">
        <f t="shared" ca="1" si="83"/>
        <v>22</v>
      </c>
      <c r="T382" s="85">
        <f>G382-32-8</f>
        <v>45834</v>
      </c>
      <c r="U382" s="85">
        <v>45801</v>
      </c>
      <c r="V382" s="7">
        <f t="shared" ca="1" si="84"/>
        <v>33</v>
      </c>
      <c r="W382" s="85"/>
      <c r="X382" s="8"/>
    </row>
    <row r="383" spans="1:24" ht="18.75" hidden="1" customHeight="1">
      <c r="A383" s="316">
        <v>169</v>
      </c>
      <c r="B383" s="15" t="s">
        <v>59</v>
      </c>
      <c r="C383" s="317"/>
      <c r="D383" s="307" t="s">
        <v>158</v>
      </c>
      <c r="E383" s="146" t="s">
        <v>242</v>
      </c>
      <c r="F383" s="146" t="s">
        <v>155</v>
      </c>
      <c r="G383" s="240">
        <v>45877</v>
      </c>
      <c r="H383" s="320"/>
      <c r="I383" s="321"/>
      <c r="J383" s="320">
        <v>584</v>
      </c>
      <c r="K383" s="18">
        <v>584</v>
      </c>
      <c r="L383" s="18">
        <v>584</v>
      </c>
      <c r="M383" s="40">
        <f t="shared" si="80"/>
        <v>0</v>
      </c>
      <c r="N383" s="40">
        <f t="shared" si="81"/>
        <v>0</v>
      </c>
      <c r="O383" s="301" t="s">
        <v>948</v>
      </c>
      <c r="P383" s="85">
        <f>T383-15</f>
        <v>45830</v>
      </c>
      <c r="Q383" s="85">
        <v>45811</v>
      </c>
      <c r="R383" s="85">
        <f t="shared" si="82"/>
        <v>45813</v>
      </c>
      <c r="S383" s="7">
        <f t="shared" ca="1" si="83"/>
        <v>19</v>
      </c>
      <c r="T383" s="85">
        <f>G383-32</f>
        <v>45845</v>
      </c>
      <c r="U383" s="85">
        <v>45811</v>
      </c>
      <c r="V383" s="7">
        <f t="shared" ca="1" si="84"/>
        <v>34</v>
      </c>
      <c r="W383" s="85"/>
      <c r="X383" s="8"/>
    </row>
    <row r="384" spans="1:24" ht="18.75" hidden="1" customHeight="1">
      <c r="A384" s="316">
        <v>169</v>
      </c>
      <c r="B384" s="15" t="s">
        <v>59</v>
      </c>
      <c r="C384" s="317"/>
      <c r="D384" s="307" t="s">
        <v>189</v>
      </c>
      <c r="E384" s="146" t="s">
        <v>242</v>
      </c>
      <c r="F384" s="146" t="s">
        <v>90</v>
      </c>
      <c r="G384" s="240">
        <v>45877</v>
      </c>
      <c r="H384" s="320"/>
      <c r="I384" s="321"/>
      <c r="J384" s="320">
        <v>1207</v>
      </c>
      <c r="K384" s="18">
        <v>1207</v>
      </c>
      <c r="L384" s="18">
        <v>1207</v>
      </c>
      <c r="M384" s="40">
        <f t="shared" si="80"/>
        <v>0</v>
      </c>
      <c r="N384" s="40">
        <f t="shared" si="81"/>
        <v>0</v>
      </c>
      <c r="O384" s="302" t="s">
        <v>178</v>
      </c>
      <c r="P384" s="85">
        <f>T384-15</f>
        <v>45818</v>
      </c>
      <c r="Q384" s="85">
        <v>45811</v>
      </c>
      <c r="R384" s="85">
        <f t="shared" si="82"/>
        <v>45813</v>
      </c>
      <c r="S384" s="7">
        <f t="shared" ca="1" si="83"/>
        <v>7</v>
      </c>
      <c r="T384" s="85">
        <f>G384-44</f>
        <v>45833</v>
      </c>
      <c r="U384" s="85">
        <v>45832</v>
      </c>
      <c r="V384" s="7">
        <f t="shared" ca="1" si="84"/>
        <v>1</v>
      </c>
      <c r="W384" s="85"/>
      <c r="X384" s="8"/>
    </row>
    <row r="385" spans="1:24" ht="18.75" hidden="1" customHeight="1">
      <c r="A385" s="316">
        <v>170</v>
      </c>
      <c r="B385" s="15" t="s">
        <v>59</v>
      </c>
      <c r="C385" s="317"/>
      <c r="D385" s="307" t="s">
        <v>157</v>
      </c>
      <c r="E385" s="146" t="s">
        <v>243</v>
      </c>
      <c r="F385" s="301" t="s">
        <v>155</v>
      </c>
      <c r="G385" s="240">
        <v>45891</v>
      </c>
      <c r="H385" s="320"/>
      <c r="I385" s="321"/>
      <c r="J385" s="320">
        <v>285</v>
      </c>
      <c r="K385" s="18">
        <v>285</v>
      </c>
      <c r="L385" s="18"/>
      <c r="M385" s="40">
        <f t="shared" si="80"/>
        <v>285</v>
      </c>
      <c r="N385" s="40">
        <f t="shared" si="81"/>
        <v>0</v>
      </c>
      <c r="O385" s="301" t="s">
        <v>940</v>
      </c>
      <c r="P385" s="85">
        <f>T385-15</f>
        <v>45836</v>
      </c>
      <c r="Q385" s="85">
        <v>45813</v>
      </c>
      <c r="R385" s="85">
        <f t="shared" si="82"/>
        <v>45815</v>
      </c>
      <c r="S385" s="7">
        <f t="shared" ca="1" si="83"/>
        <v>23</v>
      </c>
      <c r="T385" s="85">
        <f>G385-32-8</f>
        <v>45851</v>
      </c>
      <c r="U385" s="85"/>
      <c r="V385" s="7">
        <f t="shared" ca="1" si="84"/>
        <v>11</v>
      </c>
      <c r="W385" s="85"/>
      <c r="X385" s="8"/>
    </row>
    <row r="386" spans="1:24" ht="18.75" hidden="1" customHeight="1">
      <c r="A386" s="316">
        <v>170</v>
      </c>
      <c r="B386" s="15" t="s">
        <v>59</v>
      </c>
      <c r="C386" s="317"/>
      <c r="D386" s="307" t="s">
        <v>157</v>
      </c>
      <c r="E386" s="146" t="s">
        <v>243</v>
      </c>
      <c r="F386" s="146" t="s">
        <v>155</v>
      </c>
      <c r="G386" s="240">
        <v>45891</v>
      </c>
      <c r="H386" s="320"/>
      <c r="I386" s="321"/>
      <c r="J386" s="320">
        <v>1000</v>
      </c>
      <c r="K386" s="18">
        <v>1000</v>
      </c>
      <c r="L386" s="18"/>
      <c r="M386" s="40">
        <f t="shared" si="80"/>
        <v>1000</v>
      </c>
      <c r="N386" s="40">
        <f t="shared" si="81"/>
        <v>0</v>
      </c>
      <c r="O386" s="301" t="s">
        <v>940</v>
      </c>
      <c r="P386" s="85">
        <f>T386-18</f>
        <v>45838</v>
      </c>
      <c r="Q386" s="85">
        <v>45813</v>
      </c>
      <c r="R386" s="85">
        <f t="shared" si="82"/>
        <v>45815</v>
      </c>
      <c r="S386" s="7">
        <f t="shared" ca="1" si="83"/>
        <v>25</v>
      </c>
      <c r="T386" s="85">
        <f>G386-35</f>
        <v>45856</v>
      </c>
      <c r="U386" s="85"/>
      <c r="V386" s="7">
        <f t="shared" ca="1" si="84"/>
        <v>16</v>
      </c>
      <c r="W386" s="85"/>
      <c r="X386" s="8"/>
    </row>
    <row r="387" spans="1:24" ht="18.75" hidden="1" customHeight="1">
      <c r="A387" s="316">
        <v>170</v>
      </c>
      <c r="B387" s="15" t="s">
        <v>59</v>
      </c>
      <c r="C387" s="317"/>
      <c r="D387" s="307" t="s">
        <v>158</v>
      </c>
      <c r="E387" s="301" t="s">
        <v>242</v>
      </c>
      <c r="F387" s="301" t="s">
        <v>154</v>
      </c>
      <c r="G387" s="240">
        <v>45891</v>
      </c>
      <c r="H387" s="320"/>
      <c r="I387" s="321"/>
      <c r="J387" s="320">
        <v>444</v>
      </c>
      <c r="K387" s="18">
        <v>444</v>
      </c>
      <c r="L387" s="18"/>
      <c r="M387" s="40">
        <f t="shared" si="80"/>
        <v>444</v>
      </c>
      <c r="N387" s="40">
        <f t="shared" si="81"/>
        <v>0</v>
      </c>
      <c r="O387" s="302" t="s">
        <v>178</v>
      </c>
      <c r="P387" s="85">
        <f t="shared" ref="P387:P394" si="89">T387-15</f>
        <v>45844</v>
      </c>
      <c r="Q387" s="85">
        <v>45822</v>
      </c>
      <c r="R387" s="85">
        <f t="shared" si="82"/>
        <v>45824</v>
      </c>
      <c r="S387" s="7">
        <f t="shared" ca="1" si="83"/>
        <v>22</v>
      </c>
      <c r="T387" s="85">
        <f>G387-32</f>
        <v>45859</v>
      </c>
      <c r="U387" s="85"/>
      <c r="V387" s="7">
        <f t="shared" ca="1" si="84"/>
        <v>19</v>
      </c>
      <c r="W387" s="85"/>
      <c r="X387" s="8"/>
    </row>
    <row r="388" spans="1:24" ht="18.75" hidden="1" customHeight="1">
      <c r="A388" s="316">
        <v>170</v>
      </c>
      <c r="B388" s="15" t="s">
        <v>59</v>
      </c>
      <c r="C388" s="317"/>
      <c r="D388" s="307" t="s">
        <v>158</v>
      </c>
      <c r="E388" s="301" t="s">
        <v>242</v>
      </c>
      <c r="F388" s="301" t="s">
        <v>255</v>
      </c>
      <c r="G388" s="240">
        <v>45891</v>
      </c>
      <c r="H388" s="320"/>
      <c r="I388" s="321"/>
      <c r="J388" s="320">
        <v>502</v>
      </c>
      <c r="K388" s="18">
        <v>502</v>
      </c>
      <c r="L388" s="18"/>
      <c r="M388" s="40">
        <f t="shared" si="80"/>
        <v>502</v>
      </c>
      <c r="N388" s="40">
        <f t="shared" si="81"/>
        <v>0</v>
      </c>
      <c r="O388" s="302" t="s">
        <v>178</v>
      </c>
      <c r="P388" s="85">
        <f t="shared" si="89"/>
        <v>45844</v>
      </c>
      <c r="Q388" s="85">
        <v>45836</v>
      </c>
      <c r="R388" s="85">
        <f t="shared" si="82"/>
        <v>45838</v>
      </c>
      <c r="S388" s="7">
        <f t="shared" ca="1" si="83"/>
        <v>8</v>
      </c>
      <c r="T388" s="85">
        <f>G388-32</f>
        <v>45859</v>
      </c>
      <c r="U388" s="85"/>
      <c r="V388" s="7">
        <f t="shared" ca="1" si="84"/>
        <v>19</v>
      </c>
      <c r="W388" s="85"/>
      <c r="X388" s="8"/>
    </row>
    <row r="389" spans="1:24" ht="18.75" hidden="1" customHeight="1">
      <c r="A389" s="316">
        <v>171</v>
      </c>
      <c r="B389" s="15" t="s">
        <v>59</v>
      </c>
      <c r="C389" s="317"/>
      <c r="D389" s="301" t="s">
        <v>248</v>
      </c>
      <c r="E389" s="301" t="s">
        <v>270</v>
      </c>
      <c r="F389" s="301" t="s">
        <v>162</v>
      </c>
      <c r="G389" s="240">
        <v>45891</v>
      </c>
      <c r="H389" s="320"/>
      <c r="I389" s="321"/>
      <c r="J389" s="320">
        <v>3445</v>
      </c>
      <c r="K389" s="18">
        <v>3445</v>
      </c>
      <c r="L389" s="18">
        <v>2456</v>
      </c>
      <c r="M389" s="40">
        <f t="shared" si="80"/>
        <v>989</v>
      </c>
      <c r="N389" s="40">
        <f t="shared" si="81"/>
        <v>0</v>
      </c>
      <c r="O389" s="302" t="s">
        <v>178</v>
      </c>
      <c r="P389" s="85">
        <f t="shared" si="89"/>
        <v>45831</v>
      </c>
      <c r="Q389" s="85">
        <v>45829</v>
      </c>
      <c r="R389" s="85">
        <f t="shared" si="82"/>
        <v>45831</v>
      </c>
      <c r="S389" s="7">
        <f t="shared" ca="1" si="83"/>
        <v>2</v>
      </c>
      <c r="T389" s="85">
        <f>G389-32-13</f>
        <v>45846</v>
      </c>
      <c r="U389" s="85"/>
      <c r="V389" s="7">
        <f t="shared" ca="1" si="84"/>
        <v>6</v>
      </c>
      <c r="W389" s="85"/>
      <c r="X389" s="8"/>
    </row>
    <row r="390" spans="1:24" ht="18.75" hidden="1" customHeight="1">
      <c r="A390" s="316">
        <v>171</v>
      </c>
      <c r="B390" s="15" t="s">
        <v>59</v>
      </c>
      <c r="C390" s="317"/>
      <c r="D390" s="307" t="s">
        <v>250</v>
      </c>
      <c r="E390" s="146" t="s">
        <v>269</v>
      </c>
      <c r="F390" s="301" t="s">
        <v>162</v>
      </c>
      <c r="G390" s="240">
        <v>45891</v>
      </c>
      <c r="H390" s="320"/>
      <c r="I390" s="321"/>
      <c r="J390" s="320">
        <v>5602</v>
      </c>
      <c r="K390" s="18">
        <v>5602</v>
      </c>
      <c r="L390" s="18"/>
      <c r="M390" s="40">
        <f t="shared" si="80"/>
        <v>5602</v>
      </c>
      <c r="N390" s="40">
        <f t="shared" si="81"/>
        <v>0</v>
      </c>
      <c r="O390" s="302" t="s">
        <v>178</v>
      </c>
      <c r="P390" s="85">
        <f t="shared" si="89"/>
        <v>45832</v>
      </c>
      <c r="Q390" s="85">
        <v>45829</v>
      </c>
      <c r="R390" s="85">
        <f t="shared" si="82"/>
        <v>45831</v>
      </c>
      <c r="S390" s="7">
        <f t="shared" ca="1" si="83"/>
        <v>3</v>
      </c>
      <c r="T390" s="85">
        <f>G390-32-12</f>
        <v>45847</v>
      </c>
      <c r="U390" s="85"/>
      <c r="V390" s="7">
        <f t="shared" ca="1" si="84"/>
        <v>7</v>
      </c>
      <c r="W390" s="85"/>
      <c r="X390" s="8"/>
    </row>
    <row r="391" spans="1:24" ht="18.75" hidden="1" customHeight="1">
      <c r="A391" s="316">
        <v>171</v>
      </c>
      <c r="B391" s="15" t="s">
        <v>59</v>
      </c>
      <c r="C391" s="317"/>
      <c r="D391" s="307" t="s">
        <v>157</v>
      </c>
      <c r="E391" s="146" t="s">
        <v>243</v>
      </c>
      <c r="F391" s="301" t="s">
        <v>162</v>
      </c>
      <c r="G391" s="240">
        <v>45891</v>
      </c>
      <c r="H391" s="320"/>
      <c r="I391" s="321"/>
      <c r="J391" s="320">
        <v>152</v>
      </c>
      <c r="K391" s="18">
        <v>152</v>
      </c>
      <c r="L391" s="18">
        <v>152</v>
      </c>
      <c r="M391" s="40">
        <f t="shared" si="80"/>
        <v>0</v>
      </c>
      <c r="N391" s="40">
        <f t="shared" si="81"/>
        <v>0</v>
      </c>
      <c r="O391" s="301" t="s">
        <v>948</v>
      </c>
      <c r="P391" s="85">
        <f t="shared" si="89"/>
        <v>45836</v>
      </c>
      <c r="Q391" s="85">
        <v>45793</v>
      </c>
      <c r="R391" s="85">
        <f t="shared" si="82"/>
        <v>45795</v>
      </c>
      <c r="S391" s="7">
        <f t="shared" ca="1" si="83"/>
        <v>43</v>
      </c>
      <c r="T391" s="85">
        <f>G391-32-8</f>
        <v>45851</v>
      </c>
      <c r="U391" s="85">
        <v>45793</v>
      </c>
      <c r="V391" s="7">
        <f t="shared" ca="1" si="84"/>
        <v>58</v>
      </c>
      <c r="W391" s="85"/>
      <c r="X391" s="8"/>
    </row>
    <row r="392" spans="1:24" ht="18.75" hidden="1" customHeight="1">
      <c r="A392" s="316">
        <v>171</v>
      </c>
      <c r="B392" s="15" t="s">
        <v>59</v>
      </c>
      <c r="C392" s="317"/>
      <c r="D392" s="307" t="s">
        <v>158</v>
      </c>
      <c r="E392" s="301" t="s">
        <v>242</v>
      </c>
      <c r="F392" s="301" t="s">
        <v>154</v>
      </c>
      <c r="G392" s="240">
        <v>45891</v>
      </c>
      <c r="H392" s="320"/>
      <c r="I392" s="321"/>
      <c r="J392" s="320">
        <v>159</v>
      </c>
      <c r="K392" s="18">
        <v>159</v>
      </c>
      <c r="L392" s="18"/>
      <c r="M392" s="40">
        <f t="shared" si="80"/>
        <v>159</v>
      </c>
      <c r="N392" s="40">
        <f t="shared" si="81"/>
        <v>0</v>
      </c>
      <c r="O392" s="302" t="s">
        <v>178</v>
      </c>
      <c r="P392" s="85">
        <f t="shared" si="89"/>
        <v>45844</v>
      </c>
      <c r="Q392" s="85">
        <v>45822</v>
      </c>
      <c r="R392" s="85">
        <f t="shared" si="82"/>
        <v>45824</v>
      </c>
      <c r="S392" s="7">
        <f t="shared" ca="1" si="83"/>
        <v>22</v>
      </c>
      <c r="T392" s="85">
        <f>G392-32</f>
        <v>45859</v>
      </c>
      <c r="U392" s="85"/>
      <c r="V392" s="7">
        <f t="shared" ca="1" si="84"/>
        <v>19</v>
      </c>
      <c r="W392" s="85"/>
      <c r="X392" s="8"/>
    </row>
    <row r="393" spans="1:24" ht="18.75" hidden="1" customHeight="1">
      <c r="A393" s="316">
        <v>171</v>
      </c>
      <c r="B393" s="15" t="s">
        <v>59</v>
      </c>
      <c r="C393" s="317"/>
      <c r="D393" s="307" t="s">
        <v>418</v>
      </c>
      <c r="E393" s="301" t="s">
        <v>242</v>
      </c>
      <c r="F393" s="301" t="s">
        <v>155</v>
      </c>
      <c r="G393" s="240">
        <v>45891</v>
      </c>
      <c r="H393" s="320"/>
      <c r="I393" s="321"/>
      <c r="J393" s="320">
        <v>191</v>
      </c>
      <c r="K393" s="18">
        <v>191</v>
      </c>
      <c r="L393" s="18">
        <v>191</v>
      </c>
      <c r="M393" s="40">
        <f t="shared" si="80"/>
        <v>0</v>
      </c>
      <c r="N393" s="40">
        <f t="shared" si="81"/>
        <v>0</v>
      </c>
      <c r="O393" s="302" t="s">
        <v>948</v>
      </c>
      <c r="P393" s="85">
        <f t="shared" si="89"/>
        <v>45844</v>
      </c>
      <c r="Q393" s="85">
        <v>45811</v>
      </c>
      <c r="R393" s="85">
        <f t="shared" si="82"/>
        <v>45813</v>
      </c>
      <c r="S393" s="7">
        <f t="shared" ca="1" si="83"/>
        <v>33</v>
      </c>
      <c r="T393" s="85">
        <f>G393-32</f>
        <v>45859</v>
      </c>
      <c r="U393" s="85">
        <v>45811</v>
      </c>
      <c r="V393" s="7">
        <f t="shared" ca="1" si="84"/>
        <v>48</v>
      </c>
      <c r="W393" s="85"/>
      <c r="X393" s="8"/>
    </row>
    <row r="394" spans="1:24" ht="18.75" hidden="1" customHeight="1">
      <c r="A394" s="316">
        <v>171</v>
      </c>
      <c r="B394" s="15" t="s">
        <v>59</v>
      </c>
      <c r="C394" s="317"/>
      <c r="D394" s="312" t="s">
        <v>190</v>
      </c>
      <c r="E394" s="301" t="s">
        <v>242</v>
      </c>
      <c r="F394" s="146" t="s">
        <v>244</v>
      </c>
      <c r="G394" s="240">
        <v>45891</v>
      </c>
      <c r="H394" s="320"/>
      <c r="I394" s="321"/>
      <c r="J394" s="320">
        <v>305</v>
      </c>
      <c r="K394" s="18">
        <v>305</v>
      </c>
      <c r="L394" s="18">
        <v>305</v>
      </c>
      <c r="M394" s="40">
        <f t="shared" si="80"/>
        <v>0</v>
      </c>
      <c r="N394" s="40">
        <f t="shared" si="81"/>
        <v>0</v>
      </c>
      <c r="O394" s="302" t="s">
        <v>178</v>
      </c>
      <c r="P394" s="85">
        <f t="shared" si="89"/>
        <v>45831</v>
      </c>
      <c r="Q394" s="85">
        <v>45797</v>
      </c>
      <c r="R394" s="85">
        <f t="shared" si="82"/>
        <v>45799</v>
      </c>
      <c r="S394" s="7">
        <f t="shared" ca="1" si="83"/>
        <v>34</v>
      </c>
      <c r="T394" s="85">
        <f>G394-32-13</f>
        <v>45846</v>
      </c>
      <c r="U394" s="85">
        <v>45801</v>
      </c>
      <c r="V394" s="7">
        <f t="shared" ca="1" si="84"/>
        <v>45</v>
      </c>
      <c r="W394" s="85"/>
      <c r="X394" s="8"/>
    </row>
    <row r="395" spans="1:24" ht="18.75" hidden="1" customHeight="1">
      <c r="A395" s="316">
        <v>172</v>
      </c>
      <c r="B395" s="15" t="s">
        <v>59</v>
      </c>
      <c r="C395" s="317"/>
      <c r="D395" s="307" t="s">
        <v>158</v>
      </c>
      <c r="E395" s="301" t="s">
        <v>242</v>
      </c>
      <c r="F395" s="301" t="s">
        <v>154</v>
      </c>
      <c r="G395" s="240">
        <v>45891</v>
      </c>
      <c r="H395" s="320"/>
      <c r="I395" s="321"/>
      <c r="J395" s="320">
        <v>1663</v>
      </c>
      <c r="K395" s="18">
        <v>1663</v>
      </c>
      <c r="L395" s="18"/>
      <c r="M395" s="40">
        <f t="shared" ref="M395:M397" si="90">+J395-L395</f>
        <v>1663</v>
      </c>
      <c r="N395" s="40">
        <f t="shared" ref="N395:N396" si="91">+J395-K395</f>
        <v>0</v>
      </c>
      <c r="O395" s="302" t="s">
        <v>178</v>
      </c>
      <c r="P395" s="85">
        <f t="shared" ref="P395:P399" si="92">T395-15</f>
        <v>45844</v>
      </c>
      <c r="Q395" s="85">
        <v>45822</v>
      </c>
      <c r="R395" s="85">
        <f t="shared" ref="R395:R397" si="93">Q395+2</f>
        <v>45824</v>
      </c>
      <c r="S395" s="7">
        <f t="shared" ref="S395:S397" ca="1" si="94">+IF(Q395="",P395-TODAY(),P395-Q395)</f>
        <v>22</v>
      </c>
      <c r="T395" s="85">
        <f>G395-32</f>
        <v>45859</v>
      </c>
      <c r="U395" s="85"/>
      <c r="V395" s="7">
        <f t="shared" ref="V395:V397" ca="1" si="95">+IF(U395="",T395-TODAY(),T395-U395)</f>
        <v>19</v>
      </c>
      <c r="W395" s="85"/>
      <c r="X395" s="8"/>
    </row>
    <row r="396" spans="1:24" ht="18.75" hidden="1" customHeight="1">
      <c r="A396" s="316">
        <v>173</v>
      </c>
      <c r="B396" s="15" t="s">
        <v>59</v>
      </c>
      <c r="C396" s="317"/>
      <c r="D396" s="307" t="s">
        <v>189</v>
      </c>
      <c r="E396" s="146" t="s">
        <v>242</v>
      </c>
      <c r="F396" s="146" t="s">
        <v>90</v>
      </c>
      <c r="G396" s="240">
        <v>45891</v>
      </c>
      <c r="H396" s="320"/>
      <c r="I396" s="321"/>
      <c r="J396" s="320">
        <v>1136</v>
      </c>
      <c r="K396" s="18">
        <v>1136</v>
      </c>
      <c r="L396" s="18"/>
      <c r="M396" s="40">
        <f t="shared" si="90"/>
        <v>1136</v>
      </c>
      <c r="N396" s="40">
        <f t="shared" si="91"/>
        <v>0</v>
      </c>
      <c r="O396" s="302" t="s">
        <v>178</v>
      </c>
      <c r="P396" s="85">
        <f t="shared" si="92"/>
        <v>45832</v>
      </c>
      <c r="Q396" s="85">
        <v>45811</v>
      </c>
      <c r="R396" s="85">
        <f t="shared" si="93"/>
        <v>45813</v>
      </c>
      <c r="S396" s="7">
        <f t="shared" ca="1" si="94"/>
        <v>21</v>
      </c>
      <c r="T396" s="85">
        <f>G396-44</f>
        <v>45847</v>
      </c>
      <c r="U396" s="85"/>
      <c r="V396" s="7">
        <f t="shared" ca="1" si="95"/>
        <v>7</v>
      </c>
      <c r="W396" s="85"/>
      <c r="X396" s="8"/>
    </row>
    <row r="397" spans="1:24" ht="18.75" hidden="1" customHeight="1">
      <c r="A397" s="316">
        <v>173</v>
      </c>
      <c r="B397" s="15" t="s">
        <v>59</v>
      </c>
      <c r="C397" s="317"/>
      <c r="D397" s="307" t="s">
        <v>158</v>
      </c>
      <c r="E397" s="301" t="s">
        <v>242</v>
      </c>
      <c r="F397" s="301" t="s">
        <v>255</v>
      </c>
      <c r="G397" s="240">
        <v>45891</v>
      </c>
      <c r="H397" s="320"/>
      <c r="I397" s="321"/>
      <c r="J397" s="320">
        <v>648</v>
      </c>
      <c r="K397" s="18">
        <v>648</v>
      </c>
      <c r="L397" s="18"/>
      <c r="M397" s="40">
        <f t="shared" si="90"/>
        <v>648</v>
      </c>
      <c r="N397" s="40">
        <f>J397-K397</f>
        <v>0</v>
      </c>
      <c r="O397" s="302" t="s">
        <v>178</v>
      </c>
      <c r="P397" s="85">
        <f t="shared" si="92"/>
        <v>45844</v>
      </c>
      <c r="Q397" s="85">
        <v>45836</v>
      </c>
      <c r="R397" s="85">
        <f t="shared" si="93"/>
        <v>45838</v>
      </c>
      <c r="S397" s="7">
        <f t="shared" ca="1" si="94"/>
        <v>8</v>
      </c>
      <c r="T397" s="85">
        <f>G397-32</f>
        <v>45859</v>
      </c>
      <c r="U397" s="85"/>
      <c r="V397" s="7">
        <f t="shared" ca="1" si="95"/>
        <v>19</v>
      </c>
      <c r="W397" s="85"/>
      <c r="X397" s="8"/>
    </row>
    <row r="398" spans="1:24" ht="18.75" hidden="1" customHeight="1">
      <c r="A398" s="14">
        <v>107</v>
      </c>
      <c r="B398" s="15" t="s">
        <v>74</v>
      </c>
      <c r="C398" s="20"/>
      <c r="D398" s="312" t="s">
        <v>298</v>
      </c>
      <c r="E398" s="146" t="s">
        <v>895</v>
      </c>
      <c r="F398" s="15" t="s">
        <v>155</v>
      </c>
      <c r="G398" s="240">
        <v>45879</v>
      </c>
      <c r="H398" s="320"/>
      <c r="I398" s="321"/>
      <c r="J398" s="320">
        <v>3600</v>
      </c>
      <c r="K398" s="18">
        <v>3600</v>
      </c>
      <c r="L398" s="18">
        <v>3600</v>
      </c>
      <c r="M398" s="40">
        <f t="shared" ref="M398" si="96">+J398-L398</f>
        <v>0</v>
      </c>
      <c r="N398" s="40">
        <f t="shared" ref="N398" si="97">+J398-K398</f>
        <v>0</v>
      </c>
      <c r="O398" s="204" t="s">
        <v>178</v>
      </c>
      <c r="P398" s="85">
        <f t="shared" si="92"/>
        <v>45817</v>
      </c>
      <c r="Q398" s="85">
        <v>45782</v>
      </c>
      <c r="R398" s="85">
        <f t="shared" ref="R398" si="98">Q398+2</f>
        <v>45784</v>
      </c>
      <c r="S398" s="7">
        <f t="shared" ref="S398" ca="1" si="99">+IF(Q398="",P398-TODAY(),P398-Q398)</f>
        <v>35</v>
      </c>
      <c r="T398" s="85">
        <f>G398-32-15</f>
        <v>45832</v>
      </c>
      <c r="U398" s="85">
        <v>45832</v>
      </c>
      <c r="V398" s="7">
        <f t="shared" ref="V398" ca="1" si="100">+IF(U398="",T398-TODAY(),T398-U398)</f>
        <v>0</v>
      </c>
      <c r="W398" s="85"/>
      <c r="X398" s="8"/>
    </row>
    <row r="399" spans="1:24" ht="18.75" hidden="1" customHeight="1">
      <c r="A399" s="14">
        <v>108</v>
      </c>
      <c r="B399" s="15" t="s">
        <v>74</v>
      </c>
      <c r="C399" s="20"/>
      <c r="D399" s="312" t="s">
        <v>298</v>
      </c>
      <c r="E399" s="146" t="s">
        <v>895</v>
      </c>
      <c r="F399" s="15" t="s">
        <v>155</v>
      </c>
      <c r="G399" s="240">
        <v>45940</v>
      </c>
      <c r="H399" s="320"/>
      <c r="I399" s="321"/>
      <c r="J399" s="320">
        <v>2830</v>
      </c>
      <c r="K399" s="18">
        <v>2830</v>
      </c>
      <c r="L399" s="18">
        <v>2600</v>
      </c>
      <c r="M399" s="40">
        <f t="shared" ref="M399:M439" si="101">+J399-L399</f>
        <v>230</v>
      </c>
      <c r="N399" s="40">
        <f t="shared" ref="N399" si="102">+J399-K399</f>
        <v>0</v>
      </c>
      <c r="O399" s="204" t="s">
        <v>178</v>
      </c>
      <c r="P399" s="85">
        <f t="shared" si="92"/>
        <v>45878</v>
      </c>
      <c r="Q399" s="85">
        <v>45782</v>
      </c>
      <c r="R399" s="85">
        <f t="shared" ref="R399" si="103">Q399+2</f>
        <v>45784</v>
      </c>
      <c r="S399" s="7">
        <f t="shared" ref="S399" ca="1" si="104">+IF(Q399="",P399-TODAY(),P399-Q399)</f>
        <v>96</v>
      </c>
      <c r="T399" s="85">
        <f>G399-32-15</f>
        <v>45893</v>
      </c>
      <c r="U399" s="85"/>
      <c r="V399" s="7">
        <f t="shared" ref="V399" ca="1" si="105">+IF(U399="",T399-TODAY(),T399-U399)</f>
        <v>53</v>
      </c>
      <c r="W399" s="85"/>
      <c r="X399" s="8"/>
    </row>
    <row r="400" spans="1:24" ht="14.5" hidden="1">
      <c r="A400" s="14">
        <v>179</v>
      </c>
      <c r="B400" s="15" t="s">
        <v>59</v>
      </c>
      <c r="C400" s="20"/>
      <c r="D400" s="318" t="s">
        <v>158</v>
      </c>
      <c r="E400" s="146" t="s">
        <v>242</v>
      </c>
      <c r="F400" s="15" t="s">
        <v>155</v>
      </c>
      <c r="G400" s="240">
        <v>45885</v>
      </c>
      <c r="H400" s="320">
        <v>1334.88</v>
      </c>
      <c r="I400" s="321">
        <v>0.433</v>
      </c>
      <c r="J400" s="320">
        <f>I400*H400</f>
        <v>578.00304000000006</v>
      </c>
      <c r="K400" s="18">
        <v>578</v>
      </c>
      <c r="L400" s="18">
        <v>578</v>
      </c>
      <c r="M400" s="40">
        <f t="shared" si="101"/>
        <v>3.0400000000554428E-3</v>
      </c>
      <c r="N400" s="40">
        <f t="shared" ref="N400:N438" si="106">J400-K400</f>
        <v>3.0400000000554428E-3</v>
      </c>
      <c r="O400" s="301" t="s">
        <v>948</v>
      </c>
      <c r="P400" s="85">
        <f t="shared" ref="P400" si="107">T400-15</f>
        <v>45838</v>
      </c>
      <c r="Q400" s="85">
        <v>45811</v>
      </c>
      <c r="R400" s="85">
        <f t="shared" ref="R400" si="108">Q400+2</f>
        <v>45813</v>
      </c>
      <c r="S400" s="7">
        <f t="shared" ref="S400" ca="1" si="109">+IF(Q400="",P400-TODAY(),P400-Q400)</f>
        <v>27</v>
      </c>
      <c r="T400" s="85">
        <f>G400-32</f>
        <v>45853</v>
      </c>
      <c r="U400" s="85">
        <v>45811</v>
      </c>
      <c r="V400" s="7">
        <f t="shared" ref="V400" ca="1" si="110">+IF(U400="",T400-TODAY(),T400-U400)</f>
        <v>42</v>
      </c>
      <c r="W400" s="85"/>
      <c r="X400" s="8"/>
    </row>
    <row r="401" spans="1:24" ht="14.5" hidden="1">
      <c r="A401" s="14">
        <v>179</v>
      </c>
      <c r="B401" s="15" t="s">
        <v>59</v>
      </c>
      <c r="C401" s="20"/>
      <c r="D401" s="318" t="s">
        <v>189</v>
      </c>
      <c r="E401" s="146" t="s">
        <v>242</v>
      </c>
      <c r="F401" s="146" t="s">
        <v>90</v>
      </c>
      <c r="G401" s="240">
        <v>45885</v>
      </c>
      <c r="H401" s="320">
        <v>1928.16</v>
      </c>
      <c r="I401" s="321">
        <v>0.45800000000000002</v>
      </c>
      <c r="J401" s="320">
        <f>H401*I401</f>
        <v>883.09728000000007</v>
      </c>
      <c r="K401" s="18">
        <v>883</v>
      </c>
      <c r="L401" s="18">
        <v>883</v>
      </c>
      <c r="M401" s="40">
        <f t="shared" si="101"/>
        <v>9.7280000000068867E-2</v>
      </c>
      <c r="N401" s="40">
        <f t="shared" si="106"/>
        <v>9.7280000000068867E-2</v>
      </c>
      <c r="O401" s="302" t="s">
        <v>178</v>
      </c>
      <c r="P401" s="85">
        <f t="shared" ref="P401:P439" si="111">T401-15</f>
        <v>45826</v>
      </c>
      <c r="Q401" s="85">
        <v>45815</v>
      </c>
      <c r="R401" s="85">
        <f t="shared" ref="R401:R439" si="112">Q401+2</f>
        <v>45817</v>
      </c>
      <c r="S401" s="7">
        <f t="shared" ref="S401:S439" ca="1" si="113">+IF(Q401="",P401-TODAY(),P401-Q401)</f>
        <v>11</v>
      </c>
      <c r="T401" s="85">
        <f>G401-44</f>
        <v>45841</v>
      </c>
      <c r="U401" s="85">
        <v>45832</v>
      </c>
      <c r="V401" s="7">
        <f t="shared" ref="V401:V439" ca="1" si="114">+IF(U401="",T401-TODAY(),T401-U401)</f>
        <v>9</v>
      </c>
      <c r="W401" s="85"/>
      <c r="X401" s="8"/>
    </row>
    <row r="402" spans="1:24" ht="14.5" hidden="1">
      <c r="A402" s="14">
        <v>179</v>
      </c>
      <c r="B402" s="15" t="s">
        <v>59</v>
      </c>
      <c r="C402" s="20"/>
      <c r="D402" s="318" t="s">
        <v>158</v>
      </c>
      <c r="E402" s="146" t="s">
        <v>242</v>
      </c>
      <c r="F402" s="15" t="s">
        <v>156</v>
      </c>
      <c r="G402" s="240">
        <v>45885</v>
      </c>
      <c r="H402" s="320">
        <v>622.12</v>
      </c>
      <c r="I402" s="321">
        <v>0.42799999999999999</v>
      </c>
      <c r="J402" s="320">
        <f>I402*H402</f>
        <v>266.26736</v>
      </c>
      <c r="K402" s="18">
        <v>266</v>
      </c>
      <c r="L402" s="18"/>
      <c r="M402" s="40">
        <f t="shared" si="101"/>
        <v>266.26736</v>
      </c>
      <c r="N402" s="40">
        <f t="shared" si="106"/>
        <v>0.26735999999999649</v>
      </c>
      <c r="O402" s="302" t="s">
        <v>178</v>
      </c>
      <c r="P402" s="85">
        <f t="shared" si="111"/>
        <v>45838</v>
      </c>
      <c r="Q402" s="85">
        <v>45836</v>
      </c>
      <c r="R402" s="85">
        <f t="shared" si="112"/>
        <v>45838</v>
      </c>
      <c r="S402" s="7">
        <f t="shared" ca="1" si="113"/>
        <v>2</v>
      </c>
      <c r="T402" s="85">
        <f>G402-32</f>
        <v>45853</v>
      </c>
      <c r="U402" s="85"/>
      <c r="V402" s="7">
        <f t="shared" ca="1" si="114"/>
        <v>13</v>
      </c>
      <c r="W402" s="85"/>
      <c r="X402" s="8"/>
    </row>
    <row r="403" spans="1:24" ht="14.5" hidden="1">
      <c r="A403" s="14">
        <v>180</v>
      </c>
      <c r="B403" s="15" t="s">
        <v>59</v>
      </c>
      <c r="C403" s="20"/>
      <c r="D403" s="318" t="s">
        <v>158</v>
      </c>
      <c r="E403" s="146" t="s">
        <v>242</v>
      </c>
      <c r="F403" s="15" t="s">
        <v>156</v>
      </c>
      <c r="G403" s="240">
        <v>45885</v>
      </c>
      <c r="H403" s="320">
        <v>1858.1200000000001</v>
      </c>
      <c r="I403" s="321">
        <v>0.42799999999999999</v>
      </c>
      <c r="J403" s="320">
        <f>I403*H403</f>
        <v>795.27536000000009</v>
      </c>
      <c r="K403" s="18">
        <v>795</v>
      </c>
      <c r="L403" s="18"/>
      <c r="M403" s="40">
        <f t="shared" si="101"/>
        <v>795.27536000000009</v>
      </c>
      <c r="N403" s="40">
        <f t="shared" si="106"/>
        <v>0.27536000000009153</v>
      </c>
      <c r="O403" s="302" t="s">
        <v>178</v>
      </c>
      <c r="P403" s="85">
        <f t="shared" si="111"/>
        <v>45838</v>
      </c>
      <c r="Q403" s="85">
        <v>45836</v>
      </c>
      <c r="R403" s="85">
        <f t="shared" si="112"/>
        <v>45838</v>
      </c>
      <c r="S403" s="7">
        <f t="shared" ca="1" si="113"/>
        <v>2</v>
      </c>
      <c r="T403" s="85">
        <f>G403-32</f>
        <v>45853</v>
      </c>
      <c r="U403" s="85"/>
      <c r="V403" s="7">
        <f t="shared" ca="1" si="114"/>
        <v>13</v>
      </c>
      <c r="W403" s="85"/>
      <c r="X403" s="8"/>
    </row>
    <row r="404" spans="1:24" ht="14.5" hidden="1">
      <c r="A404" s="14">
        <v>181</v>
      </c>
      <c r="B404" s="15" t="s">
        <v>59</v>
      </c>
      <c r="C404" s="20"/>
      <c r="D404" s="318" t="s">
        <v>158</v>
      </c>
      <c r="E404" s="146" t="s">
        <v>242</v>
      </c>
      <c r="F404" s="15" t="s">
        <v>154</v>
      </c>
      <c r="G404" s="240">
        <v>45885</v>
      </c>
      <c r="H404" s="320">
        <v>1334.88</v>
      </c>
      <c r="I404" s="321">
        <v>0.42799999999999999</v>
      </c>
      <c r="J404" s="320">
        <f>I404*H404</f>
        <v>571.32864000000006</v>
      </c>
      <c r="K404" s="18">
        <v>571</v>
      </c>
      <c r="L404" s="18"/>
      <c r="M404" s="40">
        <f t="shared" si="101"/>
        <v>571.32864000000006</v>
      </c>
      <c r="N404" s="40">
        <f t="shared" si="106"/>
        <v>0.32864000000006399</v>
      </c>
      <c r="O404" s="302" t="s">
        <v>178</v>
      </c>
      <c r="P404" s="85">
        <f t="shared" si="111"/>
        <v>45838</v>
      </c>
      <c r="Q404" s="85">
        <v>45828</v>
      </c>
      <c r="R404" s="85">
        <f t="shared" si="112"/>
        <v>45830</v>
      </c>
      <c r="S404" s="7">
        <f t="shared" ca="1" si="113"/>
        <v>10</v>
      </c>
      <c r="T404" s="85">
        <f>G404-32</f>
        <v>45853</v>
      </c>
      <c r="U404" s="85"/>
      <c r="V404" s="7">
        <f t="shared" ca="1" si="114"/>
        <v>13</v>
      </c>
      <c r="W404" s="85"/>
      <c r="X404" s="8"/>
    </row>
    <row r="405" spans="1:24" ht="14.5" hidden="1">
      <c r="A405" s="14">
        <v>181</v>
      </c>
      <c r="B405" s="15" t="s">
        <v>59</v>
      </c>
      <c r="C405" s="20"/>
      <c r="D405" s="318" t="s">
        <v>189</v>
      </c>
      <c r="E405" s="146" t="s">
        <v>242</v>
      </c>
      <c r="F405" s="146" t="s">
        <v>90</v>
      </c>
      <c r="G405" s="240">
        <v>45885</v>
      </c>
      <c r="H405" s="320">
        <v>2002.3200000000002</v>
      </c>
      <c r="I405" s="321">
        <v>0.45800000000000002</v>
      </c>
      <c r="J405" s="320">
        <f>H405*I405</f>
        <v>917.06256000000008</v>
      </c>
      <c r="K405" s="18">
        <v>917</v>
      </c>
      <c r="L405" s="18">
        <v>917</v>
      </c>
      <c r="M405" s="40">
        <f t="shared" si="101"/>
        <v>6.2560000000075888E-2</v>
      </c>
      <c r="N405" s="40">
        <f t="shared" si="106"/>
        <v>6.2560000000075888E-2</v>
      </c>
      <c r="O405" s="302" t="s">
        <v>178</v>
      </c>
      <c r="P405" s="85">
        <f t="shared" si="111"/>
        <v>45826</v>
      </c>
      <c r="Q405" s="85">
        <v>45815</v>
      </c>
      <c r="R405" s="85">
        <f t="shared" si="112"/>
        <v>45817</v>
      </c>
      <c r="S405" s="7">
        <f t="shared" ca="1" si="113"/>
        <v>11</v>
      </c>
      <c r="T405" s="85">
        <f>G405-44</f>
        <v>45841</v>
      </c>
      <c r="U405" s="85">
        <v>45832</v>
      </c>
      <c r="V405" s="7">
        <f t="shared" ca="1" si="114"/>
        <v>9</v>
      </c>
      <c r="W405" s="85"/>
      <c r="X405" s="8"/>
    </row>
    <row r="406" spans="1:24" ht="14.5" hidden="1">
      <c r="A406" s="14">
        <v>181</v>
      </c>
      <c r="B406" s="15" t="s">
        <v>59</v>
      </c>
      <c r="C406" s="20"/>
      <c r="D406" s="318" t="s">
        <v>901</v>
      </c>
      <c r="E406" s="146" t="s">
        <v>242</v>
      </c>
      <c r="F406" s="146" t="s">
        <v>244</v>
      </c>
      <c r="G406" s="240">
        <v>45885</v>
      </c>
      <c r="H406" s="320">
        <v>531.48</v>
      </c>
      <c r="I406" s="321">
        <v>0.34300000000000003</v>
      </c>
      <c r="J406" s="320">
        <f>H406*I406</f>
        <v>182.29764000000003</v>
      </c>
      <c r="K406" s="18">
        <v>182</v>
      </c>
      <c r="L406" s="18">
        <v>182</v>
      </c>
      <c r="M406" s="40">
        <f t="shared" si="101"/>
        <v>0.29764000000002966</v>
      </c>
      <c r="N406" s="40">
        <f t="shared" si="106"/>
        <v>0.29764000000002966</v>
      </c>
      <c r="O406" s="301" t="s">
        <v>948</v>
      </c>
      <c r="P406" s="85">
        <f t="shared" si="111"/>
        <v>45825</v>
      </c>
      <c r="Q406" s="85">
        <v>45827</v>
      </c>
      <c r="R406" s="85">
        <f t="shared" si="112"/>
        <v>45829</v>
      </c>
      <c r="S406" s="7">
        <f t="shared" ca="1" si="113"/>
        <v>-2</v>
      </c>
      <c r="T406" s="85">
        <f>G406-32-13</f>
        <v>45840</v>
      </c>
      <c r="U406" s="85"/>
      <c r="V406" s="7">
        <f t="shared" ca="1" si="114"/>
        <v>0</v>
      </c>
      <c r="W406" s="337" t="s">
        <v>954</v>
      </c>
      <c r="X406" s="8"/>
    </row>
    <row r="407" spans="1:24" ht="14.5" hidden="1">
      <c r="A407" s="14">
        <v>182</v>
      </c>
      <c r="B407" s="15" t="s">
        <v>59</v>
      </c>
      <c r="C407" s="20"/>
      <c r="D407" s="318" t="s">
        <v>158</v>
      </c>
      <c r="E407" s="146" t="s">
        <v>242</v>
      </c>
      <c r="F407" s="15" t="s">
        <v>156</v>
      </c>
      <c r="G407" s="240">
        <v>45885</v>
      </c>
      <c r="H407" s="320">
        <v>3485.52</v>
      </c>
      <c r="I407" s="321">
        <v>0.42799999999999999</v>
      </c>
      <c r="J407" s="320">
        <f>I407*H407</f>
        <v>1491.8025599999999</v>
      </c>
      <c r="K407" s="18">
        <v>1492</v>
      </c>
      <c r="L407" s="18"/>
      <c r="M407" s="40">
        <f t="shared" si="101"/>
        <v>1491.8025599999999</v>
      </c>
      <c r="N407" s="40">
        <f t="shared" si="106"/>
        <v>-0.19744000000014239</v>
      </c>
      <c r="O407" s="302" t="s">
        <v>178</v>
      </c>
      <c r="P407" s="85">
        <f t="shared" si="111"/>
        <v>45838</v>
      </c>
      <c r="Q407" s="85">
        <v>45836</v>
      </c>
      <c r="R407" s="85">
        <f t="shared" si="112"/>
        <v>45838</v>
      </c>
      <c r="S407" s="7">
        <f t="shared" ca="1" si="113"/>
        <v>2</v>
      </c>
      <c r="T407" s="85">
        <f>G407-32</f>
        <v>45853</v>
      </c>
      <c r="U407" s="85"/>
      <c r="V407" s="7">
        <f t="shared" ca="1" si="114"/>
        <v>13</v>
      </c>
      <c r="W407" s="85"/>
      <c r="X407" s="8"/>
    </row>
    <row r="408" spans="1:24" ht="14.5" hidden="1">
      <c r="A408" s="14">
        <v>182</v>
      </c>
      <c r="B408" s="15" t="s">
        <v>59</v>
      </c>
      <c r="C408" s="20"/>
      <c r="D408" s="318" t="s">
        <v>901</v>
      </c>
      <c r="E408" s="146" t="s">
        <v>242</v>
      </c>
      <c r="F408" s="146" t="s">
        <v>244</v>
      </c>
      <c r="G408" s="240">
        <v>45885</v>
      </c>
      <c r="H408" s="320">
        <v>346.08</v>
      </c>
      <c r="I408" s="321">
        <v>0.34300000000000003</v>
      </c>
      <c r="J408" s="320">
        <f>H408*I408</f>
        <v>118.70544000000001</v>
      </c>
      <c r="K408" s="18">
        <v>119</v>
      </c>
      <c r="L408" s="18">
        <v>119</v>
      </c>
      <c r="M408" s="40">
        <f t="shared" si="101"/>
        <v>-0.29455999999998994</v>
      </c>
      <c r="N408" s="40">
        <f t="shared" si="106"/>
        <v>-0.29455999999998994</v>
      </c>
      <c r="O408" s="301" t="s">
        <v>948</v>
      </c>
      <c r="P408" s="85">
        <f t="shared" si="111"/>
        <v>45825</v>
      </c>
      <c r="Q408" s="85">
        <v>45827</v>
      </c>
      <c r="R408" s="85">
        <f t="shared" si="112"/>
        <v>45829</v>
      </c>
      <c r="S408" s="7">
        <f t="shared" ca="1" si="113"/>
        <v>-2</v>
      </c>
      <c r="T408" s="85">
        <f>G408-32-13</f>
        <v>45840</v>
      </c>
      <c r="U408" s="85"/>
      <c r="V408" s="7">
        <f t="shared" ca="1" si="114"/>
        <v>0</v>
      </c>
      <c r="W408" s="337" t="s">
        <v>954</v>
      </c>
      <c r="X408" s="8"/>
    </row>
    <row r="409" spans="1:24" ht="14.5" hidden="1">
      <c r="A409" s="14">
        <v>183</v>
      </c>
      <c r="B409" s="15" t="s">
        <v>59</v>
      </c>
      <c r="C409" s="20"/>
      <c r="D409" s="307" t="s">
        <v>193</v>
      </c>
      <c r="E409" s="146" t="s">
        <v>246</v>
      </c>
      <c r="F409" s="15" t="s">
        <v>162</v>
      </c>
      <c r="G409" s="240">
        <v>45885</v>
      </c>
      <c r="H409" s="320">
        <v>3738.9</v>
      </c>
      <c r="I409" s="321">
        <v>0.35399999999999998</v>
      </c>
      <c r="J409" s="320">
        <f>H409*I409</f>
        <v>1323.5706</v>
      </c>
      <c r="K409" s="18">
        <v>1324</v>
      </c>
      <c r="L409" s="18"/>
      <c r="M409" s="40">
        <f t="shared" si="101"/>
        <v>1323.5706</v>
      </c>
      <c r="N409" s="40">
        <f t="shared" si="106"/>
        <v>-0.4293999999999869</v>
      </c>
      <c r="O409" s="302" t="s">
        <v>178</v>
      </c>
      <c r="P409" s="85">
        <f t="shared" si="111"/>
        <v>45823</v>
      </c>
      <c r="Q409" s="85">
        <v>45822</v>
      </c>
      <c r="R409" s="85">
        <f t="shared" si="112"/>
        <v>45824</v>
      </c>
      <c r="S409" s="7">
        <f t="shared" ca="1" si="113"/>
        <v>1</v>
      </c>
      <c r="T409" s="85">
        <f>G409-32-15</f>
        <v>45838</v>
      </c>
      <c r="U409" s="85"/>
      <c r="V409" s="7">
        <f t="shared" ca="1" si="114"/>
        <v>-2</v>
      </c>
      <c r="W409" s="85"/>
      <c r="X409" s="8"/>
    </row>
    <row r="410" spans="1:24" ht="14.5" hidden="1">
      <c r="A410" s="14">
        <v>183</v>
      </c>
      <c r="B410" s="15" t="s">
        <v>59</v>
      </c>
      <c r="C410" s="20"/>
      <c r="D410" s="318" t="s">
        <v>158</v>
      </c>
      <c r="E410" s="146" t="s">
        <v>242</v>
      </c>
      <c r="F410" s="15" t="s">
        <v>154</v>
      </c>
      <c r="G410" s="240">
        <v>45885</v>
      </c>
      <c r="H410" s="320">
        <v>1054.72</v>
      </c>
      <c r="I410" s="321">
        <v>0.42799999999999999</v>
      </c>
      <c r="J410" s="320">
        <f>I410*H410</f>
        <v>451.42016000000001</v>
      </c>
      <c r="K410" s="18">
        <v>451</v>
      </c>
      <c r="L410" s="18"/>
      <c r="M410" s="40">
        <f t="shared" si="101"/>
        <v>451.42016000000001</v>
      </c>
      <c r="N410" s="40">
        <f t="shared" si="106"/>
        <v>0.42016000000000986</v>
      </c>
      <c r="O410" s="302" t="s">
        <v>178</v>
      </c>
      <c r="P410" s="85">
        <f t="shared" si="111"/>
        <v>45838</v>
      </c>
      <c r="Q410" s="85">
        <v>45828</v>
      </c>
      <c r="R410" s="85">
        <f t="shared" si="112"/>
        <v>45830</v>
      </c>
      <c r="S410" s="7">
        <f t="shared" ca="1" si="113"/>
        <v>10</v>
      </c>
      <c r="T410" s="85">
        <f>G410-32</f>
        <v>45853</v>
      </c>
      <c r="U410" s="85"/>
      <c r="V410" s="7">
        <f t="shared" ca="1" si="114"/>
        <v>13</v>
      </c>
      <c r="W410" s="85"/>
      <c r="X410" s="8"/>
    </row>
    <row r="411" spans="1:24" ht="14.5" hidden="1">
      <c r="A411" s="14">
        <v>184</v>
      </c>
      <c r="B411" s="15" t="s">
        <v>59</v>
      </c>
      <c r="C411" s="20"/>
      <c r="D411" s="318" t="s">
        <v>158</v>
      </c>
      <c r="E411" s="146" t="s">
        <v>242</v>
      </c>
      <c r="F411" s="146" t="s">
        <v>155</v>
      </c>
      <c r="G411" s="240">
        <v>45885</v>
      </c>
      <c r="H411" s="320">
        <v>1380.2</v>
      </c>
      <c r="I411" s="321">
        <v>0.42799999999999999</v>
      </c>
      <c r="J411" s="320">
        <f>I411*H411</f>
        <v>590.72559999999999</v>
      </c>
      <c r="K411" s="18">
        <v>591</v>
      </c>
      <c r="L411" s="18"/>
      <c r="M411" s="40">
        <f t="shared" si="101"/>
        <v>590.72559999999999</v>
      </c>
      <c r="N411" s="40">
        <f t="shared" si="106"/>
        <v>-0.27440000000001419</v>
      </c>
      <c r="O411" s="302" t="s">
        <v>178</v>
      </c>
      <c r="P411" s="85">
        <f t="shared" si="111"/>
        <v>45838</v>
      </c>
      <c r="Q411" s="85">
        <v>45838</v>
      </c>
      <c r="R411" s="85">
        <f t="shared" si="112"/>
        <v>45840</v>
      </c>
      <c r="S411" s="7">
        <f t="shared" ca="1" si="113"/>
        <v>0</v>
      </c>
      <c r="T411" s="85">
        <f>G411-32</f>
        <v>45853</v>
      </c>
      <c r="U411" s="85"/>
      <c r="V411" s="7">
        <f t="shared" ca="1" si="114"/>
        <v>13</v>
      </c>
      <c r="W411" s="85"/>
      <c r="X411" s="8"/>
    </row>
    <row r="412" spans="1:24" ht="14.5" hidden="1">
      <c r="A412" s="14">
        <v>184</v>
      </c>
      <c r="B412" s="15" t="s">
        <v>59</v>
      </c>
      <c r="C412" s="20"/>
      <c r="D412" s="318" t="s">
        <v>189</v>
      </c>
      <c r="E412" s="146" t="s">
        <v>242</v>
      </c>
      <c r="F412" s="146" t="s">
        <v>90</v>
      </c>
      <c r="G412" s="240">
        <v>45885</v>
      </c>
      <c r="H412" s="320">
        <v>1112.4000000000001</v>
      </c>
      <c r="I412" s="321">
        <v>0.48299999999999998</v>
      </c>
      <c r="J412" s="320">
        <v>540</v>
      </c>
      <c r="K412" s="18">
        <v>540</v>
      </c>
      <c r="L412" s="18">
        <v>540</v>
      </c>
      <c r="M412" s="40">
        <f t="shared" si="101"/>
        <v>0</v>
      </c>
      <c r="N412" s="40">
        <f t="shared" si="106"/>
        <v>0</v>
      </c>
      <c r="O412" s="302" t="s">
        <v>178</v>
      </c>
      <c r="P412" s="85">
        <f t="shared" si="111"/>
        <v>45826</v>
      </c>
      <c r="Q412" s="85">
        <v>45815</v>
      </c>
      <c r="R412" s="85">
        <f t="shared" si="112"/>
        <v>45817</v>
      </c>
      <c r="S412" s="7">
        <f t="shared" ca="1" si="113"/>
        <v>11</v>
      </c>
      <c r="T412" s="85">
        <f>G412-44</f>
        <v>45841</v>
      </c>
      <c r="U412" s="85">
        <v>45835</v>
      </c>
      <c r="V412" s="7">
        <f t="shared" ca="1" si="114"/>
        <v>6</v>
      </c>
      <c r="W412" s="85"/>
      <c r="X412" s="8"/>
    </row>
    <row r="413" spans="1:24" ht="14.5" hidden="1">
      <c r="A413" s="14">
        <v>185</v>
      </c>
      <c r="B413" s="15" t="s">
        <v>59</v>
      </c>
      <c r="C413" s="20"/>
      <c r="D413" s="318" t="s">
        <v>157</v>
      </c>
      <c r="E413" s="146" t="s">
        <v>243</v>
      </c>
      <c r="F413" s="146" t="s">
        <v>162</v>
      </c>
      <c r="G413" s="240">
        <v>45889</v>
      </c>
      <c r="H413" s="320">
        <v>3751.26</v>
      </c>
      <c r="I413" s="321">
        <v>0.30599999999999999</v>
      </c>
      <c r="J413" s="320">
        <f t="shared" ref="J413" si="115">H413*I413</f>
        <v>1147.8855599999999</v>
      </c>
      <c r="K413" s="18">
        <v>1148</v>
      </c>
      <c r="L413" s="18"/>
      <c r="M413" s="40">
        <f t="shared" si="101"/>
        <v>1147.8855599999999</v>
      </c>
      <c r="N413" s="40">
        <f t="shared" si="106"/>
        <v>-0.11444000000005872</v>
      </c>
      <c r="O413" s="301" t="s">
        <v>871</v>
      </c>
      <c r="P413" s="85">
        <f t="shared" si="111"/>
        <v>45827</v>
      </c>
      <c r="Q413" s="85">
        <v>45832</v>
      </c>
      <c r="R413" s="85">
        <f t="shared" si="112"/>
        <v>45834</v>
      </c>
      <c r="S413" s="7">
        <f t="shared" ca="1" si="113"/>
        <v>-5</v>
      </c>
      <c r="T413" s="85">
        <f>G413-32-15</f>
        <v>45842</v>
      </c>
      <c r="U413" s="85"/>
      <c r="V413" s="7">
        <f t="shared" ca="1" si="114"/>
        <v>2</v>
      </c>
      <c r="W413" s="85"/>
      <c r="X413" s="8"/>
    </row>
    <row r="414" spans="1:24" ht="14.5" hidden="1">
      <c r="A414" s="14">
        <v>185</v>
      </c>
      <c r="B414" s="15" t="s">
        <v>59</v>
      </c>
      <c r="C414" s="20"/>
      <c r="D414" s="318" t="s">
        <v>158</v>
      </c>
      <c r="E414" s="146" t="s">
        <v>242</v>
      </c>
      <c r="F414" s="15" t="s">
        <v>154</v>
      </c>
      <c r="G414" s="240">
        <v>45889</v>
      </c>
      <c r="H414" s="320">
        <v>1479.08</v>
      </c>
      <c r="I414" s="321">
        <v>0.42799999999999999</v>
      </c>
      <c r="J414" s="320">
        <f>I414*H414</f>
        <v>633.04624000000001</v>
      </c>
      <c r="K414" s="18">
        <v>633</v>
      </c>
      <c r="L414" s="18"/>
      <c r="M414" s="40">
        <f t="shared" si="101"/>
        <v>633.04624000000001</v>
      </c>
      <c r="N414" s="40">
        <f t="shared" si="106"/>
        <v>4.6240000000011605E-2</v>
      </c>
      <c r="O414" s="302" t="s">
        <v>178</v>
      </c>
      <c r="P414" s="85">
        <f t="shared" si="111"/>
        <v>45842</v>
      </c>
      <c r="Q414" s="85">
        <v>45828</v>
      </c>
      <c r="R414" s="85">
        <f t="shared" si="112"/>
        <v>45830</v>
      </c>
      <c r="S414" s="7">
        <f t="shared" ca="1" si="113"/>
        <v>14</v>
      </c>
      <c r="T414" s="85">
        <f>G414-32</f>
        <v>45857</v>
      </c>
      <c r="U414" s="85"/>
      <c r="V414" s="7">
        <f t="shared" ca="1" si="114"/>
        <v>17</v>
      </c>
      <c r="W414" s="85"/>
      <c r="X414" s="8"/>
    </row>
    <row r="415" spans="1:24" ht="14.5" hidden="1">
      <c r="A415" s="14">
        <v>185</v>
      </c>
      <c r="B415" s="15" t="s">
        <v>59</v>
      </c>
      <c r="C415" s="20"/>
      <c r="D415" s="318" t="s">
        <v>189</v>
      </c>
      <c r="E415" s="146" t="s">
        <v>242</v>
      </c>
      <c r="F415" s="146" t="s">
        <v>90</v>
      </c>
      <c r="G415" s="240">
        <v>45889</v>
      </c>
      <c r="H415" s="320">
        <v>964.08</v>
      </c>
      <c r="I415" s="321">
        <v>0.48299999999999998</v>
      </c>
      <c r="J415" s="320">
        <f>H415*I415</f>
        <v>465.65064000000001</v>
      </c>
      <c r="K415" s="18">
        <v>466</v>
      </c>
      <c r="L415" s="18"/>
      <c r="M415" s="40">
        <f t="shared" si="101"/>
        <v>465.65064000000001</v>
      </c>
      <c r="N415" s="40">
        <f t="shared" si="106"/>
        <v>-0.34935999999999012</v>
      </c>
      <c r="O415" s="302" t="s">
        <v>178</v>
      </c>
      <c r="P415" s="85">
        <f t="shared" si="111"/>
        <v>45830</v>
      </c>
      <c r="Q415" s="85">
        <v>45815</v>
      </c>
      <c r="R415" s="85">
        <f t="shared" si="112"/>
        <v>45817</v>
      </c>
      <c r="S415" s="7">
        <f t="shared" ca="1" si="113"/>
        <v>15</v>
      </c>
      <c r="T415" s="85">
        <f>G415-44</f>
        <v>45845</v>
      </c>
      <c r="U415" s="85"/>
      <c r="V415" s="7">
        <f t="shared" ca="1" si="114"/>
        <v>5</v>
      </c>
      <c r="W415" s="85"/>
      <c r="X415" s="8"/>
    </row>
    <row r="416" spans="1:24" ht="14.5" hidden="1">
      <c r="A416" s="14">
        <v>186</v>
      </c>
      <c r="B416" s="15" t="s">
        <v>59</v>
      </c>
      <c r="C416" s="20"/>
      <c r="D416" s="318" t="s">
        <v>158</v>
      </c>
      <c r="E416" s="146" t="s">
        <v>242</v>
      </c>
      <c r="F416" s="15" t="s">
        <v>154</v>
      </c>
      <c r="G416" s="240">
        <v>45892</v>
      </c>
      <c r="H416" s="320">
        <v>1343.1200000000001</v>
      </c>
      <c r="I416" s="321">
        <v>0.42799999999999999</v>
      </c>
      <c r="J416" s="320">
        <f>I416*H416</f>
        <v>574.85536000000002</v>
      </c>
      <c r="K416" s="18"/>
      <c r="L416" s="18"/>
      <c r="M416" s="40">
        <f t="shared" si="101"/>
        <v>574.85536000000002</v>
      </c>
      <c r="N416" s="40">
        <f t="shared" si="106"/>
        <v>574.85536000000002</v>
      </c>
      <c r="O416" s="302" t="s">
        <v>178</v>
      </c>
      <c r="P416" s="85">
        <f t="shared" si="111"/>
        <v>45845</v>
      </c>
      <c r="Q416" s="85"/>
      <c r="R416" s="85">
        <f t="shared" si="112"/>
        <v>2</v>
      </c>
      <c r="S416" s="7">
        <f t="shared" ca="1" si="113"/>
        <v>5</v>
      </c>
      <c r="T416" s="85">
        <f>G416-32</f>
        <v>45860</v>
      </c>
      <c r="U416" s="85"/>
      <c r="V416" s="7">
        <f t="shared" ca="1" si="114"/>
        <v>20</v>
      </c>
      <c r="W416" s="85"/>
      <c r="X416" s="8"/>
    </row>
    <row r="417" spans="1:24" ht="14.5" hidden="1">
      <c r="A417" s="14">
        <v>186</v>
      </c>
      <c r="B417" s="15" t="s">
        <v>59</v>
      </c>
      <c r="C417" s="20"/>
      <c r="D417" s="318" t="s">
        <v>158</v>
      </c>
      <c r="E417" s="146" t="s">
        <v>242</v>
      </c>
      <c r="F417" s="15" t="s">
        <v>156</v>
      </c>
      <c r="G417" s="240">
        <v>45892</v>
      </c>
      <c r="H417" s="320">
        <v>1701.56</v>
      </c>
      <c r="I417" s="321">
        <v>0.42799999999999999</v>
      </c>
      <c r="J417" s="320">
        <f>I417*H417</f>
        <v>728.26767999999993</v>
      </c>
      <c r="K417" s="18">
        <v>728</v>
      </c>
      <c r="L417" s="18"/>
      <c r="M417" s="40">
        <f t="shared" si="101"/>
        <v>728.26767999999993</v>
      </c>
      <c r="N417" s="40">
        <f t="shared" si="106"/>
        <v>0.26767999999992753</v>
      </c>
      <c r="O417" s="302" t="s">
        <v>178</v>
      </c>
      <c r="P417" s="85">
        <f t="shared" si="111"/>
        <v>45845</v>
      </c>
      <c r="Q417" s="85">
        <v>45836</v>
      </c>
      <c r="R417" s="85">
        <f t="shared" si="112"/>
        <v>45838</v>
      </c>
      <c r="S417" s="7">
        <f t="shared" ca="1" si="113"/>
        <v>9</v>
      </c>
      <c r="T417" s="85">
        <f>G417-32</f>
        <v>45860</v>
      </c>
      <c r="U417" s="85"/>
      <c r="V417" s="7">
        <f t="shared" ca="1" si="114"/>
        <v>20</v>
      </c>
      <c r="W417" s="85"/>
      <c r="X417" s="8"/>
    </row>
    <row r="418" spans="1:24" ht="14.5" hidden="1">
      <c r="A418" s="14">
        <v>187</v>
      </c>
      <c r="B418" s="15" t="s">
        <v>59</v>
      </c>
      <c r="C418" s="20"/>
      <c r="D418" s="301" t="s">
        <v>248</v>
      </c>
      <c r="E418" s="146" t="s">
        <v>270</v>
      </c>
      <c r="F418" s="146" t="s">
        <v>162</v>
      </c>
      <c r="G418" s="240">
        <v>45892</v>
      </c>
      <c r="H418" s="320">
        <v>2169.1799999999998</v>
      </c>
      <c r="I418" s="321">
        <v>1.829</v>
      </c>
      <c r="J418" s="320">
        <f>H418*I418</f>
        <v>3967.4302199999997</v>
      </c>
      <c r="K418" s="18">
        <v>3967</v>
      </c>
      <c r="L418" s="18"/>
      <c r="M418" s="40">
        <f t="shared" si="101"/>
        <v>3967.4302199999997</v>
      </c>
      <c r="N418" s="40">
        <f t="shared" si="106"/>
        <v>0.43021999999973559</v>
      </c>
      <c r="O418" s="302" t="s">
        <v>178</v>
      </c>
      <c r="P418" s="85">
        <f t="shared" si="111"/>
        <v>45830</v>
      </c>
      <c r="Q418" s="85">
        <v>45829</v>
      </c>
      <c r="R418" s="85">
        <f t="shared" si="112"/>
        <v>45831</v>
      </c>
      <c r="S418" s="7">
        <f t="shared" ca="1" si="113"/>
        <v>1</v>
      </c>
      <c r="T418" s="85">
        <f>G418-32-15</f>
        <v>45845</v>
      </c>
      <c r="U418" s="85"/>
      <c r="V418" s="7">
        <f t="shared" ca="1" si="114"/>
        <v>5</v>
      </c>
      <c r="W418" s="85"/>
      <c r="X418" s="8"/>
    </row>
    <row r="419" spans="1:24" ht="14.5" hidden="1">
      <c r="A419" s="14">
        <v>187</v>
      </c>
      <c r="B419" s="15" t="s">
        <v>59</v>
      </c>
      <c r="C419" s="20"/>
      <c r="D419" s="318" t="s">
        <v>889</v>
      </c>
      <c r="E419" s="146" t="s">
        <v>395</v>
      </c>
      <c r="F419" s="15" t="s">
        <v>967</v>
      </c>
      <c r="G419" s="240">
        <v>45892</v>
      </c>
      <c r="H419" s="320">
        <v>1730.4</v>
      </c>
      <c r="I419" s="321"/>
      <c r="J419" s="320">
        <v>1730</v>
      </c>
      <c r="K419" s="18">
        <v>1730</v>
      </c>
      <c r="L419" s="18"/>
      <c r="M419" s="40">
        <f t="shared" si="101"/>
        <v>1730</v>
      </c>
      <c r="N419" s="40">
        <f t="shared" si="106"/>
        <v>0</v>
      </c>
      <c r="O419" s="301" t="s">
        <v>292</v>
      </c>
      <c r="P419" s="85">
        <f>T419-30</f>
        <v>45832</v>
      </c>
      <c r="Q419" s="85">
        <v>45838</v>
      </c>
      <c r="R419" s="85">
        <f t="shared" si="112"/>
        <v>45840</v>
      </c>
      <c r="S419" s="7">
        <f t="shared" ca="1" si="113"/>
        <v>-6</v>
      </c>
      <c r="T419" s="85">
        <f>G419-30</f>
        <v>45862</v>
      </c>
      <c r="U419" s="85"/>
      <c r="V419" s="7">
        <f t="shared" ca="1" si="114"/>
        <v>22</v>
      </c>
      <c r="W419" s="85"/>
      <c r="X419" s="8"/>
    </row>
    <row r="420" spans="1:24" ht="14.5" hidden="1">
      <c r="A420" s="14">
        <v>187</v>
      </c>
      <c r="B420" s="15" t="s">
        <v>59</v>
      </c>
      <c r="C420" s="20"/>
      <c r="D420" s="318" t="s">
        <v>157</v>
      </c>
      <c r="E420" s="146" t="s">
        <v>243</v>
      </c>
      <c r="F420" s="146" t="s">
        <v>162</v>
      </c>
      <c r="G420" s="240">
        <v>45892</v>
      </c>
      <c r="H420" s="320">
        <v>3708</v>
      </c>
      <c r="I420" s="321">
        <v>0.30599999999999999</v>
      </c>
      <c r="J420" s="320">
        <f t="shared" ref="J420" si="116">H420*I420</f>
        <v>1134.6479999999999</v>
      </c>
      <c r="K420" s="18">
        <v>1135</v>
      </c>
      <c r="L420" s="18"/>
      <c r="M420" s="40">
        <f t="shared" si="101"/>
        <v>1134.6479999999999</v>
      </c>
      <c r="N420" s="40">
        <f t="shared" si="106"/>
        <v>-0.35200000000008913</v>
      </c>
      <c r="O420" s="301" t="s">
        <v>871</v>
      </c>
      <c r="P420" s="85">
        <f t="shared" si="111"/>
        <v>45830</v>
      </c>
      <c r="Q420" s="85">
        <v>45832</v>
      </c>
      <c r="R420" s="85">
        <f t="shared" si="112"/>
        <v>45834</v>
      </c>
      <c r="S420" s="7">
        <f t="shared" ca="1" si="113"/>
        <v>-2</v>
      </c>
      <c r="T420" s="85">
        <f>G420-32-15</f>
        <v>45845</v>
      </c>
      <c r="U420" s="85"/>
      <c r="V420" s="7">
        <f t="shared" ca="1" si="114"/>
        <v>5</v>
      </c>
      <c r="W420" s="85"/>
      <c r="X420" s="8"/>
    </row>
    <row r="421" spans="1:24" ht="14.5" hidden="1">
      <c r="A421" s="14">
        <v>187</v>
      </c>
      <c r="B421" s="15" t="s">
        <v>59</v>
      </c>
      <c r="C421" s="20"/>
      <c r="D421" s="318" t="s">
        <v>189</v>
      </c>
      <c r="E421" s="146" t="s">
        <v>242</v>
      </c>
      <c r="F421" s="146" t="s">
        <v>90</v>
      </c>
      <c r="G421" s="240">
        <v>45892</v>
      </c>
      <c r="H421" s="320">
        <v>222.48000000000002</v>
      </c>
      <c r="I421" s="321">
        <v>0.48299999999999998</v>
      </c>
      <c r="J421" s="320">
        <f>H421*I421</f>
        <v>107.45784</v>
      </c>
      <c r="K421" s="18">
        <v>107</v>
      </c>
      <c r="L421" s="18"/>
      <c r="M421" s="40">
        <f t="shared" si="101"/>
        <v>107.45784</v>
      </c>
      <c r="N421" s="40">
        <f t="shared" si="106"/>
        <v>0.45784000000000447</v>
      </c>
      <c r="O421" s="302" t="s">
        <v>178</v>
      </c>
      <c r="P421" s="85">
        <f t="shared" si="111"/>
        <v>45833</v>
      </c>
      <c r="Q421" s="85">
        <v>45815</v>
      </c>
      <c r="R421" s="85">
        <f t="shared" si="112"/>
        <v>45817</v>
      </c>
      <c r="S421" s="7">
        <f t="shared" ca="1" si="113"/>
        <v>18</v>
      </c>
      <c r="T421" s="85">
        <f>G421-44</f>
        <v>45848</v>
      </c>
      <c r="U421" s="85"/>
      <c r="V421" s="7">
        <f t="shared" ca="1" si="114"/>
        <v>8</v>
      </c>
      <c r="W421" s="85"/>
      <c r="X421" s="8"/>
    </row>
    <row r="422" spans="1:24" ht="14.5" hidden="1">
      <c r="A422" s="14">
        <v>187</v>
      </c>
      <c r="B422" s="15" t="s">
        <v>59</v>
      </c>
      <c r="C422" s="20"/>
      <c r="D422" s="318" t="s">
        <v>158</v>
      </c>
      <c r="E422" s="146" t="s">
        <v>242</v>
      </c>
      <c r="F422" s="15" t="s">
        <v>156</v>
      </c>
      <c r="G422" s="240">
        <v>45892</v>
      </c>
      <c r="H422" s="320">
        <v>1841.64</v>
      </c>
      <c r="I422" s="321">
        <v>0.42799999999999999</v>
      </c>
      <c r="J422" s="320">
        <f>I422*H422</f>
        <v>788.22192000000007</v>
      </c>
      <c r="K422" s="18">
        <v>788</v>
      </c>
      <c r="L422" s="18"/>
      <c r="M422" s="40">
        <f t="shared" si="101"/>
        <v>788.22192000000007</v>
      </c>
      <c r="N422" s="40">
        <f t="shared" si="106"/>
        <v>0.22192000000006828</v>
      </c>
      <c r="O422" s="302" t="s">
        <v>178</v>
      </c>
      <c r="P422" s="85">
        <f t="shared" si="111"/>
        <v>45845</v>
      </c>
      <c r="Q422" s="85">
        <v>45836</v>
      </c>
      <c r="R422" s="85">
        <f t="shared" si="112"/>
        <v>45838</v>
      </c>
      <c r="S422" s="7">
        <f t="shared" ca="1" si="113"/>
        <v>9</v>
      </c>
      <c r="T422" s="85">
        <f>G422-32</f>
        <v>45860</v>
      </c>
      <c r="U422" s="85"/>
      <c r="V422" s="7">
        <f t="shared" ca="1" si="114"/>
        <v>20</v>
      </c>
      <c r="W422" s="85"/>
      <c r="X422" s="8"/>
    </row>
    <row r="423" spans="1:24" ht="14.5" hidden="1">
      <c r="A423" s="14">
        <v>188</v>
      </c>
      <c r="B423" s="15" t="s">
        <v>59</v>
      </c>
      <c r="C423" s="20"/>
      <c r="D423" s="307" t="s">
        <v>193</v>
      </c>
      <c r="E423" s="146" t="s">
        <v>246</v>
      </c>
      <c r="F423" s="15" t="s">
        <v>162</v>
      </c>
      <c r="G423" s="240">
        <v>45899</v>
      </c>
      <c r="H423" s="320">
        <v>3738.9</v>
      </c>
      <c r="I423" s="321">
        <v>0.35399999999999998</v>
      </c>
      <c r="J423" s="320">
        <f>H423*I423</f>
        <v>1323.5706</v>
      </c>
      <c r="K423" s="18">
        <v>1324</v>
      </c>
      <c r="L423" s="18"/>
      <c r="M423" s="40">
        <f t="shared" si="101"/>
        <v>1323.5706</v>
      </c>
      <c r="N423" s="40">
        <f t="shared" si="106"/>
        <v>-0.4293999999999869</v>
      </c>
      <c r="O423" s="302" t="s">
        <v>178</v>
      </c>
      <c r="P423" s="85">
        <f t="shared" si="111"/>
        <v>45837</v>
      </c>
      <c r="Q423" s="85">
        <v>45829</v>
      </c>
      <c r="R423" s="85">
        <f t="shared" si="112"/>
        <v>45831</v>
      </c>
      <c r="S423" s="7">
        <f t="shared" ca="1" si="113"/>
        <v>8</v>
      </c>
      <c r="T423" s="85">
        <f>G423-32-15</f>
        <v>45852</v>
      </c>
      <c r="U423" s="85"/>
      <c r="V423" s="7">
        <f t="shared" ca="1" si="114"/>
        <v>12</v>
      </c>
      <c r="W423" s="85"/>
      <c r="X423" s="8"/>
    </row>
    <row r="424" spans="1:24" ht="14.5" hidden="1">
      <c r="A424" s="14">
        <v>188</v>
      </c>
      <c r="B424" s="15" t="s">
        <v>59</v>
      </c>
      <c r="C424" s="20"/>
      <c r="D424" s="318" t="s">
        <v>189</v>
      </c>
      <c r="E424" s="146" t="s">
        <v>242</v>
      </c>
      <c r="F424" s="146" t="s">
        <v>90</v>
      </c>
      <c r="G424" s="240">
        <v>45899</v>
      </c>
      <c r="H424" s="320">
        <v>2076.48</v>
      </c>
      <c r="I424" s="321">
        <v>0.48299999999999998</v>
      </c>
      <c r="J424" s="320">
        <f>H424*I424</f>
        <v>1002.93984</v>
      </c>
      <c r="K424" s="18">
        <v>1003</v>
      </c>
      <c r="L424" s="18"/>
      <c r="M424" s="40">
        <f t="shared" si="101"/>
        <v>1002.93984</v>
      </c>
      <c r="N424" s="40">
        <f t="shared" si="106"/>
        <v>-6.0159999999996217E-2</v>
      </c>
      <c r="O424" s="302" t="s">
        <v>178</v>
      </c>
      <c r="P424" s="85">
        <f t="shared" si="111"/>
        <v>45840</v>
      </c>
      <c r="Q424" s="85">
        <v>45815</v>
      </c>
      <c r="R424" s="85">
        <f t="shared" si="112"/>
        <v>45817</v>
      </c>
      <c r="S424" s="7">
        <f t="shared" ca="1" si="113"/>
        <v>25</v>
      </c>
      <c r="T424" s="85">
        <f>G424-44</f>
        <v>45855</v>
      </c>
      <c r="U424" s="85"/>
      <c r="V424" s="7">
        <f t="shared" ca="1" si="114"/>
        <v>15</v>
      </c>
      <c r="W424" s="85"/>
      <c r="X424" s="8"/>
    </row>
    <row r="425" spans="1:24" ht="14.5" hidden="1">
      <c r="A425" s="14">
        <v>189</v>
      </c>
      <c r="B425" s="15" t="s">
        <v>59</v>
      </c>
      <c r="C425" s="20"/>
      <c r="D425" s="318" t="s">
        <v>157</v>
      </c>
      <c r="E425" s="146" t="s">
        <v>243</v>
      </c>
      <c r="F425" s="146" t="s">
        <v>155</v>
      </c>
      <c r="G425" s="240">
        <v>45899</v>
      </c>
      <c r="H425" s="320">
        <v>2422.56</v>
      </c>
      <c r="I425" s="321">
        <v>0.30599999999999999</v>
      </c>
      <c r="J425" s="320">
        <f t="shared" ref="J425" si="117">H425*I425</f>
        <v>741.30336</v>
      </c>
      <c r="K425" s="18"/>
      <c r="L425" s="18"/>
      <c r="M425" s="40">
        <f t="shared" si="101"/>
        <v>741.30336</v>
      </c>
      <c r="N425" s="40">
        <f t="shared" si="106"/>
        <v>741.30336</v>
      </c>
      <c r="O425" s="301" t="s">
        <v>871</v>
      </c>
      <c r="P425" s="85">
        <f t="shared" si="111"/>
        <v>45852</v>
      </c>
      <c r="Q425" s="85"/>
      <c r="R425" s="85">
        <f t="shared" si="112"/>
        <v>2</v>
      </c>
      <c r="S425" s="7">
        <f t="shared" ca="1" si="113"/>
        <v>12</v>
      </c>
      <c r="T425" s="85">
        <f>G425-32</f>
        <v>45867</v>
      </c>
      <c r="U425" s="85"/>
      <c r="V425" s="7">
        <f t="shared" ca="1" si="114"/>
        <v>27</v>
      </c>
      <c r="W425" s="85"/>
      <c r="X425" s="8"/>
    </row>
    <row r="426" spans="1:24" ht="14.5" hidden="1">
      <c r="A426" s="14">
        <v>189</v>
      </c>
      <c r="B426" s="15" t="s">
        <v>59</v>
      </c>
      <c r="C426" s="20"/>
      <c r="D426" s="318" t="s">
        <v>189</v>
      </c>
      <c r="E426" s="146" t="s">
        <v>242</v>
      </c>
      <c r="F426" s="146" t="s">
        <v>90</v>
      </c>
      <c r="G426" s="240">
        <v>45899</v>
      </c>
      <c r="H426" s="320">
        <v>2892.2400000000002</v>
      </c>
      <c r="I426" s="321">
        <v>0.48299999999999998</v>
      </c>
      <c r="J426" s="320">
        <f>H426*I426</f>
        <v>1396.95192</v>
      </c>
      <c r="K426" s="18">
        <v>1397</v>
      </c>
      <c r="L426" s="18"/>
      <c r="M426" s="40">
        <f t="shared" si="101"/>
        <v>1396.95192</v>
      </c>
      <c r="N426" s="40">
        <f t="shared" si="106"/>
        <v>-4.8080000000027212E-2</v>
      </c>
      <c r="O426" s="302" t="s">
        <v>178</v>
      </c>
      <c r="P426" s="85">
        <f t="shared" si="111"/>
        <v>45840</v>
      </c>
      <c r="Q426" s="85">
        <v>45815</v>
      </c>
      <c r="R426" s="85">
        <f t="shared" si="112"/>
        <v>45817</v>
      </c>
      <c r="S426" s="7">
        <f t="shared" ca="1" si="113"/>
        <v>25</v>
      </c>
      <c r="T426" s="85">
        <f>G426-44</f>
        <v>45855</v>
      </c>
      <c r="U426" s="85"/>
      <c r="V426" s="7">
        <f t="shared" ca="1" si="114"/>
        <v>15</v>
      </c>
      <c r="W426" s="85"/>
      <c r="X426" s="8"/>
    </row>
    <row r="427" spans="1:24" ht="14.5" hidden="1">
      <c r="A427" s="14">
        <v>190</v>
      </c>
      <c r="B427" s="15" t="s">
        <v>59</v>
      </c>
      <c r="C427" s="20"/>
      <c r="D427" s="318" t="s">
        <v>158</v>
      </c>
      <c r="E427" s="146" t="s">
        <v>242</v>
      </c>
      <c r="F427" s="15" t="s">
        <v>154</v>
      </c>
      <c r="G427" s="240">
        <v>45899</v>
      </c>
      <c r="H427" s="320">
        <v>1334.88</v>
      </c>
      <c r="I427" s="321">
        <v>0.42799999999999999</v>
      </c>
      <c r="J427" s="320">
        <f>I427*H427</f>
        <v>571.32864000000006</v>
      </c>
      <c r="K427" s="18"/>
      <c r="L427" s="18"/>
      <c r="M427" s="40">
        <f t="shared" si="101"/>
        <v>571.32864000000006</v>
      </c>
      <c r="N427" s="40">
        <f t="shared" si="106"/>
        <v>571.32864000000006</v>
      </c>
      <c r="O427" s="302" t="s">
        <v>178</v>
      </c>
      <c r="P427" s="85">
        <f t="shared" si="111"/>
        <v>45852</v>
      </c>
      <c r="Q427" s="85"/>
      <c r="R427" s="85">
        <f t="shared" si="112"/>
        <v>2</v>
      </c>
      <c r="S427" s="7">
        <f t="shared" ca="1" si="113"/>
        <v>12</v>
      </c>
      <c r="T427" s="85">
        <f>G427-32</f>
        <v>45867</v>
      </c>
      <c r="U427" s="85"/>
      <c r="V427" s="7">
        <f t="shared" ca="1" si="114"/>
        <v>27</v>
      </c>
      <c r="W427" s="85"/>
      <c r="X427" s="8"/>
    </row>
    <row r="428" spans="1:24" ht="14.5" hidden="1">
      <c r="A428" s="14">
        <v>190</v>
      </c>
      <c r="B428" s="15" t="s">
        <v>59</v>
      </c>
      <c r="C428" s="20"/>
      <c r="D428" s="318" t="s">
        <v>901</v>
      </c>
      <c r="E428" s="146" t="s">
        <v>242</v>
      </c>
      <c r="F428" s="146" t="s">
        <v>244</v>
      </c>
      <c r="G428" s="240">
        <v>45899</v>
      </c>
      <c r="H428" s="320">
        <v>1355.48</v>
      </c>
      <c r="I428" s="321">
        <v>0.34300000000000003</v>
      </c>
      <c r="J428" s="320">
        <f>H428*I428</f>
        <v>464.92964000000006</v>
      </c>
      <c r="K428" s="18">
        <v>465</v>
      </c>
      <c r="L428" s="18">
        <v>465</v>
      </c>
      <c r="M428" s="40">
        <f t="shared" si="101"/>
        <v>-7.0359999999936917E-2</v>
      </c>
      <c r="N428" s="40">
        <f t="shared" si="106"/>
        <v>-7.0359999999936917E-2</v>
      </c>
      <c r="O428" s="301" t="s">
        <v>948</v>
      </c>
      <c r="P428" s="85">
        <f t="shared" si="111"/>
        <v>45839</v>
      </c>
      <c r="Q428" s="85">
        <v>45827</v>
      </c>
      <c r="R428" s="85">
        <f t="shared" si="112"/>
        <v>45829</v>
      </c>
      <c r="S428" s="7">
        <f t="shared" ca="1" si="113"/>
        <v>12</v>
      </c>
      <c r="T428" s="85">
        <f>G428-32-13</f>
        <v>45854</v>
      </c>
      <c r="U428" s="85"/>
      <c r="V428" s="7">
        <f t="shared" ca="1" si="114"/>
        <v>14</v>
      </c>
      <c r="W428" s="337" t="s">
        <v>954</v>
      </c>
      <c r="X428" s="8"/>
    </row>
    <row r="429" spans="1:24" ht="14.5" hidden="1">
      <c r="A429" s="14">
        <v>191</v>
      </c>
      <c r="B429" s="15" t="s">
        <v>59</v>
      </c>
      <c r="C429" s="20"/>
      <c r="D429" s="307" t="s">
        <v>193</v>
      </c>
      <c r="E429" s="146" t="s">
        <v>249</v>
      </c>
      <c r="F429" s="146" t="s">
        <v>162</v>
      </c>
      <c r="G429" s="240">
        <v>45913</v>
      </c>
      <c r="H429" s="320">
        <v>2188.75</v>
      </c>
      <c r="I429" s="321">
        <v>2.7</v>
      </c>
      <c r="J429" s="320">
        <f>H429*I429</f>
        <v>5909.625</v>
      </c>
      <c r="K429" s="18">
        <v>5910</v>
      </c>
      <c r="L429" s="18"/>
      <c r="M429" s="40">
        <f t="shared" si="101"/>
        <v>5909.625</v>
      </c>
      <c r="N429" s="40">
        <f t="shared" si="106"/>
        <v>-0.375</v>
      </c>
      <c r="O429" s="302" t="s">
        <v>178</v>
      </c>
      <c r="P429" s="85">
        <f t="shared" si="111"/>
        <v>45851</v>
      </c>
      <c r="Q429" s="85">
        <v>45838</v>
      </c>
      <c r="R429" s="85">
        <f t="shared" si="112"/>
        <v>45840</v>
      </c>
      <c r="S429" s="7">
        <f t="shared" ca="1" si="113"/>
        <v>13</v>
      </c>
      <c r="T429" s="85">
        <f>G429-32-15</f>
        <v>45866</v>
      </c>
      <c r="U429" s="85"/>
      <c r="V429" s="7">
        <f t="shared" ca="1" si="114"/>
        <v>26</v>
      </c>
      <c r="W429" s="85"/>
      <c r="X429" s="8"/>
    </row>
    <row r="430" spans="1:24" ht="14.5" hidden="1">
      <c r="A430" s="14">
        <v>191</v>
      </c>
      <c r="B430" s="15" t="s">
        <v>59</v>
      </c>
      <c r="C430" s="20"/>
      <c r="D430" s="301" t="s">
        <v>248</v>
      </c>
      <c r="E430" s="146" t="s">
        <v>270</v>
      </c>
      <c r="F430" s="146" t="s">
        <v>162</v>
      </c>
      <c r="G430" s="240">
        <v>45913</v>
      </c>
      <c r="H430" s="320">
        <v>2095.02</v>
      </c>
      <c r="I430" s="321">
        <v>1.829</v>
      </c>
      <c r="J430" s="320">
        <f>H430*I430</f>
        <v>3831.7915800000001</v>
      </c>
      <c r="K430" s="18">
        <v>3832</v>
      </c>
      <c r="L430" s="18"/>
      <c r="M430" s="40">
        <f t="shared" si="101"/>
        <v>3831.7915800000001</v>
      </c>
      <c r="N430" s="40">
        <f t="shared" si="106"/>
        <v>-0.20841999999993277</v>
      </c>
      <c r="O430" s="302" t="s">
        <v>178</v>
      </c>
      <c r="P430" s="85">
        <f t="shared" si="111"/>
        <v>45851</v>
      </c>
      <c r="Q430" s="85">
        <v>45838</v>
      </c>
      <c r="R430" s="85">
        <f t="shared" si="112"/>
        <v>45840</v>
      </c>
      <c r="S430" s="7">
        <f t="shared" ca="1" si="113"/>
        <v>13</v>
      </c>
      <c r="T430" s="85">
        <f>G430-32-15</f>
        <v>45866</v>
      </c>
      <c r="U430" s="85"/>
      <c r="V430" s="7">
        <f t="shared" ca="1" si="114"/>
        <v>26</v>
      </c>
      <c r="W430" s="85"/>
      <c r="X430" s="8"/>
    </row>
    <row r="431" spans="1:24" ht="14.5" hidden="1">
      <c r="A431" s="14">
        <v>191</v>
      </c>
      <c r="B431" s="15" t="s">
        <v>59</v>
      </c>
      <c r="C431" s="20"/>
      <c r="D431" s="318" t="s">
        <v>250</v>
      </c>
      <c r="E431" s="146" t="s">
        <v>269</v>
      </c>
      <c r="F431" s="146" t="s">
        <v>162</v>
      </c>
      <c r="G431" s="240">
        <v>45913</v>
      </c>
      <c r="H431" s="320">
        <v>2348.4</v>
      </c>
      <c r="I431" s="86">
        <v>2.8</v>
      </c>
      <c r="J431" s="320">
        <f t="shared" ref="J431" si="118">H431*I431</f>
        <v>6575.5199999999995</v>
      </c>
      <c r="K431" s="18">
        <v>6576</v>
      </c>
      <c r="L431" s="18"/>
      <c r="M431" s="40">
        <f t="shared" si="101"/>
        <v>6575.5199999999995</v>
      </c>
      <c r="N431" s="40">
        <f t="shared" si="106"/>
        <v>-0.48000000000047294</v>
      </c>
      <c r="O431" s="302" t="s">
        <v>178</v>
      </c>
      <c r="P431" s="85">
        <f t="shared" si="111"/>
        <v>45851</v>
      </c>
      <c r="Q431" s="85">
        <v>45835</v>
      </c>
      <c r="R431" s="85">
        <f t="shared" si="112"/>
        <v>45837</v>
      </c>
      <c r="S431" s="7">
        <f t="shared" ca="1" si="113"/>
        <v>16</v>
      </c>
      <c r="T431" s="85">
        <f>G431-32-15</f>
        <v>45866</v>
      </c>
      <c r="U431" s="85"/>
      <c r="V431" s="7">
        <f t="shared" ca="1" si="114"/>
        <v>26</v>
      </c>
      <c r="W431" s="85"/>
      <c r="X431" s="8"/>
    </row>
    <row r="432" spans="1:24" ht="14.5" hidden="1">
      <c r="A432" s="14">
        <v>191</v>
      </c>
      <c r="B432" s="15" t="s">
        <v>59</v>
      </c>
      <c r="C432" s="20"/>
      <c r="D432" s="318" t="s">
        <v>158</v>
      </c>
      <c r="E432" s="146" t="s">
        <v>242</v>
      </c>
      <c r="F432" s="15" t="s">
        <v>154</v>
      </c>
      <c r="G432" s="240">
        <v>45913</v>
      </c>
      <c r="H432" s="320">
        <v>1260.72</v>
      </c>
      <c r="I432" s="321">
        <v>0.42799999999999999</v>
      </c>
      <c r="J432" s="320">
        <f>I432*H432</f>
        <v>539.58816000000002</v>
      </c>
      <c r="K432" s="18"/>
      <c r="L432" s="18"/>
      <c r="M432" s="40">
        <f t="shared" si="101"/>
        <v>539.58816000000002</v>
      </c>
      <c r="N432" s="40">
        <f t="shared" si="106"/>
        <v>539.58816000000002</v>
      </c>
      <c r="O432" s="302" t="s">
        <v>178</v>
      </c>
      <c r="P432" s="85">
        <f t="shared" si="111"/>
        <v>45866</v>
      </c>
      <c r="Q432" s="85"/>
      <c r="R432" s="85">
        <f t="shared" si="112"/>
        <v>2</v>
      </c>
      <c r="S432" s="7">
        <f t="shared" ca="1" si="113"/>
        <v>26</v>
      </c>
      <c r="T432" s="85">
        <f>G432-32</f>
        <v>45881</v>
      </c>
      <c r="U432" s="85"/>
      <c r="V432" s="7">
        <f t="shared" ca="1" si="114"/>
        <v>41</v>
      </c>
      <c r="W432" s="85"/>
      <c r="X432" s="8"/>
    </row>
    <row r="433" spans="1:24" ht="14.5" hidden="1">
      <c r="A433" s="14">
        <v>191</v>
      </c>
      <c r="B433" s="15" t="s">
        <v>59</v>
      </c>
      <c r="C433" s="20"/>
      <c r="D433" s="318" t="s">
        <v>158</v>
      </c>
      <c r="E433" s="146" t="s">
        <v>242</v>
      </c>
      <c r="F433" s="146" t="s">
        <v>155</v>
      </c>
      <c r="G433" s="240">
        <v>45913</v>
      </c>
      <c r="H433" s="320">
        <v>1334.88</v>
      </c>
      <c r="I433" s="321">
        <v>0.42799999999999999</v>
      </c>
      <c r="J433" s="320">
        <f>I433*H433</f>
        <v>571.32864000000006</v>
      </c>
      <c r="K433" s="18"/>
      <c r="L433" s="18"/>
      <c r="M433" s="40">
        <f t="shared" si="101"/>
        <v>571.32864000000006</v>
      </c>
      <c r="N433" s="40">
        <f t="shared" si="106"/>
        <v>571.32864000000006</v>
      </c>
      <c r="O433" s="302" t="s">
        <v>178</v>
      </c>
      <c r="P433" s="85">
        <f t="shared" si="111"/>
        <v>45866</v>
      </c>
      <c r="Q433" s="85"/>
      <c r="R433" s="85">
        <f t="shared" si="112"/>
        <v>2</v>
      </c>
      <c r="S433" s="7">
        <f t="shared" ca="1" si="113"/>
        <v>26</v>
      </c>
      <c r="T433" s="85">
        <f>G433-32</f>
        <v>45881</v>
      </c>
      <c r="U433" s="85"/>
      <c r="V433" s="7">
        <f t="shared" ca="1" si="114"/>
        <v>41</v>
      </c>
      <c r="W433" s="85"/>
      <c r="X433" s="8"/>
    </row>
    <row r="434" spans="1:24" ht="14.5" hidden="1">
      <c r="A434" s="14">
        <v>192</v>
      </c>
      <c r="B434" s="15" t="s">
        <v>59</v>
      </c>
      <c r="C434" s="20"/>
      <c r="D434" s="318" t="s">
        <v>189</v>
      </c>
      <c r="E434" s="146" t="s">
        <v>242</v>
      </c>
      <c r="F434" s="146" t="s">
        <v>90</v>
      </c>
      <c r="G434" s="240">
        <v>45913</v>
      </c>
      <c r="H434" s="320">
        <v>1854</v>
      </c>
      <c r="I434" s="321">
        <v>0.48299999999999998</v>
      </c>
      <c r="J434" s="320">
        <f>H434*I434</f>
        <v>895.48199999999997</v>
      </c>
      <c r="K434" s="18">
        <v>895</v>
      </c>
      <c r="L434" s="18"/>
      <c r="M434" s="40">
        <f t="shared" si="101"/>
        <v>895.48199999999997</v>
      </c>
      <c r="N434" s="40">
        <f t="shared" si="106"/>
        <v>0.4819999999999709</v>
      </c>
      <c r="O434" s="302" t="s">
        <v>178</v>
      </c>
      <c r="P434" s="85">
        <f t="shared" si="111"/>
        <v>45854</v>
      </c>
      <c r="Q434" s="85">
        <v>45815</v>
      </c>
      <c r="R434" s="85">
        <f t="shared" si="112"/>
        <v>45817</v>
      </c>
      <c r="S434" s="7">
        <f t="shared" ca="1" si="113"/>
        <v>39</v>
      </c>
      <c r="T434" s="85">
        <f>G434-44</f>
        <v>45869</v>
      </c>
      <c r="U434" s="85"/>
      <c r="V434" s="7">
        <f t="shared" ca="1" si="114"/>
        <v>29</v>
      </c>
      <c r="W434" s="85"/>
      <c r="X434" s="8"/>
    </row>
    <row r="435" spans="1:24" ht="14.5" hidden="1">
      <c r="A435" s="14">
        <v>192</v>
      </c>
      <c r="B435" s="15" t="s">
        <v>59</v>
      </c>
      <c r="C435" s="20"/>
      <c r="D435" s="318" t="s">
        <v>158</v>
      </c>
      <c r="E435" s="146" t="s">
        <v>242</v>
      </c>
      <c r="F435" s="15" t="s">
        <v>156</v>
      </c>
      <c r="G435" s="240">
        <v>45913</v>
      </c>
      <c r="H435" s="320">
        <v>1334.88</v>
      </c>
      <c r="I435" s="321">
        <v>0.42799999999999999</v>
      </c>
      <c r="J435" s="320">
        <f>I435*H435</f>
        <v>571.32864000000006</v>
      </c>
      <c r="K435" s="18"/>
      <c r="L435" s="18"/>
      <c r="M435" s="40">
        <f t="shared" si="101"/>
        <v>571.32864000000006</v>
      </c>
      <c r="N435" s="40">
        <f t="shared" si="106"/>
        <v>571.32864000000006</v>
      </c>
      <c r="O435" s="302" t="s">
        <v>178</v>
      </c>
      <c r="P435" s="85">
        <f t="shared" si="111"/>
        <v>45866</v>
      </c>
      <c r="Q435" s="85"/>
      <c r="R435" s="85">
        <f t="shared" si="112"/>
        <v>2</v>
      </c>
      <c r="S435" s="7">
        <f t="shared" ca="1" si="113"/>
        <v>26</v>
      </c>
      <c r="T435" s="85">
        <f>G435-32</f>
        <v>45881</v>
      </c>
      <c r="U435" s="85"/>
      <c r="V435" s="7">
        <f t="shared" ca="1" si="114"/>
        <v>41</v>
      </c>
      <c r="W435" s="85"/>
      <c r="X435" s="8"/>
    </row>
    <row r="436" spans="1:24" ht="14.5">
      <c r="A436" s="14">
        <v>193</v>
      </c>
      <c r="B436" s="15" t="s">
        <v>59</v>
      </c>
      <c r="C436" s="20"/>
      <c r="D436" s="318" t="s">
        <v>201</v>
      </c>
      <c r="E436" s="146" t="s">
        <v>247</v>
      </c>
      <c r="F436" s="146" t="s">
        <v>155</v>
      </c>
      <c r="G436" s="240">
        <v>45913</v>
      </c>
      <c r="H436" s="320">
        <f>5117.04*3</f>
        <v>15351.119999999999</v>
      </c>
      <c r="I436" s="321">
        <v>0.28000000000000003</v>
      </c>
      <c r="J436" s="320">
        <f>H436*I436</f>
        <v>4298.3136000000004</v>
      </c>
      <c r="K436" s="18">
        <v>4298</v>
      </c>
      <c r="L436" s="18"/>
      <c r="M436" s="40">
        <f t="shared" si="101"/>
        <v>4298.3136000000004</v>
      </c>
      <c r="N436" s="40">
        <f t="shared" si="106"/>
        <v>0.313600000000406</v>
      </c>
      <c r="O436" s="302" t="s">
        <v>178</v>
      </c>
      <c r="P436" s="85">
        <f t="shared" si="111"/>
        <v>45854</v>
      </c>
      <c r="Q436" s="85">
        <v>45822</v>
      </c>
      <c r="R436" s="85">
        <f t="shared" si="112"/>
        <v>45824</v>
      </c>
      <c r="S436" s="7">
        <f t="shared" ca="1" si="113"/>
        <v>32</v>
      </c>
      <c r="T436" s="85">
        <f>G436-32-12</f>
        <v>45869</v>
      </c>
      <c r="U436" s="85"/>
      <c r="V436" s="7">
        <f t="shared" ca="1" si="114"/>
        <v>29</v>
      </c>
      <c r="W436" s="85"/>
      <c r="X436" s="8"/>
    </row>
    <row r="437" spans="1:24" ht="14.5" hidden="1">
      <c r="A437" s="14">
        <v>193</v>
      </c>
      <c r="B437" s="15" t="s">
        <v>59</v>
      </c>
      <c r="C437" s="20"/>
      <c r="D437" s="318" t="s">
        <v>158</v>
      </c>
      <c r="E437" s="146" t="s">
        <v>242</v>
      </c>
      <c r="F437" s="15" t="s">
        <v>154</v>
      </c>
      <c r="G437" s="240">
        <v>45913</v>
      </c>
      <c r="H437" s="320">
        <v>156.56</v>
      </c>
      <c r="I437" s="321">
        <v>0.42799999999999999</v>
      </c>
      <c r="J437" s="320">
        <f>I437*H437</f>
        <v>67.007679999999993</v>
      </c>
      <c r="K437" s="18"/>
      <c r="L437" s="18"/>
      <c r="M437" s="40">
        <f t="shared" si="101"/>
        <v>67.007679999999993</v>
      </c>
      <c r="N437" s="40">
        <f t="shared" si="106"/>
        <v>67.007679999999993</v>
      </c>
      <c r="O437" s="302" t="s">
        <v>178</v>
      </c>
      <c r="P437" s="85">
        <f t="shared" si="111"/>
        <v>45866</v>
      </c>
      <c r="Q437" s="85"/>
      <c r="R437" s="85">
        <f t="shared" si="112"/>
        <v>2</v>
      </c>
      <c r="S437" s="7">
        <f t="shared" ca="1" si="113"/>
        <v>26</v>
      </c>
      <c r="T437" s="85">
        <f>G437-32</f>
        <v>45881</v>
      </c>
      <c r="U437" s="85"/>
      <c r="V437" s="7">
        <f t="shared" ca="1" si="114"/>
        <v>41</v>
      </c>
      <c r="W437" s="85"/>
      <c r="X437" s="8"/>
    </row>
    <row r="438" spans="1:24" ht="14.5" hidden="1">
      <c r="A438" s="14">
        <v>193</v>
      </c>
      <c r="B438" s="15" t="s">
        <v>59</v>
      </c>
      <c r="C438" s="20"/>
      <c r="D438" s="318" t="s">
        <v>158</v>
      </c>
      <c r="E438" s="146" t="s">
        <v>242</v>
      </c>
      <c r="F438" s="15" t="s">
        <v>156</v>
      </c>
      <c r="G438" s="240">
        <v>45913</v>
      </c>
      <c r="H438" s="320">
        <v>1483.2</v>
      </c>
      <c r="I438" s="321">
        <v>0.42799999999999999</v>
      </c>
      <c r="J438" s="320">
        <f>I438*H438</f>
        <v>634.80960000000005</v>
      </c>
      <c r="K438" s="18"/>
      <c r="L438" s="18"/>
      <c r="M438" s="40">
        <f t="shared" si="101"/>
        <v>634.80960000000005</v>
      </c>
      <c r="N438" s="40">
        <f t="shared" si="106"/>
        <v>634.80960000000005</v>
      </c>
      <c r="O438" s="302" t="s">
        <v>178</v>
      </c>
      <c r="P438" s="85">
        <f t="shared" si="111"/>
        <v>45866</v>
      </c>
      <c r="Q438" s="85"/>
      <c r="R438" s="85">
        <f t="shared" si="112"/>
        <v>2</v>
      </c>
      <c r="S438" s="7">
        <f t="shared" ca="1" si="113"/>
        <v>26</v>
      </c>
      <c r="T438" s="85">
        <f>G438-32</f>
        <v>45881</v>
      </c>
      <c r="U438" s="85"/>
      <c r="V438" s="7">
        <f t="shared" ca="1" si="114"/>
        <v>41</v>
      </c>
      <c r="W438" s="85"/>
      <c r="X438" s="8"/>
    </row>
    <row r="439" spans="1:24" ht="14.5" hidden="1">
      <c r="A439" s="14">
        <v>193</v>
      </c>
      <c r="B439" s="15" t="s">
        <v>59</v>
      </c>
      <c r="C439" s="20"/>
      <c r="D439" s="318" t="s">
        <v>901</v>
      </c>
      <c r="E439" s="146" t="s">
        <v>242</v>
      </c>
      <c r="F439" s="146" t="s">
        <v>244</v>
      </c>
      <c r="G439" s="240">
        <v>45913</v>
      </c>
      <c r="H439" s="320">
        <v>1334.88</v>
      </c>
      <c r="I439" s="321">
        <v>0.34300000000000003</v>
      </c>
      <c r="J439" s="320">
        <f>H439*I439</f>
        <v>457.8638400000001</v>
      </c>
      <c r="K439" s="18">
        <v>458</v>
      </c>
      <c r="L439" s="18">
        <v>458</v>
      </c>
      <c r="M439" s="40">
        <f t="shared" si="101"/>
        <v>-0.13615999999990436</v>
      </c>
      <c r="N439" s="40">
        <f>J439-K439</f>
        <v>-0.13615999999990436</v>
      </c>
      <c r="O439" s="301" t="s">
        <v>948</v>
      </c>
      <c r="P439" s="85">
        <f t="shared" si="111"/>
        <v>45853</v>
      </c>
      <c r="Q439" s="85">
        <v>45827</v>
      </c>
      <c r="R439" s="85">
        <f t="shared" si="112"/>
        <v>45829</v>
      </c>
      <c r="S439" s="7">
        <f t="shared" ca="1" si="113"/>
        <v>26</v>
      </c>
      <c r="T439" s="85">
        <f>G439-32-13</f>
        <v>45868</v>
      </c>
      <c r="U439" s="85"/>
      <c r="V439" s="7">
        <f t="shared" ca="1" si="114"/>
        <v>28</v>
      </c>
      <c r="W439" s="337" t="s">
        <v>954</v>
      </c>
      <c r="X439" s="8"/>
    </row>
    <row r="440" spans="1:24" ht="14.5" hidden="1">
      <c r="A440" s="14">
        <v>194</v>
      </c>
      <c r="B440" s="15" t="s">
        <v>59</v>
      </c>
      <c r="C440" s="20"/>
      <c r="D440" s="318" t="s">
        <v>189</v>
      </c>
      <c r="E440" s="146" t="s">
        <v>242</v>
      </c>
      <c r="F440" s="146" t="s">
        <v>90</v>
      </c>
      <c r="G440" s="240">
        <v>45885</v>
      </c>
      <c r="H440" s="320">
        <v>3895.46</v>
      </c>
      <c r="I440" s="321">
        <v>0.48299999999999998</v>
      </c>
      <c r="J440" s="320">
        <f>H440*I440</f>
        <v>1881.5071800000001</v>
      </c>
      <c r="K440" s="18">
        <v>1882</v>
      </c>
      <c r="L440" s="18">
        <v>1876</v>
      </c>
      <c r="M440" s="40">
        <f t="shared" ref="M440" si="119">+J440-L440</f>
        <v>5.5071800000000621</v>
      </c>
      <c r="N440" s="40">
        <f>J440-K440</f>
        <v>-0.49281999999993786</v>
      </c>
      <c r="O440" s="302" t="s">
        <v>178</v>
      </c>
      <c r="P440" s="85">
        <f t="shared" ref="P440:P490" si="120">T440-15</f>
        <v>45825</v>
      </c>
      <c r="Q440" s="85">
        <v>45815</v>
      </c>
      <c r="R440" s="85">
        <f t="shared" ref="R440" si="121">Q440+2</f>
        <v>45817</v>
      </c>
      <c r="S440" s="7">
        <f t="shared" ref="S440" ca="1" si="122">+IF(Q440="",P440-TODAY(),P440-Q440)</f>
        <v>10</v>
      </c>
      <c r="T440" s="85">
        <f>G440-32-13</f>
        <v>45840</v>
      </c>
      <c r="U440" s="85">
        <v>45835</v>
      </c>
      <c r="V440" s="7">
        <f t="shared" ref="V440" ca="1" si="123">+IF(U440="",T440-TODAY(),T440-U440)</f>
        <v>5</v>
      </c>
      <c r="W440" s="85"/>
      <c r="X440" s="8"/>
    </row>
    <row r="441" spans="1:24" ht="14.5" hidden="1">
      <c r="A441" s="14">
        <v>195</v>
      </c>
      <c r="B441" s="15" t="s">
        <v>59</v>
      </c>
      <c r="C441" s="20"/>
      <c r="D441" s="318" t="s">
        <v>901</v>
      </c>
      <c r="E441" s="146" t="s">
        <v>242</v>
      </c>
      <c r="F441" s="146" t="s">
        <v>244</v>
      </c>
      <c r="G441" s="240">
        <v>45889</v>
      </c>
      <c r="H441" s="320">
        <v>1771.6000000000001</v>
      </c>
      <c r="I441" s="321">
        <v>0.34300000000000003</v>
      </c>
      <c r="J441" s="320">
        <f>H441*I441</f>
        <v>607.65880000000004</v>
      </c>
      <c r="K441" s="18">
        <v>608</v>
      </c>
      <c r="L441" s="18">
        <v>608</v>
      </c>
      <c r="M441" s="40">
        <f t="shared" ref="M441:M490" si="124">+J441-L441</f>
        <v>-0.34119999999995798</v>
      </c>
      <c r="N441" s="40">
        <f t="shared" ref="N441:N490" si="125">J441-K441</f>
        <v>-0.34119999999995798</v>
      </c>
      <c r="O441" s="301" t="s">
        <v>948</v>
      </c>
      <c r="P441" s="85">
        <f t="shared" si="120"/>
        <v>45829</v>
      </c>
      <c r="Q441" s="85">
        <v>45827</v>
      </c>
      <c r="R441" s="85">
        <f t="shared" ref="R441:R490" si="126">Q441+2</f>
        <v>45829</v>
      </c>
      <c r="S441" s="7">
        <f t="shared" ref="S441:S490" ca="1" si="127">+IF(Q441="",P441-TODAY(),P441-Q441)</f>
        <v>2</v>
      </c>
      <c r="T441" s="85">
        <f>G441-32-13</f>
        <v>45844</v>
      </c>
      <c r="U441" s="85"/>
      <c r="V441" s="7">
        <f t="shared" ref="V441:V490" ca="1" si="128">+IF(U441="",T441-TODAY(),T441-U441)</f>
        <v>4</v>
      </c>
      <c r="W441" s="337" t="s">
        <v>954</v>
      </c>
      <c r="X441" s="8"/>
    </row>
    <row r="442" spans="1:24" ht="14.5" hidden="1">
      <c r="A442" s="14">
        <v>196</v>
      </c>
      <c r="B442" s="15" t="s">
        <v>59</v>
      </c>
      <c r="C442" s="20"/>
      <c r="D442" s="322" t="s">
        <v>195</v>
      </c>
      <c r="E442" s="146" t="s">
        <v>838</v>
      </c>
      <c r="F442" s="146" t="s">
        <v>162</v>
      </c>
      <c r="G442" s="240">
        <v>45892</v>
      </c>
      <c r="H442" s="320">
        <v>5024.34</v>
      </c>
      <c r="I442" s="86">
        <v>0.23</v>
      </c>
      <c r="J442" s="320">
        <f>H442*I442</f>
        <v>1155.5982000000001</v>
      </c>
      <c r="K442" s="18">
        <v>1156</v>
      </c>
      <c r="L442" s="18"/>
      <c r="M442" s="40">
        <f t="shared" si="124"/>
        <v>1155.5982000000001</v>
      </c>
      <c r="N442" s="40">
        <f t="shared" si="125"/>
        <v>-0.40179999999986649</v>
      </c>
      <c r="O442" s="302" t="s">
        <v>178</v>
      </c>
      <c r="P442" s="85">
        <f t="shared" si="120"/>
        <v>45843</v>
      </c>
      <c r="Q442" s="85">
        <v>45835</v>
      </c>
      <c r="R442" s="85">
        <f t="shared" si="126"/>
        <v>45837</v>
      </c>
      <c r="S442" s="7">
        <f t="shared" ca="1" si="127"/>
        <v>8</v>
      </c>
      <c r="T442" s="85">
        <f>G442-34</f>
        <v>45858</v>
      </c>
      <c r="U442" s="85"/>
      <c r="V442" s="7">
        <f t="shared" ca="1" si="128"/>
        <v>18</v>
      </c>
      <c r="W442" s="85"/>
      <c r="X442" s="8"/>
    </row>
    <row r="443" spans="1:24" ht="14.5" hidden="1">
      <c r="A443" s="14">
        <v>196</v>
      </c>
      <c r="B443" s="15" t="s">
        <v>59</v>
      </c>
      <c r="C443" s="20"/>
      <c r="D443" s="318" t="s">
        <v>189</v>
      </c>
      <c r="E443" s="146" t="s">
        <v>242</v>
      </c>
      <c r="F443" s="146" t="s">
        <v>90</v>
      </c>
      <c r="G443" s="240">
        <v>45892</v>
      </c>
      <c r="H443" s="320">
        <v>1038.24</v>
      </c>
      <c r="I443" s="321">
        <v>0.48299999999999998</v>
      </c>
      <c r="J443" s="320">
        <f>H443*I443</f>
        <v>501.46992</v>
      </c>
      <c r="K443" s="18">
        <v>501</v>
      </c>
      <c r="L443" s="18"/>
      <c r="M443" s="40">
        <f t="shared" si="124"/>
        <v>501.46992</v>
      </c>
      <c r="N443" s="40">
        <f t="shared" si="125"/>
        <v>0.46992000000000189</v>
      </c>
      <c r="O443" s="302" t="s">
        <v>178</v>
      </c>
      <c r="P443" s="85">
        <f t="shared" si="120"/>
        <v>45832</v>
      </c>
      <c r="Q443" s="85">
        <v>45827</v>
      </c>
      <c r="R443" s="85">
        <f t="shared" si="126"/>
        <v>45829</v>
      </c>
      <c r="S443" s="7">
        <f t="shared" ca="1" si="127"/>
        <v>5</v>
      </c>
      <c r="T443" s="85">
        <f>G443-32-13</f>
        <v>45847</v>
      </c>
      <c r="U443" s="85"/>
      <c r="V443" s="7">
        <f t="shared" ca="1" si="128"/>
        <v>7</v>
      </c>
      <c r="W443" s="85"/>
      <c r="X443" s="8"/>
    </row>
    <row r="444" spans="1:24" ht="14.5" hidden="1">
      <c r="A444" s="14">
        <v>196</v>
      </c>
      <c r="B444" s="15" t="s">
        <v>59</v>
      </c>
      <c r="C444" s="20"/>
      <c r="D444" s="318" t="s">
        <v>158</v>
      </c>
      <c r="E444" s="146" t="s">
        <v>242</v>
      </c>
      <c r="F444" s="15" t="s">
        <v>156</v>
      </c>
      <c r="G444" s="240">
        <v>45892</v>
      </c>
      <c r="H444" s="320">
        <v>1425.52</v>
      </c>
      <c r="I444" s="321">
        <v>0.42799999999999999</v>
      </c>
      <c r="J444" s="320">
        <f>I444*H444</f>
        <v>610.12256000000002</v>
      </c>
      <c r="K444" s="18"/>
      <c r="L444" s="18"/>
      <c r="M444" s="40">
        <f t="shared" si="124"/>
        <v>610.12256000000002</v>
      </c>
      <c r="N444" s="40">
        <f t="shared" si="125"/>
        <v>610.12256000000002</v>
      </c>
      <c r="O444" s="302" t="s">
        <v>178</v>
      </c>
      <c r="P444" s="85">
        <f t="shared" si="120"/>
        <v>45843</v>
      </c>
      <c r="Q444" s="85"/>
      <c r="R444" s="85">
        <f t="shared" si="126"/>
        <v>2</v>
      </c>
      <c r="S444" s="7">
        <f t="shared" ca="1" si="127"/>
        <v>3</v>
      </c>
      <c r="T444" s="85">
        <f>G444-34</f>
        <v>45858</v>
      </c>
      <c r="U444" s="85"/>
      <c r="V444" s="7">
        <f t="shared" ca="1" si="128"/>
        <v>18</v>
      </c>
      <c r="W444" s="85"/>
      <c r="X444" s="8"/>
    </row>
    <row r="445" spans="1:24" ht="14.5" hidden="1">
      <c r="A445" s="14">
        <v>197</v>
      </c>
      <c r="B445" s="15" t="s">
        <v>59</v>
      </c>
      <c r="C445" s="20"/>
      <c r="D445" s="318" t="s">
        <v>201</v>
      </c>
      <c r="E445" s="146" t="s">
        <v>247</v>
      </c>
      <c r="F445" s="146" t="s">
        <v>155</v>
      </c>
      <c r="G445" s="240">
        <v>45899</v>
      </c>
      <c r="H445" s="320">
        <f>4746.24*3</f>
        <v>14238.72</v>
      </c>
      <c r="I445" s="321">
        <v>0.28000000000000003</v>
      </c>
      <c r="J445" s="320">
        <f>H445*I445</f>
        <v>3986.8416000000002</v>
      </c>
      <c r="K445" s="18">
        <v>3987</v>
      </c>
      <c r="L445" s="18"/>
      <c r="M445" s="40">
        <f t="shared" si="124"/>
        <v>3986.8416000000002</v>
      </c>
      <c r="N445" s="40">
        <f t="shared" si="125"/>
        <v>-0.15839999999980137</v>
      </c>
      <c r="O445" s="302" t="s">
        <v>265</v>
      </c>
      <c r="P445" s="85">
        <f t="shared" si="120"/>
        <v>45839</v>
      </c>
      <c r="Q445" s="85">
        <v>45838</v>
      </c>
      <c r="R445" s="85">
        <f t="shared" si="126"/>
        <v>45840</v>
      </c>
      <c r="S445" s="7">
        <f t="shared" ca="1" si="127"/>
        <v>1</v>
      </c>
      <c r="T445" s="85">
        <f>G445-32-13</f>
        <v>45854</v>
      </c>
      <c r="U445" s="85"/>
      <c r="V445" s="7">
        <f t="shared" ca="1" si="128"/>
        <v>14</v>
      </c>
      <c r="W445" s="85"/>
      <c r="X445" s="8"/>
    </row>
    <row r="446" spans="1:24" ht="14.5" hidden="1">
      <c r="A446" s="14">
        <v>197</v>
      </c>
      <c r="B446" s="15" t="s">
        <v>59</v>
      </c>
      <c r="C446" s="20"/>
      <c r="D446" s="318" t="s">
        <v>157</v>
      </c>
      <c r="E446" s="146" t="s">
        <v>243</v>
      </c>
      <c r="F446" s="301" t="s">
        <v>162</v>
      </c>
      <c r="G446" s="240">
        <v>45899</v>
      </c>
      <c r="H446" s="320">
        <v>3751.26</v>
      </c>
      <c r="I446" s="218">
        <v>0.30599999999999999</v>
      </c>
      <c r="J446" s="320">
        <f t="shared" ref="J446" si="129">H446*I446</f>
        <v>1147.8855599999999</v>
      </c>
      <c r="K446" s="18">
        <v>1148</v>
      </c>
      <c r="L446" s="18"/>
      <c r="M446" s="40">
        <f t="shared" si="124"/>
        <v>1147.8855599999999</v>
      </c>
      <c r="N446" s="40">
        <f t="shared" si="125"/>
        <v>-0.11444000000005872</v>
      </c>
      <c r="O446" s="301" t="s">
        <v>871</v>
      </c>
      <c r="P446" s="85">
        <f t="shared" si="120"/>
        <v>45850</v>
      </c>
      <c r="Q446" s="85">
        <v>45838</v>
      </c>
      <c r="R446" s="85">
        <f t="shared" si="126"/>
        <v>45840</v>
      </c>
      <c r="S446" s="7">
        <f t="shared" ca="1" si="127"/>
        <v>12</v>
      </c>
      <c r="T446" s="85">
        <f>G446-34</f>
        <v>45865</v>
      </c>
      <c r="U446" s="85"/>
      <c r="V446" s="7">
        <f t="shared" ca="1" si="128"/>
        <v>25</v>
      </c>
      <c r="W446" s="85"/>
      <c r="X446" s="8"/>
    </row>
    <row r="447" spans="1:24" ht="14.5" hidden="1">
      <c r="A447" s="14">
        <v>197</v>
      </c>
      <c r="B447" s="15" t="s">
        <v>59</v>
      </c>
      <c r="C447" s="20"/>
      <c r="D447" s="318" t="s">
        <v>158</v>
      </c>
      <c r="E447" s="146" t="s">
        <v>242</v>
      </c>
      <c r="F447" s="15" t="s">
        <v>154</v>
      </c>
      <c r="G447" s="240">
        <v>45899</v>
      </c>
      <c r="H447" s="320">
        <v>1334.88</v>
      </c>
      <c r="I447" s="321">
        <v>0.42799999999999999</v>
      </c>
      <c r="J447" s="320">
        <f>I447*H447</f>
        <v>571.32864000000006</v>
      </c>
      <c r="K447" s="18"/>
      <c r="L447" s="18"/>
      <c r="M447" s="40">
        <f t="shared" si="124"/>
        <v>571.32864000000006</v>
      </c>
      <c r="N447" s="40">
        <f t="shared" si="125"/>
        <v>571.32864000000006</v>
      </c>
      <c r="O447" s="302" t="s">
        <v>178</v>
      </c>
      <c r="P447" s="85">
        <f t="shared" si="120"/>
        <v>45850</v>
      </c>
      <c r="Q447" s="85"/>
      <c r="R447" s="85">
        <f t="shared" si="126"/>
        <v>2</v>
      </c>
      <c r="S447" s="7">
        <f t="shared" ca="1" si="127"/>
        <v>10</v>
      </c>
      <c r="T447" s="85">
        <f>G447-34</f>
        <v>45865</v>
      </c>
      <c r="U447" s="85"/>
      <c r="V447" s="7">
        <f t="shared" ca="1" si="128"/>
        <v>25</v>
      </c>
      <c r="W447" s="85"/>
      <c r="X447" s="8"/>
    </row>
    <row r="448" spans="1:24" ht="14.5" hidden="1">
      <c r="A448" s="14">
        <v>197</v>
      </c>
      <c r="B448" s="15" t="s">
        <v>59</v>
      </c>
      <c r="C448" s="20"/>
      <c r="D448" s="322" t="s">
        <v>195</v>
      </c>
      <c r="E448" s="146" t="s">
        <v>838</v>
      </c>
      <c r="F448" s="146" t="s">
        <v>162</v>
      </c>
      <c r="G448" s="240">
        <v>45899</v>
      </c>
      <c r="H448" s="320">
        <v>4449.6000000000004</v>
      </c>
      <c r="I448" s="86">
        <v>0.23</v>
      </c>
      <c r="J448" s="320">
        <f>H448*I448</f>
        <v>1023.4080000000001</v>
      </c>
      <c r="K448" s="18">
        <v>1023</v>
      </c>
      <c r="L448" s="18"/>
      <c r="M448" s="40">
        <f t="shared" si="124"/>
        <v>1023.4080000000001</v>
      </c>
      <c r="N448" s="40">
        <f t="shared" si="125"/>
        <v>0.40800000000012915</v>
      </c>
      <c r="O448" s="302" t="s">
        <v>178</v>
      </c>
      <c r="P448" s="85">
        <f t="shared" si="120"/>
        <v>45850</v>
      </c>
      <c r="Q448" s="85">
        <v>45835</v>
      </c>
      <c r="R448" s="85">
        <f t="shared" si="126"/>
        <v>45837</v>
      </c>
      <c r="S448" s="7">
        <f t="shared" ca="1" si="127"/>
        <v>15</v>
      </c>
      <c r="T448" s="85">
        <f>G448-34</f>
        <v>45865</v>
      </c>
      <c r="U448" s="85"/>
      <c r="V448" s="7">
        <f t="shared" ca="1" si="128"/>
        <v>25</v>
      </c>
      <c r="W448" s="85"/>
      <c r="X448" s="8"/>
    </row>
    <row r="449" spans="1:24" ht="14.5" hidden="1">
      <c r="A449" s="14">
        <v>197</v>
      </c>
      <c r="B449" s="15" t="s">
        <v>59</v>
      </c>
      <c r="C449" s="20"/>
      <c r="D449" s="318" t="s">
        <v>158</v>
      </c>
      <c r="E449" s="146" t="s">
        <v>242</v>
      </c>
      <c r="F449" s="15" t="s">
        <v>156</v>
      </c>
      <c r="G449" s="240">
        <v>45899</v>
      </c>
      <c r="H449" s="320">
        <v>618</v>
      </c>
      <c r="I449" s="321">
        <v>0.42799999999999999</v>
      </c>
      <c r="J449" s="320">
        <f>I449*H449</f>
        <v>264.50400000000002</v>
      </c>
      <c r="K449" s="18"/>
      <c r="L449" s="18"/>
      <c r="M449" s="40">
        <f t="shared" si="124"/>
        <v>264.50400000000002</v>
      </c>
      <c r="N449" s="40">
        <f t="shared" si="125"/>
        <v>264.50400000000002</v>
      </c>
      <c r="O449" s="302" t="s">
        <v>178</v>
      </c>
      <c r="P449" s="85">
        <f t="shared" si="120"/>
        <v>45850</v>
      </c>
      <c r="Q449" s="85"/>
      <c r="R449" s="85">
        <f t="shared" si="126"/>
        <v>2</v>
      </c>
      <c r="S449" s="7">
        <f t="shared" ca="1" si="127"/>
        <v>10</v>
      </c>
      <c r="T449" s="85">
        <f>G449-34</f>
        <v>45865</v>
      </c>
      <c r="U449" s="85"/>
      <c r="V449" s="7">
        <f t="shared" ca="1" si="128"/>
        <v>25</v>
      </c>
      <c r="W449" s="85"/>
      <c r="X449" s="8"/>
    </row>
    <row r="450" spans="1:24" ht="14.5" hidden="1">
      <c r="A450" s="14">
        <v>198</v>
      </c>
      <c r="B450" s="15" t="s">
        <v>59</v>
      </c>
      <c r="C450" s="20"/>
      <c r="D450" s="301" t="s">
        <v>248</v>
      </c>
      <c r="E450" s="146" t="s">
        <v>270</v>
      </c>
      <c r="F450" s="146" t="s">
        <v>162</v>
      </c>
      <c r="G450" s="240">
        <v>45899</v>
      </c>
      <c r="H450" s="320">
        <v>1989.96</v>
      </c>
      <c r="I450" s="321">
        <v>1.829</v>
      </c>
      <c r="J450" s="320">
        <f>H450*I450</f>
        <v>3639.6368400000001</v>
      </c>
      <c r="K450" s="18">
        <v>3640</v>
      </c>
      <c r="L450" s="18"/>
      <c r="M450" s="40">
        <f t="shared" si="124"/>
        <v>3639.6368400000001</v>
      </c>
      <c r="N450" s="40">
        <f t="shared" si="125"/>
        <v>-0.3631599999998798</v>
      </c>
      <c r="O450" s="302" t="s">
        <v>178</v>
      </c>
      <c r="P450" s="85">
        <f t="shared" si="120"/>
        <v>45839</v>
      </c>
      <c r="Q450" s="85">
        <v>45829</v>
      </c>
      <c r="R450" s="85">
        <f t="shared" si="126"/>
        <v>45831</v>
      </c>
      <c r="S450" s="7">
        <f t="shared" ca="1" si="127"/>
        <v>10</v>
      </c>
      <c r="T450" s="85">
        <f>G450-32-13</f>
        <v>45854</v>
      </c>
      <c r="U450" s="85"/>
      <c r="V450" s="7">
        <f t="shared" ca="1" si="128"/>
        <v>14</v>
      </c>
      <c r="W450" s="85"/>
      <c r="X450" s="8"/>
    </row>
    <row r="451" spans="1:24" ht="14.5" hidden="1">
      <c r="A451" s="14">
        <v>198</v>
      </c>
      <c r="B451" s="15" t="s">
        <v>59</v>
      </c>
      <c r="C451" s="20"/>
      <c r="D451" s="318" t="s">
        <v>158</v>
      </c>
      <c r="E451" s="146" t="s">
        <v>242</v>
      </c>
      <c r="F451" s="15" t="s">
        <v>154</v>
      </c>
      <c r="G451" s="240">
        <v>45899</v>
      </c>
      <c r="H451" s="320">
        <v>1334.88</v>
      </c>
      <c r="I451" s="321">
        <v>0.42799999999999999</v>
      </c>
      <c r="J451" s="320">
        <f>I451*H451</f>
        <v>571.32864000000006</v>
      </c>
      <c r="K451" s="18"/>
      <c r="L451" s="18"/>
      <c r="M451" s="40">
        <f t="shared" si="124"/>
        <v>571.32864000000006</v>
      </c>
      <c r="N451" s="40">
        <f t="shared" si="125"/>
        <v>571.32864000000006</v>
      </c>
      <c r="O451" s="302" t="s">
        <v>178</v>
      </c>
      <c r="P451" s="85">
        <f t="shared" si="120"/>
        <v>45850</v>
      </c>
      <c r="Q451" s="85"/>
      <c r="R451" s="85">
        <f t="shared" si="126"/>
        <v>2</v>
      </c>
      <c r="S451" s="7">
        <f t="shared" ca="1" si="127"/>
        <v>10</v>
      </c>
      <c r="T451" s="85">
        <f>G451-34</f>
        <v>45865</v>
      </c>
      <c r="U451" s="85"/>
      <c r="V451" s="7">
        <f t="shared" ca="1" si="128"/>
        <v>25</v>
      </c>
      <c r="W451" s="85"/>
      <c r="X451" s="8"/>
    </row>
    <row r="452" spans="1:24" ht="14.5" hidden="1">
      <c r="A452" s="14">
        <v>198</v>
      </c>
      <c r="B452" s="15" t="s">
        <v>59</v>
      </c>
      <c r="C452" s="20"/>
      <c r="D452" s="318" t="s">
        <v>158</v>
      </c>
      <c r="E452" s="146" t="s">
        <v>242</v>
      </c>
      <c r="F452" s="146" t="s">
        <v>155</v>
      </c>
      <c r="G452" s="240">
        <v>45899</v>
      </c>
      <c r="H452" s="320">
        <v>1334.88</v>
      </c>
      <c r="I452" s="321">
        <v>0.42799999999999999</v>
      </c>
      <c r="J452" s="320">
        <f>I452*H452</f>
        <v>571.32864000000006</v>
      </c>
      <c r="K452" s="18"/>
      <c r="L452" s="18"/>
      <c r="M452" s="40">
        <f t="shared" si="124"/>
        <v>571.32864000000006</v>
      </c>
      <c r="N452" s="40">
        <f t="shared" si="125"/>
        <v>571.32864000000006</v>
      </c>
      <c r="O452" s="302" t="s">
        <v>178</v>
      </c>
      <c r="P452" s="85">
        <f t="shared" si="120"/>
        <v>45850</v>
      </c>
      <c r="Q452" s="85"/>
      <c r="R452" s="85">
        <f t="shared" si="126"/>
        <v>2</v>
      </c>
      <c r="S452" s="7">
        <f t="shared" ca="1" si="127"/>
        <v>10</v>
      </c>
      <c r="T452" s="85">
        <f>G452-34</f>
        <v>45865</v>
      </c>
      <c r="U452" s="85"/>
      <c r="V452" s="7">
        <f t="shared" ca="1" si="128"/>
        <v>25</v>
      </c>
      <c r="W452" s="85"/>
      <c r="X452" s="8"/>
    </row>
    <row r="453" spans="1:24" ht="14.5" hidden="1">
      <c r="A453" s="14">
        <v>198</v>
      </c>
      <c r="B453" s="15" t="s">
        <v>59</v>
      </c>
      <c r="C453" s="20"/>
      <c r="D453" s="318" t="s">
        <v>189</v>
      </c>
      <c r="E453" s="146" t="s">
        <v>242</v>
      </c>
      <c r="F453" s="146" t="s">
        <v>90</v>
      </c>
      <c r="G453" s="240">
        <v>45899</v>
      </c>
      <c r="H453" s="320">
        <v>741.6</v>
      </c>
      <c r="I453" s="321">
        <v>0.48299999999999998</v>
      </c>
      <c r="J453" s="320">
        <f>H453*I453</f>
        <v>358.19279999999998</v>
      </c>
      <c r="K453" s="18">
        <v>358</v>
      </c>
      <c r="L453" s="18"/>
      <c r="M453" s="40">
        <f t="shared" si="124"/>
        <v>358.19279999999998</v>
      </c>
      <c r="N453" s="40">
        <f t="shared" si="125"/>
        <v>0.19279999999997699</v>
      </c>
      <c r="O453" s="302" t="s">
        <v>178</v>
      </c>
      <c r="P453" s="85">
        <f t="shared" si="120"/>
        <v>45839</v>
      </c>
      <c r="Q453" s="85">
        <v>45827</v>
      </c>
      <c r="R453" s="85">
        <f t="shared" si="126"/>
        <v>45829</v>
      </c>
      <c r="S453" s="7">
        <f t="shared" ca="1" si="127"/>
        <v>12</v>
      </c>
      <c r="T453" s="85">
        <f>G453-32-13</f>
        <v>45854</v>
      </c>
      <c r="U453" s="85"/>
      <c r="V453" s="7">
        <f t="shared" ca="1" si="128"/>
        <v>14</v>
      </c>
      <c r="W453" s="85"/>
      <c r="X453" s="8"/>
    </row>
    <row r="454" spans="1:24" ht="14.5" hidden="1">
      <c r="A454" s="14">
        <v>199</v>
      </c>
      <c r="B454" s="15" t="s">
        <v>59</v>
      </c>
      <c r="C454" s="20"/>
      <c r="D454" s="318" t="s">
        <v>250</v>
      </c>
      <c r="E454" s="146" t="s">
        <v>269</v>
      </c>
      <c r="F454" s="146" t="s">
        <v>162</v>
      </c>
      <c r="G454" s="240">
        <v>45906</v>
      </c>
      <c r="H454" s="320">
        <v>1277.2</v>
      </c>
      <c r="I454" s="86">
        <v>2.8</v>
      </c>
      <c r="J454" s="320">
        <f t="shared" ref="J454" si="130">H454*I454</f>
        <v>3576.16</v>
      </c>
      <c r="K454" s="18">
        <v>3576</v>
      </c>
      <c r="L454" s="18"/>
      <c r="M454" s="40">
        <f t="shared" si="124"/>
        <v>3576.16</v>
      </c>
      <c r="N454" s="40">
        <f t="shared" si="125"/>
        <v>0.15999999999985448</v>
      </c>
      <c r="O454" s="302" t="s">
        <v>178</v>
      </c>
      <c r="P454" s="85">
        <f t="shared" si="120"/>
        <v>45846</v>
      </c>
      <c r="Q454" s="85">
        <v>45832</v>
      </c>
      <c r="R454" s="85">
        <f t="shared" si="126"/>
        <v>45834</v>
      </c>
      <c r="S454" s="7">
        <f t="shared" ca="1" si="127"/>
        <v>14</v>
      </c>
      <c r="T454" s="85">
        <f>G454-32-13</f>
        <v>45861</v>
      </c>
      <c r="U454" s="85"/>
      <c r="V454" s="7">
        <f t="shared" ca="1" si="128"/>
        <v>21</v>
      </c>
      <c r="W454" s="85"/>
      <c r="X454" s="8"/>
    </row>
    <row r="455" spans="1:24" ht="14.5" hidden="1">
      <c r="A455" s="14">
        <v>199</v>
      </c>
      <c r="B455" s="15" t="s">
        <v>59</v>
      </c>
      <c r="C455" s="20"/>
      <c r="D455" s="318" t="s">
        <v>158</v>
      </c>
      <c r="E455" s="146" t="s">
        <v>242</v>
      </c>
      <c r="F455" s="15" t="s">
        <v>154</v>
      </c>
      <c r="G455" s="240">
        <v>45906</v>
      </c>
      <c r="H455" s="320">
        <v>840.48</v>
      </c>
      <c r="I455" s="321">
        <v>0.42799999999999999</v>
      </c>
      <c r="J455" s="320">
        <f>I455*H455</f>
        <v>359.72543999999999</v>
      </c>
      <c r="K455" s="18"/>
      <c r="L455" s="18"/>
      <c r="M455" s="40">
        <f t="shared" si="124"/>
        <v>359.72543999999999</v>
      </c>
      <c r="N455" s="40">
        <f t="shared" si="125"/>
        <v>359.72543999999999</v>
      </c>
      <c r="O455" s="302" t="s">
        <v>178</v>
      </c>
      <c r="P455" s="85">
        <f t="shared" si="120"/>
        <v>45857</v>
      </c>
      <c r="Q455" s="85"/>
      <c r="R455" s="85">
        <f t="shared" si="126"/>
        <v>2</v>
      </c>
      <c r="S455" s="7">
        <f t="shared" ca="1" si="127"/>
        <v>17</v>
      </c>
      <c r="T455" s="85">
        <f>G455-34</f>
        <v>45872</v>
      </c>
      <c r="U455" s="85"/>
      <c r="V455" s="7">
        <f t="shared" ca="1" si="128"/>
        <v>32</v>
      </c>
      <c r="W455" s="85"/>
      <c r="X455" s="8"/>
    </row>
    <row r="456" spans="1:24" ht="14.5" hidden="1">
      <c r="A456" s="14">
        <v>199</v>
      </c>
      <c r="B456" s="15" t="s">
        <v>59</v>
      </c>
      <c r="C456" s="20"/>
      <c r="D456" s="318" t="s">
        <v>195</v>
      </c>
      <c r="E456" s="146" t="s">
        <v>838</v>
      </c>
      <c r="F456" s="146" t="s">
        <v>162</v>
      </c>
      <c r="G456" s="240">
        <v>45906</v>
      </c>
      <c r="H456" s="320">
        <v>1891.0800000000002</v>
      </c>
      <c r="I456" s="86">
        <v>0.23</v>
      </c>
      <c r="J456" s="320">
        <f>H456*I456</f>
        <v>434.94840000000005</v>
      </c>
      <c r="K456" s="18">
        <v>435</v>
      </c>
      <c r="L456" s="18"/>
      <c r="M456" s="40">
        <f t="shared" si="124"/>
        <v>434.94840000000005</v>
      </c>
      <c r="N456" s="40">
        <f t="shared" si="125"/>
        <v>-5.1599999999950796E-2</v>
      </c>
      <c r="O456" s="302" t="s">
        <v>178</v>
      </c>
      <c r="P456" s="85">
        <f t="shared" si="120"/>
        <v>45857</v>
      </c>
      <c r="Q456" s="85">
        <v>45835</v>
      </c>
      <c r="R456" s="85">
        <f t="shared" si="126"/>
        <v>45837</v>
      </c>
      <c r="S456" s="7">
        <f t="shared" ca="1" si="127"/>
        <v>22</v>
      </c>
      <c r="T456" s="85">
        <f>G456-34</f>
        <v>45872</v>
      </c>
      <c r="U456" s="85"/>
      <c r="V456" s="7">
        <f t="shared" ca="1" si="128"/>
        <v>32</v>
      </c>
      <c r="W456" s="85"/>
      <c r="X456" s="8"/>
    </row>
    <row r="457" spans="1:24" ht="14.5" hidden="1">
      <c r="A457" s="14">
        <v>199</v>
      </c>
      <c r="B457" s="15" t="s">
        <v>59</v>
      </c>
      <c r="C457" s="20"/>
      <c r="D457" s="318" t="s">
        <v>189</v>
      </c>
      <c r="E457" s="146" t="s">
        <v>242</v>
      </c>
      <c r="F457" s="146" t="s">
        <v>90</v>
      </c>
      <c r="G457" s="240">
        <v>45906</v>
      </c>
      <c r="H457" s="320">
        <v>1409.04</v>
      </c>
      <c r="I457" s="321">
        <v>0.48299999999999998</v>
      </c>
      <c r="J457" s="320">
        <f>H457*I457</f>
        <v>680.56631999999991</v>
      </c>
      <c r="K457" s="18">
        <v>681</v>
      </c>
      <c r="L457" s="18"/>
      <c r="M457" s="40">
        <f t="shared" si="124"/>
        <v>680.56631999999991</v>
      </c>
      <c r="N457" s="40">
        <f t="shared" si="125"/>
        <v>-0.43368000000009488</v>
      </c>
      <c r="O457" s="302" t="s">
        <v>178</v>
      </c>
      <c r="P457" s="85">
        <f t="shared" si="120"/>
        <v>45846</v>
      </c>
      <c r="Q457" s="85">
        <v>45827</v>
      </c>
      <c r="R457" s="85">
        <f t="shared" si="126"/>
        <v>45829</v>
      </c>
      <c r="S457" s="7">
        <f t="shared" ca="1" si="127"/>
        <v>19</v>
      </c>
      <c r="T457" s="85">
        <f>G457-32-13</f>
        <v>45861</v>
      </c>
      <c r="U457" s="85"/>
      <c r="V457" s="7">
        <f t="shared" ca="1" si="128"/>
        <v>21</v>
      </c>
      <c r="W457" s="85"/>
      <c r="X457" s="8"/>
    </row>
    <row r="458" spans="1:24" ht="14.5" hidden="1">
      <c r="A458" s="14">
        <v>200</v>
      </c>
      <c r="B458" s="15" t="s">
        <v>59</v>
      </c>
      <c r="C458" s="20"/>
      <c r="D458" s="318" t="s">
        <v>250</v>
      </c>
      <c r="E458" s="146" t="s">
        <v>269</v>
      </c>
      <c r="F458" s="146" t="s">
        <v>162</v>
      </c>
      <c r="G458" s="240">
        <v>45906</v>
      </c>
      <c r="H458" s="320">
        <v>1534.7</v>
      </c>
      <c r="I458" s="86">
        <v>2.8</v>
      </c>
      <c r="J458" s="320">
        <f t="shared" ref="J458" si="131">H458*I458</f>
        <v>4297.16</v>
      </c>
      <c r="K458" s="18">
        <v>4297</v>
      </c>
      <c r="L458" s="18"/>
      <c r="M458" s="40">
        <f t="shared" si="124"/>
        <v>4297.16</v>
      </c>
      <c r="N458" s="40">
        <f t="shared" si="125"/>
        <v>0.15999999999985448</v>
      </c>
      <c r="O458" s="302" t="s">
        <v>178</v>
      </c>
      <c r="P458" s="85">
        <f t="shared" si="120"/>
        <v>45846</v>
      </c>
      <c r="Q458" s="85">
        <v>45832</v>
      </c>
      <c r="R458" s="85">
        <f t="shared" si="126"/>
        <v>45834</v>
      </c>
      <c r="S458" s="7">
        <f t="shared" ca="1" si="127"/>
        <v>14</v>
      </c>
      <c r="T458" s="85">
        <f>G458-32-13</f>
        <v>45861</v>
      </c>
      <c r="U458" s="85"/>
      <c r="V458" s="7">
        <f t="shared" ca="1" si="128"/>
        <v>21</v>
      </c>
      <c r="W458" s="85"/>
      <c r="X458" s="8"/>
    </row>
    <row r="459" spans="1:24" ht="14.5" hidden="1">
      <c r="A459" s="14">
        <v>200</v>
      </c>
      <c r="B459" s="15" t="s">
        <v>59</v>
      </c>
      <c r="C459" s="20"/>
      <c r="D459" s="318" t="s">
        <v>157</v>
      </c>
      <c r="E459" s="301" t="s">
        <v>243</v>
      </c>
      <c r="F459" s="301" t="s">
        <v>162</v>
      </c>
      <c r="G459" s="240">
        <v>45906</v>
      </c>
      <c r="H459" s="320">
        <v>3751.26</v>
      </c>
      <c r="I459" s="218">
        <v>0.30599999999999999</v>
      </c>
      <c r="J459" s="320">
        <f t="shared" ref="J459" si="132">H459*I459</f>
        <v>1147.8855599999999</v>
      </c>
      <c r="K459" s="18">
        <v>1148</v>
      </c>
      <c r="L459" s="18"/>
      <c r="M459" s="40">
        <f t="shared" si="124"/>
        <v>1147.8855599999999</v>
      </c>
      <c r="N459" s="40">
        <f t="shared" si="125"/>
        <v>-0.11444000000005872</v>
      </c>
      <c r="O459" s="301" t="s">
        <v>871</v>
      </c>
      <c r="P459" s="85">
        <f t="shared" si="120"/>
        <v>45857</v>
      </c>
      <c r="Q459" s="85">
        <v>45838</v>
      </c>
      <c r="R459" s="85">
        <f t="shared" si="126"/>
        <v>45840</v>
      </c>
      <c r="S459" s="7">
        <f t="shared" ca="1" si="127"/>
        <v>19</v>
      </c>
      <c r="T459" s="85">
        <f>G459-34</f>
        <v>45872</v>
      </c>
      <c r="U459" s="85"/>
      <c r="V459" s="7">
        <f t="shared" ca="1" si="128"/>
        <v>32</v>
      </c>
      <c r="W459" s="85"/>
      <c r="X459" s="8"/>
    </row>
    <row r="460" spans="1:24" ht="14.5" hidden="1">
      <c r="A460" s="14">
        <v>200</v>
      </c>
      <c r="B460" s="15" t="s">
        <v>59</v>
      </c>
      <c r="C460" s="20"/>
      <c r="D460" s="318" t="s">
        <v>189</v>
      </c>
      <c r="E460" s="146" t="s">
        <v>242</v>
      </c>
      <c r="F460" s="146" t="s">
        <v>90</v>
      </c>
      <c r="G460" s="240">
        <v>45906</v>
      </c>
      <c r="H460" s="320">
        <v>889.92000000000007</v>
      </c>
      <c r="I460" s="321">
        <v>0.48299999999999998</v>
      </c>
      <c r="J460" s="320">
        <f>H460*I460</f>
        <v>429.83136000000002</v>
      </c>
      <c r="K460" s="18">
        <v>430</v>
      </c>
      <c r="L460" s="18"/>
      <c r="M460" s="40">
        <f t="shared" si="124"/>
        <v>429.83136000000002</v>
      </c>
      <c r="N460" s="40">
        <f t="shared" si="125"/>
        <v>-0.16863999999998214</v>
      </c>
      <c r="O460" s="302" t="s">
        <v>178</v>
      </c>
      <c r="P460" s="85">
        <f t="shared" si="120"/>
        <v>45846</v>
      </c>
      <c r="Q460" s="85">
        <v>45827</v>
      </c>
      <c r="R460" s="85">
        <f t="shared" si="126"/>
        <v>45829</v>
      </c>
      <c r="S460" s="7">
        <f t="shared" ca="1" si="127"/>
        <v>19</v>
      </c>
      <c r="T460" s="85">
        <f>G460-32-13</f>
        <v>45861</v>
      </c>
      <c r="U460" s="85"/>
      <c r="V460" s="7">
        <f t="shared" ca="1" si="128"/>
        <v>21</v>
      </c>
      <c r="W460" s="85"/>
      <c r="X460" s="8"/>
    </row>
    <row r="461" spans="1:24" ht="14.5" hidden="1">
      <c r="A461" s="14">
        <v>200</v>
      </c>
      <c r="B461" s="15" t="s">
        <v>59</v>
      </c>
      <c r="C461" s="20"/>
      <c r="D461" s="318" t="s">
        <v>158</v>
      </c>
      <c r="E461" s="146" t="s">
        <v>242</v>
      </c>
      <c r="F461" s="146" t="s">
        <v>155</v>
      </c>
      <c r="G461" s="240">
        <v>45906</v>
      </c>
      <c r="H461" s="320">
        <v>539.72</v>
      </c>
      <c r="I461" s="321">
        <v>0.42799999999999999</v>
      </c>
      <c r="J461" s="320">
        <f>I461*H461</f>
        <v>231.00015999999999</v>
      </c>
      <c r="K461" s="18"/>
      <c r="L461" s="18"/>
      <c r="M461" s="40">
        <f t="shared" si="124"/>
        <v>231.00015999999999</v>
      </c>
      <c r="N461" s="40">
        <f t="shared" si="125"/>
        <v>231.00015999999999</v>
      </c>
      <c r="O461" s="302" t="s">
        <v>178</v>
      </c>
      <c r="P461" s="85">
        <f t="shared" si="120"/>
        <v>45857</v>
      </c>
      <c r="Q461" s="85"/>
      <c r="R461" s="85">
        <f t="shared" si="126"/>
        <v>2</v>
      </c>
      <c r="S461" s="7">
        <f t="shared" ca="1" si="127"/>
        <v>17</v>
      </c>
      <c r="T461" s="85">
        <f>G461-34</f>
        <v>45872</v>
      </c>
      <c r="U461" s="85"/>
      <c r="V461" s="7">
        <f t="shared" ca="1" si="128"/>
        <v>32</v>
      </c>
      <c r="W461" s="85"/>
      <c r="X461" s="8"/>
    </row>
    <row r="462" spans="1:24" ht="14.5" hidden="1">
      <c r="A462" s="14">
        <v>201</v>
      </c>
      <c r="B462" s="15" t="s">
        <v>59</v>
      </c>
      <c r="C462" s="20"/>
      <c r="D462" s="301" t="s">
        <v>248</v>
      </c>
      <c r="E462" s="146" t="s">
        <v>270</v>
      </c>
      <c r="F462" s="146" t="s">
        <v>162</v>
      </c>
      <c r="G462" s="240">
        <v>45913</v>
      </c>
      <c r="H462" s="320">
        <v>1989.96</v>
      </c>
      <c r="I462" s="321">
        <v>1.829</v>
      </c>
      <c r="J462" s="320">
        <f>H462*I462</f>
        <v>3639.6368400000001</v>
      </c>
      <c r="K462" s="18">
        <v>3640</v>
      </c>
      <c r="L462" s="18"/>
      <c r="M462" s="40">
        <f t="shared" si="124"/>
        <v>3639.6368400000001</v>
      </c>
      <c r="N462" s="40">
        <f t="shared" si="125"/>
        <v>-0.3631599999998798</v>
      </c>
      <c r="O462" s="302" t="s">
        <v>178</v>
      </c>
      <c r="P462" s="85">
        <f t="shared" si="120"/>
        <v>45853</v>
      </c>
      <c r="Q462" s="85">
        <v>45832</v>
      </c>
      <c r="R462" s="85">
        <f t="shared" si="126"/>
        <v>45834</v>
      </c>
      <c r="S462" s="7">
        <f t="shared" ca="1" si="127"/>
        <v>21</v>
      </c>
      <c r="T462" s="85">
        <f>G462-32-13</f>
        <v>45868</v>
      </c>
      <c r="U462" s="85"/>
      <c r="V462" s="7">
        <f t="shared" ca="1" si="128"/>
        <v>28</v>
      </c>
      <c r="W462" s="85"/>
      <c r="X462" s="8"/>
    </row>
    <row r="463" spans="1:24" ht="14.5" hidden="1">
      <c r="A463" s="14">
        <v>201</v>
      </c>
      <c r="B463" s="15" t="s">
        <v>59</v>
      </c>
      <c r="C463" s="20"/>
      <c r="D463" s="318" t="s">
        <v>889</v>
      </c>
      <c r="E463" s="146" t="s">
        <v>395</v>
      </c>
      <c r="F463" s="15" t="s">
        <v>967</v>
      </c>
      <c r="G463" s="240">
        <v>45913</v>
      </c>
      <c r="H463" s="320">
        <v>1705.68</v>
      </c>
      <c r="I463" s="321"/>
      <c r="J463" s="320">
        <v>1706</v>
      </c>
      <c r="K463" s="18">
        <v>1706</v>
      </c>
      <c r="L463" s="18"/>
      <c r="M463" s="40">
        <f t="shared" si="124"/>
        <v>1706</v>
      </c>
      <c r="N463" s="40">
        <f t="shared" si="125"/>
        <v>0</v>
      </c>
      <c r="O463" s="301" t="s">
        <v>292</v>
      </c>
      <c r="P463" s="85">
        <f t="shared" si="120"/>
        <v>45864</v>
      </c>
      <c r="Q463" s="85">
        <v>45838</v>
      </c>
      <c r="R463" s="85">
        <f t="shared" si="126"/>
        <v>45840</v>
      </c>
      <c r="S463" s="7">
        <f t="shared" ca="1" si="127"/>
        <v>26</v>
      </c>
      <c r="T463" s="85">
        <f>G463-34</f>
        <v>45879</v>
      </c>
      <c r="U463" s="85"/>
      <c r="V463" s="7">
        <f t="shared" ca="1" si="128"/>
        <v>39</v>
      </c>
      <c r="W463" s="85"/>
      <c r="X463" s="8"/>
    </row>
    <row r="464" spans="1:24" ht="14.5" hidden="1">
      <c r="A464" s="14">
        <v>201</v>
      </c>
      <c r="B464" s="15" t="s">
        <v>59</v>
      </c>
      <c r="C464" s="20"/>
      <c r="D464" s="318" t="s">
        <v>158</v>
      </c>
      <c r="E464" s="146" t="s">
        <v>242</v>
      </c>
      <c r="F464" s="15" t="s">
        <v>154</v>
      </c>
      <c r="G464" s="240">
        <v>45913</v>
      </c>
      <c r="H464" s="320">
        <v>1334.88</v>
      </c>
      <c r="I464" s="321">
        <v>0.42799999999999999</v>
      </c>
      <c r="J464" s="320">
        <f>I464*H464</f>
        <v>571.32864000000006</v>
      </c>
      <c r="K464" s="18"/>
      <c r="L464" s="18"/>
      <c r="M464" s="40">
        <f t="shared" si="124"/>
        <v>571.32864000000006</v>
      </c>
      <c r="N464" s="40">
        <f t="shared" si="125"/>
        <v>571.32864000000006</v>
      </c>
      <c r="O464" s="302" t="s">
        <v>178</v>
      </c>
      <c r="P464" s="85">
        <f t="shared" si="120"/>
        <v>45864</v>
      </c>
      <c r="Q464" s="85"/>
      <c r="R464" s="85">
        <f t="shared" si="126"/>
        <v>2</v>
      </c>
      <c r="S464" s="7">
        <f t="shared" ca="1" si="127"/>
        <v>24</v>
      </c>
      <c r="T464" s="85">
        <f>G464-34</f>
        <v>45879</v>
      </c>
      <c r="U464" s="85"/>
      <c r="V464" s="7">
        <f t="shared" ca="1" si="128"/>
        <v>39</v>
      </c>
      <c r="W464" s="85"/>
      <c r="X464" s="8"/>
    </row>
    <row r="465" spans="1:24" ht="14.5" hidden="1">
      <c r="A465" s="14">
        <v>201</v>
      </c>
      <c r="B465" s="15" t="s">
        <v>59</v>
      </c>
      <c r="C465" s="20"/>
      <c r="D465" s="318" t="s">
        <v>158</v>
      </c>
      <c r="E465" s="146" t="s">
        <v>242</v>
      </c>
      <c r="F465" s="146" t="s">
        <v>155</v>
      </c>
      <c r="G465" s="240">
        <v>45913</v>
      </c>
      <c r="H465" s="320">
        <v>1334.88</v>
      </c>
      <c r="I465" s="321">
        <v>0.42799999999999999</v>
      </c>
      <c r="J465" s="320">
        <f>I465*H465</f>
        <v>571.32864000000006</v>
      </c>
      <c r="K465" s="18"/>
      <c r="L465" s="18"/>
      <c r="M465" s="40">
        <f t="shared" si="124"/>
        <v>571.32864000000006</v>
      </c>
      <c r="N465" s="40">
        <f t="shared" si="125"/>
        <v>571.32864000000006</v>
      </c>
      <c r="O465" s="302" t="s">
        <v>178</v>
      </c>
      <c r="P465" s="85">
        <f t="shared" si="120"/>
        <v>45864</v>
      </c>
      <c r="Q465" s="85"/>
      <c r="R465" s="85">
        <f t="shared" si="126"/>
        <v>2</v>
      </c>
      <c r="S465" s="7">
        <f t="shared" ca="1" si="127"/>
        <v>24</v>
      </c>
      <c r="T465" s="85">
        <f>G465-34</f>
        <v>45879</v>
      </c>
      <c r="U465" s="85"/>
      <c r="V465" s="7">
        <f t="shared" ca="1" si="128"/>
        <v>39</v>
      </c>
      <c r="W465" s="85"/>
      <c r="X465" s="8"/>
    </row>
    <row r="466" spans="1:24" ht="14.5" hidden="1">
      <c r="A466" s="14">
        <v>201</v>
      </c>
      <c r="B466" s="15" t="s">
        <v>59</v>
      </c>
      <c r="C466" s="20"/>
      <c r="D466" s="318" t="s">
        <v>195</v>
      </c>
      <c r="E466" s="146" t="s">
        <v>838</v>
      </c>
      <c r="F466" s="146" t="s">
        <v>162</v>
      </c>
      <c r="G466" s="240">
        <v>45913</v>
      </c>
      <c r="H466" s="320">
        <v>5024.34</v>
      </c>
      <c r="I466" s="86">
        <v>0.23</v>
      </c>
      <c r="J466" s="320">
        <f>H466*I466</f>
        <v>1155.5982000000001</v>
      </c>
      <c r="K466" s="18">
        <v>1156</v>
      </c>
      <c r="L466" s="18"/>
      <c r="M466" s="40">
        <f t="shared" si="124"/>
        <v>1155.5982000000001</v>
      </c>
      <c r="N466" s="40">
        <f t="shared" si="125"/>
        <v>-0.40179999999986649</v>
      </c>
      <c r="O466" s="302" t="s">
        <v>178</v>
      </c>
      <c r="P466" s="85">
        <f t="shared" si="120"/>
        <v>45864</v>
      </c>
      <c r="Q466" s="85">
        <v>45835</v>
      </c>
      <c r="R466" s="85">
        <f t="shared" si="126"/>
        <v>45837</v>
      </c>
      <c r="S466" s="7">
        <f t="shared" ca="1" si="127"/>
        <v>29</v>
      </c>
      <c r="T466" s="85">
        <f>G466-34</f>
        <v>45879</v>
      </c>
      <c r="U466" s="85"/>
      <c r="V466" s="7">
        <f t="shared" ca="1" si="128"/>
        <v>39</v>
      </c>
      <c r="W466" s="85"/>
      <c r="X466" s="8"/>
    </row>
    <row r="467" spans="1:24" ht="14.5" hidden="1">
      <c r="A467" s="14">
        <v>201</v>
      </c>
      <c r="B467" s="15" t="s">
        <v>59</v>
      </c>
      <c r="C467" s="20"/>
      <c r="D467" s="318" t="s">
        <v>158</v>
      </c>
      <c r="E467" s="146" t="s">
        <v>242</v>
      </c>
      <c r="F467" s="15" t="s">
        <v>156</v>
      </c>
      <c r="G467" s="240">
        <v>45913</v>
      </c>
      <c r="H467" s="320">
        <v>712.76</v>
      </c>
      <c r="I467" s="321">
        <v>0.42799999999999999</v>
      </c>
      <c r="J467" s="320">
        <f>I467*H467</f>
        <v>305.06128000000001</v>
      </c>
      <c r="K467" s="18"/>
      <c r="L467" s="18"/>
      <c r="M467" s="40">
        <f t="shared" si="124"/>
        <v>305.06128000000001</v>
      </c>
      <c r="N467" s="40">
        <f t="shared" si="125"/>
        <v>305.06128000000001</v>
      </c>
      <c r="O467" s="302" t="s">
        <v>178</v>
      </c>
      <c r="P467" s="85">
        <f t="shared" si="120"/>
        <v>45864</v>
      </c>
      <c r="Q467" s="85"/>
      <c r="R467" s="85">
        <f t="shared" si="126"/>
        <v>2</v>
      </c>
      <c r="S467" s="7">
        <f t="shared" ca="1" si="127"/>
        <v>24</v>
      </c>
      <c r="T467" s="85">
        <f>G467-34</f>
        <v>45879</v>
      </c>
      <c r="U467" s="85"/>
      <c r="V467" s="7">
        <f t="shared" ca="1" si="128"/>
        <v>39</v>
      </c>
      <c r="W467" s="85"/>
      <c r="X467" s="8"/>
    </row>
    <row r="468" spans="1:24" ht="14.5">
      <c r="A468" s="14">
        <v>202</v>
      </c>
      <c r="B468" s="15" t="s">
        <v>59</v>
      </c>
      <c r="C468" s="20"/>
      <c r="D468" s="318" t="s">
        <v>201</v>
      </c>
      <c r="E468" s="146" t="s">
        <v>247</v>
      </c>
      <c r="F468" s="146" t="s">
        <v>155</v>
      </c>
      <c r="G468" s="240">
        <v>45913</v>
      </c>
      <c r="H468" s="320">
        <f>5117.04*3</f>
        <v>15351.119999999999</v>
      </c>
      <c r="I468" s="321">
        <v>0.28000000000000003</v>
      </c>
      <c r="J468" s="320">
        <f>H468*I468</f>
        <v>4298.3136000000004</v>
      </c>
      <c r="K468" s="18"/>
      <c r="L468" s="18"/>
      <c r="M468" s="40">
        <f t="shared" si="124"/>
        <v>4298.3136000000004</v>
      </c>
      <c r="N468" s="40">
        <f t="shared" si="125"/>
        <v>4298.3136000000004</v>
      </c>
      <c r="O468" s="302" t="s">
        <v>178</v>
      </c>
      <c r="P468" s="85">
        <f t="shared" si="120"/>
        <v>45853</v>
      </c>
      <c r="Q468" s="85"/>
      <c r="R468" s="85">
        <f t="shared" si="126"/>
        <v>2</v>
      </c>
      <c r="S468" s="7">
        <f t="shared" ca="1" si="127"/>
        <v>13</v>
      </c>
      <c r="T468" s="85">
        <f>G468-32-13</f>
        <v>45868</v>
      </c>
      <c r="U468" s="85"/>
      <c r="V468" s="7">
        <f t="shared" ca="1" si="128"/>
        <v>28</v>
      </c>
      <c r="W468" s="85"/>
      <c r="X468" s="8"/>
    </row>
    <row r="469" spans="1:24" ht="14.5" hidden="1">
      <c r="A469" s="14">
        <v>202</v>
      </c>
      <c r="B469" s="15" t="s">
        <v>59</v>
      </c>
      <c r="C469" s="20"/>
      <c r="D469" s="318" t="s">
        <v>189</v>
      </c>
      <c r="E469" s="146" t="s">
        <v>242</v>
      </c>
      <c r="F469" s="146" t="s">
        <v>90</v>
      </c>
      <c r="G469" s="240">
        <v>45913</v>
      </c>
      <c r="H469" s="320">
        <v>741.6</v>
      </c>
      <c r="I469" s="321">
        <v>0.48299999999999998</v>
      </c>
      <c r="J469" s="320">
        <f>H469*I469</f>
        <v>358.19279999999998</v>
      </c>
      <c r="K469" s="18">
        <v>358</v>
      </c>
      <c r="L469" s="18"/>
      <c r="M469" s="40">
        <f t="shared" si="124"/>
        <v>358.19279999999998</v>
      </c>
      <c r="N469" s="40">
        <f t="shared" si="125"/>
        <v>0.19279999999997699</v>
      </c>
      <c r="O469" s="302" t="s">
        <v>178</v>
      </c>
      <c r="P469" s="85">
        <f t="shared" si="120"/>
        <v>45853</v>
      </c>
      <c r="Q469" s="85">
        <v>45827</v>
      </c>
      <c r="R469" s="85">
        <f t="shared" si="126"/>
        <v>45829</v>
      </c>
      <c r="S469" s="7">
        <f t="shared" ca="1" si="127"/>
        <v>26</v>
      </c>
      <c r="T469" s="85">
        <f>G469-32-13</f>
        <v>45868</v>
      </c>
      <c r="U469" s="85"/>
      <c r="V469" s="7">
        <f t="shared" ca="1" si="128"/>
        <v>28</v>
      </c>
      <c r="W469" s="85"/>
      <c r="X469" s="8"/>
    </row>
    <row r="470" spans="1:24" ht="14.5" hidden="1">
      <c r="A470" s="14">
        <v>202</v>
      </c>
      <c r="B470" s="15" t="s">
        <v>59</v>
      </c>
      <c r="C470" s="20"/>
      <c r="D470" s="318" t="s">
        <v>158</v>
      </c>
      <c r="E470" s="146" t="s">
        <v>242</v>
      </c>
      <c r="F470" s="15" t="s">
        <v>156</v>
      </c>
      <c r="G470" s="240">
        <v>45913</v>
      </c>
      <c r="H470" s="320">
        <v>1396.68</v>
      </c>
      <c r="I470" s="321">
        <v>0.42799999999999999</v>
      </c>
      <c r="J470" s="320">
        <f>I470*H470</f>
        <v>597.77904000000001</v>
      </c>
      <c r="K470" s="18"/>
      <c r="L470" s="18"/>
      <c r="M470" s="40">
        <f t="shared" si="124"/>
        <v>597.77904000000001</v>
      </c>
      <c r="N470" s="40">
        <f t="shared" si="125"/>
        <v>597.77904000000001</v>
      </c>
      <c r="O470" s="302" t="s">
        <v>178</v>
      </c>
      <c r="P470" s="85">
        <f t="shared" si="120"/>
        <v>45864</v>
      </c>
      <c r="Q470" s="85"/>
      <c r="R470" s="85">
        <f t="shared" si="126"/>
        <v>2</v>
      </c>
      <c r="S470" s="7">
        <f t="shared" ca="1" si="127"/>
        <v>24</v>
      </c>
      <c r="T470" s="85">
        <f>G470-34</f>
        <v>45879</v>
      </c>
      <c r="U470" s="85"/>
      <c r="V470" s="7">
        <f t="shared" ca="1" si="128"/>
        <v>39</v>
      </c>
      <c r="W470" s="85"/>
      <c r="X470" s="8"/>
    </row>
    <row r="471" spans="1:24" ht="14.5" hidden="1">
      <c r="A471" s="14">
        <v>203</v>
      </c>
      <c r="B471" s="15" t="s">
        <v>59</v>
      </c>
      <c r="C471" s="20"/>
      <c r="D471" s="318" t="s">
        <v>158</v>
      </c>
      <c r="E471" s="146" t="s">
        <v>242</v>
      </c>
      <c r="F471" s="15" t="s">
        <v>154</v>
      </c>
      <c r="G471" s="240">
        <v>45913</v>
      </c>
      <c r="H471" s="320">
        <v>1545</v>
      </c>
      <c r="I471" s="321">
        <v>0.42799999999999999</v>
      </c>
      <c r="J471" s="320">
        <f>I471*H471</f>
        <v>661.26</v>
      </c>
      <c r="K471" s="18"/>
      <c r="L471" s="18"/>
      <c r="M471" s="40">
        <f t="shared" si="124"/>
        <v>661.26</v>
      </c>
      <c r="N471" s="40">
        <f t="shared" si="125"/>
        <v>661.26</v>
      </c>
      <c r="O471" s="302" t="s">
        <v>178</v>
      </c>
      <c r="P471" s="85">
        <f t="shared" si="120"/>
        <v>45864</v>
      </c>
      <c r="Q471" s="85"/>
      <c r="R471" s="85">
        <f t="shared" si="126"/>
        <v>2</v>
      </c>
      <c r="S471" s="7">
        <f t="shared" ca="1" si="127"/>
        <v>24</v>
      </c>
      <c r="T471" s="85">
        <f>G471-34</f>
        <v>45879</v>
      </c>
      <c r="U471" s="85"/>
      <c r="V471" s="7">
        <f t="shared" ca="1" si="128"/>
        <v>39</v>
      </c>
      <c r="W471" s="85"/>
      <c r="X471" s="8"/>
    </row>
    <row r="472" spans="1:24" ht="14.5" hidden="1">
      <c r="A472" s="14">
        <v>203</v>
      </c>
      <c r="B472" s="15" t="s">
        <v>59</v>
      </c>
      <c r="C472" s="20"/>
      <c r="D472" s="318" t="s">
        <v>158</v>
      </c>
      <c r="E472" s="146" t="s">
        <v>242</v>
      </c>
      <c r="F472" s="15" t="s">
        <v>156</v>
      </c>
      <c r="G472" s="240">
        <v>45913</v>
      </c>
      <c r="H472" s="320">
        <v>1376.08</v>
      </c>
      <c r="I472" s="321">
        <v>0.42799999999999999</v>
      </c>
      <c r="J472" s="320">
        <f>I472*H472</f>
        <v>588.96223999999995</v>
      </c>
      <c r="K472" s="18"/>
      <c r="L472" s="18"/>
      <c r="M472" s="40">
        <f t="shared" si="124"/>
        <v>588.96223999999995</v>
      </c>
      <c r="N472" s="40">
        <f t="shared" si="125"/>
        <v>588.96223999999995</v>
      </c>
      <c r="O472" s="302" t="s">
        <v>178</v>
      </c>
      <c r="P472" s="85">
        <f t="shared" si="120"/>
        <v>45864</v>
      </c>
      <c r="Q472" s="85"/>
      <c r="R472" s="85">
        <f t="shared" si="126"/>
        <v>2</v>
      </c>
      <c r="S472" s="7">
        <f t="shared" ca="1" si="127"/>
        <v>24</v>
      </c>
      <c r="T472" s="85">
        <f>G472-34</f>
        <v>45879</v>
      </c>
      <c r="U472" s="85"/>
      <c r="V472" s="7">
        <f t="shared" ca="1" si="128"/>
        <v>39</v>
      </c>
      <c r="W472" s="85"/>
      <c r="X472" s="8"/>
    </row>
    <row r="473" spans="1:24" ht="14.5" hidden="1">
      <c r="A473" s="14">
        <v>204</v>
      </c>
      <c r="B473" s="15" t="s">
        <v>59</v>
      </c>
      <c r="C473" s="20"/>
      <c r="D473" s="318" t="s">
        <v>158</v>
      </c>
      <c r="E473" s="146" t="s">
        <v>242</v>
      </c>
      <c r="F473" s="15" t="s">
        <v>154</v>
      </c>
      <c r="G473" s="240">
        <v>45913</v>
      </c>
      <c r="H473" s="320">
        <v>1516.16</v>
      </c>
      <c r="I473" s="321">
        <v>0.42799999999999999</v>
      </c>
      <c r="J473" s="320">
        <f>I473*H473</f>
        <v>648.91647999999998</v>
      </c>
      <c r="K473" s="18"/>
      <c r="L473" s="18"/>
      <c r="M473" s="40">
        <f t="shared" si="124"/>
        <v>648.91647999999998</v>
      </c>
      <c r="N473" s="40">
        <f t="shared" si="125"/>
        <v>648.91647999999998</v>
      </c>
      <c r="O473" s="302" t="s">
        <v>178</v>
      </c>
      <c r="P473" s="85">
        <f t="shared" si="120"/>
        <v>45864</v>
      </c>
      <c r="Q473" s="85"/>
      <c r="R473" s="85">
        <f t="shared" si="126"/>
        <v>2</v>
      </c>
      <c r="S473" s="7">
        <f t="shared" ca="1" si="127"/>
        <v>24</v>
      </c>
      <c r="T473" s="85">
        <f>G473-34</f>
        <v>45879</v>
      </c>
      <c r="U473" s="85"/>
      <c r="V473" s="7">
        <f t="shared" ca="1" si="128"/>
        <v>39</v>
      </c>
      <c r="W473" s="85"/>
      <c r="X473" s="8"/>
    </row>
    <row r="474" spans="1:24" ht="14.5" hidden="1">
      <c r="A474" s="14">
        <v>204</v>
      </c>
      <c r="B474" s="15" t="s">
        <v>59</v>
      </c>
      <c r="C474" s="20"/>
      <c r="D474" s="318" t="s">
        <v>189</v>
      </c>
      <c r="E474" s="146" t="s">
        <v>242</v>
      </c>
      <c r="F474" s="146" t="s">
        <v>90</v>
      </c>
      <c r="G474" s="240">
        <v>45913</v>
      </c>
      <c r="H474" s="320">
        <v>2373.12</v>
      </c>
      <c r="I474" s="321">
        <v>0.48299999999999998</v>
      </c>
      <c r="J474" s="320">
        <f>H474*I474</f>
        <v>1146.21696</v>
      </c>
      <c r="K474" s="18">
        <v>1146</v>
      </c>
      <c r="L474" s="18"/>
      <c r="M474" s="40">
        <f t="shared" si="124"/>
        <v>1146.21696</v>
      </c>
      <c r="N474" s="40">
        <f t="shared" si="125"/>
        <v>0.21695999999997184</v>
      </c>
      <c r="O474" s="302" t="s">
        <v>178</v>
      </c>
      <c r="P474" s="85">
        <f t="shared" si="120"/>
        <v>45853</v>
      </c>
      <c r="Q474" s="85">
        <v>45827</v>
      </c>
      <c r="R474" s="85">
        <f t="shared" si="126"/>
        <v>45829</v>
      </c>
      <c r="S474" s="7">
        <f t="shared" ca="1" si="127"/>
        <v>26</v>
      </c>
      <c r="T474" s="85">
        <f>G474-32-13</f>
        <v>45868</v>
      </c>
      <c r="U474" s="85"/>
      <c r="V474" s="7">
        <f t="shared" ca="1" si="128"/>
        <v>28</v>
      </c>
      <c r="W474" s="85"/>
      <c r="X474" s="8"/>
    </row>
    <row r="475" spans="1:24" ht="14.5" hidden="1">
      <c r="A475" s="14">
        <v>205</v>
      </c>
      <c r="B475" s="15" t="s">
        <v>59</v>
      </c>
      <c r="C475" s="20"/>
      <c r="D475" s="318" t="s">
        <v>157</v>
      </c>
      <c r="E475" s="301" t="s">
        <v>243</v>
      </c>
      <c r="F475" s="301" t="s">
        <v>162</v>
      </c>
      <c r="G475" s="240">
        <v>45913</v>
      </c>
      <c r="H475" s="320">
        <v>3213.6</v>
      </c>
      <c r="I475" s="218">
        <v>0.30599999999999999</v>
      </c>
      <c r="J475" s="320">
        <f t="shared" ref="J475" si="133">H475*I475</f>
        <v>983.36159999999995</v>
      </c>
      <c r="K475" s="18">
        <v>983</v>
      </c>
      <c r="L475" s="18"/>
      <c r="M475" s="40">
        <f t="shared" si="124"/>
        <v>983.36159999999995</v>
      </c>
      <c r="N475" s="40">
        <f t="shared" si="125"/>
        <v>0.36159999999995307</v>
      </c>
      <c r="O475" s="301" t="s">
        <v>871</v>
      </c>
      <c r="P475" s="85">
        <f t="shared" si="120"/>
        <v>45864</v>
      </c>
      <c r="Q475" s="85">
        <v>45838</v>
      </c>
      <c r="R475" s="85">
        <f t="shared" si="126"/>
        <v>45840</v>
      </c>
      <c r="S475" s="7">
        <f t="shared" ca="1" si="127"/>
        <v>26</v>
      </c>
      <c r="T475" s="85">
        <f>G475-34</f>
        <v>45879</v>
      </c>
      <c r="U475" s="85"/>
      <c r="V475" s="7">
        <f t="shared" ca="1" si="128"/>
        <v>39</v>
      </c>
      <c r="W475" s="85"/>
      <c r="X475" s="8"/>
    </row>
    <row r="476" spans="1:24" ht="14.5" hidden="1">
      <c r="A476" s="14">
        <v>205</v>
      </c>
      <c r="B476" s="15" t="s">
        <v>59</v>
      </c>
      <c r="C476" s="20"/>
      <c r="D476" s="318" t="s">
        <v>158</v>
      </c>
      <c r="E476" s="146" t="s">
        <v>242</v>
      </c>
      <c r="F476" s="15" t="s">
        <v>154</v>
      </c>
      <c r="G476" s="240">
        <v>45913</v>
      </c>
      <c r="H476" s="320">
        <v>1182.44</v>
      </c>
      <c r="I476" s="321">
        <v>0.42799999999999999</v>
      </c>
      <c r="J476" s="320">
        <f>I476*H476</f>
        <v>506.08431999999999</v>
      </c>
      <c r="K476" s="18"/>
      <c r="L476" s="18"/>
      <c r="M476" s="40">
        <f t="shared" si="124"/>
        <v>506.08431999999999</v>
      </c>
      <c r="N476" s="40">
        <f t="shared" si="125"/>
        <v>506.08431999999999</v>
      </c>
      <c r="O476" s="302" t="s">
        <v>178</v>
      </c>
      <c r="P476" s="85">
        <f t="shared" si="120"/>
        <v>45864</v>
      </c>
      <c r="Q476" s="85"/>
      <c r="R476" s="85">
        <f t="shared" si="126"/>
        <v>2</v>
      </c>
      <c r="S476" s="7">
        <f t="shared" ca="1" si="127"/>
        <v>24</v>
      </c>
      <c r="T476" s="85">
        <f>G476-34</f>
        <v>45879</v>
      </c>
      <c r="U476" s="85"/>
      <c r="V476" s="7">
        <f t="shared" ca="1" si="128"/>
        <v>39</v>
      </c>
      <c r="W476" s="85"/>
      <c r="X476" s="8"/>
    </row>
    <row r="477" spans="1:24" ht="14.5" hidden="1">
      <c r="A477" s="14">
        <v>205</v>
      </c>
      <c r="B477" s="15" t="s">
        <v>59</v>
      </c>
      <c r="C477" s="20"/>
      <c r="D477" s="318" t="s">
        <v>189</v>
      </c>
      <c r="E477" s="146" t="s">
        <v>242</v>
      </c>
      <c r="F477" s="146" t="s">
        <v>90</v>
      </c>
      <c r="G477" s="240">
        <v>45913</v>
      </c>
      <c r="H477" s="320">
        <v>1409.04</v>
      </c>
      <c r="I477" s="321">
        <v>0.48299999999999998</v>
      </c>
      <c r="J477" s="320">
        <f>H477*I477</f>
        <v>680.56631999999991</v>
      </c>
      <c r="K477" s="18">
        <v>681</v>
      </c>
      <c r="L477" s="18"/>
      <c r="M477" s="40">
        <f t="shared" si="124"/>
        <v>680.56631999999991</v>
      </c>
      <c r="N477" s="40">
        <f t="shared" si="125"/>
        <v>-0.43368000000009488</v>
      </c>
      <c r="O477" s="302" t="s">
        <v>178</v>
      </c>
      <c r="P477" s="85">
        <f t="shared" si="120"/>
        <v>45853</v>
      </c>
      <c r="Q477" s="85">
        <v>45827</v>
      </c>
      <c r="R477" s="85">
        <f t="shared" si="126"/>
        <v>45829</v>
      </c>
      <c r="S477" s="7">
        <f t="shared" ca="1" si="127"/>
        <v>26</v>
      </c>
      <c r="T477" s="85">
        <f>G477-32-13</f>
        <v>45868</v>
      </c>
      <c r="U477" s="85"/>
      <c r="V477" s="7">
        <f t="shared" ca="1" si="128"/>
        <v>28</v>
      </c>
      <c r="W477" s="85"/>
      <c r="X477" s="8"/>
    </row>
    <row r="478" spans="1:24" ht="14.5" hidden="1">
      <c r="A478" s="14">
        <v>206</v>
      </c>
      <c r="B478" s="15" t="s">
        <v>59</v>
      </c>
      <c r="C478" s="20"/>
      <c r="D478" s="318" t="s">
        <v>157</v>
      </c>
      <c r="E478" s="146" t="s">
        <v>243</v>
      </c>
      <c r="F478" s="146" t="s">
        <v>155</v>
      </c>
      <c r="G478" s="240">
        <v>45920</v>
      </c>
      <c r="H478" s="320">
        <v>3732.7200000000003</v>
      </c>
      <c r="I478" s="218">
        <v>0.30599999999999999</v>
      </c>
      <c r="J478" s="320">
        <f t="shared" ref="J478" si="134">H478*I478</f>
        <v>1142.2123200000001</v>
      </c>
      <c r="K478" s="18"/>
      <c r="L478" s="18"/>
      <c r="M478" s="40">
        <f t="shared" si="124"/>
        <v>1142.2123200000001</v>
      </c>
      <c r="N478" s="40">
        <f t="shared" si="125"/>
        <v>1142.2123200000001</v>
      </c>
      <c r="O478" s="301" t="s">
        <v>871</v>
      </c>
      <c r="P478" s="85">
        <f t="shared" si="120"/>
        <v>45871</v>
      </c>
      <c r="Q478" s="85"/>
      <c r="R478" s="85">
        <f t="shared" si="126"/>
        <v>2</v>
      </c>
      <c r="S478" s="7">
        <f t="shared" ca="1" si="127"/>
        <v>31</v>
      </c>
      <c r="T478" s="85">
        <f>G478-34</f>
        <v>45886</v>
      </c>
      <c r="U478" s="85"/>
      <c r="V478" s="7">
        <f t="shared" ca="1" si="128"/>
        <v>46</v>
      </c>
      <c r="W478" s="85"/>
      <c r="X478" s="8"/>
    </row>
    <row r="479" spans="1:24" ht="14.5" hidden="1">
      <c r="A479" s="14">
        <v>206</v>
      </c>
      <c r="B479" s="15" t="s">
        <v>59</v>
      </c>
      <c r="C479" s="20"/>
      <c r="D479" s="318" t="s">
        <v>158</v>
      </c>
      <c r="E479" s="146" t="s">
        <v>242</v>
      </c>
      <c r="F479" s="146" t="s">
        <v>155</v>
      </c>
      <c r="G479" s="240">
        <v>45920</v>
      </c>
      <c r="H479" s="320">
        <v>931.12</v>
      </c>
      <c r="I479" s="321">
        <v>0.42799999999999999</v>
      </c>
      <c r="J479" s="320">
        <f>I479*H479</f>
        <v>398.51936000000001</v>
      </c>
      <c r="K479" s="18"/>
      <c r="L479" s="18"/>
      <c r="M479" s="40">
        <f t="shared" si="124"/>
        <v>398.51936000000001</v>
      </c>
      <c r="N479" s="40">
        <f t="shared" si="125"/>
        <v>398.51936000000001</v>
      </c>
      <c r="O479" s="302" t="s">
        <v>178</v>
      </c>
      <c r="P479" s="85">
        <f t="shared" si="120"/>
        <v>45871</v>
      </c>
      <c r="Q479" s="85"/>
      <c r="R479" s="85">
        <f t="shared" si="126"/>
        <v>2</v>
      </c>
      <c r="S479" s="7">
        <f t="shared" ca="1" si="127"/>
        <v>31</v>
      </c>
      <c r="T479" s="85">
        <f>G479-34</f>
        <v>45886</v>
      </c>
      <c r="U479" s="85"/>
      <c r="V479" s="7">
        <f t="shared" ca="1" si="128"/>
        <v>46</v>
      </c>
      <c r="W479" s="85"/>
      <c r="X479" s="8"/>
    </row>
    <row r="480" spans="1:24" ht="14.5" hidden="1">
      <c r="A480" s="14">
        <v>206</v>
      </c>
      <c r="B480" s="15" t="s">
        <v>59</v>
      </c>
      <c r="C480" s="20"/>
      <c r="D480" s="318" t="s">
        <v>189</v>
      </c>
      <c r="E480" s="146" t="s">
        <v>242</v>
      </c>
      <c r="F480" s="146" t="s">
        <v>90</v>
      </c>
      <c r="G480" s="240">
        <v>45920</v>
      </c>
      <c r="H480" s="320">
        <v>667.44</v>
      </c>
      <c r="I480" s="321">
        <v>0.48299999999999998</v>
      </c>
      <c r="J480" s="320">
        <f>H480*I480</f>
        <v>322.37352000000004</v>
      </c>
      <c r="K480" s="18">
        <v>322</v>
      </c>
      <c r="L480" s="18"/>
      <c r="M480" s="40">
        <f t="shared" si="124"/>
        <v>322.37352000000004</v>
      </c>
      <c r="N480" s="40">
        <f t="shared" si="125"/>
        <v>0.37352000000004182</v>
      </c>
      <c r="O480" s="302" t="s">
        <v>178</v>
      </c>
      <c r="P480" s="85">
        <f t="shared" si="120"/>
        <v>45860</v>
      </c>
      <c r="Q480" s="85">
        <v>45827</v>
      </c>
      <c r="R480" s="85">
        <f t="shared" si="126"/>
        <v>45829</v>
      </c>
      <c r="S480" s="7">
        <f t="shared" ca="1" si="127"/>
        <v>33</v>
      </c>
      <c r="T480" s="85">
        <f>G480-32-13</f>
        <v>45875</v>
      </c>
      <c r="U480" s="85"/>
      <c r="V480" s="7">
        <f t="shared" ca="1" si="128"/>
        <v>35</v>
      </c>
      <c r="W480" s="85"/>
      <c r="X480" s="8"/>
    </row>
    <row r="481" spans="1:24" ht="14.5" hidden="1">
      <c r="A481" s="14">
        <v>207</v>
      </c>
      <c r="B481" s="15" t="s">
        <v>59</v>
      </c>
      <c r="C481" s="20"/>
      <c r="D481" s="318" t="s">
        <v>889</v>
      </c>
      <c r="E481" s="146" t="s">
        <v>395</v>
      </c>
      <c r="F481" s="15" t="s">
        <v>967</v>
      </c>
      <c r="G481" s="240">
        <v>45920</v>
      </c>
      <c r="H481" s="320">
        <v>1532.64</v>
      </c>
      <c r="I481" s="321"/>
      <c r="J481" s="320">
        <v>1533</v>
      </c>
      <c r="K481" s="18">
        <v>1533</v>
      </c>
      <c r="L481" s="18"/>
      <c r="M481" s="40">
        <f t="shared" si="124"/>
        <v>1533</v>
      </c>
      <c r="N481" s="40">
        <f t="shared" si="125"/>
        <v>0</v>
      </c>
      <c r="O481" s="301" t="s">
        <v>292</v>
      </c>
      <c r="P481" s="85">
        <f t="shared" si="120"/>
        <v>45871</v>
      </c>
      <c r="Q481" s="85">
        <v>45838</v>
      </c>
      <c r="R481" s="85">
        <f t="shared" si="126"/>
        <v>45840</v>
      </c>
      <c r="S481" s="7">
        <f t="shared" ca="1" si="127"/>
        <v>33</v>
      </c>
      <c r="T481" s="85">
        <f>G481-34</f>
        <v>45886</v>
      </c>
      <c r="U481" s="85"/>
      <c r="V481" s="7">
        <f t="shared" ca="1" si="128"/>
        <v>46</v>
      </c>
      <c r="W481" s="85"/>
      <c r="X481" s="8"/>
    </row>
    <row r="482" spans="1:24" ht="14.5" hidden="1">
      <c r="A482" s="14">
        <v>207</v>
      </c>
      <c r="B482" s="15" t="s">
        <v>59</v>
      </c>
      <c r="C482" s="20"/>
      <c r="D482" s="318" t="s">
        <v>157</v>
      </c>
      <c r="E482" s="301" t="s">
        <v>243</v>
      </c>
      <c r="F482" s="301" t="s">
        <v>162</v>
      </c>
      <c r="G482" s="240">
        <v>45920</v>
      </c>
      <c r="H482" s="320">
        <v>3708</v>
      </c>
      <c r="I482" s="218">
        <v>0.30599999999999999</v>
      </c>
      <c r="J482" s="320">
        <f t="shared" ref="J482:J483" si="135">H482*I482</f>
        <v>1134.6479999999999</v>
      </c>
      <c r="K482" s="18">
        <v>1135</v>
      </c>
      <c r="L482" s="18"/>
      <c r="M482" s="40">
        <f t="shared" si="124"/>
        <v>1134.6479999999999</v>
      </c>
      <c r="N482" s="40">
        <f t="shared" si="125"/>
        <v>-0.35200000000008913</v>
      </c>
      <c r="O482" s="301" t="s">
        <v>871</v>
      </c>
      <c r="P482" s="85">
        <f t="shared" si="120"/>
        <v>45871</v>
      </c>
      <c r="Q482" s="85">
        <v>45838</v>
      </c>
      <c r="R482" s="85">
        <f t="shared" si="126"/>
        <v>45840</v>
      </c>
      <c r="S482" s="7">
        <f t="shared" ca="1" si="127"/>
        <v>33</v>
      </c>
      <c r="T482" s="85">
        <f>G482-34</f>
        <v>45886</v>
      </c>
      <c r="U482" s="85"/>
      <c r="V482" s="7">
        <f t="shared" ca="1" si="128"/>
        <v>46</v>
      </c>
      <c r="W482" s="85"/>
      <c r="X482" s="8"/>
    </row>
    <row r="483" spans="1:24" ht="14.5" hidden="1">
      <c r="A483" s="14">
        <v>207</v>
      </c>
      <c r="B483" s="15" t="s">
        <v>59</v>
      </c>
      <c r="C483" s="20"/>
      <c r="D483" s="318" t="s">
        <v>157</v>
      </c>
      <c r="E483" s="301" t="s">
        <v>243</v>
      </c>
      <c r="F483" s="301" t="s">
        <v>162</v>
      </c>
      <c r="G483" s="240">
        <v>45920</v>
      </c>
      <c r="H483" s="320">
        <v>494.40000000000003</v>
      </c>
      <c r="I483" s="218">
        <v>0.30599999999999999</v>
      </c>
      <c r="J483" s="320">
        <f t="shared" si="135"/>
        <v>151.28640000000001</v>
      </c>
      <c r="K483" s="18">
        <v>151</v>
      </c>
      <c r="L483" s="18"/>
      <c r="M483" s="40">
        <f t="shared" si="124"/>
        <v>151.28640000000001</v>
      </c>
      <c r="N483" s="40">
        <f t="shared" si="125"/>
        <v>0.28640000000001464</v>
      </c>
      <c r="O483" s="301" t="s">
        <v>871</v>
      </c>
      <c r="P483" s="85">
        <f t="shared" si="120"/>
        <v>45871</v>
      </c>
      <c r="Q483" s="85">
        <v>45838</v>
      </c>
      <c r="R483" s="85">
        <f t="shared" si="126"/>
        <v>45840</v>
      </c>
      <c r="S483" s="7">
        <f t="shared" ca="1" si="127"/>
        <v>33</v>
      </c>
      <c r="T483" s="85">
        <f>G483-34</f>
        <v>45886</v>
      </c>
      <c r="U483" s="85"/>
      <c r="V483" s="7">
        <f t="shared" ca="1" si="128"/>
        <v>46</v>
      </c>
      <c r="W483" s="85"/>
      <c r="X483" s="8"/>
    </row>
    <row r="484" spans="1:24" ht="14.5" hidden="1">
      <c r="A484" s="14">
        <v>207</v>
      </c>
      <c r="B484" s="15" t="s">
        <v>59</v>
      </c>
      <c r="C484" s="20"/>
      <c r="D484" s="318" t="s">
        <v>158</v>
      </c>
      <c r="E484" s="146" t="s">
        <v>242</v>
      </c>
      <c r="F484" s="15" t="s">
        <v>156</v>
      </c>
      <c r="G484" s="240">
        <v>45920</v>
      </c>
      <c r="H484" s="320">
        <v>704.52</v>
      </c>
      <c r="I484" s="321">
        <v>0.42799999999999999</v>
      </c>
      <c r="J484" s="320">
        <f>I484*H484</f>
        <v>301.53456</v>
      </c>
      <c r="K484" s="18"/>
      <c r="L484" s="18"/>
      <c r="M484" s="40">
        <f t="shared" si="124"/>
        <v>301.53456</v>
      </c>
      <c r="N484" s="40">
        <f t="shared" si="125"/>
        <v>301.53456</v>
      </c>
      <c r="O484" s="302" t="s">
        <v>178</v>
      </c>
      <c r="P484" s="85">
        <f t="shared" si="120"/>
        <v>45871</v>
      </c>
      <c r="Q484" s="85"/>
      <c r="R484" s="85">
        <f t="shared" si="126"/>
        <v>2</v>
      </c>
      <c r="S484" s="7">
        <f t="shared" ca="1" si="127"/>
        <v>31</v>
      </c>
      <c r="T484" s="85">
        <f>G484-34</f>
        <v>45886</v>
      </c>
      <c r="U484" s="85"/>
      <c r="V484" s="7">
        <f t="shared" ca="1" si="128"/>
        <v>46</v>
      </c>
      <c r="W484" s="85"/>
      <c r="X484" s="8"/>
    </row>
    <row r="485" spans="1:24" ht="14.5" hidden="1">
      <c r="A485" s="14">
        <v>207</v>
      </c>
      <c r="B485" s="15" t="s">
        <v>59</v>
      </c>
      <c r="C485" s="20"/>
      <c r="D485" s="318" t="s">
        <v>901</v>
      </c>
      <c r="E485" s="146" t="s">
        <v>242</v>
      </c>
      <c r="F485" s="146" t="s">
        <v>244</v>
      </c>
      <c r="G485" s="240">
        <v>45920</v>
      </c>
      <c r="H485" s="320">
        <v>630.36</v>
      </c>
      <c r="I485" s="321">
        <v>0.34300000000000003</v>
      </c>
      <c r="J485" s="320">
        <f>H485*I485</f>
        <v>216.21348000000003</v>
      </c>
      <c r="K485" s="18">
        <v>216</v>
      </c>
      <c r="L485" s="18">
        <v>216</v>
      </c>
      <c r="M485" s="40">
        <f t="shared" si="124"/>
        <v>0.21348000000003253</v>
      </c>
      <c r="N485" s="40">
        <f t="shared" si="125"/>
        <v>0.21348000000003253</v>
      </c>
      <c r="O485" s="301" t="s">
        <v>948</v>
      </c>
      <c r="P485" s="85">
        <f t="shared" si="120"/>
        <v>45860</v>
      </c>
      <c r="Q485" s="85">
        <v>45827</v>
      </c>
      <c r="R485" s="85">
        <f t="shared" si="126"/>
        <v>45829</v>
      </c>
      <c r="S485" s="7">
        <f t="shared" ca="1" si="127"/>
        <v>33</v>
      </c>
      <c r="T485" s="85">
        <f>G485-32-13</f>
        <v>45875</v>
      </c>
      <c r="U485" s="85"/>
      <c r="V485" s="7">
        <f t="shared" ca="1" si="128"/>
        <v>35</v>
      </c>
      <c r="W485" s="337" t="s">
        <v>954</v>
      </c>
      <c r="X485" s="8"/>
    </row>
    <row r="486" spans="1:24" ht="14.5" hidden="1">
      <c r="A486" s="14">
        <v>208</v>
      </c>
      <c r="B486" s="15" t="s">
        <v>59</v>
      </c>
      <c r="C486" s="20"/>
      <c r="D486" s="318" t="s">
        <v>250</v>
      </c>
      <c r="E486" s="146" t="s">
        <v>269</v>
      </c>
      <c r="F486" s="146" t="s">
        <v>162</v>
      </c>
      <c r="G486" s="240">
        <v>45920</v>
      </c>
      <c r="H486" s="320">
        <v>2235.1</v>
      </c>
      <c r="I486" s="86">
        <v>2.8</v>
      </c>
      <c r="J486" s="320">
        <f t="shared" ref="J486" si="136">H486*I486</f>
        <v>6258.28</v>
      </c>
      <c r="K486" s="18">
        <v>6258</v>
      </c>
      <c r="L486" s="18"/>
      <c r="M486" s="40">
        <f t="shared" si="124"/>
        <v>6258.28</v>
      </c>
      <c r="N486" s="40">
        <f t="shared" si="125"/>
        <v>0.27999999999974534</v>
      </c>
      <c r="O486" s="302" t="s">
        <v>178</v>
      </c>
      <c r="P486" s="85">
        <f t="shared" si="120"/>
        <v>45860</v>
      </c>
      <c r="Q486" s="85">
        <v>45832</v>
      </c>
      <c r="R486" s="85">
        <f t="shared" si="126"/>
        <v>45834</v>
      </c>
      <c r="S486" s="7">
        <f t="shared" ca="1" si="127"/>
        <v>28</v>
      </c>
      <c r="T486" s="85">
        <f>G486-32-13</f>
        <v>45875</v>
      </c>
      <c r="U486" s="85"/>
      <c r="V486" s="7">
        <f t="shared" ca="1" si="128"/>
        <v>35</v>
      </c>
      <c r="W486" s="85"/>
      <c r="X486" s="8"/>
    </row>
    <row r="487" spans="1:24" ht="14.5" hidden="1">
      <c r="A487" s="14">
        <v>208</v>
      </c>
      <c r="B487" s="15" t="s">
        <v>59</v>
      </c>
      <c r="C487" s="20"/>
      <c r="D487" s="318" t="s">
        <v>889</v>
      </c>
      <c r="E487" s="146" t="s">
        <v>395</v>
      </c>
      <c r="F487" s="15" t="s">
        <v>967</v>
      </c>
      <c r="G487" s="240">
        <v>45920</v>
      </c>
      <c r="H487" s="320">
        <v>1928.16</v>
      </c>
      <c r="I487" s="321"/>
      <c r="J487" s="320">
        <v>1928</v>
      </c>
      <c r="K487" s="18">
        <v>1928</v>
      </c>
      <c r="L487" s="18"/>
      <c r="M487" s="40">
        <f t="shared" si="124"/>
        <v>1928</v>
      </c>
      <c r="N487" s="40">
        <f t="shared" si="125"/>
        <v>0</v>
      </c>
      <c r="O487" s="301" t="s">
        <v>292</v>
      </c>
      <c r="P487" s="85">
        <f t="shared" si="120"/>
        <v>45871</v>
      </c>
      <c r="Q487" s="85">
        <v>45838</v>
      </c>
      <c r="R487" s="85">
        <f t="shared" si="126"/>
        <v>45840</v>
      </c>
      <c r="S487" s="7">
        <f t="shared" ca="1" si="127"/>
        <v>33</v>
      </c>
      <c r="T487" s="85">
        <f>G487-34</f>
        <v>45886</v>
      </c>
      <c r="U487" s="85"/>
      <c r="V487" s="7">
        <f t="shared" ca="1" si="128"/>
        <v>46</v>
      </c>
      <c r="W487" s="85"/>
      <c r="X487" s="8"/>
    </row>
    <row r="488" spans="1:24" ht="14.5" hidden="1">
      <c r="A488" s="14">
        <v>208</v>
      </c>
      <c r="B488" s="15" t="s">
        <v>59</v>
      </c>
      <c r="C488" s="20"/>
      <c r="D488" s="318" t="s">
        <v>157</v>
      </c>
      <c r="E488" s="301" t="s">
        <v>243</v>
      </c>
      <c r="F488" s="301" t="s">
        <v>162</v>
      </c>
      <c r="G488" s="240">
        <v>45920</v>
      </c>
      <c r="H488" s="320">
        <v>3213.6</v>
      </c>
      <c r="I488" s="218">
        <v>0.30599999999999999</v>
      </c>
      <c r="J488" s="320">
        <f t="shared" ref="J488" si="137">H488*I488</f>
        <v>983.36159999999995</v>
      </c>
      <c r="K488" s="18">
        <v>983</v>
      </c>
      <c r="L488" s="18"/>
      <c r="M488" s="40">
        <f t="shared" si="124"/>
        <v>983.36159999999995</v>
      </c>
      <c r="N488" s="40">
        <f t="shared" si="125"/>
        <v>0.36159999999995307</v>
      </c>
      <c r="O488" s="301" t="s">
        <v>871</v>
      </c>
      <c r="P488" s="85">
        <f t="shared" si="120"/>
        <v>45871</v>
      </c>
      <c r="Q488" s="85">
        <v>45838</v>
      </c>
      <c r="R488" s="85">
        <f t="shared" si="126"/>
        <v>45840</v>
      </c>
      <c r="S488" s="7">
        <f t="shared" ca="1" si="127"/>
        <v>33</v>
      </c>
      <c r="T488" s="85">
        <f>G488-34</f>
        <v>45886</v>
      </c>
      <c r="U488" s="85"/>
      <c r="V488" s="7">
        <f t="shared" ca="1" si="128"/>
        <v>46</v>
      </c>
      <c r="W488" s="85"/>
      <c r="X488" s="8"/>
    </row>
    <row r="489" spans="1:24" ht="14.5" hidden="1">
      <c r="A489" s="14">
        <v>208</v>
      </c>
      <c r="B489" s="15" t="s">
        <v>59</v>
      </c>
      <c r="C489" s="20"/>
      <c r="D489" s="318" t="s">
        <v>158</v>
      </c>
      <c r="E489" s="146" t="s">
        <v>242</v>
      </c>
      <c r="F489" s="15" t="s">
        <v>156</v>
      </c>
      <c r="G489" s="240">
        <v>45920</v>
      </c>
      <c r="H489" s="320">
        <v>1355.48</v>
      </c>
      <c r="I489" s="321">
        <v>0.42799999999999999</v>
      </c>
      <c r="J489" s="320">
        <f>I489*H489</f>
        <v>580.14544000000001</v>
      </c>
      <c r="K489" s="18"/>
      <c r="L489" s="18"/>
      <c r="M489" s="40">
        <f t="shared" si="124"/>
        <v>580.14544000000001</v>
      </c>
      <c r="N489" s="40">
        <f t="shared" si="125"/>
        <v>580.14544000000001</v>
      </c>
      <c r="O489" s="302" t="s">
        <v>178</v>
      </c>
      <c r="P489" s="85">
        <f t="shared" si="120"/>
        <v>45871</v>
      </c>
      <c r="Q489" s="85"/>
      <c r="R489" s="85">
        <f t="shared" si="126"/>
        <v>2</v>
      </c>
      <c r="S489" s="7">
        <f t="shared" ca="1" si="127"/>
        <v>31</v>
      </c>
      <c r="T489" s="85">
        <f>G489-34</f>
        <v>45886</v>
      </c>
      <c r="U489" s="85"/>
      <c r="V489" s="7">
        <f t="shared" ca="1" si="128"/>
        <v>46</v>
      </c>
      <c r="W489" s="85"/>
      <c r="X489" s="8"/>
    </row>
    <row r="490" spans="1:24" ht="14.5" hidden="1">
      <c r="A490" s="14">
        <v>209</v>
      </c>
      <c r="B490" s="15" t="s">
        <v>59</v>
      </c>
      <c r="C490" s="20"/>
      <c r="D490" s="318" t="s">
        <v>193</v>
      </c>
      <c r="E490" s="146" t="s">
        <v>249</v>
      </c>
      <c r="F490" s="146" t="s">
        <v>162</v>
      </c>
      <c r="G490" s="240">
        <v>45920</v>
      </c>
      <c r="H490" s="320">
        <v>1756.15</v>
      </c>
      <c r="I490" s="321">
        <v>2.7</v>
      </c>
      <c r="J490" s="320">
        <f>I490*H490</f>
        <v>4741.6050000000005</v>
      </c>
      <c r="K490" s="18">
        <v>4742</v>
      </c>
      <c r="L490" s="18"/>
      <c r="M490" s="40">
        <f t="shared" si="124"/>
        <v>4741.6050000000005</v>
      </c>
      <c r="N490" s="40">
        <f t="shared" si="125"/>
        <v>-0.39499999999952706</v>
      </c>
      <c r="O490" s="302" t="s">
        <v>178</v>
      </c>
      <c r="P490" s="85">
        <f t="shared" si="120"/>
        <v>45860</v>
      </c>
      <c r="Q490" s="85">
        <v>45832</v>
      </c>
      <c r="R490" s="85">
        <f t="shared" si="126"/>
        <v>45834</v>
      </c>
      <c r="S490" s="7">
        <f t="shared" ca="1" si="127"/>
        <v>28</v>
      </c>
      <c r="T490" s="85">
        <f>G490-32-13</f>
        <v>45875</v>
      </c>
      <c r="U490" s="85"/>
      <c r="V490" s="7">
        <f t="shared" ca="1" si="128"/>
        <v>35</v>
      </c>
      <c r="W490" s="85"/>
      <c r="X490" s="8"/>
    </row>
    <row r="491" spans="1:24" ht="14.5" hidden="1">
      <c r="A491" s="14">
        <v>209</v>
      </c>
      <c r="B491" s="15" t="s">
        <v>59</v>
      </c>
      <c r="C491" s="14"/>
      <c r="D491" s="318" t="s">
        <v>193</v>
      </c>
      <c r="E491" s="146" t="s">
        <v>246</v>
      </c>
      <c r="F491" s="15" t="s">
        <v>162</v>
      </c>
      <c r="G491" s="240">
        <v>45920</v>
      </c>
      <c r="H491" s="320">
        <v>3290.85</v>
      </c>
      <c r="I491" s="321">
        <v>0.35399999999999998</v>
      </c>
      <c r="J491" s="320">
        <f>H491*I491</f>
        <v>1164.9608999999998</v>
      </c>
      <c r="K491" s="18">
        <v>1165</v>
      </c>
      <c r="L491" s="18"/>
      <c r="M491" s="40">
        <f>+J491-L491</f>
        <v>1164.9608999999998</v>
      </c>
      <c r="N491" s="40">
        <f t="shared" ref="N491" si="138">J491-K491</f>
        <v>-3.9100000000189539E-2</v>
      </c>
      <c r="O491" s="302" t="s">
        <v>178</v>
      </c>
      <c r="P491" s="85">
        <f t="shared" ref="P491" si="139">T491-15</f>
        <v>45860</v>
      </c>
      <c r="Q491" s="85">
        <v>45832</v>
      </c>
      <c r="R491" s="85">
        <f t="shared" ref="R491" si="140">Q491+2</f>
        <v>45834</v>
      </c>
      <c r="S491" s="7">
        <f t="shared" ref="S491" ca="1" si="141">+IF(Q491="",P491-TODAY(),P491-Q491)</f>
        <v>28</v>
      </c>
      <c r="T491" s="85">
        <f>G491-32-13</f>
        <v>45875</v>
      </c>
      <c r="U491" s="85"/>
      <c r="V491" s="7">
        <f t="shared" ref="V491" ca="1" si="142">+IF(U491="",T491-TODAY(),T491-U491)</f>
        <v>35</v>
      </c>
      <c r="W491" s="85"/>
      <c r="X491" s="8"/>
    </row>
    <row r="492" spans="1:24" ht="14.5" hidden="1">
      <c r="A492" s="14">
        <v>209</v>
      </c>
      <c r="B492" s="15" t="s">
        <v>59</v>
      </c>
      <c r="C492" s="14"/>
      <c r="D492" s="318" t="s">
        <v>158</v>
      </c>
      <c r="E492" s="146" t="s">
        <v>242</v>
      </c>
      <c r="F492" s="15" t="s">
        <v>154</v>
      </c>
      <c r="G492" s="240">
        <v>45920</v>
      </c>
      <c r="H492" s="320">
        <v>135.96</v>
      </c>
      <c r="I492" s="321">
        <v>0.42799999999999999</v>
      </c>
      <c r="J492" s="320">
        <f>I492*H492</f>
        <v>58.19088</v>
      </c>
      <c r="K492" s="18"/>
      <c r="L492" s="18"/>
      <c r="M492" s="40">
        <f t="shared" ref="M492:M493" si="143">+J492-L492</f>
        <v>58.19088</v>
      </c>
      <c r="N492" s="40">
        <f t="shared" ref="N492:N493" si="144">J492-K492</f>
        <v>58.19088</v>
      </c>
      <c r="O492" s="302" t="s">
        <v>178</v>
      </c>
      <c r="P492" s="85">
        <f t="shared" ref="P492" si="145">T492-15</f>
        <v>45871</v>
      </c>
      <c r="Q492" s="85"/>
      <c r="R492" s="85">
        <f t="shared" ref="R492" si="146">Q492+2</f>
        <v>2</v>
      </c>
      <c r="S492" s="7">
        <f t="shared" ref="S492" ca="1" si="147">+IF(Q492="",P492-TODAY(),P492-Q492)</f>
        <v>31</v>
      </c>
      <c r="T492" s="85">
        <f>G492-34</f>
        <v>45886</v>
      </c>
      <c r="U492" s="85"/>
      <c r="V492" s="7">
        <f t="shared" ref="V492" ca="1" si="148">+IF(U492="",T492-TODAY(),T492-U492)</f>
        <v>46</v>
      </c>
      <c r="W492" s="85"/>
      <c r="X492" s="8"/>
    </row>
    <row r="493" spans="1:24" ht="14.5" hidden="1">
      <c r="A493" s="14">
        <v>209</v>
      </c>
      <c r="B493" s="15" t="s">
        <v>59</v>
      </c>
      <c r="C493" s="14"/>
      <c r="D493" s="318" t="s">
        <v>189</v>
      </c>
      <c r="E493" s="146" t="s">
        <v>242</v>
      </c>
      <c r="F493" s="146" t="s">
        <v>90</v>
      </c>
      <c r="G493" s="240">
        <v>45920</v>
      </c>
      <c r="H493" s="320">
        <v>1038.24</v>
      </c>
      <c r="I493" s="321">
        <v>0.48299999999999998</v>
      </c>
      <c r="J493" s="320">
        <f>H493*I493</f>
        <v>501.46992</v>
      </c>
      <c r="K493" s="18">
        <v>501</v>
      </c>
      <c r="L493" s="18"/>
      <c r="M493" s="40">
        <f t="shared" si="143"/>
        <v>501.46992</v>
      </c>
      <c r="N493" s="40">
        <f t="shared" si="144"/>
        <v>0.46992000000000189</v>
      </c>
      <c r="O493" s="302" t="s">
        <v>178</v>
      </c>
      <c r="P493" s="85">
        <f t="shared" ref="P493" si="149">T493-15</f>
        <v>45860</v>
      </c>
      <c r="Q493" s="85">
        <v>45831</v>
      </c>
      <c r="R493" s="85">
        <f t="shared" ref="R493" si="150">Q493+2</f>
        <v>45833</v>
      </c>
      <c r="S493" s="7">
        <f t="shared" ref="S493" ca="1" si="151">+IF(Q493="",P493-TODAY(),P493-Q493)</f>
        <v>29</v>
      </c>
      <c r="T493" s="85">
        <f>G493-32-13</f>
        <v>45875</v>
      </c>
      <c r="U493" s="85"/>
      <c r="V493" s="7">
        <f t="shared" ref="V493" ca="1" si="152">+IF(U493="",T493-TODAY(),T493-U493)</f>
        <v>35</v>
      </c>
      <c r="W493" s="85"/>
      <c r="X493" s="8"/>
    </row>
    <row r="494" spans="1:24" ht="14.5" hidden="1">
      <c r="A494" s="14">
        <v>210</v>
      </c>
      <c r="B494" s="15" t="s">
        <v>59</v>
      </c>
      <c r="C494" s="14"/>
      <c r="D494" s="318" t="s">
        <v>158</v>
      </c>
      <c r="E494" s="146" t="s">
        <v>242</v>
      </c>
      <c r="F494" s="15" t="s">
        <v>154</v>
      </c>
      <c r="G494" s="240">
        <v>45920</v>
      </c>
      <c r="H494" s="320">
        <v>1223.6400000000001</v>
      </c>
      <c r="I494" s="321">
        <v>0.42799999999999999</v>
      </c>
      <c r="J494" s="320">
        <f>I494*H494</f>
        <v>523.71792000000005</v>
      </c>
      <c r="K494" s="18"/>
      <c r="L494" s="18"/>
      <c r="M494" s="40">
        <f t="shared" ref="M494:M496" si="153">+J494-L494</f>
        <v>523.71792000000005</v>
      </c>
      <c r="N494" s="40">
        <f t="shared" ref="N494:N496" si="154">J494-K494</f>
        <v>523.71792000000005</v>
      </c>
      <c r="O494" s="302" t="s">
        <v>178</v>
      </c>
      <c r="P494" s="85">
        <f t="shared" ref="P494:P496" si="155">T494-15</f>
        <v>45871</v>
      </c>
      <c r="Q494" s="85"/>
      <c r="R494" s="85">
        <f t="shared" ref="R494:R496" si="156">Q494+2</f>
        <v>2</v>
      </c>
      <c r="S494" s="7">
        <f t="shared" ref="S494:S496" ca="1" si="157">+IF(Q494="",P494-TODAY(),P494-Q494)</f>
        <v>31</v>
      </c>
      <c r="T494" s="85">
        <f>G494-34</f>
        <v>45886</v>
      </c>
      <c r="U494" s="85"/>
      <c r="V494" s="7">
        <f t="shared" ref="V494:V496" ca="1" si="158">+IF(U494="",T494-TODAY(),T494-U494)</f>
        <v>46</v>
      </c>
      <c r="W494" s="85"/>
      <c r="X494" s="8"/>
    </row>
    <row r="495" spans="1:24" ht="14.5" hidden="1">
      <c r="A495" s="14">
        <v>210</v>
      </c>
      <c r="B495" s="15" t="s">
        <v>59</v>
      </c>
      <c r="C495" s="14"/>
      <c r="D495" s="318" t="s">
        <v>158</v>
      </c>
      <c r="E495" s="146" t="s">
        <v>242</v>
      </c>
      <c r="F495" s="146" t="s">
        <v>155</v>
      </c>
      <c r="G495" s="240">
        <v>45920</v>
      </c>
      <c r="H495" s="320">
        <v>1334.88</v>
      </c>
      <c r="I495" s="321">
        <v>0.42799999999999999</v>
      </c>
      <c r="J495" s="320">
        <f>I495*H495</f>
        <v>571.32864000000006</v>
      </c>
      <c r="K495" s="18"/>
      <c r="L495" s="18"/>
      <c r="M495" s="40">
        <f t="shared" si="153"/>
        <v>571.32864000000006</v>
      </c>
      <c r="N495" s="40">
        <f t="shared" si="154"/>
        <v>571.32864000000006</v>
      </c>
      <c r="O495" s="302" t="s">
        <v>178</v>
      </c>
      <c r="P495" s="85">
        <f t="shared" si="155"/>
        <v>45871</v>
      </c>
      <c r="Q495" s="85"/>
      <c r="R495" s="85">
        <f t="shared" si="156"/>
        <v>2</v>
      </c>
      <c r="S495" s="7">
        <f t="shared" ca="1" si="157"/>
        <v>31</v>
      </c>
      <c r="T495" s="85">
        <f>G495-34</f>
        <v>45886</v>
      </c>
      <c r="U495" s="85"/>
      <c r="V495" s="7">
        <f t="shared" ca="1" si="158"/>
        <v>46</v>
      </c>
      <c r="W495" s="85"/>
      <c r="X495" s="8"/>
    </row>
    <row r="496" spans="1:24" ht="14.5" hidden="1">
      <c r="A496" s="14">
        <v>210</v>
      </c>
      <c r="B496" s="15" t="s">
        <v>59</v>
      </c>
      <c r="C496" s="14"/>
      <c r="D496" s="318" t="s">
        <v>158</v>
      </c>
      <c r="E496" s="146" t="s">
        <v>242</v>
      </c>
      <c r="F496" s="15" t="s">
        <v>156</v>
      </c>
      <c r="G496" s="240">
        <v>45920</v>
      </c>
      <c r="H496" s="320">
        <v>1334.88</v>
      </c>
      <c r="I496" s="321">
        <v>0.42799999999999999</v>
      </c>
      <c r="J496" s="320">
        <f>I496*H496</f>
        <v>571.32864000000006</v>
      </c>
      <c r="K496" s="18"/>
      <c r="L496" s="18"/>
      <c r="M496" s="40">
        <f t="shared" si="153"/>
        <v>571.32864000000006</v>
      </c>
      <c r="N496" s="40">
        <f t="shared" si="154"/>
        <v>571.32864000000006</v>
      </c>
      <c r="O496" s="302" t="s">
        <v>178</v>
      </c>
      <c r="P496" s="85">
        <f t="shared" si="155"/>
        <v>45871</v>
      </c>
      <c r="Q496" s="85"/>
      <c r="R496" s="85">
        <f t="shared" si="156"/>
        <v>2</v>
      </c>
      <c r="S496" s="7">
        <f t="shared" ca="1" si="157"/>
        <v>31</v>
      </c>
      <c r="T496" s="85">
        <f>G496-34</f>
        <v>45886</v>
      </c>
      <c r="U496" s="85"/>
      <c r="V496" s="7">
        <f t="shared" ca="1" si="158"/>
        <v>46</v>
      </c>
      <c r="W496" s="85"/>
      <c r="X496" s="8"/>
    </row>
    <row r="497" spans="1:24" ht="14.5" hidden="1">
      <c r="A497" s="14">
        <v>211</v>
      </c>
      <c r="B497" s="15" t="s">
        <v>59</v>
      </c>
      <c r="C497" s="14"/>
      <c r="D497" s="318" t="s">
        <v>189</v>
      </c>
      <c r="E497" s="146" t="s">
        <v>242</v>
      </c>
      <c r="F497" s="146" t="s">
        <v>90</v>
      </c>
      <c r="G497" s="240">
        <v>45920</v>
      </c>
      <c r="H497" s="320">
        <v>1409.04</v>
      </c>
      <c r="I497" s="321">
        <v>0.48299999999999998</v>
      </c>
      <c r="J497" s="320">
        <f>H497*I497</f>
        <v>680.56631999999991</v>
      </c>
      <c r="K497" s="18">
        <v>681</v>
      </c>
      <c r="L497" s="18"/>
      <c r="M497" s="40">
        <f t="shared" ref="M497:M498" si="159">+J497-L497</f>
        <v>680.56631999999991</v>
      </c>
      <c r="N497" s="40">
        <f t="shared" ref="N497:N498" si="160">J497-K497</f>
        <v>-0.43368000000009488</v>
      </c>
      <c r="O497" s="302" t="s">
        <v>178</v>
      </c>
      <c r="P497" s="85">
        <f t="shared" ref="P497" si="161">T497-15</f>
        <v>45860</v>
      </c>
      <c r="Q497" s="85">
        <v>45831</v>
      </c>
      <c r="R497" s="85">
        <f t="shared" ref="R497" si="162">Q497+2</f>
        <v>45833</v>
      </c>
      <c r="S497" s="7">
        <f t="shared" ref="S497" ca="1" si="163">+IF(Q497="",P497-TODAY(),P497-Q497)</f>
        <v>29</v>
      </c>
      <c r="T497" s="85">
        <f>G497-32-13</f>
        <v>45875</v>
      </c>
      <c r="U497" s="85"/>
      <c r="V497" s="7">
        <f t="shared" ref="V497" ca="1" si="164">+IF(U497="",T497-TODAY(),T497-U497)</f>
        <v>35</v>
      </c>
      <c r="W497" s="85"/>
      <c r="X497" s="8"/>
    </row>
    <row r="498" spans="1:24" ht="14.5" hidden="1">
      <c r="A498" s="14">
        <v>211</v>
      </c>
      <c r="B498" s="15" t="s">
        <v>59</v>
      </c>
      <c r="C498" s="14"/>
      <c r="D498" s="318" t="s">
        <v>901</v>
      </c>
      <c r="E498" s="14" t="s">
        <v>242</v>
      </c>
      <c r="F498" s="137" t="s">
        <v>244</v>
      </c>
      <c r="G498" s="240">
        <v>45920</v>
      </c>
      <c r="H498" s="320">
        <v>317.24</v>
      </c>
      <c r="I498" s="321">
        <v>0.34300000000000003</v>
      </c>
      <c r="J498" s="320">
        <f>H498*I498</f>
        <v>108.81332000000002</v>
      </c>
      <c r="K498" s="18">
        <v>109</v>
      </c>
      <c r="L498" s="18">
        <v>109</v>
      </c>
      <c r="M498" s="40">
        <f t="shared" si="159"/>
        <v>-0.18667999999998131</v>
      </c>
      <c r="N498" s="40">
        <f t="shared" si="160"/>
        <v>-0.18667999999998131</v>
      </c>
      <c r="O498" s="301" t="s">
        <v>948</v>
      </c>
      <c r="P498" s="85">
        <f t="shared" ref="P498:P499" si="165">T498-15</f>
        <v>45860</v>
      </c>
      <c r="Q498" s="85">
        <v>45827</v>
      </c>
      <c r="R498" s="85">
        <f t="shared" ref="R498:R499" si="166">Q498+2</f>
        <v>45829</v>
      </c>
      <c r="S498" s="7">
        <f t="shared" ref="S498:S499" ca="1" si="167">+IF(Q498="",P498-TODAY(),P498-Q498)</f>
        <v>33</v>
      </c>
      <c r="T498" s="85">
        <f>G498-32-13</f>
        <v>45875</v>
      </c>
      <c r="U498" s="85"/>
      <c r="V498" s="7">
        <f t="shared" ref="V498:V499" ca="1" si="168">+IF(U498="",T498-TODAY(),T498-U498)</f>
        <v>35</v>
      </c>
      <c r="W498" s="337" t="s">
        <v>954</v>
      </c>
      <c r="X498" s="8"/>
    </row>
    <row r="499" spans="1:24" ht="14.5" hidden="1">
      <c r="A499" s="14">
        <v>212</v>
      </c>
      <c r="B499" s="15" t="s">
        <v>59</v>
      </c>
      <c r="C499" s="14"/>
      <c r="D499" s="318" t="s">
        <v>250</v>
      </c>
      <c r="E499" s="146" t="s">
        <v>269</v>
      </c>
      <c r="F499" s="146" t="s">
        <v>162</v>
      </c>
      <c r="G499" s="240">
        <v>45927</v>
      </c>
      <c r="H499" s="320">
        <v>1380.2</v>
      </c>
      <c r="I499" s="86">
        <v>2.8</v>
      </c>
      <c r="J499" s="320">
        <f t="shared" ref="J499" si="169">H499*I499</f>
        <v>3864.56</v>
      </c>
      <c r="K499" s="18">
        <v>3865</v>
      </c>
      <c r="L499" s="18"/>
      <c r="M499" s="40">
        <f t="shared" ref="M499" si="170">+J499-L499</f>
        <v>3864.56</v>
      </c>
      <c r="N499" s="40">
        <f t="shared" ref="N499" si="171">J499-K499</f>
        <v>-0.44000000000005457</v>
      </c>
      <c r="O499" s="302" t="s">
        <v>178</v>
      </c>
      <c r="P499" s="85">
        <f t="shared" si="165"/>
        <v>45867</v>
      </c>
      <c r="Q499" s="85">
        <v>45832</v>
      </c>
      <c r="R499" s="85">
        <f t="shared" si="166"/>
        <v>45834</v>
      </c>
      <c r="S499" s="7">
        <f t="shared" ca="1" si="167"/>
        <v>35</v>
      </c>
      <c r="T499" s="85">
        <f>G499-32-13</f>
        <v>45882</v>
      </c>
      <c r="U499" s="85"/>
      <c r="V499" s="7">
        <f t="shared" ca="1" si="168"/>
        <v>42</v>
      </c>
      <c r="W499" s="85"/>
      <c r="X499" s="8"/>
    </row>
    <row r="500" spans="1:24" ht="14.5" hidden="1">
      <c r="A500" s="14">
        <v>212</v>
      </c>
      <c r="B500" s="15" t="s">
        <v>59</v>
      </c>
      <c r="C500" s="14"/>
      <c r="D500" s="318" t="s">
        <v>157</v>
      </c>
      <c r="E500" s="146" t="s">
        <v>903</v>
      </c>
      <c r="F500" s="146" t="s">
        <v>155</v>
      </c>
      <c r="G500" s="240">
        <v>45927</v>
      </c>
      <c r="H500" s="320">
        <v>741.6</v>
      </c>
      <c r="I500" s="218">
        <v>0.30599999999999999</v>
      </c>
      <c r="J500" s="320">
        <f t="shared" ref="J500" si="172">H500*I500</f>
        <v>226.92959999999999</v>
      </c>
      <c r="K500" s="18"/>
      <c r="L500" s="18"/>
      <c r="M500" s="40">
        <f t="shared" ref="M500:M502" si="173">+J500-L500</f>
        <v>226.92959999999999</v>
      </c>
      <c r="N500" s="40">
        <f t="shared" ref="N500:N502" si="174">J500-K500</f>
        <v>226.92959999999999</v>
      </c>
      <c r="O500" s="301" t="s">
        <v>871</v>
      </c>
      <c r="P500" s="85">
        <f t="shared" ref="P500:P502" si="175">T500-15</f>
        <v>45878</v>
      </c>
      <c r="Q500" s="85"/>
      <c r="R500" s="85">
        <f t="shared" ref="R500:R502" si="176">Q500+2</f>
        <v>2</v>
      </c>
      <c r="S500" s="7">
        <f t="shared" ref="S500:S502" ca="1" si="177">+IF(Q500="",P500-TODAY(),P500-Q500)</f>
        <v>38</v>
      </c>
      <c r="T500" s="85">
        <f>G500-34</f>
        <v>45893</v>
      </c>
      <c r="U500" s="85"/>
      <c r="V500" s="7">
        <f t="shared" ref="V500:V502" ca="1" si="178">+IF(U500="",T500-TODAY(),T500-U500)</f>
        <v>53</v>
      </c>
      <c r="W500" s="85"/>
      <c r="X500" s="8"/>
    </row>
    <row r="501" spans="1:24" ht="14.5" hidden="1">
      <c r="A501" s="14">
        <v>212</v>
      </c>
      <c r="B501" s="15" t="s">
        <v>59</v>
      </c>
      <c r="C501" s="14"/>
      <c r="D501" s="318" t="s">
        <v>158</v>
      </c>
      <c r="E501" s="146" t="s">
        <v>242</v>
      </c>
      <c r="F501" s="15" t="s">
        <v>154</v>
      </c>
      <c r="G501" s="240">
        <v>45927</v>
      </c>
      <c r="H501" s="320">
        <v>333.72</v>
      </c>
      <c r="I501" s="321">
        <v>0.42799999999999999</v>
      </c>
      <c r="J501" s="320">
        <f>I501*H501</f>
        <v>142.83216000000002</v>
      </c>
      <c r="K501" s="18"/>
      <c r="L501" s="18"/>
      <c r="M501" s="40">
        <f t="shared" si="173"/>
        <v>142.83216000000002</v>
      </c>
      <c r="N501" s="40">
        <f t="shared" si="174"/>
        <v>142.83216000000002</v>
      </c>
      <c r="O501" s="302" t="s">
        <v>178</v>
      </c>
      <c r="P501" s="85">
        <f t="shared" si="175"/>
        <v>45878</v>
      </c>
      <c r="Q501" s="85"/>
      <c r="R501" s="85">
        <f t="shared" si="176"/>
        <v>2</v>
      </c>
      <c r="S501" s="7">
        <f t="shared" ca="1" si="177"/>
        <v>38</v>
      </c>
      <c r="T501" s="85">
        <f>G501-34</f>
        <v>45893</v>
      </c>
      <c r="U501" s="85"/>
      <c r="V501" s="7">
        <f t="shared" ca="1" si="178"/>
        <v>53</v>
      </c>
      <c r="W501" s="85"/>
      <c r="X501" s="8"/>
    </row>
    <row r="502" spans="1:24" ht="14.5" hidden="1">
      <c r="A502" s="14">
        <v>212</v>
      </c>
      <c r="B502" s="15" t="s">
        <v>59</v>
      </c>
      <c r="C502" s="14"/>
      <c r="D502" s="318" t="s">
        <v>158</v>
      </c>
      <c r="E502" s="146" t="s">
        <v>242</v>
      </c>
      <c r="F502" s="146" t="s">
        <v>155</v>
      </c>
      <c r="G502" s="240">
        <v>45927</v>
      </c>
      <c r="H502" s="320">
        <v>1260.72</v>
      </c>
      <c r="I502" s="321">
        <v>0.42799999999999999</v>
      </c>
      <c r="J502" s="320">
        <f>I502*H502</f>
        <v>539.58816000000002</v>
      </c>
      <c r="K502" s="18"/>
      <c r="L502" s="18"/>
      <c r="M502" s="40">
        <f t="shared" si="173"/>
        <v>539.58816000000002</v>
      </c>
      <c r="N502" s="40">
        <f t="shared" si="174"/>
        <v>539.58816000000002</v>
      </c>
      <c r="O502" s="302" t="s">
        <v>178</v>
      </c>
      <c r="P502" s="85">
        <f t="shared" si="175"/>
        <v>45878</v>
      </c>
      <c r="Q502" s="85"/>
      <c r="R502" s="85">
        <f t="shared" si="176"/>
        <v>2</v>
      </c>
      <c r="S502" s="7">
        <f t="shared" ca="1" si="177"/>
        <v>38</v>
      </c>
      <c r="T502" s="85">
        <f>G502-34</f>
        <v>45893</v>
      </c>
      <c r="U502" s="85"/>
      <c r="V502" s="7">
        <f t="shared" ca="1" si="178"/>
        <v>53</v>
      </c>
      <c r="W502" s="85"/>
      <c r="X502" s="8"/>
    </row>
    <row r="503" spans="1:24" ht="14.5" hidden="1">
      <c r="A503" s="14">
        <v>212</v>
      </c>
      <c r="B503" s="15" t="s">
        <v>59</v>
      </c>
      <c r="C503" s="14"/>
      <c r="D503" s="318" t="s">
        <v>189</v>
      </c>
      <c r="E503" s="146" t="s">
        <v>242</v>
      </c>
      <c r="F503" s="146" t="s">
        <v>90</v>
      </c>
      <c r="G503" s="240">
        <v>45927</v>
      </c>
      <c r="H503" s="320">
        <v>296.64</v>
      </c>
      <c r="I503" s="321">
        <v>0.48299999999999998</v>
      </c>
      <c r="J503" s="320">
        <f>H503*I503</f>
        <v>143.27712</v>
      </c>
      <c r="K503" s="18">
        <v>143</v>
      </c>
      <c r="L503" s="18"/>
      <c r="M503" s="40">
        <f t="shared" ref="M503:M504" si="179">+J503-L503</f>
        <v>143.27712</v>
      </c>
      <c r="N503" s="40">
        <f t="shared" ref="N503:N504" si="180">J503-K503</f>
        <v>0.27711999999999648</v>
      </c>
      <c r="O503" s="302" t="s">
        <v>178</v>
      </c>
      <c r="P503" s="85">
        <f t="shared" ref="P503:P504" si="181">T503-15</f>
        <v>45867</v>
      </c>
      <c r="Q503" s="85">
        <v>45831</v>
      </c>
      <c r="R503" s="85">
        <f t="shared" ref="R503:R504" si="182">Q503+2</f>
        <v>45833</v>
      </c>
      <c r="S503" s="7">
        <f t="shared" ref="S503:S504" ca="1" si="183">+IF(Q503="",P503-TODAY(),P503-Q503)</f>
        <v>36</v>
      </c>
      <c r="T503" s="85">
        <f>G503-32-13</f>
        <v>45882</v>
      </c>
      <c r="U503" s="85"/>
      <c r="V503" s="7">
        <f t="shared" ref="V503:V504" ca="1" si="184">+IF(U503="",T503-TODAY(),T503-U503)</f>
        <v>42</v>
      </c>
      <c r="W503" s="85"/>
      <c r="X503" s="8"/>
    </row>
    <row r="504" spans="1:24" ht="14.5" hidden="1">
      <c r="A504" s="14">
        <v>212</v>
      </c>
      <c r="B504" s="15" t="s">
        <v>59</v>
      </c>
      <c r="C504" s="14"/>
      <c r="D504" s="318" t="s">
        <v>158</v>
      </c>
      <c r="E504" s="146" t="s">
        <v>242</v>
      </c>
      <c r="F504" s="15" t="s">
        <v>156</v>
      </c>
      <c r="G504" s="240">
        <v>45927</v>
      </c>
      <c r="H504" s="320">
        <v>1409.04</v>
      </c>
      <c r="I504" s="321">
        <v>0.42799999999999999</v>
      </c>
      <c r="J504" s="320">
        <f>I504*H504</f>
        <v>603.06912</v>
      </c>
      <c r="K504" s="18"/>
      <c r="L504" s="18"/>
      <c r="M504" s="40">
        <f t="shared" si="179"/>
        <v>603.06912</v>
      </c>
      <c r="N504" s="40">
        <f t="shared" si="180"/>
        <v>603.06912</v>
      </c>
      <c r="O504" s="302" t="s">
        <v>178</v>
      </c>
      <c r="P504" s="85">
        <f t="shared" si="181"/>
        <v>45878</v>
      </c>
      <c r="Q504" s="85"/>
      <c r="R504" s="85">
        <f t="shared" si="182"/>
        <v>2</v>
      </c>
      <c r="S504" s="7">
        <f t="shared" ca="1" si="183"/>
        <v>38</v>
      </c>
      <c r="T504" s="85">
        <f>G504-34</f>
        <v>45893</v>
      </c>
      <c r="U504" s="85"/>
      <c r="V504" s="7">
        <f t="shared" ca="1" si="184"/>
        <v>53</v>
      </c>
      <c r="W504" s="85"/>
      <c r="X504" s="8"/>
    </row>
    <row r="505" spans="1:24" ht="14.5" hidden="1">
      <c r="A505" s="14">
        <v>213</v>
      </c>
      <c r="B505" s="15" t="s">
        <v>59</v>
      </c>
      <c r="C505" s="14"/>
      <c r="D505" s="318" t="s">
        <v>250</v>
      </c>
      <c r="E505" s="146" t="s">
        <v>269</v>
      </c>
      <c r="F505" s="146" t="s">
        <v>162</v>
      </c>
      <c r="G505" s="240">
        <v>45927</v>
      </c>
      <c r="H505" s="320">
        <v>1529.55</v>
      </c>
      <c r="I505" s="86">
        <v>2.8</v>
      </c>
      <c r="J505" s="320">
        <f t="shared" ref="J505" si="185">H505*I505</f>
        <v>4282.74</v>
      </c>
      <c r="K505" s="18">
        <v>4283</v>
      </c>
      <c r="L505" s="18"/>
      <c r="M505" s="40">
        <f t="shared" ref="M505" si="186">+J505-L505</f>
        <v>4282.74</v>
      </c>
      <c r="N505" s="40">
        <f t="shared" ref="N505" si="187">J505-K505</f>
        <v>-0.26000000000021828</v>
      </c>
      <c r="O505" s="302" t="s">
        <v>178</v>
      </c>
      <c r="P505" s="85">
        <f t="shared" ref="P505" si="188">T505-15</f>
        <v>45867</v>
      </c>
      <c r="Q505" s="85">
        <v>45832</v>
      </c>
      <c r="R505" s="85">
        <f t="shared" ref="R505" si="189">Q505+2</f>
        <v>45834</v>
      </c>
      <c r="S505" s="7">
        <f t="shared" ref="S505" ca="1" si="190">+IF(Q505="",P505-TODAY(),P505-Q505)</f>
        <v>35</v>
      </c>
      <c r="T505" s="85">
        <f>G505-32-13</f>
        <v>45882</v>
      </c>
      <c r="U505" s="85"/>
      <c r="V505" s="7">
        <f t="shared" ref="V505" ca="1" si="191">+IF(U505="",T505-TODAY(),T505-U505)</f>
        <v>42</v>
      </c>
      <c r="W505" s="85"/>
      <c r="X505" s="8"/>
    </row>
    <row r="506" spans="1:24" ht="14.5" hidden="1">
      <c r="A506" s="14">
        <v>213</v>
      </c>
      <c r="B506" s="15" t="s">
        <v>59</v>
      </c>
      <c r="C506" s="14"/>
      <c r="D506" s="318" t="s">
        <v>157</v>
      </c>
      <c r="E506" s="301" t="s">
        <v>243</v>
      </c>
      <c r="F506" s="301" t="s">
        <v>162</v>
      </c>
      <c r="G506" s="240">
        <v>45927</v>
      </c>
      <c r="H506" s="320">
        <v>3708</v>
      </c>
      <c r="I506" s="218">
        <v>0.30599999999999999</v>
      </c>
      <c r="J506" s="320">
        <f t="shared" ref="J506:J507" si="192">H506*I506</f>
        <v>1134.6479999999999</v>
      </c>
      <c r="K506" s="18">
        <v>1135</v>
      </c>
      <c r="L506" s="18"/>
      <c r="M506" s="40">
        <f t="shared" ref="M506:M508" si="193">+J506-L506</f>
        <v>1134.6479999999999</v>
      </c>
      <c r="N506" s="40">
        <f t="shared" ref="N506:N508" si="194">J506-K506</f>
        <v>-0.35200000000008913</v>
      </c>
      <c r="O506" s="301" t="s">
        <v>871</v>
      </c>
      <c r="P506" s="85">
        <f t="shared" ref="P506:P508" si="195">T506-15</f>
        <v>45878</v>
      </c>
      <c r="Q506" s="85">
        <v>45838</v>
      </c>
      <c r="R506" s="85">
        <f t="shared" ref="R506:R508" si="196">Q506+2</f>
        <v>45840</v>
      </c>
      <c r="S506" s="7">
        <f t="shared" ref="S506:S508" ca="1" si="197">+IF(Q506="",P506-TODAY(),P506-Q506)</f>
        <v>40</v>
      </c>
      <c r="T506" s="85">
        <f>G506-34</f>
        <v>45893</v>
      </c>
      <c r="U506" s="85"/>
      <c r="V506" s="7">
        <f t="shared" ref="V506:V508" ca="1" si="198">+IF(U506="",T506-TODAY(),T506-U506)</f>
        <v>53</v>
      </c>
      <c r="W506" s="85"/>
      <c r="X506" s="8"/>
    </row>
    <row r="507" spans="1:24" ht="14.5" hidden="1">
      <c r="A507" s="14">
        <v>213</v>
      </c>
      <c r="B507" s="15" t="s">
        <v>59</v>
      </c>
      <c r="C507" s="14"/>
      <c r="D507" s="318" t="s">
        <v>157</v>
      </c>
      <c r="E507" s="146" t="s">
        <v>903</v>
      </c>
      <c r="F507" s="146" t="s">
        <v>155</v>
      </c>
      <c r="G507" s="240">
        <v>45927</v>
      </c>
      <c r="H507" s="320">
        <v>2472</v>
      </c>
      <c r="I507" s="218">
        <v>0.30599999999999999</v>
      </c>
      <c r="J507" s="320">
        <f t="shared" si="192"/>
        <v>756.43200000000002</v>
      </c>
      <c r="K507" s="18"/>
      <c r="L507" s="18"/>
      <c r="M507" s="40">
        <f t="shared" si="193"/>
        <v>756.43200000000002</v>
      </c>
      <c r="N507" s="40">
        <f t="shared" si="194"/>
        <v>756.43200000000002</v>
      </c>
      <c r="O507" s="301" t="s">
        <v>871</v>
      </c>
      <c r="P507" s="85">
        <f t="shared" si="195"/>
        <v>45878</v>
      </c>
      <c r="Q507" s="85"/>
      <c r="R507" s="85">
        <f t="shared" si="196"/>
        <v>2</v>
      </c>
      <c r="S507" s="7">
        <f t="shared" ca="1" si="197"/>
        <v>38</v>
      </c>
      <c r="T507" s="85">
        <f>G507-34</f>
        <v>45893</v>
      </c>
      <c r="U507" s="85"/>
      <c r="V507" s="7">
        <f t="shared" ca="1" si="198"/>
        <v>53</v>
      </c>
      <c r="W507" s="85"/>
      <c r="X507" s="8"/>
    </row>
    <row r="508" spans="1:24" ht="14.5" hidden="1">
      <c r="A508" s="14">
        <v>213</v>
      </c>
      <c r="B508" s="15" t="s">
        <v>59</v>
      </c>
      <c r="C508" s="14"/>
      <c r="D508" s="318" t="s">
        <v>158</v>
      </c>
      <c r="E508" s="146" t="s">
        <v>242</v>
      </c>
      <c r="F508" s="15" t="s">
        <v>154</v>
      </c>
      <c r="G508" s="240">
        <v>45927</v>
      </c>
      <c r="H508" s="320">
        <v>502.64</v>
      </c>
      <c r="I508" s="321">
        <v>0.42799999999999999</v>
      </c>
      <c r="J508" s="320">
        <f>I508*H508</f>
        <v>215.12992</v>
      </c>
      <c r="K508" s="18"/>
      <c r="L508" s="18"/>
      <c r="M508" s="40">
        <f t="shared" si="193"/>
        <v>215.12992</v>
      </c>
      <c r="N508" s="40">
        <f t="shared" si="194"/>
        <v>215.12992</v>
      </c>
      <c r="O508" s="302" t="s">
        <v>178</v>
      </c>
      <c r="P508" s="85">
        <f t="shared" si="195"/>
        <v>45878</v>
      </c>
      <c r="Q508" s="85"/>
      <c r="R508" s="85">
        <f t="shared" si="196"/>
        <v>2</v>
      </c>
      <c r="S508" s="7">
        <f t="shared" ca="1" si="197"/>
        <v>38</v>
      </c>
      <c r="T508" s="85">
        <f>G508-34</f>
        <v>45893</v>
      </c>
      <c r="U508" s="85"/>
      <c r="V508" s="7">
        <f t="shared" ca="1" si="198"/>
        <v>53</v>
      </c>
      <c r="W508" s="85"/>
      <c r="X508" s="8"/>
    </row>
    <row r="509" spans="1:24" ht="14.5" hidden="1">
      <c r="A509" s="14">
        <v>213</v>
      </c>
      <c r="B509" s="15" t="s">
        <v>59</v>
      </c>
      <c r="C509" s="14"/>
      <c r="D509" s="318" t="s">
        <v>189</v>
      </c>
      <c r="E509" s="146" t="s">
        <v>242</v>
      </c>
      <c r="F509" s="146" t="s">
        <v>90</v>
      </c>
      <c r="G509" s="240">
        <v>45927</v>
      </c>
      <c r="H509" s="320">
        <v>593.28</v>
      </c>
      <c r="I509" s="321">
        <v>0.48299999999999998</v>
      </c>
      <c r="J509" s="320">
        <f>H509*I509</f>
        <v>286.55423999999999</v>
      </c>
      <c r="K509" s="18">
        <v>287</v>
      </c>
      <c r="L509" s="18"/>
      <c r="M509" s="40">
        <f t="shared" ref="M509" si="199">+J509-L509</f>
        <v>286.55423999999999</v>
      </c>
      <c r="N509" s="40">
        <f t="shared" ref="N509" si="200">J509-K509</f>
        <v>-0.44576000000000704</v>
      </c>
      <c r="O509" s="302" t="s">
        <v>178</v>
      </c>
      <c r="P509" s="85">
        <f t="shared" ref="P509" si="201">T509-15</f>
        <v>45867</v>
      </c>
      <c r="Q509" s="85">
        <v>45831</v>
      </c>
      <c r="R509" s="85">
        <f t="shared" ref="R509" si="202">Q509+2</f>
        <v>45833</v>
      </c>
      <c r="S509" s="7">
        <f t="shared" ref="S509" ca="1" si="203">+IF(Q509="",P509-TODAY(),P509-Q509)</f>
        <v>36</v>
      </c>
      <c r="T509" s="85">
        <f>G509-32-13</f>
        <v>45882</v>
      </c>
      <c r="U509" s="85"/>
      <c r="V509" s="7">
        <f t="shared" ref="V509" ca="1" si="204">+IF(U509="",T509-TODAY(),T509-U509)</f>
        <v>42</v>
      </c>
      <c r="W509" s="85"/>
      <c r="X509" s="8"/>
    </row>
    <row r="510" spans="1:24" ht="14.5" hidden="1">
      <c r="A510" s="14">
        <v>214</v>
      </c>
      <c r="B510" s="15" t="s">
        <v>59</v>
      </c>
      <c r="C510" s="14"/>
      <c r="D510" s="318" t="s">
        <v>193</v>
      </c>
      <c r="E510" s="146" t="s">
        <v>246</v>
      </c>
      <c r="F510" s="15" t="s">
        <v>162</v>
      </c>
      <c r="G510" s="240">
        <v>45927</v>
      </c>
      <c r="H510" s="320">
        <v>3769.8</v>
      </c>
      <c r="I510" s="321">
        <v>0.35399999999999998</v>
      </c>
      <c r="J510" s="320">
        <f>H510*I510</f>
        <v>1334.5092</v>
      </c>
      <c r="K510" s="18">
        <v>1335</v>
      </c>
      <c r="L510" s="18"/>
      <c r="M510" s="40">
        <f t="shared" ref="M510" si="205">+J510-L510</f>
        <v>1334.5092</v>
      </c>
      <c r="N510" s="40">
        <f t="shared" ref="N510" si="206">J510-K510</f>
        <v>-0.49080000000003565</v>
      </c>
      <c r="O510" s="302" t="s">
        <v>178</v>
      </c>
      <c r="P510" s="85">
        <f t="shared" ref="P510" si="207">T510-15</f>
        <v>45867</v>
      </c>
      <c r="Q510" s="85">
        <v>45832</v>
      </c>
      <c r="R510" s="85">
        <f t="shared" ref="R510" si="208">Q510+2</f>
        <v>45834</v>
      </c>
      <c r="S510" s="7">
        <f t="shared" ref="S510" ca="1" si="209">+IF(Q510="",P510-TODAY(),P510-Q510)</f>
        <v>35</v>
      </c>
      <c r="T510" s="85">
        <f>G510-32-13</f>
        <v>45882</v>
      </c>
      <c r="U510" s="85"/>
      <c r="V510" s="7">
        <f t="shared" ref="V510" ca="1" si="210">+IF(U510="",T510-TODAY(),T510-U510)</f>
        <v>42</v>
      </c>
      <c r="W510" s="85"/>
      <c r="X510" s="8"/>
    </row>
    <row r="511" spans="1:24" ht="14.5" hidden="1">
      <c r="A511" s="14">
        <v>214</v>
      </c>
      <c r="B511" s="15" t="s">
        <v>59</v>
      </c>
      <c r="C511" s="14"/>
      <c r="D511" s="318" t="s">
        <v>157</v>
      </c>
      <c r="E511" s="301" t="s">
        <v>243</v>
      </c>
      <c r="F511" s="301" t="s">
        <v>162</v>
      </c>
      <c r="G511" s="240">
        <v>45927</v>
      </c>
      <c r="H511" s="320">
        <v>537.66</v>
      </c>
      <c r="I511" s="218">
        <v>0.30599999999999999</v>
      </c>
      <c r="J511" s="320">
        <f t="shared" ref="J511" si="211">H511*I511</f>
        <v>164.52395999999999</v>
      </c>
      <c r="K511" s="18">
        <v>165</v>
      </c>
      <c r="L511" s="18"/>
      <c r="M511" s="40">
        <f t="shared" ref="M511" si="212">+J511-L511</f>
        <v>164.52395999999999</v>
      </c>
      <c r="N511" s="40">
        <f t="shared" ref="N511" si="213">J511-K511</f>
        <v>-0.47604000000001179</v>
      </c>
      <c r="O511" s="301" t="s">
        <v>871</v>
      </c>
      <c r="P511" s="85">
        <f t="shared" ref="P511" si="214">T511-15</f>
        <v>45878</v>
      </c>
      <c r="Q511" s="85">
        <v>45838</v>
      </c>
      <c r="R511" s="85">
        <f t="shared" ref="R511" si="215">Q511+2</f>
        <v>45840</v>
      </c>
      <c r="S511" s="7">
        <f t="shared" ref="S511" ca="1" si="216">+IF(Q511="",P511-TODAY(),P511-Q511)</f>
        <v>40</v>
      </c>
      <c r="T511" s="85">
        <f>G511-34</f>
        <v>45893</v>
      </c>
      <c r="U511" s="85"/>
      <c r="V511" s="7">
        <f t="shared" ref="V511" ca="1" si="217">+IF(U511="",T511-TODAY(),T511-U511)</f>
        <v>53</v>
      </c>
      <c r="W511" s="85"/>
      <c r="X511" s="8"/>
    </row>
    <row r="512" spans="1:24" ht="14.5" hidden="1">
      <c r="A512" s="14">
        <v>214</v>
      </c>
      <c r="B512" s="15" t="s">
        <v>59</v>
      </c>
      <c r="C512" s="14"/>
      <c r="D512" s="318" t="s">
        <v>195</v>
      </c>
      <c r="E512" s="146" t="s">
        <v>838</v>
      </c>
      <c r="F512" s="146" t="s">
        <v>162</v>
      </c>
      <c r="G512" s="240">
        <v>45927</v>
      </c>
      <c r="H512" s="320">
        <v>5042.88</v>
      </c>
      <c r="I512" s="86">
        <v>0.23</v>
      </c>
      <c r="J512" s="320">
        <f>H512*I512</f>
        <v>1159.8624</v>
      </c>
      <c r="K512" s="18">
        <v>1160</v>
      </c>
      <c r="L512" s="18"/>
      <c r="M512" s="40">
        <f t="shared" ref="M512" si="218">+J512-L512</f>
        <v>1159.8624</v>
      </c>
      <c r="N512" s="40">
        <f t="shared" ref="N512" si="219">J512-K512</f>
        <v>-0.13760000000002037</v>
      </c>
      <c r="O512" s="302" t="s">
        <v>178</v>
      </c>
      <c r="P512" s="85">
        <f t="shared" ref="P512" si="220">T512-15</f>
        <v>45878</v>
      </c>
      <c r="Q512" s="85">
        <v>45835</v>
      </c>
      <c r="R512" s="85">
        <f t="shared" ref="R512" si="221">Q512+2</f>
        <v>45837</v>
      </c>
      <c r="S512" s="7">
        <f t="shared" ref="S512" ca="1" si="222">+IF(Q512="",P512-TODAY(),P512-Q512)</f>
        <v>43</v>
      </c>
      <c r="T512" s="85">
        <f>G512-34</f>
        <v>45893</v>
      </c>
      <c r="U512" s="85"/>
      <c r="V512" s="7">
        <f t="shared" ref="V512" ca="1" si="223">+IF(U512="",T512-TODAY(),T512-U512)</f>
        <v>53</v>
      </c>
      <c r="W512" s="85"/>
      <c r="X512" s="8"/>
    </row>
    <row r="513" spans="1:24" ht="14.5" hidden="1">
      <c r="A513" s="14">
        <v>214</v>
      </c>
      <c r="B513" s="15" t="s">
        <v>59</v>
      </c>
      <c r="C513" s="14"/>
      <c r="D513" s="318" t="s">
        <v>189</v>
      </c>
      <c r="E513" s="146" t="s">
        <v>242</v>
      </c>
      <c r="F513" s="146" t="s">
        <v>90</v>
      </c>
      <c r="G513" s="240">
        <v>45927</v>
      </c>
      <c r="H513" s="320">
        <v>1409.04</v>
      </c>
      <c r="I513" s="321">
        <v>0.48299999999999998</v>
      </c>
      <c r="J513" s="320">
        <f>H513*I513</f>
        <v>680.56631999999991</v>
      </c>
      <c r="K513" s="18">
        <v>681</v>
      </c>
      <c r="L513" s="18"/>
      <c r="M513" s="40">
        <f t="shared" ref="M513:M514" si="224">+J513-L513</f>
        <v>680.56631999999991</v>
      </c>
      <c r="N513" s="40">
        <f t="shared" ref="N513:N514" si="225">J513-K513</f>
        <v>-0.43368000000009488</v>
      </c>
      <c r="O513" s="302" t="s">
        <v>178</v>
      </c>
      <c r="P513" s="85">
        <f t="shared" ref="P513:P514" si="226">T513-15</f>
        <v>45867</v>
      </c>
      <c r="Q513" s="85">
        <v>45831</v>
      </c>
      <c r="R513" s="85">
        <f t="shared" ref="R513:R514" si="227">Q513+2</f>
        <v>45833</v>
      </c>
      <c r="S513" s="7">
        <f t="shared" ref="S513:S514" ca="1" si="228">+IF(Q513="",P513-TODAY(),P513-Q513)</f>
        <v>36</v>
      </c>
      <c r="T513" s="85">
        <f>G513-32-13</f>
        <v>45882</v>
      </c>
      <c r="U513" s="85"/>
      <c r="V513" s="7">
        <f t="shared" ref="V513:V514" ca="1" si="229">+IF(U513="",T513-TODAY(),T513-U513)</f>
        <v>42</v>
      </c>
      <c r="W513" s="85"/>
      <c r="X513" s="8"/>
    </row>
    <row r="514" spans="1:24" ht="14.5" hidden="1">
      <c r="A514" s="14">
        <v>214</v>
      </c>
      <c r="B514" s="15" t="s">
        <v>59</v>
      </c>
      <c r="C514" s="14"/>
      <c r="D514" s="318" t="s">
        <v>901</v>
      </c>
      <c r="E514" s="14" t="s">
        <v>242</v>
      </c>
      <c r="F514" s="137" t="s">
        <v>244</v>
      </c>
      <c r="G514" s="240">
        <v>45927</v>
      </c>
      <c r="H514" s="320">
        <v>1380.2</v>
      </c>
      <c r="I514" s="321">
        <v>0.34300000000000003</v>
      </c>
      <c r="J514" s="320">
        <f>H514*I514</f>
        <v>473.40860000000004</v>
      </c>
      <c r="K514" s="18">
        <v>473</v>
      </c>
      <c r="L514" s="18">
        <v>473</v>
      </c>
      <c r="M514" s="40">
        <f t="shared" si="224"/>
        <v>0.40860000000003538</v>
      </c>
      <c r="N514" s="40">
        <f t="shared" si="225"/>
        <v>0.40860000000003538</v>
      </c>
      <c r="O514" s="301" t="s">
        <v>948</v>
      </c>
      <c r="P514" s="85">
        <f t="shared" si="226"/>
        <v>45867</v>
      </c>
      <c r="Q514" s="85">
        <v>45827</v>
      </c>
      <c r="R514" s="85">
        <f t="shared" si="227"/>
        <v>45829</v>
      </c>
      <c r="S514" s="7">
        <f t="shared" ca="1" si="228"/>
        <v>40</v>
      </c>
      <c r="T514" s="85">
        <f>G514-32-13</f>
        <v>45882</v>
      </c>
      <c r="U514" s="85"/>
      <c r="V514" s="7">
        <f t="shared" ca="1" si="229"/>
        <v>42</v>
      </c>
      <c r="W514" s="337" t="s">
        <v>954</v>
      </c>
      <c r="X514" s="8"/>
    </row>
    <row r="515" spans="1:24" ht="14.5" hidden="1">
      <c r="A515" s="14">
        <v>216</v>
      </c>
      <c r="B515" s="15" t="s">
        <v>59</v>
      </c>
      <c r="C515" s="14"/>
      <c r="D515" s="318" t="s">
        <v>193</v>
      </c>
      <c r="E515" s="146" t="s">
        <v>246</v>
      </c>
      <c r="F515" s="15" t="s">
        <v>162</v>
      </c>
      <c r="G515" s="240">
        <v>45899</v>
      </c>
      <c r="H515" s="320">
        <v>2966.4</v>
      </c>
      <c r="I515" s="321">
        <v>0.35399999999999998</v>
      </c>
      <c r="J515" s="320">
        <f>H515*I515</f>
        <v>1050.1055999999999</v>
      </c>
      <c r="K515" s="18"/>
      <c r="L515" s="18"/>
      <c r="M515" s="40">
        <f t="shared" ref="M515" si="230">+J515-L515</f>
        <v>1050.1055999999999</v>
      </c>
      <c r="N515" s="40">
        <f t="shared" ref="N515" si="231">J515-K515</f>
        <v>1050.1055999999999</v>
      </c>
      <c r="O515" s="302" t="s">
        <v>178</v>
      </c>
      <c r="P515" s="85">
        <f>T515-10</f>
        <v>45844</v>
      </c>
      <c r="Q515" s="85"/>
      <c r="R515" s="85">
        <f t="shared" ref="R515" si="232">Q515+2</f>
        <v>2</v>
      </c>
      <c r="S515" s="7">
        <f t="shared" ref="S515" ca="1" si="233">+IF(Q515="",P515-TODAY(),P515-Q515)</f>
        <v>4</v>
      </c>
      <c r="T515" s="85">
        <f>G515-32-13</f>
        <v>45854</v>
      </c>
      <c r="U515" s="85"/>
      <c r="V515" s="7">
        <f t="shared" ref="V515" ca="1" si="234">+IF(U515="",T515-TODAY(),T515-U515)</f>
        <v>14</v>
      </c>
      <c r="W515" s="85"/>
      <c r="X515" s="8"/>
    </row>
    <row r="516" spans="1:24" ht="14.5">
      <c r="A516" s="14">
        <v>216</v>
      </c>
      <c r="B516" s="15" t="s">
        <v>59</v>
      </c>
      <c r="C516" s="14"/>
      <c r="D516" s="318" t="s">
        <v>201</v>
      </c>
      <c r="E516" s="146" t="s">
        <v>247</v>
      </c>
      <c r="F516" s="146" t="s">
        <v>155</v>
      </c>
      <c r="G516" s="240">
        <v>45899</v>
      </c>
      <c r="H516" s="320">
        <v>4152.96</v>
      </c>
      <c r="I516" s="321">
        <v>0.84</v>
      </c>
      <c r="J516" s="320">
        <f>H516*I516</f>
        <v>3488.4863999999998</v>
      </c>
      <c r="K516" s="18"/>
      <c r="L516" s="18"/>
      <c r="M516" s="40">
        <f t="shared" ref="M516:M568" si="235">+J516-L516</f>
        <v>3488.4863999999998</v>
      </c>
      <c r="N516" s="40">
        <f t="shared" ref="N516:N568" si="236">J516-K516</f>
        <v>3488.4863999999998</v>
      </c>
      <c r="O516" s="302" t="s">
        <v>178</v>
      </c>
      <c r="P516" s="85">
        <f t="shared" ref="P516:P546" si="237">T516-18</f>
        <v>45843</v>
      </c>
      <c r="Q516" s="85"/>
      <c r="R516" s="85">
        <f t="shared" ref="R516:R568" si="238">Q516+2</f>
        <v>2</v>
      </c>
      <c r="S516" s="7">
        <f t="shared" ref="S516:S568" ca="1" si="239">+IF(Q516="",P516-TODAY(),P516-Q516)</f>
        <v>3</v>
      </c>
      <c r="T516" s="85">
        <f>G516-32-6</f>
        <v>45861</v>
      </c>
      <c r="U516" s="85"/>
      <c r="V516" s="7">
        <f t="shared" ref="V516:V568" ca="1" si="240">+IF(U516="",T516-TODAY(),T516-U516)</f>
        <v>21</v>
      </c>
      <c r="W516" s="85"/>
      <c r="X516" s="8"/>
    </row>
    <row r="517" spans="1:24" ht="14.5" hidden="1">
      <c r="A517" s="14">
        <v>216</v>
      </c>
      <c r="B517" s="15" t="s">
        <v>59</v>
      </c>
      <c r="C517" s="14"/>
      <c r="D517" s="318" t="s">
        <v>157</v>
      </c>
      <c r="E517" s="146" t="s">
        <v>903</v>
      </c>
      <c r="F517" s="146" t="s">
        <v>155</v>
      </c>
      <c r="G517" s="240">
        <v>45899</v>
      </c>
      <c r="H517" s="320">
        <v>3708</v>
      </c>
      <c r="I517" s="218">
        <v>0.30599999999999999</v>
      </c>
      <c r="J517" s="320">
        <f t="shared" ref="J517" si="241">H517*I517</f>
        <v>1134.6479999999999</v>
      </c>
      <c r="K517" s="18"/>
      <c r="L517" s="18"/>
      <c r="M517" s="40">
        <f t="shared" si="235"/>
        <v>1134.6479999999999</v>
      </c>
      <c r="N517" s="40">
        <f t="shared" si="236"/>
        <v>1134.6479999999999</v>
      </c>
      <c r="O517" s="301" t="s">
        <v>871</v>
      </c>
      <c r="P517" s="85">
        <f t="shared" si="237"/>
        <v>45849</v>
      </c>
      <c r="Q517" s="85"/>
      <c r="R517" s="85">
        <f t="shared" si="238"/>
        <v>2</v>
      </c>
      <c r="S517" s="7">
        <f t="shared" ca="1" si="239"/>
        <v>9</v>
      </c>
      <c r="T517" s="85">
        <f>G517-32</f>
        <v>45867</v>
      </c>
      <c r="U517" s="85"/>
      <c r="V517" s="7">
        <f t="shared" ca="1" si="240"/>
        <v>27</v>
      </c>
      <c r="W517" s="85"/>
      <c r="X517" s="8"/>
    </row>
    <row r="518" spans="1:24" ht="14.5" hidden="1">
      <c r="A518" s="14">
        <v>216</v>
      </c>
      <c r="B518" s="15" t="s">
        <v>59</v>
      </c>
      <c r="C518" s="14"/>
      <c r="D518" s="318" t="s">
        <v>158</v>
      </c>
      <c r="E518" s="146" t="s">
        <v>242</v>
      </c>
      <c r="F518" s="15" t="s">
        <v>154</v>
      </c>
      <c r="G518" s="240">
        <v>45899</v>
      </c>
      <c r="H518" s="320">
        <v>1334.88</v>
      </c>
      <c r="I518" s="321">
        <v>0.42799999999999999</v>
      </c>
      <c r="J518" s="320">
        <f>I518*H518</f>
        <v>571.32864000000006</v>
      </c>
      <c r="K518" s="18"/>
      <c r="L518" s="18"/>
      <c r="M518" s="40">
        <f t="shared" si="235"/>
        <v>571.32864000000006</v>
      </c>
      <c r="N518" s="40">
        <f t="shared" si="236"/>
        <v>571.32864000000006</v>
      </c>
      <c r="O518" s="302" t="s">
        <v>178</v>
      </c>
      <c r="P518" s="85">
        <f t="shared" si="237"/>
        <v>45849</v>
      </c>
      <c r="Q518" s="85"/>
      <c r="R518" s="85">
        <f t="shared" ref="R518" si="242">Q518+2</f>
        <v>2</v>
      </c>
      <c r="S518" s="7">
        <f t="shared" ref="S518" ca="1" si="243">+IF(Q518="",P518-TODAY(),P518-Q518)</f>
        <v>9</v>
      </c>
      <c r="T518" s="85">
        <f>G518-32</f>
        <v>45867</v>
      </c>
      <c r="U518" s="85"/>
      <c r="V518" s="7">
        <f t="shared" ca="1" si="240"/>
        <v>27</v>
      </c>
      <c r="W518" s="85"/>
      <c r="X518" s="8"/>
    </row>
    <row r="519" spans="1:24" ht="14.5" hidden="1">
      <c r="A519" s="14">
        <v>216</v>
      </c>
      <c r="B519" s="15" t="s">
        <v>59</v>
      </c>
      <c r="C519" s="14"/>
      <c r="D519" s="318" t="s">
        <v>920</v>
      </c>
      <c r="E519" s="146" t="s">
        <v>242</v>
      </c>
      <c r="F519" s="14" t="s">
        <v>919</v>
      </c>
      <c r="G519" s="240">
        <v>45899</v>
      </c>
      <c r="H519" s="320">
        <v>4037.6</v>
      </c>
      <c r="I519" s="321">
        <v>0.504</v>
      </c>
      <c r="J519" s="320">
        <f>H519*I519</f>
        <v>2034.9503999999999</v>
      </c>
      <c r="K519" s="18">
        <v>2035</v>
      </c>
      <c r="L519" s="18"/>
      <c r="M519" s="40">
        <f t="shared" si="235"/>
        <v>2034.9503999999999</v>
      </c>
      <c r="N519" s="40">
        <f t="shared" si="236"/>
        <v>-4.9600000000054933E-2</v>
      </c>
      <c r="O519" s="302" t="s">
        <v>263</v>
      </c>
      <c r="P519" s="85">
        <f t="shared" si="237"/>
        <v>45836</v>
      </c>
      <c r="Q519" s="85">
        <v>45827</v>
      </c>
      <c r="R519" s="85">
        <f t="shared" si="238"/>
        <v>45829</v>
      </c>
      <c r="S519" s="7">
        <f t="shared" ca="1" si="239"/>
        <v>9</v>
      </c>
      <c r="T519" s="85">
        <f>G519-32-13</f>
        <v>45854</v>
      </c>
      <c r="U519" s="85"/>
      <c r="V519" s="7">
        <f t="shared" ca="1" si="240"/>
        <v>14</v>
      </c>
      <c r="W519" s="85"/>
      <c r="X519" s="8"/>
    </row>
    <row r="520" spans="1:24" ht="14.5" hidden="1">
      <c r="A520" s="14">
        <v>216</v>
      </c>
      <c r="B520" s="15" t="s">
        <v>59</v>
      </c>
      <c r="C520" s="14"/>
      <c r="D520" s="318" t="s">
        <v>920</v>
      </c>
      <c r="E520" s="146" t="s">
        <v>242</v>
      </c>
      <c r="F520" s="14" t="s">
        <v>921</v>
      </c>
      <c r="G520" s="240">
        <v>45899</v>
      </c>
      <c r="H520" s="320">
        <v>4037.6</v>
      </c>
      <c r="I520" s="321">
        <v>0.504</v>
      </c>
      <c r="J520" s="320">
        <f>H520*I520</f>
        <v>2034.9503999999999</v>
      </c>
      <c r="K520" s="18">
        <v>2035</v>
      </c>
      <c r="L520" s="18"/>
      <c r="M520" s="40">
        <f t="shared" si="235"/>
        <v>2034.9503999999999</v>
      </c>
      <c r="N520" s="40">
        <f t="shared" si="236"/>
        <v>-4.9600000000054933E-2</v>
      </c>
      <c r="O520" s="302" t="s">
        <v>263</v>
      </c>
      <c r="P520" s="85">
        <f t="shared" si="237"/>
        <v>45836</v>
      </c>
      <c r="Q520" s="85">
        <v>45827</v>
      </c>
      <c r="R520" s="85">
        <f t="shared" si="238"/>
        <v>45829</v>
      </c>
      <c r="S520" s="7">
        <f t="shared" ca="1" si="239"/>
        <v>9</v>
      </c>
      <c r="T520" s="85">
        <f>G520-32-13</f>
        <v>45854</v>
      </c>
      <c r="U520" s="85"/>
      <c r="V520" s="7">
        <f t="shared" ca="1" si="240"/>
        <v>14</v>
      </c>
      <c r="W520" s="85"/>
      <c r="X520" s="8"/>
    </row>
    <row r="521" spans="1:24" ht="14.5" hidden="1">
      <c r="A521" s="14">
        <v>217</v>
      </c>
      <c r="B521" s="15" t="s">
        <v>59</v>
      </c>
      <c r="C521" s="14"/>
      <c r="D521" s="318" t="s">
        <v>136</v>
      </c>
      <c r="E521" s="146" t="s">
        <v>247</v>
      </c>
      <c r="F521" s="146" t="s">
        <v>162</v>
      </c>
      <c r="G521" s="240">
        <v>45906</v>
      </c>
      <c r="H521" s="320">
        <v>3708</v>
      </c>
      <c r="I521" s="321">
        <v>0.28000000000000003</v>
      </c>
      <c r="J521" s="320">
        <f>H521*I521</f>
        <v>1038.24</v>
      </c>
      <c r="K521" s="18"/>
      <c r="L521" s="18"/>
      <c r="M521" s="40">
        <f t="shared" si="235"/>
        <v>1038.24</v>
      </c>
      <c r="N521" s="40">
        <f t="shared" si="236"/>
        <v>1038.24</v>
      </c>
      <c r="O521" s="301" t="s">
        <v>265</v>
      </c>
      <c r="P521" s="85">
        <f t="shared" si="237"/>
        <v>45856</v>
      </c>
      <c r="Q521" s="85"/>
      <c r="R521" s="85">
        <f t="shared" ref="R521:R524" si="244">Q521+2</f>
        <v>2</v>
      </c>
      <c r="S521" s="7">
        <f t="shared" ref="S521:S524" ca="1" si="245">+IF(Q521="",P521-TODAY(),P521-Q521)</f>
        <v>16</v>
      </c>
      <c r="T521" s="85">
        <f>G521-32</f>
        <v>45874</v>
      </c>
      <c r="U521" s="85"/>
      <c r="V521" s="7">
        <f t="shared" ca="1" si="240"/>
        <v>34</v>
      </c>
      <c r="W521" s="85"/>
      <c r="X521" s="8"/>
    </row>
    <row r="522" spans="1:24" ht="14.5" hidden="1">
      <c r="A522" s="14">
        <v>217</v>
      </c>
      <c r="B522" s="15" t="s">
        <v>59</v>
      </c>
      <c r="C522" s="14"/>
      <c r="D522" s="318" t="s">
        <v>136</v>
      </c>
      <c r="E522" s="146" t="s">
        <v>247</v>
      </c>
      <c r="F522" s="146" t="s">
        <v>163</v>
      </c>
      <c r="G522" s="240">
        <v>45906</v>
      </c>
      <c r="H522" s="320">
        <v>3708</v>
      </c>
      <c r="I522" s="321">
        <v>0.28000000000000003</v>
      </c>
      <c r="J522" s="320">
        <f>H522*I522</f>
        <v>1038.24</v>
      </c>
      <c r="K522" s="18"/>
      <c r="L522" s="18"/>
      <c r="M522" s="40">
        <f t="shared" si="235"/>
        <v>1038.24</v>
      </c>
      <c r="N522" s="40">
        <f t="shared" si="236"/>
        <v>1038.24</v>
      </c>
      <c r="O522" s="301" t="s">
        <v>265</v>
      </c>
      <c r="P522" s="85">
        <f t="shared" si="237"/>
        <v>45856</v>
      </c>
      <c r="Q522" s="85"/>
      <c r="R522" s="85">
        <f t="shared" si="244"/>
        <v>2</v>
      </c>
      <c r="S522" s="7">
        <f t="shared" ca="1" si="245"/>
        <v>16</v>
      </c>
      <c r="T522" s="85">
        <f>G522-32</f>
        <v>45874</v>
      </c>
      <c r="U522" s="85"/>
      <c r="V522" s="7">
        <f t="shared" ref="V522:V523" ca="1" si="246">+IF(U522="",T522-TODAY(),T522-U522)</f>
        <v>34</v>
      </c>
      <c r="W522" s="85"/>
      <c r="X522" s="8"/>
    </row>
    <row r="523" spans="1:24" ht="14.5" hidden="1">
      <c r="A523" s="14">
        <v>217</v>
      </c>
      <c r="B523" s="15" t="s">
        <v>59</v>
      </c>
      <c r="C523" s="14"/>
      <c r="D523" s="318" t="s">
        <v>136</v>
      </c>
      <c r="E523" s="146" t="s">
        <v>247</v>
      </c>
      <c r="F523" s="146" t="s">
        <v>164</v>
      </c>
      <c r="G523" s="240">
        <v>45906</v>
      </c>
      <c r="H523" s="320">
        <v>3708</v>
      </c>
      <c r="I523" s="321">
        <v>0.28000000000000003</v>
      </c>
      <c r="J523" s="320">
        <f>H523*I523</f>
        <v>1038.24</v>
      </c>
      <c r="K523" s="18"/>
      <c r="L523" s="18"/>
      <c r="M523" s="40">
        <f t="shared" si="235"/>
        <v>1038.24</v>
      </c>
      <c r="N523" s="40">
        <f t="shared" si="236"/>
        <v>1038.24</v>
      </c>
      <c r="O523" s="301" t="s">
        <v>265</v>
      </c>
      <c r="P523" s="85">
        <f t="shared" si="237"/>
        <v>45856</v>
      </c>
      <c r="Q523" s="85"/>
      <c r="R523" s="85">
        <f t="shared" si="244"/>
        <v>2</v>
      </c>
      <c r="S523" s="7">
        <f t="shared" ca="1" si="245"/>
        <v>16</v>
      </c>
      <c r="T523" s="85">
        <f>G523-32</f>
        <v>45874</v>
      </c>
      <c r="U523" s="85"/>
      <c r="V523" s="7">
        <f t="shared" ca="1" si="246"/>
        <v>34</v>
      </c>
      <c r="W523" s="85"/>
      <c r="X523" s="8"/>
    </row>
    <row r="524" spans="1:24" ht="14.5" hidden="1">
      <c r="A524" s="14">
        <v>217</v>
      </c>
      <c r="B524" s="15" t="s">
        <v>59</v>
      </c>
      <c r="C524" s="14"/>
      <c r="D524" s="318" t="s">
        <v>157</v>
      </c>
      <c r="E524" s="146" t="s">
        <v>903</v>
      </c>
      <c r="F524" s="146" t="s">
        <v>155</v>
      </c>
      <c r="G524" s="240">
        <v>45906</v>
      </c>
      <c r="H524" s="320">
        <v>2472</v>
      </c>
      <c r="I524" s="218">
        <v>0.30599999999999999</v>
      </c>
      <c r="J524" s="320">
        <f t="shared" ref="J524" si="247">H524*I524</f>
        <v>756.43200000000002</v>
      </c>
      <c r="K524" s="18"/>
      <c r="L524" s="18"/>
      <c r="M524" s="40">
        <f t="shared" si="235"/>
        <v>756.43200000000002</v>
      </c>
      <c r="N524" s="40">
        <f t="shared" si="236"/>
        <v>756.43200000000002</v>
      </c>
      <c r="O524" s="301" t="s">
        <v>871</v>
      </c>
      <c r="P524" s="85">
        <f t="shared" si="237"/>
        <v>45856</v>
      </c>
      <c r="Q524" s="85"/>
      <c r="R524" s="85">
        <f t="shared" si="244"/>
        <v>2</v>
      </c>
      <c r="S524" s="7">
        <f t="shared" ca="1" si="245"/>
        <v>16</v>
      </c>
      <c r="T524" s="85">
        <f>G524-32</f>
        <v>45874</v>
      </c>
      <c r="U524" s="85"/>
      <c r="V524" s="7">
        <f t="shared" ca="1" si="240"/>
        <v>34</v>
      </c>
      <c r="W524" s="85"/>
      <c r="X524" s="8"/>
    </row>
    <row r="525" spans="1:24" ht="14.5" hidden="1">
      <c r="A525" s="14">
        <v>217</v>
      </c>
      <c r="B525" s="15" t="s">
        <v>59</v>
      </c>
      <c r="C525" s="14"/>
      <c r="D525" s="318" t="s">
        <v>920</v>
      </c>
      <c r="E525" s="146" t="s">
        <v>242</v>
      </c>
      <c r="F525" s="14" t="s">
        <v>919</v>
      </c>
      <c r="G525" s="240">
        <v>45906</v>
      </c>
      <c r="H525" s="320">
        <v>2307.2000000000003</v>
      </c>
      <c r="I525" s="321">
        <v>0.504</v>
      </c>
      <c r="J525" s="320">
        <f>H525*I525</f>
        <v>1162.8288000000002</v>
      </c>
      <c r="K525" s="18">
        <v>1163</v>
      </c>
      <c r="L525" s="18"/>
      <c r="M525" s="40">
        <f t="shared" si="235"/>
        <v>1162.8288000000002</v>
      </c>
      <c r="N525" s="40">
        <f t="shared" si="236"/>
        <v>-0.17119999999977153</v>
      </c>
      <c r="O525" s="302" t="s">
        <v>263</v>
      </c>
      <c r="P525" s="85">
        <f t="shared" si="237"/>
        <v>45843</v>
      </c>
      <c r="Q525" s="85">
        <v>45827</v>
      </c>
      <c r="R525" s="85">
        <f t="shared" si="238"/>
        <v>45829</v>
      </c>
      <c r="S525" s="7">
        <f t="shared" ca="1" si="239"/>
        <v>16</v>
      </c>
      <c r="T525" s="85">
        <f>G525-32-13</f>
        <v>45861</v>
      </c>
      <c r="U525" s="85"/>
      <c r="V525" s="7">
        <f t="shared" ca="1" si="240"/>
        <v>21</v>
      </c>
      <c r="W525" s="85"/>
      <c r="X525" s="8"/>
    </row>
    <row r="526" spans="1:24" ht="14.5" hidden="1">
      <c r="A526" s="14">
        <v>217</v>
      </c>
      <c r="B526" s="15" t="s">
        <v>59</v>
      </c>
      <c r="C526" s="14"/>
      <c r="D526" s="318" t="s">
        <v>920</v>
      </c>
      <c r="E526" s="146" t="s">
        <v>242</v>
      </c>
      <c r="F526" s="14" t="s">
        <v>921</v>
      </c>
      <c r="G526" s="240">
        <v>45906</v>
      </c>
      <c r="H526" s="320">
        <v>2307.2000000000003</v>
      </c>
      <c r="I526" s="321">
        <v>0.504</v>
      </c>
      <c r="J526" s="320">
        <f>H526*I526</f>
        <v>1162.8288000000002</v>
      </c>
      <c r="K526" s="18">
        <v>1163</v>
      </c>
      <c r="L526" s="18"/>
      <c r="M526" s="40">
        <f t="shared" si="235"/>
        <v>1162.8288000000002</v>
      </c>
      <c r="N526" s="40">
        <f t="shared" si="236"/>
        <v>-0.17119999999977153</v>
      </c>
      <c r="O526" s="302" t="s">
        <v>263</v>
      </c>
      <c r="P526" s="85">
        <f t="shared" si="237"/>
        <v>45843</v>
      </c>
      <c r="Q526" s="85">
        <v>45827</v>
      </c>
      <c r="R526" s="85">
        <f t="shared" si="238"/>
        <v>45829</v>
      </c>
      <c r="S526" s="7">
        <f t="shared" ca="1" si="239"/>
        <v>16</v>
      </c>
      <c r="T526" s="85">
        <f>G526-32-13</f>
        <v>45861</v>
      </c>
      <c r="U526" s="85"/>
      <c r="V526" s="7">
        <f t="shared" ca="1" si="240"/>
        <v>21</v>
      </c>
      <c r="W526" s="85"/>
      <c r="X526" s="8"/>
    </row>
    <row r="527" spans="1:24" ht="14.5" hidden="1">
      <c r="A527" s="14">
        <v>218</v>
      </c>
      <c r="B527" s="15" t="s">
        <v>59</v>
      </c>
      <c r="C527" s="14"/>
      <c r="D527" s="318" t="s">
        <v>193</v>
      </c>
      <c r="E527" s="146" t="s">
        <v>246</v>
      </c>
      <c r="F527" s="146" t="s">
        <v>162</v>
      </c>
      <c r="G527" s="240">
        <v>45906</v>
      </c>
      <c r="H527" s="320">
        <v>2966.4</v>
      </c>
      <c r="I527" s="321">
        <v>0.35399999999999998</v>
      </c>
      <c r="J527" s="320">
        <f>H527*I527</f>
        <v>1050.1055999999999</v>
      </c>
      <c r="K527" s="18"/>
      <c r="L527" s="18"/>
      <c r="M527" s="40">
        <f t="shared" si="235"/>
        <v>1050.1055999999999</v>
      </c>
      <c r="N527" s="40">
        <f t="shared" si="236"/>
        <v>1050.1055999999999</v>
      </c>
      <c r="O527" s="302" t="s">
        <v>178</v>
      </c>
      <c r="P527" s="85">
        <f>T527-15</f>
        <v>45849</v>
      </c>
      <c r="Q527" s="85"/>
      <c r="R527" s="85">
        <f t="shared" ref="R527" si="248">Q527+2</f>
        <v>2</v>
      </c>
      <c r="S527" s="7">
        <f t="shared" ref="S527" ca="1" si="249">+IF(Q527="",P527-TODAY(),P527-Q527)</f>
        <v>9</v>
      </c>
      <c r="T527" s="85">
        <f>G527-30-12</f>
        <v>45864</v>
      </c>
      <c r="U527" s="85"/>
      <c r="V527" s="7">
        <f t="shared" ref="V527" ca="1" si="250">+IF(U527="",T527-TODAY(),T527-U527)</f>
        <v>24</v>
      </c>
      <c r="W527" s="85"/>
      <c r="X527" s="8"/>
    </row>
    <row r="528" spans="1:24" ht="14.5" hidden="1">
      <c r="A528" s="14">
        <v>218</v>
      </c>
      <c r="B528" s="15" t="s">
        <v>59</v>
      </c>
      <c r="C528" s="14"/>
      <c r="D528" s="318" t="s">
        <v>250</v>
      </c>
      <c r="E528" s="146" t="s">
        <v>269</v>
      </c>
      <c r="F528" s="146" t="s">
        <v>162</v>
      </c>
      <c r="G528" s="240">
        <v>45906</v>
      </c>
      <c r="H528" s="320">
        <v>927</v>
      </c>
      <c r="I528" s="86">
        <v>2.8</v>
      </c>
      <c r="J528" s="320">
        <f t="shared" ref="J528" si="251">H528*I528</f>
        <v>2595.6</v>
      </c>
      <c r="K528" s="18"/>
      <c r="L528" s="18"/>
      <c r="M528" s="40">
        <f t="shared" si="235"/>
        <v>2595.6</v>
      </c>
      <c r="N528" s="40">
        <f t="shared" si="236"/>
        <v>2595.6</v>
      </c>
      <c r="O528" s="302" t="s">
        <v>178</v>
      </c>
      <c r="P528" s="85">
        <f>T528-15</f>
        <v>45849</v>
      </c>
      <c r="Q528" s="85"/>
      <c r="R528" s="85">
        <f t="shared" si="238"/>
        <v>2</v>
      </c>
      <c r="S528" s="7">
        <f t="shared" ca="1" si="239"/>
        <v>9</v>
      </c>
      <c r="T528" s="85">
        <f>G528-30-12</f>
        <v>45864</v>
      </c>
      <c r="U528" s="85"/>
      <c r="V528" s="7">
        <f t="shared" ca="1" si="240"/>
        <v>24</v>
      </c>
      <c r="W528" s="85"/>
      <c r="X528" s="8"/>
    </row>
    <row r="529" spans="1:24" ht="14.5" hidden="1">
      <c r="A529" s="14">
        <v>218</v>
      </c>
      <c r="B529" s="15" t="s">
        <v>59</v>
      </c>
      <c r="C529" s="14"/>
      <c r="D529" s="318" t="s">
        <v>158</v>
      </c>
      <c r="E529" s="146" t="s">
        <v>242</v>
      </c>
      <c r="F529" s="15" t="s">
        <v>154</v>
      </c>
      <c r="G529" s="240">
        <v>45906</v>
      </c>
      <c r="H529" s="320">
        <v>2076.48</v>
      </c>
      <c r="I529" s="321">
        <v>0.42799999999999999</v>
      </c>
      <c r="J529" s="320">
        <f>I529*H529</f>
        <v>888.73343999999997</v>
      </c>
      <c r="K529" s="18"/>
      <c r="L529" s="18"/>
      <c r="M529" s="40">
        <f t="shared" si="235"/>
        <v>888.73343999999997</v>
      </c>
      <c r="N529" s="40">
        <f t="shared" si="236"/>
        <v>888.73343999999997</v>
      </c>
      <c r="O529" s="302" t="s">
        <v>178</v>
      </c>
      <c r="P529" s="85">
        <f t="shared" si="237"/>
        <v>45856</v>
      </c>
      <c r="Q529" s="85"/>
      <c r="R529" s="85">
        <f t="shared" ref="R529" si="252">Q529+2</f>
        <v>2</v>
      </c>
      <c r="S529" s="7">
        <f t="shared" ref="S529" ca="1" si="253">+IF(Q529="",P529-TODAY(),P529-Q529)</f>
        <v>16</v>
      </c>
      <c r="T529" s="85">
        <f>G529-32</f>
        <v>45874</v>
      </c>
      <c r="U529" s="85"/>
      <c r="V529" s="7">
        <f t="shared" ca="1" si="240"/>
        <v>34</v>
      </c>
      <c r="W529" s="85"/>
      <c r="X529" s="8"/>
    </row>
    <row r="530" spans="1:24" ht="14.5" hidden="1">
      <c r="A530" s="14">
        <v>218</v>
      </c>
      <c r="B530" s="15" t="s">
        <v>59</v>
      </c>
      <c r="C530" s="14"/>
      <c r="D530" s="318" t="s">
        <v>920</v>
      </c>
      <c r="E530" s="146" t="s">
        <v>242</v>
      </c>
      <c r="F530" s="14" t="s">
        <v>919</v>
      </c>
      <c r="G530" s="240">
        <v>45906</v>
      </c>
      <c r="H530" s="320">
        <v>2307.2000000000003</v>
      </c>
      <c r="I530" s="321">
        <v>0.504</v>
      </c>
      <c r="J530" s="320">
        <f>H530*I530</f>
        <v>1162.8288000000002</v>
      </c>
      <c r="K530" s="18"/>
      <c r="L530" s="18"/>
      <c r="M530" s="40">
        <f t="shared" si="235"/>
        <v>1162.8288000000002</v>
      </c>
      <c r="N530" s="40">
        <f t="shared" si="236"/>
        <v>1162.8288000000002</v>
      </c>
      <c r="O530" s="302" t="s">
        <v>263</v>
      </c>
      <c r="P530" s="85">
        <f t="shared" si="237"/>
        <v>45843</v>
      </c>
      <c r="Q530" s="85"/>
      <c r="R530" s="85">
        <f t="shared" si="238"/>
        <v>2</v>
      </c>
      <c r="S530" s="7">
        <f t="shared" ca="1" si="239"/>
        <v>3</v>
      </c>
      <c r="T530" s="85">
        <f>G530-32-13</f>
        <v>45861</v>
      </c>
      <c r="U530" s="85"/>
      <c r="V530" s="7">
        <f t="shared" ca="1" si="240"/>
        <v>21</v>
      </c>
      <c r="W530" s="85"/>
      <c r="X530" s="8"/>
    </row>
    <row r="531" spans="1:24" ht="14.5" hidden="1">
      <c r="A531" s="14">
        <v>218</v>
      </c>
      <c r="B531" s="15" t="s">
        <v>59</v>
      </c>
      <c r="C531" s="14"/>
      <c r="D531" s="318" t="s">
        <v>920</v>
      </c>
      <c r="E531" s="146" t="s">
        <v>242</v>
      </c>
      <c r="F531" s="14" t="s">
        <v>921</v>
      </c>
      <c r="G531" s="240">
        <v>45906</v>
      </c>
      <c r="H531" s="320">
        <v>2307.2000000000003</v>
      </c>
      <c r="I531" s="321">
        <v>0.504</v>
      </c>
      <c r="J531" s="320">
        <f>H531*I531</f>
        <v>1162.8288000000002</v>
      </c>
      <c r="K531" s="18"/>
      <c r="L531" s="18"/>
      <c r="M531" s="40">
        <f t="shared" si="235"/>
        <v>1162.8288000000002</v>
      </c>
      <c r="N531" s="40">
        <f t="shared" si="236"/>
        <v>1162.8288000000002</v>
      </c>
      <c r="O531" s="302" t="s">
        <v>263</v>
      </c>
      <c r="P531" s="85">
        <f t="shared" si="237"/>
        <v>45843</v>
      </c>
      <c r="Q531" s="85"/>
      <c r="R531" s="85">
        <f t="shared" si="238"/>
        <v>2</v>
      </c>
      <c r="S531" s="7">
        <f t="shared" ca="1" si="239"/>
        <v>3</v>
      </c>
      <c r="T531" s="85">
        <f>G531-32-13</f>
        <v>45861</v>
      </c>
      <c r="U531" s="85"/>
      <c r="V531" s="7">
        <f t="shared" ca="1" si="240"/>
        <v>21</v>
      </c>
      <c r="W531" s="85"/>
      <c r="X531" s="8"/>
    </row>
    <row r="532" spans="1:24" ht="14.5" hidden="1">
      <c r="A532" s="14">
        <v>219</v>
      </c>
      <c r="B532" s="15" t="s">
        <v>59</v>
      </c>
      <c r="C532" s="14"/>
      <c r="D532" s="318" t="s">
        <v>193</v>
      </c>
      <c r="E532" s="146" t="s">
        <v>246</v>
      </c>
      <c r="F532" s="146" t="s">
        <v>162</v>
      </c>
      <c r="G532" s="240">
        <v>45913</v>
      </c>
      <c r="H532" s="320">
        <v>2966.4</v>
      </c>
      <c r="I532" s="321">
        <v>0.35399999999999998</v>
      </c>
      <c r="J532" s="320">
        <f>H532*I532</f>
        <v>1050.1055999999999</v>
      </c>
      <c r="K532" s="18"/>
      <c r="L532" s="18"/>
      <c r="M532" s="40">
        <f t="shared" si="235"/>
        <v>1050.1055999999999</v>
      </c>
      <c r="N532" s="40">
        <f t="shared" si="236"/>
        <v>1050.1055999999999</v>
      </c>
      <c r="O532" s="302" t="s">
        <v>178</v>
      </c>
      <c r="P532" s="85">
        <f t="shared" si="237"/>
        <v>45850</v>
      </c>
      <c r="Q532" s="85"/>
      <c r="R532" s="85">
        <f t="shared" si="238"/>
        <v>2</v>
      </c>
      <c r="S532" s="7">
        <f t="shared" ca="1" si="239"/>
        <v>10</v>
      </c>
      <c r="T532" s="85">
        <f>G532-32-13</f>
        <v>45868</v>
      </c>
      <c r="U532" s="85"/>
      <c r="V532" s="7">
        <f t="shared" ca="1" si="240"/>
        <v>28</v>
      </c>
      <c r="W532" s="85"/>
      <c r="X532" s="8"/>
    </row>
    <row r="533" spans="1:24" ht="14.5" hidden="1">
      <c r="A533" s="14">
        <v>219</v>
      </c>
      <c r="B533" s="15" t="s">
        <v>59</v>
      </c>
      <c r="C533" s="14"/>
      <c r="D533" s="318" t="s">
        <v>250</v>
      </c>
      <c r="E533" s="146" t="s">
        <v>269</v>
      </c>
      <c r="F533" s="146" t="s">
        <v>162</v>
      </c>
      <c r="G533" s="240">
        <v>45913</v>
      </c>
      <c r="H533" s="320">
        <v>1854</v>
      </c>
      <c r="I533" s="86">
        <v>2.8</v>
      </c>
      <c r="J533" s="320">
        <f t="shared" ref="J533" si="254">H533*I533</f>
        <v>5191.2</v>
      </c>
      <c r="K533" s="18"/>
      <c r="L533" s="18"/>
      <c r="M533" s="40">
        <f t="shared" si="235"/>
        <v>5191.2</v>
      </c>
      <c r="N533" s="40">
        <f t="shared" si="236"/>
        <v>5191.2</v>
      </c>
      <c r="O533" s="302" t="s">
        <v>178</v>
      </c>
      <c r="P533" s="85">
        <f t="shared" si="237"/>
        <v>45850</v>
      </c>
      <c r="Q533" s="85"/>
      <c r="R533" s="85">
        <f t="shared" si="238"/>
        <v>2</v>
      </c>
      <c r="S533" s="7">
        <f t="shared" ca="1" si="239"/>
        <v>10</v>
      </c>
      <c r="T533" s="85">
        <f>G533-32-13</f>
        <v>45868</v>
      </c>
      <c r="U533" s="85"/>
      <c r="V533" s="7">
        <f t="shared" ca="1" si="240"/>
        <v>28</v>
      </c>
      <c r="W533" s="85"/>
      <c r="X533" s="8"/>
    </row>
    <row r="534" spans="1:24" ht="14.5" hidden="1">
      <c r="A534" s="14">
        <v>219</v>
      </c>
      <c r="B534" s="15" t="s">
        <v>59</v>
      </c>
      <c r="C534" s="14"/>
      <c r="D534" s="318" t="s">
        <v>158</v>
      </c>
      <c r="E534" s="146" t="s">
        <v>242</v>
      </c>
      <c r="F534" s="15" t="s">
        <v>154</v>
      </c>
      <c r="G534" s="240">
        <v>45913</v>
      </c>
      <c r="H534" s="320">
        <v>1334.88</v>
      </c>
      <c r="I534" s="321">
        <v>0.42799999999999999</v>
      </c>
      <c r="J534" s="320">
        <f>I534*H534</f>
        <v>571.32864000000006</v>
      </c>
      <c r="K534" s="18"/>
      <c r="L534" s="18"/>
      <c r="M534" s="40">
        <f t="shared" si="235"/>
        <v>571.32864000000006</v>
      </c>
      <c r="N534" s="40">
        <f t="shared" si="236"/>
        <v>571.32864000000006</v>
      </c>
      <c r="O534" s="302" t="s">
        <v>178</v>
      </c>
      <c r="P534" s="85">
        <f t="shared" si="237"/>
        <v>45863</v>
      </c>
      <c r="Q534" s="85"/>
      <c r="R534" s="85">
        <f t="shared" ref="R534" si="255">Q534+2</f>
        <v>2</v>
      </c>
      <c r="S534" s="7">
        <f t="shared" ref="S534" ca="1" si="256">+IF(Q534="",P534-TODAY(),P534-Q534)</f>
        <v>23</v>
      </c>
      <c r="T534" s="85">
        <f>G534-32</f>
        <v>45881</v>
      </c>
      <c r="U534" s="85"/>
      <c r="V534" s="7">
        <f t="shared" ca="1" si="240"/>
        <v>41</v>
      </c>
      <c r="W534" s="85"/>
      <c r="X534" s="8"/>
    </row>
    <row r="535" spans="1:24" ht="14.5" hidden="1">
      <c r="A535" s="14">
        <v>219</v>
      </c>
      <c r="B535" s="15" t="s">
        <v>59</v>
      </c>
      <c r="C535" s="14"/>
      <c r="D535" s="318" t="s">
        <v>920</v>
      </c>
      <c r="E535" s="146" t="s">
        <v>242</v>
      </c>
      <c r="F535" s="14" t="s">
        <v>919</v>
      </c>
      <c r="G535" s="240">
        <v>45913</v>
      </c>
      <c r="H535" s="320">
        <v>2307.2000000000003</v>
      </c>
      <c r="I535" s="321">
        <v>0.504</v>
      </c>
      <c r="J535" s="320">
        <f t="shared" ref="J535:J545" si="257">H535*I535</f>
        <v>1162.8288000000002</v>
      </c>
      <c r="K535" s="18"/>
      <c r="L535" s="18"/>
      <c r="M535" s="40">
        <f t="shared" si="235"/>
        <v>1162.8288000000002</v>
      </c>
      <c r="N535" s="40">
        <f t="shared" si="236"/>
        <v>1162.8288000000002</v>
      </c>
      <c r="O535" s="302" t="s">
        <v>263</v>
      </c>
      <c r="P535" s="85">
        <f t="shared" si="237"/>
        <v>45850</v>
      </c>
      <c r="Q535" s="85"/>
      <c r="R535" s="85">
        <f t="shared" si="238"/>
        <v>2</v>
      </c>
      <c r="S535" s="7">
        <f t="shared" ca="1" si="239"/>
        <v>10</v>
      </c>
      <c r="T535" s="85">
        <f t="shared" ref="T535:T544" si="258">G535-32-13</f>
        <v>45868</v>
      </c>
      <c r="U535" s="85"/>
      <c r="V535" s="7">
        <f t="shared" ca="1" si="240"/>
        <v>28</v>
      </c>
      <c r="W535" s="85"/>
      <c r="X535" s="8"/>
    </row>
    <row r="536" spans="1:24" ht="14.5" hidden="1">
      <c r="A536" s="14">
        <v>219</v>
      </c>
      <c r="B536" s="15" t="s">
        <v>59</v>
      </c>
      <c r="C536" s="14"/>
      <c r="D536" s="318" t="s">
        <v>920</v>
      </c>
      <c r="E536" s="146" t="s">
        <v>242</v>
      </c>
      <c r="F536" s="14" t="s">
        <v>921</v>
      </c>
      <c r="G536" s="240">
        <v>45913</v>
      </c>
      <c r="H536" s="320">
        <v>2307.2000000000003</v>
      </c>
      <c r="I536" s="321">
        <v>0.504</v>
      </c>
      <c r="J536" s="320">
        <f t="shared" si="257"/>
        <v>1162.8288000000002</v>
      </c>
      <c r="K536" s="18"/>
      <c r="L536" s="18"/>
      <c r="M536" s="40">
        <f t="shared" si="235"/>
        <v>1162.8288000000002</v>
      </c>
      <c r="N536" s="40">
        <f t="shared" si="236"/>
        <v>1162.8288000000002</v>
      </c>
      <c r="O536" s="302" t="s">
        <v>263</v>
      </c>
      <c r="P536" s="85">
        <f t="shared" si="237"/>
        <v>45850</v>
      </c>
      <c r="Q536" s="85"/>
      <c r="R536" s="85">
        <f t="shared" si="238"/>
        <v>2</v>
      </c>
      <c r="S536" s="7">
        <f t="shared" ca="1" si="239"/>
        <v>10</v>
      </c>
      <c r="T536" s="85">
        <f t="shared" si="258"/>
        <v>45868</v>
      </c>
      <c r="U536" s="85"/>
      <c r="V536" s="7">
        <f t="shared" ca="1" si="240"/>
        <v>28</v>
      </c>
      <c r="W536" s="85"/>
      <c r="X536" s="8"/>
    </row>
    <row r="537" spans="1:24" ht="14.5" hidden="1">
      <c r="A537" s="14">
        <v>220</v>
      </c>
      <c r="B537" s="15" t="s">
        <v>59</v>
      </c>
      <c r="C537" s="14"/>
      <c r="D537" s="318" t="s">
        <v>189</v>
      </c>
      <c r="E537" s="146" t="s">
        <v>242</v>
      </c>
      <c r="F537" s="146" t="s">
        <v>90</v>
      </c>
      <c r="G537" s="240">
        <v>45920</v>
      </c>
      <c r="H537" s="320">
        <v>3114.7200000000003</v>
      </c>
      <c r="I537" s="321">
        <v>0.48299999999999998</v>
      </c>
      <c r="J537" s="320">
        <f t="shared" si="257"/>
        <v>1504.40976</v>
      </c>
      <c r="K537" s="18">
        <v>1504</v>
      </c>
      <c r="L537" s="18"/>
      <c r="M537" s="40">
        <f t="shared" si="235"/>
        <v>1504.40976</v>
      </c>
      <c r="N537" s="40">
        <f t="shared" si="236"/>
        <v>0.40976000000000568</v>
      </c>
      <c r="O537" s="302" t="s">
        <v>178</v>
      </c>
      <c r="P537" s="85">
        <f t="shared" si="237"/>
        <v>45857</v>
      </c>
      <c r="Q537" s="85">
        <v>45831</v>
      </c>
      <c r="R537" s="85">
        <f t="shared" si="238"/>
        <v>45833</v>
      </c>
      <c r="S537" s="7">
        <f t="shared" ca="1" si="239"/>
        <v>26</v>
      </c>
      <c r="T537" s="85">
        <f t="shared" si="258"/>
        <v>45875</v>
      </c>
      <c r="U537" s="85"/>
      <c r="V537" s="7">
        <f t="shared" ca="1" si="240"/>
        <v>35</v>
      </c>
      <c r="W537" s="85"/>
      <c r="X537" s="8"/>
    </row>
    <row r="538" spans="1:24" ht="14.5" hidden="1">
      <c r="A538" s="14">
        <v>220</v>
      </c>
      <c r="B538" s="15" t="s">
        <v>59</v>
      </c>
      <c r="C538" s="14"/>
      <c r="D538" s="318" t="s">
        <v>920</v>
      </c>
      <c r="E538" s="146" t="s">
        <v>242</v>
      </c>
      <c r="F538" s="14" t="s">
        <v>919</v>
      </c>
      <c r="G538" s="240">
        <v>45920</v>
      </c>
      <c r="H538" s="320">
        <v>4037.6</v>
      </c>
      <c r="I538" s="321">
        <v>0.504</v>
      </c>
      <c r="J538" s="320">
        <f t="shared" si="257"/>
        <v>2034.9503999999999</v>
      </c>
      <c r="K538" s="18"/>
      <c r="L538" s="18"/>
      <c r="M538" s="40">
        <f t="shared" si="235"/>
        <v>2034.9503999999999</v>
      </c>
      <c r="N538" s="40">
        <f t="shared" si="236"/>
        <v>2034.9503999999999</v>
      </c>
      <c r="O538" s="302" t="s">
        <v>263</v>
      </c>
      <c r="P538" s="85">
        <f t="shared" si="237"/>
        <v>45857</v>
      </c>
      <c r="Q538" s="85"/>
      <c r="R538" s="85">
        <f t="shared" si="238"/>
        <v>2</v>
      </c>
      <c r="S538" s="7">
        <f t="shared" ca="1" si="239"/>
        <v>17</v>
      </c>
      <c r="T538" s="85">
        <f t="shared" si="258"/>
        <v>45875</v>
      </c>
      <c r="U538" s="85"/>
      <c r="V538" s="7">
        <f t="shared" ca="1" si="240"/>
        <v>35</v>
      </c>
      <c r="W538" s="85"/>
      <c r="X538" s="8"/>
    </row>
    <row r="539" spans="1:24" ht="14.5" hidden="1">
      <c r="A539" s="14">
        <v>220</v>
      </c>
      <c r="B539" s="15" t="s">
        <v>59</v>
      </c>
      <c r="C539" s="14"/>
      <c r="D539" s="318" t="s">
        <v>920</v>
      </c>
      <c r="E539" s="146" t="s">
        <v>242</v>
      </c>
      <c r="F539" s="14" t="s">
        <v>921</v>
      </c>
      <c r="G539" s="240">
        <v>45920</v>
      </c>
      <c r="H539" s="320">
        <v>4037.6</v>
      </c>
      <c r="I539" s="321">
        <v>0.504</v>
      </c>
      <c r="J539" s="320">
        <f t="shared" si="257"/>
        <v>2034.9503999999999</v>
      </c>
      <c r="K539" s="18"/>
      <c r="L539" s="18"/>
      <c r="M539" s="40">
        <f t="shared" si="235"/>
        <v>2034.9503999999999</v>
      </c>
      <c r="N539" s="40">
        <f t="shared" si="236"/>
        <v>2034.9503999999999</v>
      </c>
      <c r="O539" s="302" t="s">
        <v>263</v>
      </c>
      <c r="P539" s="85">
        <f t="shared" si="237"/>
        <v>45857</v>
      </c>
      <c r="Q539" s="85"/>
      <c r="R539" s="85">
        <f t="shared" si="238"/>
        <v>2</v>
      </c>
      <c r="S539" s="7">
        <f t="shared" ca="1" si="239"/>
        <v>17</v>
      </c>
      <c r="T539" s="85">
        <f t="shared" si="258"/>
        <v>45875</v>
      </c>
      <c r="U539" s="85"/>
      <c r="V539" s="7">
        <f t="shared" ca="1" si="240"/>
        <v>35</v>
      </c>
      <c r="W539" s="85"/>
      <c r="X539" s="8"/>
    </row>
    <row r="540" spans="1:24" ht="14.5">
      <c r="A540" s="14">
        <v>221</v>
      </c>
      <c r="B540" s="15" t="s">
        <v>59</v>
      </c>
      <c r="C540" s="14"/>
      <c r="D540" s="318" t="s">
        <v>201</v>
      </c>
      <c r="E540" s="146" t="s">
        <v>247</v>
      </c>
      <c r="F540" s="146" t="s">
        <v>155</v>
      </c>
      <c r="G540" s="240">
        <v>45920</v>
      </c>
      <c r="H540" s="320">
        <v>4746.24</v>
      </c>
      <c r="I540" s="321">
        <v>0.84</v>
      </c>
      <c r="J540" s="320">
        <f t="shared" si="257"/>
        <v>3986.8415999999997</v>
      </c>
      <c r="K540" s="18"/>
      <c r="L540" s="18"/>
      <c r="M540" s="40">
        <f t="shared" si="235"/>
        <v>3986.8415999999997</v>
      </c>
      <c r="N540" s="40">
        <f t="shared" si="236"/>
        <v>3986.8415999999997</v>
      </c>
      <c r="O540" s="302" t="s">
        <v>178</v>
      </c>
      <c r="P540" s="85">
        <f t="shared" si="237"/>
        <v>45857</v>
      </c>
      <c r="Q540" s="85"/>
      <c r="R540" s="85">
        <f t="shared" si="238"/>
        <v>2</v>
      </c>
      <c r="S540" s="7">
        <f t="shared" ca="1" si="239"/>
        <v>17</v>
      </c>
      <c r="T540" s="85">
        <f t="shared" si="258"/>
        <v>45875</v>
      </c>
      <c r="U540" s="85"/>
      <c r="V540" s="7">
        <f t="shared" ca="1" si="240"/>
        <v>35</v>
      </c>
      <c r="W540" s="85"/>
      <c r="X540" s="8"/>
    </row>
    <row r="541" spans="1:24" ht="14.5" hidden="1">
      <c r="A541" s="14">
        <v>221</v>
      </c>
      <c r="B541" s="15" t="s">
        <v>59</v>
      </c>
      <c r="C541" s="14"/>
      <c r="D541" s="318" t="s">
        <v>901</v>
      </c>
      <c r="E541" s="14" t="s">
        <v>242</v>
      </c>
      <c r="F541" s="137" t="s">
        <v>244</v>
      </c>
      <c r="G541" s="240">
        <v>45920</v>
      </c>
      <c r="H541" s="320">
        <v>1334.88</v>
      </c>
      <c r="I541" s="321">
        <v>0.45</v>
      </c>
      <c r="J541" s="320">
        <f t="shared" si="257"/>
        <v>600.69600000000003</v>
      </c>
      <c r="K541" s="18">
        <v>601</v>
      </c>
      <c r="L541" s="18">
        <v>601</v>
      </c>
      <c r="M541" s="40">
        <f t="shared" si="235"/>
        <v>-0.30399999999997362</v>
      </c>
      <c r="N541" s="40">
        <f t="shared" si="236"/>
        <v>-0.30399999999997362</v>
      </c>
      <c r="O541" s="301" t="s">
        <v>948</v>
      </c>
      <c r="P541" s="85">
        <f t="shared" si="237"/>
        <v>45857</v>
      </c>
      <c r="Q541" s="85">
        <v>45827</v>
      </c>
      <c r="R541" s="85">
        <f t="shared" si="238"/>
        <v>45829</v>
      </c>
      <c r="S541" s="7">
        <f t="shared" ca="1" si="239"/>
        <v>30</v>
      </c>
      <c r="T541" s="85">
        <f t="shared" si="258"/>
        <v>45875</v>
      </c>
      <c r="U541" s="85"/>
      <c r="V541" s="7">
        <f t="shared" ca="1" si="240"/>
        <v>35</v>
      </c>
      <c r="W541" s="337" t="s">
        <v>954</v>
      </c>
      <c r="X541" s="8"/>
    </row>
    <row r="542" spans="1:24" ht="14.5" hidden="1">
      <c r="A542" s="14">
        <v>221</v>
      </c>
      <c r="B542" s="15" t="s">
        <v>59</v>
      </c>
      <c r="C542" s="14"/>
      <c r="D542" s="318" t="s">
        <v>920</v>
      </c>
      <c r="E542" s="146" t="s">
        <v>242</v>
      </c>
      <c r="F542" s="14" t="s">
        <v>919</v>
      </c>
      <c r="G542" s="240">
        <v>45920</v>
      </c>
      <c r="H542" s="320">
        <v>9228.8000000000011</v>
      </c>
      <c r="I542" s="321">
        <v>0.504</v>
      </c>
      <c r="J542" s="320">
        <f t="shared" si="257"/>
        <v>4651.3152000000009</v>
      </c>
      <c r="K542" s="18"/>
      <c r="L542" s="18"/>
      <c r="M542" s="40">
        <f t="shared" si="235"/>
        <v>4651.3152000000009</v>
      </c>
      <c r="N542" s="40">
        <f t="shared" si="236"/>
        <v>4651.3152000000009</v>
      </c>
      <c r="O542" s="302" t="s">
        <v>263</v>
      </c>
      <c r="P542" s="85">
        <f t="shared" si="237"/>
        <v>45857</v>
      </c>
      <c r="Q542" s="85"/>
      <c r="R542" s="85">
        <f t="shared" si="238"/>
        <v>2</v>
      </c>
      <c r="S542" s="7">
        <f t="shared" ca="1" si="239"/>
        <v>17</v>
      </c>
      <c r="T542" s="85">
        <f t="shared" si="258"/>
        <v>45875</v>
      </c>
      <c r="U542" s="85"/>
      <c r="V542" s="7">
        <f t="shared" ca="1" si="240"/>
        <v>35</v>
      </c>
      <c r="W542" s="85"/>
      <c r="X542" s="8"/>
    </row>
    <row r="543" spans="1:24" ht="14.5" hidden="1">
      <c r="A543" s="14">
        <v>221</v>
      </c>
      <c r="B543" s="15" t="s">
        <v>59</v>
      </c>
      <c r="C543" s="14"/>
      <c r="D543" s="318" t="s">
        <v>920</v>
      </c>
      <c r="E543" s="146" t="s">
        <v>242</v>
      </c>
      <c r="F543" s="14" t="s">
        <v>921</v>
      </c>
      <c r="G543" s="240">
        <v>45920</v>
      </c>
      <c r="H543" s="320">
        <v>9228.8000000000011</v>
      </c>
      <c r="I543" s="321">
        <v>0.504</v>
      </c>
      <c r="J543" s="320">
        <f t="shared" si="257"/>
        <v>4651.3152000000009</v>
      </c>
      <c r="K543" s="18"/>
      <c r="L543" s="18"/>
      <c r="M543" s="40">
        <f t="shared" si="235"/>
        <v>4651.3152000000009</v>
      </c>
      <c r="N543" s="40">
        <f t="shared" si="236"/>
        <v>4651.3152000000009</v>
      </c>
      <c r="O543" s="302" t="s">
        <v>263</v>
      </c>
      <c r="P543" s="85">
        <f t="shared" si="237"/>
        <v>45857</v>
      </c>
      <c r="Q543" s="85"/>
      <c r="R543" s="85">
        <f t="shared" si="238"/>
        <v>2</v>
      </c>
      <c r="S543" s="7">
        <f t="shared" ca="1" si="239"/>
        <v>17</v>
      </c>
      <c r="T543" s="85">
        <f t="shared" si="258"/>
        <v>45875</v>
      </c>
      <c r="U543" s="85"/>
      <c r="V543" s="7">
        <f t="shared" ca="1" si="240"/>
        <v>35</v>
      </c>
      <c r="W543" s="85"/>
      <c r="X543" s="8"/>
    </row>
    <row r="544" spans="1:24" ht="14.5" hidden="1">
      <c r="A544" s="14">
        <v>222</v>
      </c>
      <c r="B544" s="15" t="s">
        <v>59</v>
      </c>
      <c r="C544" s="14"/>
      <c r="D544" s="318" t="s">
        <v>193</v>
      </c>
      <c r="E544" s="146" t="s">
        <v>246</v>
      </c>
      <c r="F544" s="146" t="s">
        <v>162</v>
      </c>
      <c r="G544" s="240">
        <v>45920</v>
      </c>
      <c r="H544" s="320">
        <v>2966.4</v>
      </c>
      <c r="I544" s="321">
        <v>0.35399999999999998</v>
      </c>
      <c r="J544" s="320">
        <f t="shared" si="257"/>
        <v>1050.1055999999999</v>
      </c>
      <c r="K544" s="18"/>
      <c r="L544" s="18"/>
      <c r="M544" s="40">
        <f t="shared" si="235"/>
        <v>1050.1055999999999</v>
      </c>
      <c r="N544" s="40">
        <f t="shared" si="236"/>
        <v>1050.1055999999999</v>
      </c>
      <c r="O544" s="302" t="s">
        <v>178</v>
      </c>
      <c r="P544" s="85">
        <f t="shared" si="237"/>
        <v>45857</v>
      </c>
      <c r="Q544" s="85"/>
      <c r="R544" s="85">
        <f t="shared" si="238"/>
        <v>2</v>
      </c>
      <c r="S544" s="7">
        <f t="shared" ca="1" si="239"/>
        <v>17</v>
      </c>
      <c r="T544" s="85">
        <f t="shared" si="258"/>
        <v>45875</v>
      </c>
      <c r="U544" s="85"/>
      <c r="V544" s="7">
        <f t="shared" ca="1" si="240"/>
        <v>35</v>
      </c>
      <c r="W544" s="85"/>
      <c r="X544" s="8"/>
    </row>
    <row r="545" spans="1:24" ht="14.5" hidden="1">
      <c r="A545" s="14">
        <v>222</v>
      </c>
      <c r="B545" s="15" t="s">
        <v>59</v>
      </c>
      <c r="C545" s="14"/>
      <c r="D545" s="318" t="s">
        <v>136</v>
      </c>
      <c r="E545" s="146" t="s">
        <v>247</v>
      </c>
      <c r="F545" s="146" t="s">
        <v>162</v>
      </c>
      <c r="G545" s="240">
        <v>45920</v>
      </c>
      <c r="H545" s="320">
        <v>4449.6000000000004</v>
      </c>
      <c r="I545" s="321">
        <v>0.28000000000000003</v>
      </c>
      <c r="J545" s="320">
        <f t="shared" si="257"/>
        <v>1245.8880000000001</v>
      </c>
      <c r="K545" s="18"/>
      <c r="L545" s="18"/>
      <c r="M545" s="40">
        <f t="shared" si="235"/>
        <v>1245.8880000000001</v>
      </c>
      <c r="N545" s="40">
        <f t="shared" si="236"/>
        <v>1245.8880000000001</v>
      </c>
      <c r="O545" s="301" t="s">
        <v>265</v>
      </c>
      <c r="P545" s="85">
        <f t="shared" si="237"/>
        <v>45870</v>
      </c>
      <c r="Q545" s="85"/>
      <c r="R545" s="85">
        <f t="shared" ref="R545:R549" si="259">Q545+2</f>
        <v>2</v>
      </c>
      <c r="S545" s="7">
        <f t="shared" ref="S545:S549" ca="1" si="260">+IF(Q545="",P545-TODAY(),P545-Q545)</f>
        <v>30</v>
      </c>
      <c r="T545" s="85">
        <f>G545-32</f>
        <v>45888</v>
      </c>
      <c r="U545" s="85"/>
      <c r="V545" s="7">
        <f t="shared" ca="1" si="240"/>
        <v>48</v>
      </c>
      <c r="W545" s="85"/>
      <c r="X545" s="8"/>
    </row>
    <row r="546" spans="1:24" ht="14.5" hidden="1">
      <c r="A546" s="14">
        <v>222</v>
      </c>
      <c r="B546" s="15" t="s">
        <v>59</v>
      </c>
      <c r="C546" s="14"/>
      <c r="D546" s="318" t="s">
        <v>136</v>
      </c>
      <c r="E546" s="146" t="s">
        <v>247</v>
      </c>
      <c r="F546" s="146" t="s">
        <v>163</v>
      </c>
      <c r="G546" s="240">
        <v>45920</v>
      </c>
      <c r="H546" s="320">
        <v>4449.6000000000004</v>
      </c>
      <c r="I546" s="321">
        <v>0.28000000000000003</v>
      </c>
      <c r="J546" s="320">
        <f t="shared" ref="J546:J547" si="261">H546*I546</f>
        <v>1245.8880000000001</v>
      </c>
      <c r="K546" s="18"/>
      <c r="L546" s="18"/>
      <c r="M546" s="40">
        <f t="shared" ref="M546:M547" si="262">+J546-L546</f>
        <v>1245.8880000000001</v>
      </c>
      <c r="N546" s="40">
        <f t="shared" ref="N546:N547" si="263">J546-K546</f>
        <v>1245.8880000000001</v>
      </c>
      <c r="O546" s="301" t="s">
        <v>265</v>
      </c>
      <c r="P546" s="85">
        <f t="shared" si="237"/>
        <v>45870</v>
      </c>
      <c r="Q546" s="85"/>
      <c r="R546" s="85">
        <f t="shared" si="259"/>
        <v>2</v>
      </c>
      <c r="S546" s="7">
        <f t="shared" ca="1" si="260"/>
        <v>30</v>
      </c>
      <c r="T546" s="85">
        <f>G546-32</f>
        <v>45888</v>
      </c>
      <c r="U546" s="85"/>
      <c r="V546" s="7">
        <f t="shared" ref="V546:V547" ca="1" si="264">+IF(U546="",T546-TODAY(),T546-U546)</f>
        <v>48</v>
      </c>
      <c r="W546" s="85"/>
      <c r="X546" s="8"/>
    </row>
    <row r="547" spans="1:24" ht="14.5" hidden="1">
      <c r="A547" s="14">
        <v>222</v>
      </c>
      <c r="B547" s="15" t="s">
        <v>59</v>
      </c>
      <c r="C547" s="14"/>
      <c r="D547" s="318" t="s">
        <v>136</v>
      </c>
      <c r="E547" s="146" t="s">
        <v>247</v>
      </c>
      <c r="F547" s="146" t="s">
        <v>164</v>
      </c>
      <c r="G547" s="240">
        <v>45920</v>
      </c>
      <c r="H547" s="320">
        <v>4449.6000000000004</v>
      </c>
      <c r="I547" s="321">
        <v>0.28000000000000003</v>
      </c>
      <c r="J547" s="320">
        <f t="shared" si="261"/>
        <v>1245.8880000000001</v>
      </c>
      <c r="K547" s="18"/>
      <c r="L547" s="18"/>
      <c r="M547" s="40">
        <f t="shared" si="262"/>
        <v>1245.8880000000001</v>
      </c>
      <c r="N547" s="40">
        <f t="shared" si="263"/>
        <v>1245.8880000000001</v>
      </c>
      <c r="O547" s="301" t="s">
        <v>265</v>
      </c>
      <c r="P547" s="85">
        <f t="shared" ref="P547:P568" si="265">T547-18</f>
        <v>45870</v>
      </c>
      <c r="Q547" s="85"/>
      <c r="R547" s="85">
        <f t="shared" si="259"/>
        <v>2</v>
      </c>
      <c r="S547" s="7">
        <f t="shared" ca="1" si="260"/>
        <v>30</v>
      </c>
      <c r="T547" s="85">
        <f>G547-32</f>
        <v>45888</v>
      </c>
      <c r="U547" s="85"/>
      <c r="V547" s="7">
        <f t="shared" ca="1" si="264"/>
        <v>48</v>
      </c>
      <c r="W547" s="85"/>
      <c r="X547" s="8"/>
    </row>
    <row r="548" spans="1:24" ht="14.5" hidden="1">
      <c r="A548" s="14">
        <v>222</v>
      </c>
      <c r="B548" s="15" t="s">
        <v>59</v>
      </c>
      <c r="C548" s="14"/>
      <c r="D548" s="318" t="s">
        <v>158</v>
      </c>
      <c r="E548" s="146" t="s">
        <v>242</v>
      </c>
      <c r="F548" s="15" t="s">
        <v>154</v>
      </c>
      <c r="G548" s="240">
        <v>45920</v>
      </c>
      <c r="H548" s="320">
        <v>1557.3600000000001</v>
      </c>
      <c r="I548" s="321">
        <v>0.42799999999999999</v>
      </c>
      <c r="J548" s="320">
        <f>I548*H548</f>
        <v>666.55008000000009</v>
      </c>
      <c r="K548" s="18"/>
      <c r="L548" s="18"/>
      <c r="M548" s="40">
        <f t="shared" si="235"/>
        <v>666.55008000000009</v>
      </c>
      <c r="N548" s="40">
        <f t="shared" si="236"/>
        <v>666.55008000000009</v>
      </c>
      <c r="O548" s="302" t="s">
        <v>178</v>
      </c>
      <c r="P548" s="85">
        <f t="shared" si="265"/>
        <v>45870</v>
      </c>
      <c r="Q548" s="85"/>
      <c r="R548" s="85">
        <f t="shared" si="259"/>
        <v>2</v>
      </c>
      <c r="S548" s="7">
        <f t="shared" ca="1" si="260"/>
        <v>30</v>
      </c>
      <c r="T548" s="85">
        <f>G548-32</f>
        <v>45888</v>
      </c>
      <c r="U548" s="85"/>
      <c r="V548" s="7">
        <f t="shared" ca="1" si="240"/>
        <v>48</v>
      </c>
      <c r="W548" s="85"/>
      <c r="X548" s="8"/>
    </row>
    <row r="549" spans="1:24" ht="14.5" hidden="1">
      <c r="A549" s="14">
        <v>222</v>
      </c>
      <c r="B549" s="15" t="s">
        <v>59</v>
      </c>
      <c r="C549" s="14"/>
      <c r="D549" s="318" t="s">
        <v>195</v>
      </c>
      <c r="E549" s="146" t="s">
        <v>838</v>
      </c>
      <c r="F549" s="146" t="s">
        <v>162</v>
      </c>
      <c r="G549" s="240">
        <v>45920</v>
      </c>
      <c r="H549" s="320">
        <v>4449.6000000000004</v>
      </c>
      <c r="I549" s="86">
        <v>0.23</v>
      </c>
      <c r="J549" s="320">
        <f>H549*I549</f>
        <v>1023.4080000000001</v>
      </c>
      <c r="K549" s="18">
        <v>1023</v>
      </c>
      <c r="L549" s="18"/>
      <c r="M549" s="40">
        <f t="shared" si="235"/>
        <v>1023.4080000000001</v>
      </c>
      <c r="N549" s="40">
        <f t="shared" si="236"/>
        <v>0.40800000000012915</v>
      </c>
      <c r="O549" s="302" t="s">
        <v>178</v>
      </c>
      <c r="P549" s="85">
        <f t="shared" si="265"/>
        <v>45870</v>
      </c>
      <c r="Q549" s="85">
        <v>45838</v>
      </c>
      <c r="R549" s="85">
        <f t="shared" si="259"/>
        <v>45840</v>
      </c>
      <c r="S549" s="7">
        <f t="shared" ca="1" si="260"/>
        <v>32</v>
      </c>
      <c r="T549" s="85">
        <f>G549-32</f>
        <v>45888</v>
      </c>
      <c r="U549" s="85"/>
      <c r="V549" s="7">
        <f t="shared" ca="1" si="240"/>
        <v>48</v>
      </c>
      <c r="W549" s="85"/>
      <c r="X549" s="8"/>
    </row>
    <row r="550" spans="1:24" ht="14.5" hidden="1">
      <c r="A550" s="14">
        <v>222</v>
      </c>
      <c r="B550" s="15" t="s">
        <v>59</v>
      </c>
      <c r="C550" s="14"/>
      <c r="D550" s="318" t="s">
        <v>920</v>
      </c>
      <c r="E550" s="146" t="s">
        <v>242</v>
      </c>
      <c r="F550" s="14" t="s">
        <v>919</v>
      </c>
      <c r="G550" s="240">
        <v>45920</v>
      </c>
      <c r="H550" s="320">
        <v>5191.2</v>
      </c>
      <c r="I550" s="321">
        <v>0.504</v>
      </c>
      <c r="J550" s="320">
        <f>H550*I550</f>
        <v>2616.3647999999998</v>
      </c>
      <c r="K550" s="18"/>
      <c r="L550" s="18"/>
      <c r="M550" s="40">
        <f t="shared" si="235"/>
        <v>2616.3647999999998</v>
      </c>
      <c r="N550" s="40">
        <f t="shared" si="236"/>
        <v>2616.3647999999998</v>
      </c>
      <c r="O550" s="302" t="s">
        <v>178</v>
      </c>
      <c r="P550" s="85">
        <f t="shared" si="265"/>
        <v>45857</v>
      </c>
      <c r="Q550" s="85"/>
      <c r="R550" s="85">
        <f t="shared" si="238"/>
        <v>2</v>
      </c>
      <c r="S550" s="7">
        <f t="shared" ca="1" si="239"/>
        <v>17</v>
      </c>
      <c r="T550" s="85">
        <f>G550-32-13</f>
        <v>45875</v>
      </c>
      <c r="U550" s="85"/>
      <c r="V550" s="7">
        <f t="shared" ca="1" si="240"/>
        <v>35</v>
      </c>
      <c r="W550" s="85"/>
      <c r="X550" s="8"/>
    </row>
    <row r="551" spans="1:24" ht="14.5" hidden="1">
      <c r="A551" s="14">
        <v>222</v>
      </c>
      <c r="B551" s="15" t="s">
        <v>59</v>
      </c>
      <c r="C551" s="14"/>
      <c r="D551" s="318" t="s">
        <v>920</v>
      </c>
      <c r="E551" s="146" t="s">
        <v>242</v>
      </c>
      <c r="F551" s="14" t="s">
        <v>921</v>
      </c>
      <c r="G551" s="240">
        <v>45920</v>
      </c>
      <c r="H551" s="320">
        <v>5191.2</v>
      </c>
      <c r="I551" s="321">
        <v>0.504</v>
      </c>
      <c r="J551" s="320">
        <f>H551*I551</f>
        <v>2616.3647999999998</v>
      </c>
      <c r="K551" s="18"/>
      <c r="L551" s="18"/>
      <c r="M551" s="40">
        <f t="shared" si="235"/>
        <v>2616.3647999999998</v>
      </c>
      <c r="N551" s="40">
        <f t="shared" si="236"/>
        <v>2616.3647999999998</v>
      </c>
      <c r="O551" s="302" t="s">
        <v>178</v>
      </c>
      <c r="P551" s="85">
        <f t="shared" si="265"/>
        <v>45857</v>
      </c>
      <c r="Q551" s="85"/>
      <c r="R551" s="85">
        <f t="shared" si="238"/>
        <v>2</v>
      </c>
      <c r="S551" s="7">
        <f t="shared" ca="1" si="239"/>
        <v>17</v>
      </c>
      <c r="T551" s="85">
        <f>G551-32-13</f>
        <v>45875</v>
      </c>
      <c r="U551" s="85"/>
      <c r="V551" s="7">
        <f t="shared" ca="1" si="240"/>
        <v>35</v>
      </c>
      <c r="W551" s="85"/>
      <c r="X551" s="8"/>
    </row>
    <row r="552" spans="1:24" ht="14.5" hidden="1">
      <c r="A552" s="14">
        <v>223</v>
      </c>
      <c r="B552" s="15" t="s">
        <v>59</v>
      </c>
      <c r="C552" s="14"/>
      <c r="D552" s="318" t="s">
        <v>193</v>
      </c>
      <c r="E552" s="146" t="s">
        <v>246</v>
      </c>
      <c r="F552" s="146" t="s">
        <v>162</v>
      </c>
      <c r="G552" s="240">
        <v>45934</v>
      </c>
      <c r="H552" s="320">
        <v>2966.4</v>
      </c>
      <c r="I552" s="321">
        <v>0.35399999999999998</v>
      </c>
      <c r="J552" s="320">
        <f>H552*I552</f>
        <v>1050.1055999999999</v>
      </c>
      <c r="K552" s="18"/>
      <c r="L552" s="18"/>
      <c r="M552" s="40">
        <f t="shared" si="235"/>
        <v>1050.1055999999999</v>
      </c>
      <c r="N552" s="40">
        <f t="shared" si="236"/>
        <v>1050.1055999999999</v>
      </c>
      <c r="O552" s="302" t="s">
        <v>178</v>
      </c>
      <c r="P552" s="85">
        <f t="shared" si="265"/>
        <v>45871</v>
      </c>
      <c r="Q552" s="85"/>
      <c r="R552" s="85">
        <f t="shared" si="238"/>
        <v>2</v>
      </c>
      <c r="S552" s="7">
        <f t="shared" ca="1" si="239"/>
        <v>31</v>
      </c>
      <c r="T552" s="85">
        <f>G552-32-13</f>
        <v>45889</v>
      </c>
      <c r="U552" s="85"/>
      <c r="V552" s="7">
        <f t="shared" ca="1" si="240"/>
        <v>49</v>
      </c>
      <c r="W552" s="85"/>
      <c r="X552" s="8"/>
    </row>
    <row r="553" spans="1:24" ht="14.5" hidden="1">
      <c r="A553" s="14">
        <v>223</v>
      </c>
      <c r="B553" s="15" t="s">
        <v>59</v>
      </c>
      <c r="C553" s="14"/>
      <c r="D553" s="318" t="s">
        <v>136</v>
      </c>
      <c r="E553" s="146" t="s">
        <v>247</v>
      </c>
      <c r="F553" s="146" t="s">
        <v>162</v>
      </c>
      <c r="G553" s="240">
        <v>45934</v>
      </c>
      <c r="H553" s="320">
        <v>2966.4</v>
      </c>
      <c r="I553" s="321">
        <v>0.28000000000000003</v>
      </c>
      <c r="J553" s="320">
        <f t="shared" ref="J553:J555" si="266">H553*I553</f>
        <v>830.5920000000001</v>
      </c>
      <c r="K553" s="18"/>
      <c r="L553" s="18"/>
      <c r="M553" s="40">
        <f t="shared" si="235"/>
        <v>830.5920000000001</v>
      </c>
      <c r="N553" s="40">
        <f t="shared" si="236"/>
        <v>830.5920000000001</v>
      </c>
      <c r="O553" s="301" t="s">
        <v>265</v>
      </c>
      <c r="P553" s="85">
        <f t="shared" si="265"/>
        <v>45884</v>
      </c>
      <c r="Q553" s="85"/>
      <c r="R553" s="85">
        <f t="shared" ref="R553:R557" si="267">Q553+2</f>
        <v>2</v>
      </c>
      <c r="S553" s="7">
        <f t="shared" ref="S553:S557" ca="1" si="268">+IF(Q553="",P553-TODAY(),P553-Q553)</f>
        <v>44</v>
      </c>
      <c r="T553" s="85">
        <f>G553-32</f>
        <v>45902</v>
      </c>
      <c r="U553" s="85"/>
      <c r="V553" s="7">
        <f t="shared" ca="1" si="240"/>
        <v>62</v>
      </c>
      <c r="W553" s="85"/>
      <c r="X553" s="8"/>
    </row>
    <row r="554" spans="1:24" ht="14.5" hidden="1">
      <c r="A554" s="14">
        <v>223</v>
      </c>
      <c r="B554" s="15" t="s">
        <v>59</v>
      </c>
      <c r="C554" s="14"/>
      <c r="D554" s="318" t="s">
        <v>136</v>
      </c>
      <c r="E554" s="146" t="s">
        <v>247</v>
      </c>
      <c r="F554" s="146" t="s">
        <v>163</v>
      </c>
      <c r="G554" s="240">
        <v>45934</v>
      </c>
      <c r="H554" s="320">
        <v>2966.4</v>
      </c>
      <c r="I554" s="321">
        <v>0.28000000000000003</v>
      </c>
      <c r="J554" s="320">
        <f t="shared" si="266"/>
        <v>830.5920000000001</v>
      </c>
      <c r="K554" s="18"/>
      <c r="L554" s="18"/>
      <c r="M554" s="40">
        <f t="shared" ref="M554:M555" si="269">+J554-L554</f>
        <v>830.5920000000001</v>
      </c>
      <c r="N554" s="40">
        <f t="shared" ref="N554:N555" si="270">J554-K554</f>
        <v>830.5920000000001</v>
      </c>
      <c r="O554" s="301" t="s">
        <v>265</v>
      </c>
      <c r="P554" s="85">
        <f t="shared" si="265"/>
        <v>45884</v>
      </c>
      <c r="Q554" s="85"/>
      <c r="R554" s="85">
        <f t="shared" si="267"/>
        <v>2</v>
      </c>
      <c r="S554" s="7">
        <f t="shared" ca="1" si="268"/>
        <v>44</v>
      </c>
      <c r="T554" s="85">
        <f>G554-32</f>
        <v>45902</v>
      </c>
      <c r="U554" s="85"/>
      <c r="V554" s="7">
        <f t="shared" ref="V554:V555" ca="1" si="271">+IF(U554="",T554-TODAY(),T554-U554)</f>
        <v>62</v>
      </c>
      <c r="W554" s="85"/>
      <c r="X554" s="8"/>
    </row>
    <row r="555" spans="1:24" ht="14.5" hidden="1">
      <c r="A555" s="14">
        <v>223</v>
      </c>
      <c r="B555" s="15" t="s">
        <v>59</v>
      </c>
      <c r="C555" s="14"/>
      <c r="D555" s="318" t="s">
        <v>136</v>
      </c>
      <c r="E555" s="146" t="s">
        <v>247</v>
      </c>
      <c r="F555" s="146" t="s">
        <v>164</v>
      </c>
      <c r="G555" s="240">
        <v>45934</v>
      </c>
      <c r="H555" s="320">
        <v>2966.4</v>
      </c>
      <c r="I555" s="321">
        <v>0.28000000000000003</v>
      </c>
      <c r="J555" s="320">
        <f t="shared" si="266"/>
        <v>830.5920000000001</v>
      </c>
      <c r="K555" s="18"/>
      <c r="L555" s="18"/>
      <c r="M555" s="40">
        <f t="shared" si="269"/>
        <v>830.5920000000001</v>
      </c>
      <c r="N555" s="40">
        <f t="shared" si="270"/>
        <v>830.5920000000001</v>
      </c>
      <c r="O555" s="301" t="s">
        <v>265</v>
      </c>
      <c r="P555" s="85">
        <f t="shared" si="265"/>
        <v>45884</v>
      </c>
      <c r="Q555" s="85"/>
      <c r="R555" s="85">
        <f t="shared" si="267"/>
        <v>2</v>
      </c>
      <c r="S555" s="7">
        <f t="shared" ca="1" si="268"/>
        <v>44</v>
      </c>
      <c r="T555" s="85">
        <f>G555-32</f>
        <v>45902</v>
      </c>
      <c r="U555" s="85"/>
      <c r="V555" s="7">
        <f t="shared" ca="1" si="271"/>
        <v>62</v>
      </c>
      <c r="W555" s="85"/>
      <c r="X555" s="8"/>
    </row>
    <row r="556" spans="1:24" ht="14.5" hidden="1">
      <c r="A556" s="14">
        <v>223</v>
      </c>
      <c r="B556" s="15" t="s">
        <v>59</v>
      </c>
      <c r="C556" s="14"/>
      <c r="D556" s="318" t="s">
        <v>195</v>
      </c>
      <c r="E556" s="146" t="s">
        <v>838</v>
      </c>
      <c r="F556" s="146" t="s">
        <v>162</v>
      </c>
      <c r="G556" s="240">
        <v>45934</v>
      </c>
      <c r="H556" s="320">
        <v>4449.6000000000004</v>
      </c>
      <c r="I556" s="86">
        <v>0.23</v>
      </c>
      <c r="J556" s="320">
        <f>H556*I556</f>
        <v>1023.4080000000001</v>
      </c>
      <c r="K556" s="18">
        <v>1023</v>
      </c>
      <c r="L556" s="18"/>
      <c r="M556" s="40">
        <f t="shared" si="235"/>
        <v>1023.4080000000001</v>
      </c>
      <c r="N556" s="40">
        <f t="shared" si="236"/>
        <v>0.40800000000012915</v>
      </c>
      <c r="O556" s="302" t="s">
        <v>178</v>
      </c>
      <c r="P556" s="85">
        <f t="shared" si="265"/>
        <v>45884</v>
      </c>
      <c r="Q556" s="85">
        <v>45838</v>
      </c>
      <c r="R556" s="85">
        <f t="shared" si="267"/>
        <v>45840</v>
      </c>
      <c r="S556" s="7">
        <f t="shared" ca="1" si="268"/>
        <v>46</v>
      </c>
      <c r="T556" s="85">
        <f>G556-32</f>
        <v>45902</v>
      </c>
      <c r="U556" s="85"/>
      <c r="V556" s="7">
        <f t="shared" ca="1" si="240"/>
        <v>62</v>
      </c>
      <c r="W556" s="85"/>
      <c r="X556" s="8"/>
    </row>
    <row r="557" spans="1:24" ht="14.5" hidden="1">
      <c r="A557" s="14">
        <v>223</v>
      </c>
      <c r="B557" s="15" t="s">
        <v>59</v>
      </c>
      <c r="C557" s="14"/>
      <c r="D557" s="318" t="s">
        <v>158</v>
      </c>
      <c r="E557" s="146" t="s">
        <v>242</v>
      </c>
      <c r="F557" s="15" t="s">
        <v>156</v>
      </c>
      <c r="G557" s="240">
        <v>45934</v>
      </c>
      <c r="H557" s="320">
        <v>1334.88</v>
      </c>
      <c r="I557" s="321">
        <v>0.42799999999999999</v>
      </c>
      <c r="J557" s="320">
        <f>I557*H557</f>
        <v>571.32864000000006</v>
      </c>
      <c r="K557" s="18"/>
      <c r="L557" s="18"/>
      <c r="M557" s="40">
        <f t="shared" si="235"/>
        <v>571.32864000000006</v>
      </c>
      <c r="N557" s="40">
        <f t="shared" si="236"/>
        <v>571.32864000000006</v>
      </c>
      <c r="O557" s="302" t="s">
        <v>178</v>
      </c>
      <c r="P557" s="85">
        <f t="shared" si="265"/>
        <v>45884</v>
      </c>
      <c r="Q557" s="85"/>
      <c r="R557" s="85">
        <f t="shared" si="267"/>
        <v>2</v>
      </c>
      <c r="S557" s="7">
        <f t="shared" ca="1" si="268"/>
        <v>44</v>
      </c>
      <c r="T557" s="85">
        <f>G557-32</f>
        <v>45902</v>
      </c>
      <c r="U557" s="85"/>
      <c r="V557" s="7">
        <f t="shared" ca="1" si="240"/>
        <v>62</v>
      </c>
      <c r="W557" s="85"/>
      <c r="X557" s="8"/>
    </row>
    <row r="558" spans="1:24" ht="14.5" hidden="1">
      <c r="A558" s="14">
        <v>223</v>
      </c>
      <c r="B558" s="15" t="s">
        <v>59</v>
      </c>
      <c r="C558" s="14"/>
      <c r="D558" s="318" t="s">
        <v>920</v>
      </c>
      <c r="E558" s="146" t="s">
        <v>242</v>
      </c>
      <c r="F558" s="14" t="s">
        <v>919</v>
      </c>
      <c r="G558" s="240">
        <v>45934</v>
      </c>
      <c r="H558" s="320">
        <v>5191.2</v>
      </c>
      <c r="I558" s="321">
        <v>0.504</v>
      </c>
      <c r="J558" s="320">
        <f>H558*I558</f>
        <v>2616.3647999999998</v>
      </c>
      <c r="K558" s="18"/>
      <c r="L558" s="18"/>
      <c r="M558" s="40">
        <f t="shared" si="235"/>
        <v>2616.3647999999998</v>
      </c>
      <c r="N558" s="40">
        <f t="shared" si="236"/>
        <v>2616.3647999999998</v>
      </c>
      <c r="O558" s="302" t="s">
        <v>178</v>
      </c>
      <c r="P558" s="85">
        <f t="shared" si="265"/>
        <v>45871</v>
      </c>
      <c r="Q558" s="85"/>
      <c r="R558" s="85">
        <f t="shared" si="238"/>
        <v>2</v>
      </c>
      <c r="S558" s="7">
        <f t="shared" ca="1" si="239"/>
        <v>31</v>
      </c>
      <c r="T558" s="85">
        <f>G558-32-13</f>
        <v>45889</v>
      </c>
      <c r="U558" s="85"/>
      <c r="V558" s="7">
        <f t="shared" ca="1" si="240"/>
        <v>49</v>
      </c>
      <c r="W558" s="85"/>
      <c r="X558" s="8"/>
    </row>
    <row r="559" spans="1:24" ht="14.5" hidden="1">
      <c r="A559" s="14">
        <v>223</v>
      </c>
      <c r="B559" s="15" t="s">
        <v>59</v>
      </c>
      <c r="C559" s="14"/>
      <c r="D559" s="318" t="s">
        <v>920</v>
      </c>
      <c r="E559" s="146" t="s">
        <v>242</v>
      </c>
      <c r="F559" s="14" t="s">
        <v>921</v>
      </c>
      <c r="G559" s="240">
        <v>45934</v>
      </c>
      <c r="H559" s="320">
        <v>5191.2</v>
      </c>
      <c r="I559" s="321">
        <v>0.504</v>
      </c>
      <c r="J559" s="320">
        <f>H559*I559</f>
        <v>2616.3647999999998</v>
      </c>
      <c r="K559" s="18"/>
      <c r="L559" s="18"/>
      <c r="M559" s="40">
        <f t="shared" si="235"/>
        <v>2616.3647999999998</v>
      </c>
      <c r="N559" s="40">
        <f t="shared" si="236"/>
        <v>2616.3647999999998</v>
      </c>
      <c r="O559" s="302" t="s">
        <v>178</v>
      </c>
      <c r="P559" s="85">
        <f t="shared" si="265"/>
        <v>45871</v>
      </c>
      <c r="Q559" s="85"/>
      <c r="R559" s="85">
        <f t="shared" si="238"/>
        <v>2</v>
      </c>
      <c r="S559" s="7">
        <f t="shared" ca="1" si="239"/>
        <v>31</v>
      </c>
      <c r="T559" s="85">
        <f>G559-32-13</f>
        <v>45889</v>
      </c>
      <c r="U559" s="85"/>
      <c r="V559" s="7">
        <f t="shared" ca="1" si="240"/>
        <v>49</v>
      </c>
      <c r="W559" s="85"/>
      <c r="X559" s="8"/>
    </row>
    <row r="560" spans="1:24" ht="14.5" hidden="1">
      <c r="A560" s="14">
        <v>224</v>
      </c>
      <c r="B560" s="15" t="s">
        <v>59</v>
      </c>
      <c r="C560" s="14"/>
      <c r="D560" s="301" t="s">
        <v>248</v>
      </c>
      <c r="E560" s="146" t="s">
        <v>270</v>
      </c>
      <c r="F560" s="146" t="s">
        <v>162</v>
      </c>
      <c r="G560" s="240">
        <v>45941</v>
      </c>
      <c r="H560" s="320">
        <v>1483.2</v>
      </c>
      <c r="I560" s="321">
        <v>1.829</v>
      </c>
      <c r="J560" s="320">
        <f>H560*I560</f>
        <v>2712.7728000000002</v>
      </c>
      <c r="K560" s="18"/>
      <c r="L560" s="18"/>
      <c r="M560" s="40">
        <f t="shared" si="235"/>
        <v>2712.7728000000002</v>
      </c>
      <c r="N560" s="40">
        <f t="shared" si="236"/>
        <v>2712.7728000000002</v>
      </c>
      <c r="O560" s="302" t="s">
        <v>178</v>
      </c>
      <c r="P560" s="85">
        <f t="shared" si="265"/>
        <v>45878</v>
      </c>
      <c r="Q560" s="85"/>
      <c r="R560" s="85">
        <f t="shared" si="238"/>
        <v>2</v>
      </c>
      <c r="S560" s="7">
        <f t="shared" ca="1" si="239"/>
        <v>38</v>
      </c>
      <c r="T560" s="85">
        <f>G560-32-13</f>
        <v>45896</v>
      </c>
      <c r="U560" s="85"/>
      <c r="V560" s="7">
        <f t="shared" ca="1" si="240"/>
        <v>56</v>
      </c>
      <c r="W560" s="85"/>
      <c r="X560" s="8"/>
    </row>
    <row r="561" spans="1:24" ht="14.5" hidden="1">
      <c r="A561" s="14">
        <v>224</v>
      </c>
      <c r="B561" s="15" t="s">
        <v>59</v>
      </c>
      <c r="C561" s="14"/>
      <c r="D561" s="318" t="s">
        <v>193</v>
      </c>
      <c r="E561" s="146" t="s">
        <v>246</v>
      </c>
      <c r="F561" s="146" t="s">
        <v>162</v>
      </c>
      <c r="G561" s="240">
        <v>45941</v>
      </c>
      <c r="H561" s="320">
        <v>2966.4</v>
      </c>
      <c r="I561" s="321">
        <v>0.35399999999999998</v>
      </c>
      <c r="J561" s="320">
        <f>H561*I561</f>
        <v>1050.1055999999999</v>
      </c>
      <c r="K561" s="18"/>
      <c r="L561" s="18"/>
      <c r="M561" s="40">
        <f t="shared" si="235"/>
        <v>1050.1055999999999</v>
      </c>
      <c r="N561" s="40">
        <f t="shared" si="236"/>
        <v>1050.1055999999999</v>
      </c>
      <c r="O561" s="302" t="s">
        <v>178</v>
      </c>
      <c r="P561" s="85">
        <f t="shared" si="265"/>
        <v>45878</v>
      </c>
      <c r="Q561" s="85"/>
      <c r="R561" s="85">
        <f t="shared" si="238"/>
        <v>2</v>
      </c>
      <c r="S561" s="7">
        <f t="shared" ca="1" si="239"/>
        <v>38</v>
      </c>
      <c r="T561" s="85">
        <f>G561-32-13</f>
        <v>45896</v>
      </c>
      <c r="U561" s="85"/>
      <c r="V561" s="7">
        <f t="shared" ca="1" si="240"/>
        <v>56</v>
      </c>
      <c r="W561" s="85"/>
      <c r="X561" s="8"/>
    </row>
    <row r="562" spans="1:24" ht="14.5" hidden="1">
      <c r="A562" s="14">
        <v>224</v>
      </c>
      <c r="B562" s="15" t="s">
        <v>59</v>
      </c>
      <c r="C562" s="14"/>
      <c r="D562" s="318" t="s">
        <v>136</v>
      </c>
      <c r="E562" s="146" t="s">
        <v>247</v>
      </c>
      <c r="F562" s="146" t="s">
        <v>162</v>
      </c>
      <c r="G562" s="240">
        <v>45941</v>
      </c>
      <c r="H562" s="320">
        <v>2224.8000000000002</v>
      </c>
      <c r="I562" s="321">
        <v>0.28000000000000003</v>
      </c>
      <c r="J562" s="320">
        <f t="shared" ref="J562:J564" si="272">H562*I562</f>
        <v>622.94400000000007</v>
      </c>
      <c r="K562" s="18"/>
      <c r="L562" s="18"/>
      <c r="M562" s="40">
        <f t="shared" si="235"/>
        <v>622.94400000000007</v>
      </c>
      <c r="N562" s="40">
        <f t="shared" si="236"/>
        <v>622.94400000000007</v>
      </c>
      <c r="O562" s="301" t="s">
        <v>265</v>
      </c>
      <c r="P562" s="85">
        <f t="shared" si="265"/>
        <v>45891</v>
      </c>
      <c r="Q562" s="85"/>
      <c r="R562" s="85">
        <f t="shared" ref="R562:R564" si="273">Q562+2</f>
        <v>2</v>
      </c>
      <c r="S562" s="7">
        <f t="shared" ref="S562:S564" ca="1" si="274">+IF(Q562="",P562-TODAY(),P562-Q562)</f>
        <v>51</v>
      </c>
      <c r="T562" s="85">
        <f>G562-32</f>
        <v>45909</v>
      </c>
      <c r="U562" s="85"/>
      <c r="V562" s="7">
        <f t="shared" ca="1" si="240"/>
        <v>69</v>
      </c>
      <c r="W562" s="85"/>
      <c r="X562" s="8"/>
    </row>
    <row r="563" spans="1:24" ht="14.5" hidden="1">
      <c r="A563" s="14">
        <v>224</v>
      </c>
      <c r="B563" s="15" t="s">
        <v>59</v>
      </c>
      <c r="C563" s="14"/>
      <c r="D563" s="318" t="s">
        <v>136</v>
      </c>
      <c r="E563" s="146" t="s">
        <v>247</v>
      </c>
      <c r="F563" s="146" t="s">
        <v>163</v>
      </c>
      <c r="G563" s="240">
        <v>45941</v>
      </c>
      <c r="H563" s="320">
        <v>2224.8000000000002</v>
      </c>
      <c r="I563" s="321">
        <v>0.28000000000000003</v>
      </c>
      <c r="J563" s="320">
        <f t="shared" si="272"/>
        <v>622.94400000000007</v>
      </c>
      <c r="K563" s="18"/>
      <c r="L563" s="18"/>
      <c r="M563" s="40">
        <f t="shared" ref="M563:M564" si="275">+J563-L563</f>
        <v>622.94400000000007</v>
      </c>
      <c r="N563" s="40">
        <f t="shared" ref="N563:N564" si="276">J563-K563</f>
        <v>622.94400000000007</v>
      </c>
      <c r="O563" s="301" t="s">
        <v>265</v>
      </c>
      <c r="P563" s="85">
        <f t="shared" si="265"/>
        <v>45891</v>
      </c>
      <c r="Q563" s="85"/>
      <c r="R563" s="85">
        <f t="shared" si="273"/>
        <v>2</v>
      </c>
      <c r="S563" s="7">
        <f t="shared" ca="1" si="274"/>
        <v>51</v>
      </c>
      <c r="T563" s="85">
        <f>G563-32</f>
        <v>45909</v>
      </c>
      <c r="U563" s="85"/>
      <c r="V563" s="7">
        <f t="shared" ref="V563:V564" ca="1" si="277">+IF(U563="",T563-TODAY(),T563-U563)</f>
        <v>69</v>
      </c>
      <c r="W563" s="85"/>
      <c r="X563" s="8"/>
    </row>
    <row r="564" spans="1:24" ht="14.5" hidden="1">
      <c r="A564" s="14">
        <v>224</v>
      </c>
      <c r="B564" s="15" t="s">
        <v>59</v>
      </c>
      <c r="C564" s="14"/>
      <c r="D564" s="318" t="s">
        <v>136</v>
      </c>
      <c r="E564" s="146" t="s">
        <v>247</v>
      </c>
      <c r="F564" s="146" t="s">
        <v>164</v>
      </c>
      <c r="G564" s="240">
        <v>45941</v>
      </c>
      <c r="H564" s="320">
        <v>2224.8000000000002</v>
      </c>
      <c r="I564" s="321">
        <v>0.28000000000000003</v>
      </c>
      <c r="J564" s="320">
        <f t="shared" si="272"/>
        <v>622.94400000000007</v>
      </c>
      <c r="K564" s="18"/>
      <c r="L564" s="18"/>
      <c r="M564" s="40">
        <f t="shared" si="275"/>
        <v>622.94400000000007</v>
      </c>
      <c r="N564" s="40">
        <f t="shared" si="276"/>
        <v>622.94400000000007</v>
      </c>
      <c r="O564" s="301" t="s">
        <v>265</v>
      </c>
      <c r="P564" s="85">
        <f t="shared" si="265"/>
        <v>45891</v>
      </c>
      <c r="Q564" s="85"/>
      <c r="R564" s="85">
        <f t="shared" si="273"/>
        <v>2</v>
      </c>
      <c r="S564" s="7">
        <f t="shared" ca="1" si="274"/>
        <v>51</v>
      </c>
      <c r="T564" s="85">
        <f>G564-32</f>
        <v>45909</v>
      </c>
      <c r="U564" s="85"/>
      <c r="V564" s="7">
        <f t="shared" ca="1" si="277"/>
        <v>69</v>
      </c>
      <c r="W564" s="85"/>
      <c r="X564" s="8"/>
    </row>
    <row r="565" spans="1:24" ht="14.5" hidden="1">
      <c r="A565" s="14">
        <v>224</v>
      </c>
      <c r="B565" s="15" t="s">
        <v>59</v>
      </c>
      <c r="C565" s="14"/>
      <c r="D565" s="318" t="s">
        <v>189</v>
      </c>
      <c r="E565" s="146" t="s">
        <v>242</v>
      </c>
      <c r="F565" s="146" t="s">
        <v>90</v>
      </c>
      <c r="G565" s="240">
        <v>45941</v>
      </c>
      <c r="H565" s="320">
        <v>1409.04</v>
      </c>
      <c r="I565" s="321">
        <v>0.48299999999999998</v>
      </c>
      <c r="J565" s="320">
        <f>H565*I565</f>
        <v>680.56631999999991</v>
      </c>
      <c r="K565" s="18">
        <v>681</v>
      </c>
      <c r="L565" s="18"/>
      <c r="M565" s="40">
        <f t="shared" si="235"/>
        <v>680.56631999999991</v>
      </c>
      <c r="N565" s="40">
        <f t="shared" si="236"/>
        <v>-0.43368000000009488</v>
      </c>
      <c r="O565" s="302" t="s">
        <v>178</v>
      </c>
      <c r="P565" s="85">
        <f t="shared" si="265"/>
        <v>45878</v>
      </c>
      <c r="Q565" s="85">
        <v>45831</v>
      </c>
      <c r="R565" s="85">
        <f t="shared" si="238"/>
        <v>45833</v>
      </c>
      <c r="S565" s="7">
        <f t="shared" ca="1" si="239"/>
        <v>47</v>
      </c>
      <c r="T565" s="85">
        <f>G565-32-13</f>
        <v>45896</v>
      </c>
      <c r="U565" s="85"/>
      <c r="V565" s="7">
        <f t="shared" ca="1" si="240"/>
        <v>56</v>
      </c>
      <c r="W565" s="85"/>
      <c r="X565" s="8"/>
    </row>
    <row r="566" spans="1:24" ht="14.5" hidden="1">
      <c r="A566" s="14">
        <v>224</v>
      </c>
      <c r="B566" s="15" t="s">
        <v>59</v>
      </c>
      <c r="C566" s="14"/>
      <c r="D566" s="318" t="s">
        <v>158</v>
      </c>
      <c r="E566" s="146" t="s">
        <v>242</v>
      </c>
      <c r="F566" s="15" t="s">
        <v>156</v>
      </c>
      <c r="G566" s="240">
        <v>45941</v>
      </c>
      <c r="H566" s="320">
        <v>1334.88</v>
      </c>
      <c r="I566" s="321">
        <v>0.42799999999999999</v>
      </c>
      <c r="J566" s="320">
        <f>I566*H566</f>
        <v>571.32864000000006</v>
      </c>
      <c r="K566" s="18"/>
      <c r="L566" s="18"/>
      <c r="M566" s="40">
        <f t="shared" si="235"/>
        <v>571.32864000000006</v>
      </c>
      <c r="N566" s="40">
        <f t="shared" si="236"/>
        <v>571.32864000000006</v>
      </c>
      <c r="O566" s="302" t="s">
        <v>178</v>
      </c>
      <c r="P566" s="85">
        <f t="shared" si="265"/>
        <v>45891</v>
      </c>
      <c r="Q566" s="85"/>
      <c r="R566" s="85">
        <f t="shared" ref="R566" si="278">Q566+2</f>
        <v>2</v>
      </c>
      <c r="S566" s="7">
        <f t="shared" ref="S566" ca="1" si="279">+IF(Q566="",P566-TODAY(),P566-Q566)</f>
        <v>51</v>
      </c>
      <c r="T566" s="85">
        <f>G566-32</f>
        <v>45909</v>
      </c>
      <c r="U566" s="85"/>
      <c r="V566" s="7">
        <f t="shared" ca="1" si="240"/>
        <v>69</v>
      </c>
      <c r="W566" s="85"/>
      <c r="X566" s="8"/>
    </row>
    <row r="567" spans="1:24" ht="14.5" hidden="1">
      <c r="A567" s="14">
        <v>224</v>
      </c>
      <c r="B567" s="15" t="s">
        <v>59</v>
      </c>
      <c r="C567" s="14"/>
      <c r="D567" s="318" t="s">
        <v>920</v>
      </c>
      <c r="E567" s="146" t="s">
        <v>242</v>
      </c>
      <c r="F567" s="137" t="s">
        <v>919</v>
      </c>
      <c r="G567" s="240">
        <v>45941</v>
      </c>
      <c r="H567" s="320">
        <v>4037.6</v>
      </c>
      <c r="I567" s="321">
        <v>0.504</v>
      </c>
      <c r="J567" s="320">
        <f>H567*I567</f>
        <v>2034.9503999999999</v>
      </c>
      <c r="K567" s="18"/>
      <c r="L567" s="18"/>
      <c r="M567" s="40">
        <f t="shared" si="235"/>
        <v>2034.9503999999999</v>
      </c>
      <c r="N567" s="40">
        <f t="shared" si="236"/>
        <v>2034.9503999999999</v>
      </c>
      <c r="O567" s="302" t="s">
        <v>178</v>
      </c>
      <c r="P567" s="85">
        <f t="shared" si="265"/>
        <v>45878</v>
      </c>
      <c r="Q567" s="85"/>
      <c r="R567" s="85">
        <f t="shared" si="238"/>
        <v>2</v>
      </c>
      <c r="S567" s="7">
        <f t="shared" ca="1" si="239"/>
        <v>38</v>
      </c>
      <c r="T567" s="85">
        <f>G567-32-13</f>
        <v>45896</v>
      </c>
      <c r="U567" s="85"/>
      <c r="V567" s="7">
        <f t="shared" ca="1" si="240"/>
        <v>56</v>
      </c>
      <c r="W567" s="85"/>
      <c r="X567" s="8"/>
    </row>
    <row r="568" spans="1:24" ht="14.5" hidden="1">
      <c r="A568" s="14">
        <v>224</v>
      </c>
      <c r="B568" s="15" t="s">
        <v>59</v>
      </c>
      <c r="C568" s="14"/>
      <c r="D568" s="318" t="s">
        <v>920</v>
      </c>
      <c r="E568" s="146" t="s">
        <v>242</v>
      </c>
      <c r="F568" s="14" t="s">
        <v>921</v>
      </c>
      <c r="G568" s="240">
        <v>45941</v>
      </c>
      <c r="H568" s="320">
        <v>4037.6</v>
      </c>
      <c r="I568" s="321">
        <v>0.504</v>
      </c>
      <c r="J568" s="320">
        <f>H568*I568</f>
        <v>2034.9503999999999</v>
      </c>
      <c r="K568" s="18"/>
      <c r="L568" s="18"/>
      <c r="M568" s="40">
        <f t="shared" si="235"/>
        <v>2034.9503999999999</v>
      </c>
      <c r="N568" s="40">
        <f t="shared" si="236"/>
        <v>2034.9503999999999</v>
      </c>
      <c r="O568" s="302" t="s">
        <v>178</v>
      </c>
      <c r="P568" s="85">
        <f t="shared" si="265"/>
        <v>45878</v>
      </c>
      <c r="Q568" s="85"/>
      <c r="R568" s="85">
        <f t="shared" si="238"/>
        <v>2</v>
      </c>
      <c r="S568" s="7">
        <f t="shared" ca="1" si="239"/>
        <v>38</v>
      </c>
      <c r="T568" s="85">
        <f>G568-32-13</f>
        <v>45896</v>
      </c>
      <c r="U568" s="85"/>
      <c r="V568" s="7">
        <f t="shared" ca="1" si="240"/>
        <v>56</v>
      </c>
      <c r="W568" s="85"/>
      <c r="X568" s="8"/>
    </row>
    <row r="569" spans="1:24" ht="14.5" hidden="1">
      <c r="A569" s="14">
        <v>96</v>
      </c>
      <c r="B569" s="15" t="s">
        <v>74</v>
      </c>
      <c r="C569" s="14"/>
      <c r="D569" s="318" t="s">
        <v>298</v>
      </c>
      <c r="E569" s="146" t="s">
        <v>922</v>
      </c>
      <c r="F569" s="14" t="s">
        <v>90</v>
      </c>
      <c r="G569" s="240">
        <v>45909</v>
      </c>
      <c r="H569" s="320"/>
      <c r="I569" s="321"/>
      <c r="J569" s="320">
        <v>2212</v>
      </c>
      <c r="K569" s="18">
        <v>2212</v>
      </c>
      <c r="L569" s="18">
        <v>1011</v>
      </c>
      <c r="M569" s="40">
        <f t="shared" ref="M569" si="280">+J569-L569</f>
        <v>1201</v>
      </c>
      <c r="N569" s="40">
        <f t="shared" ref="N569" si="281">J569-K569</f>
        <v>0</v>
      </c>
      <c r="O569" s="301" t="s">
        <v>299</v>
      </c>
      <c r="P569" s="85">
        <f t="shared" ref="P569" si="282">T569-18</f>
        <v>45846</v>
      </c>
      <c r="Q569" s="85">
        <v>45820</v>
      </c>
      <c r="R569" s="85">
        <f t="shared" ref="R569" si="283">Q569+2</f>
        <v>45822</v>
      </c>
      <c r="S569" s="7">
        <f t="shared" ref="S569" ca="1" si="284">+IF(Q569="",P569-TODAY(),P569-Q569)</f>
        <v>26</v>
      </c>
      <c r="T569" s="85">
        <f>G569-32-13</f>
        <v>45864</v>
      </c>
      <c r="U569" s="85"/>
      <c r="V569" s="7">
        <f ca="1">+IF(U569="",T569-TODAY(),T569-U569)</f>
        <v>24</v>
      </c>
      <c r="W569" s="85"/>
      <c r="X569" s="8"/>
    </row>
    <row r="570" spans="1:24" ht="14.5" hidden="1">
      <c r="A570" s="14">
        <v>215</v>
      </c>
      <c r="B570" s="15" t="s">
        <v>99</v>
      </c>
      <c r="C570" s="14"/>
      <c r="D570" s="318" t="s">
        <v>923</v>
      </c>
      <c r="E570" s="146" t="s">
        <v>925</v>
      </c>
      <c r="F570" s="14" t="s">
        <v>156</v>
      </c>
      <c r="G570" s="240">
        <v>45920</v>
      </c>
      <c r="H570" s="320"/>
      <c r="I570" s="321"/>
      <c r="J570" s="320">
        <f>30000*0.35</f>
        <v>10500</v>
      </c>
      <c r="K570" s="18"/>
      <c r="L570" s="18"/>
      <c r="M570" s="40">
        <f t="shared" ref="M570" si="285">+J570-L570</f>
        <v>10500</v>
      </c>
      <c r="N570" s="40">
        <f t="shared" ref="N570" si="286">J570-K570</f>
        <v>10500</v>
      </c>
      <c r="O570" s="302" t="s">
        <v>178</v>
      </c>
      <c r="P570" s="85">
        <f t="shared" ref="P570" si="287">T570-18</f>
        <v>45857</v>
      </c>
      <c r="Q570" s="85"/>
      <c r="R570" s="85">
        <f t="shared" ref="R570" si="288">Q570+2</f>
        <v>2</v>
      </c>
      <c r="S570" s="7">
        <f t="shared" ref="S570" ca="1" si="289">+IF(Q570="",P570-TODAY(),P570-Q570)</f>
        <v>17</v>
      </c>
      <c r="T570" s="85">
        <f>G570-32-13</f>
        <v>45875</v>
      </c>
      <c r="U570" s="85"/>
      <c r="V570" s="7">
        <f t="shared" ref="V570" ca="1" si="290">+IF(U570="",T570-TODAY(),T570-U570)</f>
        <v>35</v>
      </c>
      <c r="W570" s="85"/>
      <c r="X570" s="8"/>
    </row>
    <row r="571" spans="1:24" ht="14.25" hidden="1" customHeight="1">
      <c r="A571" s="14">
        <v>215</v>
      </c>
      <c r="B571" s="15" t="s">
        <v>99</v>
      </c>
      <c r="C571" s="14"/>
      <c r="D571" s="318" t="s">
        <v>924</v>
      </c>
      <c r="E571" s="146" t="s">
        <v>925</v>
      </c>
      <c r="F571" s="14" t="s">
        <v>155</v>
      </c>
      <c r="G571" s="240">
        <v>45899</v>
      </c>
      <c r="H571" s="320"/>
      <c r="I571" s="321"/>
      <c r="J571" s="320">
        <f>30000*0.35</f>
        <v>10500</v>
      </c>
      <c r="K571" s="18">
        <v>10500</v>
      </c>
      <c r="L571" s="18"/>
      <c r="M571" s="40">
        <f t="shared" ref="M571:M581" si="291">+J571-L571</f>
        <v>10500</v>
      </c>
      <c r="N571" s="40">
        <f t="shared" ref="N571:N581" si="292">J571-K571</f>
        <v>0</v>
      </c>
      <c r="O571" s="302" t="s">
        <v>299</v>
      </c>
      <c r="P571" s="85">
        <f t="shared" ref="P571" si="293">T571-18</f>
        <v>45829</v>
      </c>
      <c r="Q571" s="85">
        <v>45827</v>
      </c>
      <c r="R571" s="85">
        <f t="shared" ref="R571" si="294">Q571+2</f>
        <v>45829</v>
      </c>
      <c r="S571" s="7">
        <f t="shared" ref="S571" ca="1" si="295">+IF(Q571="",P571-TODAY(),P571-Q571)</f>
        <v>2</v>
      </c>
      <c r="T571" s="85">
        <f>G571-32-20</f>
        <v>45847</v>
      </c>
      <c r="U571" s="85"/>
      <c r="V571" s="7">
        <f t="shared" ref="V571" ca="1" si="296">+IF(U571="",T571-TODAY(),T571-U571)</f>
        <v>7</v>
      </c>
      <c r="W571" s="85"/>
      <c r="X571" s="8"/>
    </row>
    <row r="572" spans="1:24" ht="14.5" hidden="1">
      <c r="A572" s="14">
        <v>176</v>
      </c>
      <c r="B572" s="15" t="s">
        <v>74</v>
      </c>
      <c r="C572" s="14"/>
      <c r="D572" s="318" t="s">
        <v>927</v>
      </c>
      <c r="E572" s="146" t="s">
        <v>347</v>
      </c>
      <c r="F572" s="14" t="s">
        <v>162</v>
      </c>
      <c r="G572" s="240">
        <v>45868</v>
      </c>
      <c r="H572" s="320"/>
      <c r="I572" s="321"/>
      <c r="J572" s="320">
        <v>950</v>
      </c>
      <c r="K572" s="18">
        <v>950</v>
      </c>
      <c r="L572" s="18"/>
      <c r="M572" s="40">
        <f t="shared" ref="M572:M576" si="297">+J572-L572</f>
        <v>950</v>
      </c>
      <c r="N572" s="40">
        <f t="shared" ref="N572:N576" si="298">J572-K572</f>
        <v>0</v>
      </c>
      <c r="O572" s="301" t="s">
        <v>299</v>
      </c>
      <c r="P572" s="85">
        <f t="shared" ref="P572:P581" si="299">T572-8</f>
        <v>45830</v>
      </c>
      <c r="Q572" s="85">
        <v>45833</v>
      </c>
      <c r="R572" s="85">
        <f t="shared" ref="R572:R581" si="300">Q572+2</f>
        <v>45835</v>
      </c>
      <c r="S572" s="7">
        <f t="shared" ref="S572:S581" ca="1" si="301">+IF(Q572="",P572-TODAY(),P572-Q572)</f>
        <v>-3</v>
      </c>
      <c r="T572" s="85">
        <f>G572-30</f>
        <v>45838</v>
      </c>
      <c r="U572" s="85"/>
      <c r="V572" s="7">
        <f t="shared" ref="V572:V581" ca="1" si="302">+IF(U572="",T572-TODAY(),T572-U572)</f>
        <v>-2</v>
      </c>
      <c r="W572" s="85"/>
      <c r="X572" s="8"/>
    </row>
    <row r="573" spans="1:24" ht="14.5" hidden="1">
      <c r="A573" s="14">
        <v>176</v>
      </c>
      <c r="B573" s="15" t="s">
        <v>74</v>
      </c>
      <c r="C573" s="14"/>
      <c r="D573" s="318" t="s">
        <v>927</v>
      </c>
      <c r="E573" s="146" t="s">
        <v>347</v>
      </c>
      <c r="F573" s="14" t="s">
        <v>163</v>
      </c>
      <c r="G573" s="240">
        <v>45868</v>
      </c>
      <c r="H573" s="320"/>
      <c r="I573" s="321"/>
      <c r="J573" s="320">
        <v>345</v>
      </c>
      <c r="K573" s="18">
        <v>345</v>
      </c>
      <c r="L573" s="18"/>
      <c r="M573" s="40">
        <f t="shared" si="297"/>
        <v>345</v>
      </c>
      <c r="N573" s="40">
        <f t="shared" si="298"/>
        <v>0</v>
      </c>
      <c r="O573" s="301" t="s">
        <v>299</v>
      </c>
      <c r="P573" s="85">
        <f t="shared" si="299"/>
        <v>45830</v>
      </c>
      <c r="Q573" s="85">
        <v>45833</v>
      </c>
      <c r="R573" s="85">
        <f t="shared" si="300"/>
        <v>45835</v>
      </c>
      <c r="S573" s="7">
        <f t="shared" ca="1" si="301"/>
        <v>-3</v>
      </c>
      <c r="T573" s="85">
        <f>G573-30</f>
        <v>45838</v>
      </c>
      <c r="U573" s="85"/>
      <c r="V573" s="7">
        <f t="shared" ca="1" si="302"/>
        <v>-2</v>
      </c>
      <c r="W573" s="85"/>
      <c r="X573" s="8"/>
    </row>
    <row r="574" spans="1:24" ht="14.5" hidden="1">
      <c r="A574" s="14">
        <v>176</v>
      </c>
      <c r="B574" s="15" t="s">
        <v>74</v>
      </c>
      <c r="C574" s="14"/>
      <c r="D574" s="318" t="s">
        <v>928</v>
      </c>
      <c r="E574" s="146" t="s">
        <v>347</v>
      </c>
      <c r="F574" s="14" t="s">
        <v>935</v>
      </c>
      <c r="G574" s="240">
        <v>45868</v>
      </c>
      <c r="H574" s="320"/>
      <c r="I574" s="321"/>
      <c r="J574" s="320">
        <v>136</v>
      </c>
      <c r="K574" s="18">
        <v>136</v>
      </c>
      <c r="L574" s="18">
        <v>136</v>
      </c>
      <c r="M574" s="40">
        <f t="shared" si="297"/>
        <v>0</v>
      </c>
      <c r="N574" s="40">
        <f t="shared" si="298"/>
        <v>0</v>
      </c>
      <c r="O574" s="301" t="s">
        <v>299</v>
      </c>
      <c r="P574" s="85">
        <f>T574-12</f>
        <v>45816</v>
      </c>
      <c r="Q574" s="85">
        <v>45829</v>
      </c>
      <c r="R574" s="85">
        <f t="shared" si="300"/>
        <v>45831</v>
      </c>
      <c r="S574" s="7">
        <f t="shared" ca="1" si="301"/>
        <v>-13</v>
      </c>
      <c r="T574" s="85">
        <f>G574-30-10</f>
        <v>45828</v>
      </c>
      <c r="U574" s="85">
        <v>45836</v>
      </c>
      <c r="V574" s="7">
        <f t="shared" ca="1" si="302"/>
        <v>-8</v>
      </c>
      <c r="W574" s="85"/>
      <c r="X574" s="8"/>
    </row>
    <row r="575" spans="1:24" ht="14.5" hidden="1">
      <c r="A575" s="14">
        <v>176</v>
      </c>
      <c r="B575" s="15" t="s">
        <v>74</v>
      </c>
      <c r="C575" s="14"/>
      <c r="D575" s="318" t="s">
        <v>929</v>
      </c>
      <c r="E575" s="146" t="s">
        <v>932</v>
      </c>
      <c r="F575" s="14" t="s">
        <v>162</v>
      </c>
      <c r="G575" s="240">
        <v>45868</v>
      </c>
      <c r="H575" s="320"/>
      <c r="I575" s="321"/>
      <c r="J575" s="320">
        <v>552</v>
      </c>
      <c r="K575" s="18">
        <v>552</v>
      </c>
      <c r="L575" s="18">
        <v>586</v>
      </c>
      <c r="M575" s="40">
        <f t="shared" si="297"/>
        <v>-34</v>
      </c>
      <c r="N575" s="40">
        <f t="shared" si="298"/>
        <v>0</v>
      </c>
      <c r="O575" s="301" t="s">
        <v>299</v>
      </c>
      <c r="P575" s="85">
        <f>T575-12</f>
        <v>45816</v>
      </c>
      <c r="Q575" s="85">
        <v>45824</v>
      </c>
      <c r="R575" s="85">
        <f t="shared" si="300"/>
        <v>45826</v>
      </c>
      <c r="S575" s="7">
        <f t="shared" ca="1" si="301"/>
        <v>-8</v>
      </c>
      <c r="T575" s="85">
        <f>G575-30-10</f>
        <v>45828</v>
      </c>
      <c r="U575" s="85">
        <v>45836</v>
      </c>
      <c r="V575" s="7">
        <f t="shared" ca="1" si="302"/>
        <v>-8</v>
      </c>
      <c r="W575" s="85"/>
      <c r="X575" s="8"/>
    </row>
    <row r="576" spans="1:24" ht="20.25" hidden="1" customHeight="1">
      <c r="A576" s="14">
        <v>176</v>
      </c>
      <c r="B576" s="15" t="s">
        <v>74</v>
      </c>
      <c r="C576" s="14"/>
      <c r="D576" s="318" t="s">
        <v>931</v>
      </c>
      <c r="E576" s="146" t="s">
        <v>934</v>
      </c>
      <c r="F576" s="14" t="s">
        <v>936</v>
      </c>
      <c r="G576" s="240">
        <v>45868</v>
      </c>
      <c r="H576" s="320"/>
      <c r="I576" s="321"/>
      <c r="J576" s="320">
        <v>260</v>
      </c>
      <c r="K576" s="18">
        <v>260</v>
      </c>
      <c r="L576" s="18"/>
      <c r="M576" s="40">
        <f t="shared" si="297"/>
        <v>260</v>
      </c>
      <c r="N576" s="40">
        <f t="shared" si="298"/>
        <v>0</v>
      </c>
      <c r="O576" s="301" t="s">
        <v>299</v>
      </c>
      <c r="P576" s="85">
        <f t="shared" si="299"/>
        <v>45830</v>
      </c>
      <c r="Q576" s="85">
        <v>45833</v>
      </c>
      <c r="R576" s="85">
        <f t="shared" si="300"/>
        <v>45835</v>
      </c>
      <c r="S576" s="7">
        <f t="shared" ca="1" si="301"/>
        <v>-3</v>
      </c>
      <c r="T576" s="85">
        <f>G576-30</f>
        <v>45838</v>
      </c>
      <c r="U576" s="85"/>
      <c r="V576" s="7">
        <f t="shared" ca="1" si="302"/>
        <v>-2</v>
      </c>
      <c r="W576" s="85"/>
      <c r="X576" s="8"/>
    </row>
    <row r="577" spans="1:24" ht="14.5" hidden="1">
      <c r="A577" s="14">
        <v>177</v>
      </c>
      <c r="B577" s="15" t="s">
        <v>74</v>
      </c>
      <c r="C577" s="14"/>
      <c r="D577" s="318" t="s">
        <v>927</v>
      </c>
      <c r="E577" s="146" t="s">
        <v>347</v>
      </c>
      <c r="F577" s="14" t="s">
        <v>162</v>
      </c>
      <c r="G577" s="240">
        <v>45950</v>
      </c>
      <c r="H577" s="320"/>
      <c r="I577" s="321"/>
      <c r="J577" s="320">
        <v>822</v>
      </c>
      <c r="K577" s="18">
        <v>822</v>
      </c>
      <c r="L577" s="18"/>
      <c r="M577" s="40">
        <f t="shared" si="291"/>
        <v>822</v>
      </c>
      <c r="N577" s="40">
        <f t="shared" si="292"/>
        <v>0</v>
      </c>
      <c r="O577" s="301" t="s">
        <v>299</v>
      </c>
      <c r="P577" s="85">
        <f t="shared" si="299"/>
        <v>45904</v>
      </c>
      <c r="Q577" s="85">
        <v>45833</v>
      </c>
      <c r="R577" s="85">
        <f t="shared" si="300"/>
        <v>45835</v>
      </c>
      <c r="S577" s="7">
        <f t="shared" ca="1" si="301"/>
        <v>71</v>
      </c>
      <c r="T577" s="85">
        <f>G577-30-8</f>
        <v>45912</v>
      </c>
      <c r="U577" s="85"/>
      <c r="V577" s="7">
        <f t="shared" ca="1" si="302"/>
        <v>72</v>
      </c>
      <c r="W577" s="85"/>
      <c r="X577" s="8"/>
    </row>
    <row r="578" spans="1:24" ht="14.5" hidden="1">
      <c r="A578" s="14">
        <v>177</v>
      </c>
      <c r="B578" s="15" t="s">
        <v>74</v>
      </c>
      <c r="C578" s="14"/>
      <c r="D578" s="318" t="s">
        <v>927</v>
      </c>
      <c r="E578" s="146" t="s">
        <v>347</v>
      </c>
      <c r="F578" s="14" t="s">
        <v>163</v>
      </c>
      <c r="G578" s="240">
        <v>45950</v>
      </c>
      <c r="H578" s="320"/>
      <c r="I578" s="321"/>
      <c r="J578" s="320">
        <v>354</v>
      </c>
      <c r="K578" s="18">
        <v>354</v>
      </c>
      <c r="L578" s="18"/>
      <c r="M578" s="40">
        <f t="shared" si="291"/>
        <v>354</v>
      </c>
      <c r="N578" s="40">
        <f t="shared" si="292"/>
        <v>0</v>
      </c>
      <c r="O578" s="301" t="s">
        <v>299</v>
      </c>
      <c r="P578" s="85">
        <f t="shared" si="299"/>
        <v>45904</v>
      </c>
      <c r="Q578" s="85">
        <v>45833</v>
      </c>
      <c r="R578" s="85">
        <f t="shared" si="300"/>
        <v>45835</v>
      </c>
      <c r="S578" s="7">
        <f t="shared" ca="1" si="301"/>
        <v>71</v>
      </c>
      <c r="T578" s="85">
        <f>G578-30-8</f>
        <v>45912</v>
      </c>
      <c r="U578" s="85"/>
      <c r="V578" s="7">
        <f t="shared" ca="1" si="302"/>
        <v>72</v>
      </c>
      <c r="W578" s="85"/>
      <c r="X578" s="8"/>
    </row>
    <row r="579" spans="1:24" ht="14.5" hidden="1">
      <c r="A579" s="14">
        <v>177</v>
      </c>
      <c r="B579" s="15" t="s">
        <v>74</v>
      </c>
      <c r="C579" s="14"/>
      <c r="D579" s="318" t="s">
        <v>928</v>
      </c>
      <c r="E579" s="146" t="s">
        <v>347</v>
      </c>
      <c r="F579" s="14" t="s">
        <v>935</v>
      </c>
      <c r="G579" s="240">
        <v>45950</v>
      </c>
      <c r="H579" s="320"/>
      <c r="I579" s="321"/>
      <c r="J579" s="320">
        <v>147</v>
      </c>
      <c r="K579" s="18">
        <v>147</v>
      </c>
      <c r="L579" s="18">
        <v>147</v>
      </c>
      <c r="M579" s="40">
        <f t="shared" si="291"/>
        <v>0</v>
      </c>
      <c r="N579" s="40">
        <f t="shared" si="292"/>
        <v>0</v>
      </c>
      <c r="O579" s="301" t="s">
        <v>299</v>
      </c>
      <c r="P579" s="85">
        <f t="shared" si="299"/>
        <v>45904</v>
      </c>
      <c r="Q579" s="85">
        <v>45829</v>
      </c>
      <c r="R579" s="85">
        <f t="shared" si="300"/>
        <v>45831</v>
      </c>
      <c r="S579" s="7">
        <f t="shared" ca="1" si="301"/>
        <v>75</v>
      </c>
      <c r="T579" s="85">
        <f>G579-30-8</f>
        <v>45912</v>
      </c>
      <c r="U579" s="85">
        <v>45836</v>
      </c>
      <c r="V579" s="7">
        <f t="shared" ca="1" si="302"/>
        <v>76</v>
      </c>
      <c r="W579" s="85"/>
      <c r="X579" s="8"/>
    </row>
    <row r="580" spans="1:24" ht="14.5" hidden="1">
      <c r="A580" s="14">
        <v>177</v>
      </c>
      <c r="B580" s="15" t="s">
        <v>74</v>
      </c>
      <c r="C580" s="14"/>
      <c r="D580" s="318" t="s">
        <v>929</v>
      </c>
      <c r="E580" s="146" t="s">
        <v>932</v>
      </c>
      <c r="F580" s="14" t="s">
        <v>162</v>
      </c>
      <c r="G580" s="240">
        <v>45950</v>
      </c>
      <c r="H580" s="320"/>
      <c r="I580" s="321"/>
      <c r="J580" s="320">
        <v>418</v>
      </c>
      <c r="K580" s="18">
        <v>418</v>
      </c>
      <c r="L580" s="18">
        <v>460</v>
      </c>
      <c r="M580" s="40">
        <f t="shared" si="291"/>
        <v>-42</v>
      </c>
      <c r="N580" s="40">
        <f t="shared" si="292"/>
        <v>0</v>
      </c>
      <c r="O580" s="301" t="s">
        <v>299</v>
      </c>
      <c r="P580" s="85">
        <f t="shared" si="299"/>
        <v>45904</v>
      </c>
      <c r="Q580" s="85">
        <v>45824</v>
      </c>
      <c r="R580" s="85">
        <f t="shared" si="300"/>
        <v>45826</v>
      </c>
      <c r="S580" s="7">
        <f t="shared" ca="1" si="301"/>
        <v>80</v>
      </c>
      <c r="T580" s="85">
        <f>G580-30-8</f>
        <v>45912</v>
      </c>
      <c r="U580" s="85">
        <v>45836</v>
      </c>
      <c r="V580" s="7">
        <f t="shared" ca="1" si="302"/>
        <v>76</v>
      </c>
      <c r="W580" s="85"/>
      <c r="X580" s="8"/>
    </row>
    <row r="581" spans="1:24" ht="17.25" hidden="1" customHeight="1">
      <c r="A581" s="14">
        <v>177</v>
      </c>
      <c r="B581" s="15" t="s">
        <v>74</v>
      </c>
      <c r="C581" s="14"/>
      <c r="D581" s="318" t="s">
        <v>931</v>
      </c>
      <c r="E581" s="146" t="s">
        <v>934</v>
      </c>
      <c r="F581" s="14" t="s">
        <v>936</v>
      </c>
      <c r="G581" s="240">
        <v>45950</v>
      </c>
      <c r="H581" s="320"/>
      <c r="I581" s="321"/>
      <c r="J581" s="320">
        <v>198</v>
      </c>
      <c r="K581" s="18">
        <v>198</v>
      </c>
      <c r="L581" s="18"/>
      <c r="M581" s="40">
        <f t="shared" si="291"/>
        <v>198</v>
      </c>
      <c r="N581" s="40">
        <f t="shared" si="292"/>
        <v>0</v>
      </c>
      <c r="O581" s="301" t="s">
        <v>299</v>
      </c>
      <c r="P581" s="85">
        <f t="shared" si="299"/>
        <v>45904</v>
      </c>
      <c r="Q581" s="85">
        <v>45833</v>
      </c>
      <c r="R581" s="85">
        <f t="shared" si="300"/>
        <v>45835</v>
      </c>
      <c r="S581" s="7">
        <f t="shared" ca="1" si="301"/>
        <v>71</v>
      </c>
      <c r="T581" s="85">
        <f>G581-30-8</f>
        <v>45912</v>
      </c>
      <c r="U581" s="85"/>
      <c r="V581" s="7">
        <f t="shared" ca="1" si="302"/>
        <v>72</v>
      </c>
      <c r="W581" s="85"/>
      <c r="X581" s="8"/>
    </row>
    <row r="582" spans="1:24" ht="17.25" hidden="1" customHeight="1">
      <c r="A582" s="14">
        <v>225</v>
      </c>
      <c r="B582" s="15" t="s">
        <v>59</v>
      </c>
      <c r="C582" s="14"/>
      <c r="D582" s="318" t="s">
        <v>157</v>
      </c>
      <c r="E582" s="146" t="s">
        <v>903</v>
      </c>
      <c r="F582" s="146" t="s">
        <v>155</v>
      </c>
      <c r="G582" s="240">
        <v>45912</v>
      </c>
      <c r="H582" s="320">
        <v>2577.06</v>
      </c>
      <c r="I582" s="321">
        <v>0.30599999999999999</v>
      </c>
      <c r="J582" s="320">
        <f t="shared" ref="J582:J597" si="303">I582*H582</f>
        <v>788.58035999999993</v>
      </c>
      <c r="K582" s="18"/>
      <c r="L582" s="18"/>
      <c r="M582" s="40">
        <f t="shared" ref="M582" si="304">+J582-L582</f>
        <v>788.58035999999993</v>
      </c>
      <c r="N582" s="40">
        <f t="shared" ref="N582" si="305">J582-K582</f>
        <v>788.58035999999993</v>
      </c>
      <c r="O582" s="301" t="s">
        <v>871</v>
      </c>
      <c r="P582" s="85">
        <f>T582-18</f>
        <v>45862</v>
      </c>
      <c r="Q582" s="85"/>
      <c r="R582" s="85">
        <f t="shared" ref="R582" si="306">Q582+2</f>
        <v>2</v>
      </c>
      <c r="S582" s="7">
        <f t="shared" ref="S582" ca="1" si="307">+IF(Q582="",P582-TODAY(),P582-Q582)</f>
        <v>22</v>
      </c>
      <c r="T582" s="85">
        <f>G582-32</f>
        <v>45880</v>
      </c>
      <c r="U582" s="85"/>
      <c r="V582" s="7">
        <f t="shared" ref="V582" ca="1" si="308">+IF(U582="",T582-TODAY(),T582-U582)</f>
        <v>40</v>
      </c>
      <c r="W582" s="85"/>
      <c r="X582" s="8"/>
    </row>
    <row r="583" spans="1:24" ht="17.25" hidden="1" customHeight="1">
      <c r="A583" s="14">
        <v>225</v>
      </c>
      <c r="B583" s="15" t="s">
        <v>59</v>
      </c>
      <c r="C583" s="14"/>
      <c r="D583" s="318" t="s">
        <v>189</v>
      </c>
      <c r="E583" s="146" t="s">
        <v>242</v>
      </c>
      <c r="F583" s="146" t="s">
        <v>90</v>
      </c>
      <c r="G583" s="240">
        <v>45912</v>
      </c>
      <c r="H583" s="320">
        <v>1409.04</v>
      </c>
      <c r="I583" s="321">
        <v>0.48299999999999998</v>
      </c>
      <c r="J583" s="320">
        <f>H583*I583</f>
        <v>680.56631999999991</v>
      </c>
      <c r="K583" s="18"/>
      <c r="L583" s="18"/>
      <c r="M583" s="40">
        <f t="shared" ref="M583:M593" si="309">+J583-L583</f>
        <v>680.56631999999991</v>
      </c>
      <c r="N583" s="40">
        <f t="shared" ref="N583:N593" si="310">J583-K583</f>
        <v>680.56631999999991</v>
      </c>
      <c r="O583" s="302" t="s">
        <v>178</v>
      </c>
      <c r="P583" s="85">
        <f t="shared" ref="P583:P606" si="311">T583-18</f>
        <v>45862</v>
      </c>
      <c r="Q583" s="85"/>
      <c r="R583" s="85">
        <f t="shared" ref="R583:R606" si="312">Q583+2</f>
        <v>2</v>
      </c>
      <c r="S583" s="7">
        <f t="shared" ref="S583:S606" ca="1" si="313">+IF(Q583="",P583-TODAY(),P583-Q583)</f>
        <v>22</v>
      </c>
      <c r="T583" s="85">
        <f>G583-32</f>
        <v>45880</v>
      </c>
      <c r="U583" s="85"/>
      <c r="V583" s="7">
        <f t="shared" ref="V583:V606" ca="1" si="314">+IF(U583="",T583-TODAY(),T583-U583)</f>
        <v>40</v>
      </c>
      <c r="W583" s="85"/>
      <c r="X583" s="8"/>
    </row>
    <row r="584" spans="1:24" ht="17.25" hidden="1" customHeight="1">
      <c r="A584" s="14">
        <v>225</v>
      </c>
      <c r="B584" s="15" t="s">
        <v>59</v>
      </c>
      <c r="C584" s="14"/>
      <c r="D584" s="318" t="s">
        <v>158</v>
      </c>
      <c r="E584" s="146" t="s">
        <v>242</v>
      </c>
      <c r="F584" s="15" t="s">
        <v>156</v>
      </c>
      <c r="G584" s="240">
        <v>45912</v>
      </c>
      <c r="H584" s="320">
        <v>1417.28</v>
      </c>
      <c r="I584" s="321">
        <v>0.42799999999999999</v>
      </c>
      <c r="J584" s="320">
        <f t="shared" si="303"/>
        <v>606.59583999999995</v>
      </c>
      <c r="K584" s="18"/>
      <c r="L584" s="18"/>
      <c r="M584" s="40">
        <f t="shared" si="309"/>
        <v>606.59583999999995</v>
      </c>
      <c r="N584" s="40">
        <f t="shared" si="310"/>
        <v>606.59583999999995</v>
      </c>
      <c r="O584" s="302" t="s">
        <v>178</v>
      </c>
      <c r="P584" s="85">
        <f t="shared" si="311"/>
        <v>45862</v>
      </c>
      <c r="Q584" s="85"/>
      <c r="R584" s="85">
        <f t="shared" si="312"/>
        <v>2</v>
      </c>
      <c r="S584" s="7">
        <f t="shared" ca="1" si="313"/>
        <v>22</v>
      </c>
      <c r="T584" s="85">
        <f>G584-32</f>
        <v>45880</v>
      </c>
      <c r="U584" s="85"/>
      <c r="V584" s="7">
        <f t="shared" ca="1" si="314"/>
        <v>40</v>
      </c>
      <c r="W584" s="85"/>
      <c r="X584" s="8"/>
    </row>
    <row r="585" spans="1:24" ht="17.25" hidden="1" customHeight="1">
      <c r="A585" s="14">
        <v>226</v>
      </c>
      <c r="B585" s="15" t="s">
        <v>59</v>
      </c>
      <c r="C585" s="14"/>
      <c r="D585" s="318" t="s">
        <v>158</v>
      </c>
      <c r="E585" s="146" t="s">
        <v>242</v>
      </c>
      <c r="F585" s="146" t="s">
        <v>155</v>
      </c>
      <c r="G585" s="240">
        <v>45919</v>
      </c>
      <c r="H585" s="320">
        <v>1512.04</v>
      </c>
      <c r="I585" s="321">
        <v>0.42799999999999999</v>
      </c>
      <c r="J585" s="320">
        <f t="shared" si="303"/>
        <v>647.15311999999994</v>
      </c>
      <c r="K585" s="18"/>
      <c r="L585" s="18"/>
      <c r="M585" s="40">
        <f t="shared" si="309"/>
        <v>647.15311999999994</v>
      </c>
      <c r="N585" s="40">
        <f t="shared" si="310"/>
        <v>647.15311999999994</v>
      </c>
      <c r="O585" s="302" t="s">
        <v>178</v>
      </c>
      <c r="P585" s="85">
        <f t="shared" si="311"/>
        <v>45869</v>
      </c>
      <c r="Q585" s="85"/>
      <c r="R585" s="85">
        <f t="shared" si="312"/>
        <v>2</v>
      </c>
      <c r="S585" s="7">
        <f t="shared" ca="1" si="313"/>
        <v>29</v>
      </c>
      <c r="T585" s="85">
        <f>G585-32</f>
        <v>45887</v>
      </c>
      <c r="U585" s="85"/>
      <c r="V585" s="7">
        <f t="shared" ca="1" si="314"/>
        <v>47</v>
      </c>
      <c r="W585" s="85"/>
      <c r="X585" s="8"/>
    </row>
    <row r="586" spans="1:24" ht="17.25" hidden="1" customHeight="1">
      <c r="A586" s="14">
        <v>226</v>
      </c>
      <c r="B586" s="15" t="s">
        <v>59</v>
      </c>
      <c r="C586" s="14"/>
      <c r="D586" s="318" t="s">
        <v>158</v>
      </c>
      <c r="E586" s="146" t="s">
        <v>242</v>
      </c>
      <c r="F586" s="15" t="s">
        <v>156</v>
      </c>
      <c r="G586" s="240">
        <v>45919</v>
      </c>
      <c r="H586" s="320">
        <v>2360.7600000000002</v>
      </c>
      <c r="I586" s="321">
        <v>0.42799999999999999</v>
      </c>
      <c r="J586" s="320">
        <f t="shared" si="303"/>
        <v>1010.4052800000001</v>
      </c>
      <c r="K586" s="18"/>
      <c r="L586" s="18"/>
      <c r="M586" s="40">
        <f t="shared" si="309"/>
        <v>1010.4052800000001</v>
      </c>
      <c r="N586" s="40">
        <f t="shared" si="310"/>
        <v>1010.4052800000001</v>
      </c>
      <c r="O586" s="302" t="s">
        <v>178</v>
      </c>
      <c r="P586" s="85">
        <f t="shared" si="311"/>
        <v>45869</v>
      </c>
      <c r="Q586" s="85"/>
      <c r="R586" s="85">
        <f t="shared" si="312"/>
        <v>2</v>
      </c>
      <c r="S586" s="7">
        <f t="shared" ca="1" si="313"/>
        <v>29</v>
      </c>
      <c r="T586" s="85">
        <f>G586-32</f>
        <v>45887</v>
      </c>
      <c r="U586" s="85"/>
      <c r="V586" s="7">
        <f t="shared" ca="1" si="314"/>
        <v>47</v>
      </c>
      <c r="W586" s="85"/>
      <c r="X586" s="8"/>
    </row>
    <row r="587" spans="1:24" ht="17.25" hidden="1" customHeight="1">
      <c r="A587" s="14">
        <v>227</v>
      </c>
      <c r="B587" s="15" t="s">
        <v>59</v>
      </c>
      <c r="C587" s="14"/>
      <c r="D587" s="318" t="s">
        <v>193</v>
      </c>
      <c r="E587" s="146" t="s">
        <v>249</v>
      </c>
      <c r="F587" s="146" t="s">
        <v>162</v>
      </c>
      <c r="G587" s="240">
        <v>45947</v>
      </c>
      <c r="H587" s="320">
        <v>1905.5</v>
      </c>
      <c r="I587" s="321">
        <v>2.7</v>
      </c>
      <c r="J587" s="320">
        <f t="shared" si="303"/>
        <v>5144.8500000000004</v>
      </c>
      <c r="K587" s="18"/>
      <c r="L587" s="18"/>
      <c r="M587" s="40">
        <f t="shared" si="309"/>
        <v>5144.8500000000004</v>
      </c>
      <c r="N587" s="40">
        <f t="shared" si="310"/>
        <v>5144.8500000000004</v>
      </c>
      <c r="O587" s="302" t="s">
        <v>178</v>
      </c>
      <c r="P587" s="85">
        <f t="shared" si="311"/>
        <v>45882</v>
      </c>
      <c r="Q587" s="85"/>
      <c r="R587" s="85">
        <f t="shared" si="312"/>
        <v>2</v>
      </c>
      <c r="S587" s="7">
        <f t="shared" ca="1" si="313"/>
        <v>42</v>
      </c>
      <c r="T587" s="85">
        <f>G587-32-15</f>
        <v>45900</v>
      </c>
      <c r="U587" s="85"/>
      <c r="V587" s="7">
        <f t="shared" ca="1" si="314"/>
        <v>60</v>
      </c>
      <c r="W587" s="85"/>
      <c r="X587" s="8"/>
    </row>
    <row r="588" spans="1:24" ht="17.25" customHeight="1">
      <c r="A588" s="14">
        <v>227</v>
      </c>
      <c r="B588" s="15" t="s">
        <v>59</v>
      </c>
      <c r="C588" s="14"/>
      <c r="D588" s="318" t="s">
        <v>201</v>
      </c>
      <c r="E588" s="146" t="s">
        <v>247</v>
      </c>
      <c r="F588" s="146" t="s">
        <v>155</v>
      </c>
      <c r="G588" s="240">
        <v>45947</v>
      </c>
      <c r="H588" s="320">
        <f>5117.04*3</f>
        <v>15351.119999999999</v>
      </c>
      <c r="I588" s="321">
        <v>0.28000000000000003</v>
      </c>
      <c r="J588" s="320">
        <f t="shared" si="303"/>
        <v>4298.3136000000004</v>
      </c>
      <c r="K588" s="18"/>
      <c r="L588" s="18"/>
      <c r="M588" s="40">
        <f t="shared" si="309"/>
        <v>4298.3136000000004</v>
      </c>
      <c r="N588" s="40">
        <f t="shared" si="310"/>
        <v>4298.3136000000004</v>
      </c>
      <c r="O588" s="302" t="s">
        <v>178</v>
      </c>
      <c r="P588" s="85">
        <f t="shared" si="311"/>
        <v>45882</v>
      </c>
      <c r="Q588" s="85"/>
      <c r="R588" s="85">
        <f t="shared" si="312"/>
        <v>2</v>
      </c>
      <c r="S588" s="7">
        <f t="shared" ca="1" si="313"/>
        <v>42</v>
      </c>
      <c r="T588" s="85">
        <f>G588-32-15</f>
        <v>45900</v>
      </c>
      <c r="U588" s="85"/>
      <c r="V588" s="7">
        <f t="shared" ca="1" si="314"/>
        <v>60</v>
      </c>
      <c r="W588" s="85"/>
      <c r="X588" s="8"/>
    </row>
    <row r="589" spans="1:24" ht="17.25" hidden="1" customHeight="1">
      <c r="A589" s="14">
        <v>227</v>
      </c>
      <c r="B589" s="15" t="s">
        <v>59</v>
      </c>
      <c r="C589" s="14"/>
      <c r="D589" s="318" t="s">
        <v>158</v>
      </c>
      <c r="E589" s="146" t="s">
        <v>242</v>
      </c>
      <c r="F589" s="146" t="s">
        <v>154</v>
      </c>
      <c r="G589" s="240">
        <v>45947</v>
      </c>
      <c r="H589" s="320">
        <v>741.6</v>
      </c>
      <c r="I589" s="321">
        <v>0.42799999999999999</v>
      </c>
      <c r="J589" s="320">
        <f t="shared" si="303"/>
        <v>317.40480000000002</v>
      </c>
      <c r="K589" s="18"/>
      <c r="L589" s="18"/>
      <c r="M589" s="40">
        <f t="shared" si="309"/>
        <v>317.40480000000002</v>
      </c>
      <c r="N589" s="40">
        <f t="shared" si="310"/>
        <v>317.40480000000002</v>
      </c>
      <c r="O589" s="302" t="s">
        <v>178</v>
      </c>
      <c r="P589" s="85">
        <f t="shared" si="311"/>
        <v>45889</v>
      </c>
      <c r="Q589" s="85"/>
      <c r="R589" s="85">
        <f t="shared" si="312"/>
        <v>2</v>
      </c>
      <c r="S589" s="7">
        <f t="shared" ca="1" si="313"/>
        <v>49</v>
      </c>
      <c r="T589" s="85">
        <f>G589-40</f>
        <v>45907</v>
      </c>
      <c r="U589" s="85"/>
      <c r="V589" s="7">
        <f t="shared" ca="1" si="314"/>
        <v>67</v>
      </c>
      <c r="W589" s="85"/>
      <c r="X589" s="8"/>
    </row>
    <row r="590" spans="1:24" ht="17.25" hidden="1" customHeight="1">
      <c r="A590" s="14">
        <v>227</v>
      </c>
      <c r="B590" s="15" t="s">
        <v>59</v>
      </c>
      <c r="C590" s="14"/>
      <c r="D590" s="318" t="s">
        <v>158</v>
      </c>
      <c r="E590" s="146" t="s">
        <v>242</v>
      </c>
      <c r="F590" s="146" t="s">
        <v>156</v>
      </c>
      <c r="G590" s="240">
        <v>45947</v>
      </c>
      <c r="H590" s="320">
        <v>2002.3200000000002</v>
      </c>
      <c r="I590" s="321">
        <v>0.42799999999999999</v>
      </c>
      <c r="J590" s="320">
        <f t="shared" si="303"/>
        <v>856.99296000000004</v>
      </c>
      <c r="K590" s="18"/>
      <c r="L590" s="18"/>
      <c r="M590" s="40">
        <f t="shared" si="309"/>
        <v>856.99296000000004</v>
      </c>
      <c r="N590" s="40">
        <f t="shared" si="310"/>
        <v>856.99296000000004</v>
      </c>
      <c r="O590" s="302" t="s">
        <v>178</v>
      </c>
      <c r="P590" s="85">
        <f t="shared" si="311"/>
        <v>45889</v>
      </c>
      <c r="Q590" s="85"/>
      <c r="R590" s="85">
        <f t="shared" si="312"/>
        <v>2</v>
      </c>
      <c r="S590" s="7">
        <f t="shared" ca="1" si="313"/>
        <v>49</v>
      </c>
      <c r="T590" s="85">
        <f>G590-40</f>
        <v>45907</v>
      </c>
      <c r="U590" s="85"/>
      <c r="V590" s="7">
        <f t="shared" ca="1" si="314"/>
        <v>67</v>
      </c>
      <c r="W590" s="85"/>
      <c r="X590" s="8"/>
    </row>
    <row r="591" spans="1:24" ht="17.25" hidden="1" customHeight="1">
      <c r="A591" s="14">
        <v>227</v>
      </c>
      <c r="B591" s="15" t="s">
        <v>59</v>
      </c>
      <c r="C591" s="14"/>
      <c r="D591" s="318" t="s">
        <v>920</v>
      </c>
      <c r="E591" s="146" t="s">
        <v>242</v>
      </c>
      <c r="F591" s="137" t="s">
        <v>919</v>
      </c>
      <c r="G591" s="240">
        <v>45947</v>
      </c>
      <c r="H591" s="320">
        <v>2451.4</v>
      </c>
      <c r="I591" s="321">
        <v>0.504</v>
      </c>
      <c r="J591" s="320">
        <f t="shared" si="303"/>
        <v>1235.5056</v>
      </c>
      <c r="K591" s="18"/>
      <c r="L591" s="18"/>
      <c r="M591" s="40">
        <f t="shared" si="309"/>
        <v>1235.5056</v>
      </c>
      <c r="N591" s="40">
        <f t="shared" si="310"/>
        <v>1235.5056</v>
      </c>
      <c r="O591" s="302" t="s">
        <v>178</v>
      </c>
      <c r="P591" s="85">
        <f t="shared" si="311"/>
        <v>45882</v>
      </c>
      <c r="Q591" s="85"/>
      <c r="R591" s="85">
        <f t="shared" si="312"/>
        <v>2</v>
      </c>
      <c r="S591" s="7">
        <f t="shared" ca="1" si="313"/>
        <v>42</v>
      </c>
      <c r="T591" s="85">
        <f t="shared" ref="T591:T596" si="315">G591-32-15</f>
        <v>45900</v>
      </c>
      <c r="U591" s="85"/>
      <c r="V591" s="7">
        <f t="shared" ca="1" si="314"/>
        <v>60</v>
      </c>
      <c r="W591" s="85"/>
      <c r="X591" s="8"/>
    </row>
    <row r="592" spans="1:24" ht="17.25" hidden="1" customHeight="1">
      <c r="A592" s="14">
        <v>227</v>
      </c>
      <c r="B592" s="15" t="s">
        <v>59</v>
      </c>
      <c r="C592" s="14"/>
      <c r="D592" s="318" t="s">
        <v>920</v>
      </c>
      <c r="E592" s="146" t="s">
        <v>242</v>
      </c>
      <c r="F592" s="14" t="s">
        <v>921</v>
      </c>
      <c r="G592" s="240">
        <v>45947</v>
      </c>
      <c r="H592" s="320">
        <v>2451.4</v>
      </c>
      <c r="I592" s="321">
        <v>0.504</v>
      </c>
      <c r="J592" s="320">
        <f t="shared" si="303"/>
        <v>1235.5056</v>
      </c>
      <c r="K592" s="18"/>
      <c r="L592" s="18"/>
      <c r="M592" s="40">
        <f t="shared" si="309"/>
        <v>1235.5056</v>
      </c>
      <c r="N592" s="40">
        <f t="shared" si="310"/>
        <v>1235.5056</v>
      </c>
      <c r="O592" s="302" t="s">
        <v>178</v>
      </c>
      <c r="P592" s="85">
        <f t="shared" si="311"/>
        <v>45882</v>
      </c>
      <c r="Q592" s="85"/>
      <c r="R592" s="85">
        <f t="shared" si="312"/>
        <v>2</v>
      </c>
      <c r="S592" s="7">
        <f t="shared" ca="1" si="313"/>
        <v>42</v>
      </c>
      <c r="T592" s="85">
        <f t="shared" si="315"/>
        <v>45900</v>
      </c>
      <c r="U592" s="85"/>
      <c r="V592" s="7">
        <f t="shared" ca="1" si="314"/>
        <v>60</v>
      </c>
      <c r="W592" s="85"/>
      <c r="X592" s="8"/>
    </row>
    <row r="593" spans="1:24" ht="17.25" hidden="1" customHeight="1">
      <c r="A593" s="14">
        <v>228</v>
      </c>
      <c r="B593" s="15" t="s">
        <v>59</v>
      </c>
      <c r="C593" s="14"/>
      <c r="D593" s="301" t="s">
        <v>248</v>
      </c>
      <c r="E593" s="146" t="s">
        <v>270</v>
      </c>
      <c r="F593" s="146" t="s">
        <v>162</v>
      </c>
      <c r="G593" s="240">
        <v>45926</v>
      </c>
      <c r="H593" s="320">
        <v>1545</v>
      </c>
      <c r="I593" s="321">
        <v>1.829</v>
      </c>
      <c r="J593" s="320">
        <f t="shared" si="303"/>
        <v>2825.8049999999998</v>
      </c>
      <c r="K593" s="18"/>
      <c r="L593" s="18"/>
      <c r="M593" s="40">
        <f t="shared" si="309"/>
        <v>2825.8049999999998</v>
      </c>
      <c r="N593" s="40">
        <f t="shared" si="310"/>
        <v>2825.8049999999998</v>
      </c>
      <c r="O593" s="302" t="s">
        <v>178</v>
      </c>
      <c r="P593" s="85">
        <f t="shared" si="311"/>
        <v>45861</v>
      </c>
      <c r="Q593" s="85"/>
      <c r="R593" s="85">
        <f t="shared" si="312"/>
        <v>2</v>
      </c>
      <c r="S593" s="7">
        <f t="shared" ca="1" si="313"/>
        <v>21</v>
      </c>
      <c r="T593" s="85">
        <f t="shared" si="315"/>
        <v>45879</v>
      </c>
      <c r="U593" s="85"/>
      <c r="V593" s="7">
        <f t="shared" ca="1" si="314"/>
        <v>39</v>
      </c>
      <c r="W593" s="85"/>
      <c r="X593" s="8"/>
    </row>
    <row r="594" spans="1:24" ht="17.25" hidden="1" customHeight="1">
      <c r="A594" s="14">
        <v>228</v>
      </c>
      <c r="B594" s="15" t="s">
        <v>59</v>
      </c>
      <c r="C594" s="15"/>
      <c r="D594" s="318" t="s">
        <v>288</v>
      </c>
      <c r="E594" s="146" t="s">
        <v>289</v>
      </c>
      <c r="F594" s="137" t="s">
        <v>155</v>
      </c>
      <c r="G594" s="240">
        <v>45926</v>
      </c>
      <c r="H594" s="320">
        <v>1460.8</v>
      </c>
      <c r="I594" s="321">
        <v>0.6</v>
      </c>
      <c r="J594" s="320">
        <f t="shared" si="303"/>
        <v>876.4799999999999</v>
      </c>
      <c r="K594" s="18"/>
      <c r="L594" s="18"/>
      <c r="M594" s="40">
        <f t="shared" ref="M594:M606" si="316">+J594-L594</f>
        <v>876.4799999999999</v>
      </c>
      <c r="N594" s="40">
        <f t="shared" ref="N594:N606" si="317">J594-K594</f>
        <v>876.4799999999999</v>
      </c>
      <c r="O594" s="302" t="s">
        <v>178</v>
      </c>
      <c r="P594" s="85">
        <f t="shared" si="311"/>
        <v>45861</v>
      </c>
      <c r="Q594" s="85"/>
      <c r="R594" s="85">
        <f t="shared" si="312"/>
        <v>2</v>
      </c>
      <c r="S594" s="7">
        <f t="shared" ca="1" si="313"/>
        <v>21</v>
      </c>
      <c r="T594" s="85">
        <f t="shared" si="315"/>
        <v>45879</v>
      </c>
      <c r="U594" s="85"/>
      <c r="V594" s="7">
        <f t="shared" ca="1" si="314"/>
        <v>39</v>
      </c>
      <c r="W594" s="85"/>
      <c r="X594" s="8"/>
    </row>
    <row r="595" spans="1:24" ht="17.25" hidden="1" customHeight="1">
      <c r="A595" s="14">
        <v>228</v>
      </c>
      <c r="B595" s="15" t="s">
        <v>59</v>
      </c>
      <c r="C595" s="14"/>
      <c r="D595" s="318" t="s">
        <v>288</v>
      </c>
      <c r="E595" s="146" t="s">
        <v>289</v>
      </c>
      <c r="F595" s="137" t="s">
        <v>154</v>
      </c>
      <c r="G595" s="240">
        <v>45926</v>
      </c>
      <c r="H595" s="320">
        <v>1000</v>
      </c>
      <c r="I595" s="321">
        <v>0.6</v>
      </c>
      <c r="J595" s="320">
        <f t="shared" si="303"/>
        <v>600</v>
      </c>
      <c r="K595" s="18"/>
      <c r="L595" s="18"/>
      <c r="M595" s="40">
        <f t="shared" si="316"/>
        <v>600</v>
      </c>
      <c r="N595" s="40">
        <f t="shared" si="317"/>
        <v>600</v>
      </c>
      <c r="O595" s="302" t="s">
        <v>178</v>
      </c>
      <c r="P595" s="85">
        <f t="shared" si="311"/>
        <v>45861</v>
      </c>
      <c r="Q595" s="85"/>
      <c r="R595" s="85">
        <f t="shared" si="312"/>
        <v>2</v>
      </c>
      <c r="S595" s="7">
        <f t="shared" ca="1" si="313"/>
        <v>21</v>
      </c>
      <c r="T595" s="85">
        <f t="shared" si="315"/>
        <v>45879</v>
      </c>
      <c r="U595" s="85"/>
      <c r="V595" s="7">
        <f t="shared" ca="1" si="314"/>
        <v>39</v>
      </c>
      <c r="W595" s="85"/>
      <c r="X595" s="8"/>
    </row>
    <row r="596" spans="1:24" ht="17.25" hidden="1" customHeight="1">
      <c r="A596" s="14">
        <v>228</v>
      </c>
      <c r="B596" s="15" t="s">
        <v>59</v>
      </c>
      <c r="C596" s="14"/>
      <c r="D596" s="318" t="s">
        <v>288</v>
      </c>
      <c r="E596" s="146" t="s">
        <v>289</v>
      </c>
      <c r="F596" s="137" t="s">
        <v>156</v>
      </c>
      <c r="G596" s="240">
        <v>45926</v>
      </c>
      <c r="H596" s="320">
        <v>1000</v>
      </c>
      <c r="I596" s="321">
        <v>0.6</v>
      </c>
      <c r="J596" s="320">
        <f t="shared" si="303"/>
        <v>600</v>
      </c>
      <c r="K596" s="18"/>
      <c r="L596" s="18"/>
      <c r="M596" s="40">
        <f t="shared" si="316"/>
        <v>600</v>
      </c>
      <c r="N596" s="40">
        <f t="shared" si="317"/>
        <v>600</v>
      </c>
      <c r="O596" s="302" t="s">
        <v>178</v>
      </c>
      <c r="P596" s="85">
        <f t="shared" si="311"/>
        <v>45861</v>
      </c>
      <c r="Q596" s="85"/>
      <c r="R596" s="85">
        <f t="shared" si="312"/>
        <v>2</v>
      </c>
      <c r="S596" s="7">
        <f t="shared" ca="1" si="313"/>
        <v>21</v>
      </c>
      <c r="T596" s="85">
        <f t="shared" si="315"/>
        <v>45879</v>
      </c>
      <c r="U596" s="85"/>
      <c r="V596" s="7">
        <f t="shared" ca="1" si="314"/>
        <v>39</v>
      </c>
      <c r="W596" s="85"/>
      <c r="X596" s="8"/>
    </row>
    <row r="597" spans="1:24" ht="17.25" hidden="1" customHeight="1">
      <c r="A597" s="14">
        <v>228</v>
      </c>
      <c r="B597" s="15" t="s">
        <v>59</v>
      </c>
      <c r="C597" s="14"/>
      <c r="D597" s="318" t="s">
        <v>157</v>
      </c>
      <c r="E597" s="146" t="s">
        <v>903</v>
      </c>
      <c r="F597" s="146" t="s">
        <v>162</v>
      </c>
      <c r="G597" s="240">
        <v>45926</v>
      </c>
      <c r="H597" s="320">
        <v>3460.8</v>
      </c>
      <c r="I597" s="321">
        <v>0.30599999999999999</v>
      </c>
      <c r="J597" s="320">
        <f t="shared" si="303"/>
        <v>1059.0047999999999</v>
      </c>
      <c r="K597" s="18"/>
      <c r="L597" s="18"/>
      <c r="M597" s="40">
        <f t="shared" si="316"/>
        <v>1059.0047999999999</v>
      </c>
      <c r="N597" s="40">
        <f t="shared" si="317"/>
        <v>1059.0047999999999</v>
      </c>
      <c r="O597" s="301" t="s">
        <v>871</v>
      </c>
      <c r="P597" s="85">
        <f t="shared" si="311"/>
        <v>45868</v>
      </c>
      <c r="Q597" s="85"/>
      <c r="R597" s="85">
        <f t="shared" si="312"/>
        <v>2</v>
      </c>
      <c r="S597" s="7">
        <f t="shared" ca="1" si="313"/>
        <v>28</v>
      </c>
      <c r="T597" s="85">
        <f>G597-40</f>
        <v>45886</v>
      </c>
      <c r="U597" s="85"/>
      <c r="V597" s="7">
        <f t="shared" ca="1" si="314"/>
        <v>46</v>
      </c>
      <c r="W597" s="85"/>
      <c r="X597" s="8"/>
    </row>
    <row r="598" spans="1:24" ht="17.25" hidden="1" customHeight="1">
      <c r="A598" s="14">
        <v>228</v>
      </c>
      <c r="B598" s="15" t="s">
        <v>59</v>
      </c>
      <c r="C598" s="14"/>
      <c r="D598" s="318" t="s">
        <v>901</v>
      </c>
      <c r="E598" s="14" t="s">
        <v>242</v>
      </c>
      <c r="F598" s="137" t="s">
        <v>244</v>
      </c>
      <c r="G598" s="240">
        <v>45926</v>
      </c>
      <c r="H598" s="320">
        <v>1376.08</v>
      </c>
      <c r="I598" s="321">
        <v>0.45</v>
      </c>
      <c r="J598" s="320">
        <f t="shared" ref="J598" si="318">H598*I598</f>
        <v>619.23599999999999</v>
      </c>
      <c r="K598" s="18"/>
      <c r="L598" s="18"/>
      <c r="M598" s="40">
        <f t="shared" si="316"/>
        <v>619.23599999999999</v>
      </c>
      <c r="N598" s="40">
        <f t="shared" si="317"/>
        <v>619.23599999999999</v>
      </c>
      <c r="O598" s="302" t="s">
        <v>178</v>
      </c>
      <c r="P598" s="85">
        <f t="shared" si="311"/>
        <v>45861</v>
      </c>
      <c r="Q598" s="85"/>
      <c r="R598" s="85">
        <f t="shared" si="312"/>
        <v>2</v>
      </c>
      <c r="S598" s="7">
        <f t="shared" ca="1" si="313"/>
        <v>21</v>
      </c>
      <c r="T598" s="85">
        <f>G598-32-15</f>
        <v>45879</v>
      </c>
      <c r="U598" s="85"/>
      <c r="V598" s="7">
        <f t="shared" ca="1" si="314"/>
        <v>39</v>
      </c>
      <c r="W598" s="85"/>
      <c r="X598" s="8"/>
    </row>
    <row r="599" spans="1:24" ht="17.25" hidden="1" customHeight="1">
      <c r="A599" s="14">
        <v>229</v>
      </c>
      <c r="B599" s="15" t="s">
        <v>59</v>
      </c>
      <c r="C599" s="14"/>
      <c r="D599" s="301" t="s">
        <v>248</v>
      </c>
      <c r="E599" s="146" t="s">
        <v>270</v>
      </c>
      <c r="F599" s="146" t="s">
        <v>162</v>
      </c>
      <c r="G599" s="240">
        <v>45940</v>
      </c>
      <c r="H599" s="320">
        <v>1996.14</v>
      </c>
      <c r="I599" s="321">
        <v>1.829</v>
      </c>
      <c r="J599" s="320">
        <f>H599*I599</f>
        <v>3650.9400599999999</v>
      </c>
      <c r="K599" s="18"/>
      <c r="L599" s="18"/>
      <c r="M599" s="40">
        <f t="shared" si="316"/>
        <v>3650.9400599999999</v>
      </c>
      <c r="N599" s="40">
        <f t="shared" si="317"/>
        <v>3650.9400599999999</v>
      </c>
      <c r="O599" s="302" t="s">
        <v>178</v>
      </c>
      <c r="P599" s="85">
        <f t="shared" si="311"/>
        <v>45875</v>
      </c>
      <c r="Q599" s="85"/>
      <c r="R599" s="85">
        <f t="shared" si="312"/>
        <v>2</v>
      </c>
      <c r="S599" s="7">
        <f t="shared" ca="1" si="313"/>
        <v>35</v>
      </c>
      <c r="T599" s="85">
        <f>G599-32-15</f>
        <v>45893</v>
      </c>
      <c r="U599" s="85"/>
      <c r="V599" s="7">
        <f t="shared" ca="1" si="314"/>
        <v>53</v>
      </c>
      <c r="W599" s="85"/>
      <c r="X599" s="8"/>
    </row>
    <row r="600" spans="1:24" ht="17.25" hidden="1" customHeight="1">
      <c r="A600" s="14">
        <v>229</v>
      </c>
      <c r="B600" s="15" t="s">
        <v>59</v>
      </c>
      <c r="C600" s="14"/>
      <c r="D600" s="318" t="s">
        <v>136</v>
      </c>
      <c r="E600" s="146" t="s">
        <v>247</v>
      </c>
      <c r="F600" s="146" t="s">
        <v>162</v>
      </c>
      <c r="G600" s="240">
        <v>45940</v>
      </c>
      <c r="H600" s="320">
        <v>3337.2000000000003</v>
      </c>
      <c r="I600" s="321">
        <v>0.28000000000000003</v>
      </c>
      <c r="J600" s="320">
        <f t="shared" ref="J600:J602" si="319">H600*I600</f>
        <v>934.41600000000017</v>
      </c>
      <c r="K600" s="18"/>
      <c r="L600" s="18"/>
      <c r="M600" s="40">
        <f t="shared" si="316"/>
        <v>934.41600000000017</v>
      </c>
      <c r="N600" s="40">
        <f t="shared" si="317"/>
        <v>934.41600000000017</v>
      </c>
      <c r="O600" s="302" t="s">
        <v>265</v>
      </c>
      <c r="P600" s="85">
        <f t="shared" si="311"/>
        <v>45882</v>
      </c>
      <c r="Q600" s="85"/>
      <c r="R600" s="85">
        <f t="shared" si="312"/>
        <v>2</v>
      </c>
      <c r="S600" s="7">
        <f t="shared" ca="1" si="313"/>
        <v>42</v>
      </c>
      <c r="T600" s="85">
        <f>G600-40</f>
        <v>45900</v>
      </c>
      <c r="U600" s="85"/>
      <c r="V600" s="7">
        <f t="shared" ca="1" si="314"/>
        <v>60</v>
      </c>
      <c r="W600" s="85"/>
      <c r="X600" s="8"/>
    </row>
    <row r="601" spans="1:24" ht="17.25" hidden="1" customHeight="1">
      <c r="A601" s="14">
        <v>229</v>
      </c>
      <c r="B601" s="15" t="s">
        <v>59</v>
      </c>
      <c r="C601" s="14"/>
      <c r="D601" s="318" t="s">
        <v>136</v>
      </c>
      <c r="E601" s="146" t="s">
        <v>247</v>
      </c>
      <c r="F601" s="146" t="s">
        <v>163</v>
      </c>
      <c r="G601" s="240">
        <v>45940</v>
      </c>
      <c r="H601" s="320">
        <v>3337.2000000000003</v>
      </c>
      <c r="I601" s="321">
        <v>0.28000000000000003</v>
      </c>
      <c r="J601" s="320">
        <f t="shared" si="319"/>
        <v>934.41600000000017</v>
      </c>
      <c r="K601" s="18"/>
      <c r="L601" s="18"/>
      <c r="M601" s="40">
        <f t="shared" si="316"/>
        <v>934.41600000000017</v>
      </c>
      <c r="N601" s="40">
        <f t="shared" si="317"/>
        <v>934.41600000000017</v>
      </c>
      <c r="O601" s="302" t="s">
        <v>265</v>
      </c>
      <c r="P601" s="85">
        <f t="shared" si="311"/>
        <v>45882</v>
      </c>
      <c r="Q601" s="85"/>
      <c r="R601" s="85">
        <f t="shared" si="312"/>
        <v>2</v>
      </c>
      <c r="S601" s="7">
        <f t="shared" ca="1" si="313"/>
        <v>42</v>
      </c>
      <c r="T601" s="85">
        <f>G601-40</f>
        <v>45900</v>
      </c>
      <c r="U601" s="85"/>
      <c r="V601" s="7">
        <f t="shared" ca="1" si="314"/>
        <v>60</v>
      </c>
      <c r="W601" s="85"/>
      <c r="X601" s="8"/>
    </row>
    <row r="602" spans="1:24" ht="17.25" hidden="1" customHeight="1">
      <c r="A602" s="14">
        <v>229</v>
      </c>
      <c r="B602" s="15" t="s">
        <v>59</v>
      </c>
      <c r="C602" s="14"/>
      <c r="D602" s="318" t="s">
        <v>136</v>
      </c>
      <c r="E602" s="146" t="s">
        <v>247</v>
      </c>
      <c r="F602" s="146" t="s">
        <v>164</v>
      </c>
      <c r="G602" s="240">
        <v>45940</v>
      </c>
      <c r="H602" s="320">
        <v>3337.2000000000003</v>
      </c>
      <c r="I602" s="321">
        <v>0.28000000000000003</v>
      </c>
      <c r="J602" s="320">
        <f t="shared" si="319"/>
        <v>934.41600000000017</v>
      </c>
      <c r="K602" s="18"/>
      <c r="L602" s="18"/>
      <c r="M602" s="40">
        <f t="shared" si="316"/>
        <v>934.41600000000017</v>
      </c>
      <c r="N602" s="40">
        <f t="shared" si="317"/>
        <v>934.41600000000017</v>
      </c>
      <c r="O602" s="302" t="s">
        <v>265</v>
      </c>
      <c r="P602" s="85">
        <f t="shared" si="311"/>
        <v>45882</v>
      </c>
      <c r="Q602" s="85"/>
      <c r="R602" s="85">
        <f t="shared" si="312"/>
        <v>2</v>
      </c>
      <c r="S602" s="7">
        <f t="shared" ca="1" si="313"/>
        <v>42</v>
      </c>
      <c r="T602" s="85">
        <f>G602-40</f>
        <v>45900</v>
      </c>
      <c r="U602" s="85"/>
      <c r="V602" s="7">
        <f t="shared" ca="1" si="314"/>
        <v>60</v>
      </c>
      <c r="W602" s="85"/>
      <c r="X602" s="8"/>
    </row>
    <row r="603" spans="1:24" ht="17.25" hidden="1" customHeight="1">
      <c r="A603" s="14">
        <v>229</v>
      </c>
      <c r="B603" s="15" t="s">
        <v>59</v>
      </c>
      <c r="C603" s="14"/>
      <c r="D603" s="318" t="s">
        <v>158</v>
      </c>
      <c r="E603" s="146" t="s">
        <v>242</v>
      </c>
      <c r="F603" s="15" t="s">
        <v>154</v>
      </c>
      <c r="G603" s="240">
        <v>45940</v>
      </c>
      <c r="H603" s="320">
        <v>1396.68</v>
      </c>
      <c r="I603" s="321">
        <v>0.42799999999999999</v>
      </c>
      <c r="J603" s="320">
        <f>I603*H603</f>
        <v>597.77904000000001</v>
      </c>
      <c r="K603" s="18"/>
      <c r="L603" s="18"/>
      <c r="M603" s="40">
        <f t="shared" si="316"/>
        <v>597.77904000000001</v>
      </c>
      <c r="N603" s="40">
        <f t="shared" si="317"/>
        <v>597.77904000000001</v>
      </c>
      <c r="O603" s="302" t="s">
        <v>178</v>
      </c>
      <c r="P603" s="85">
        <f t="shared" si="311"/>
        <v>45882</v>
      </c>
      <c r="Q603" s="85"/>
      <c r="R603" s="85">
        <f t="shared" si="312"/>
        <v>2</v>
      </c>
      <c r="S603" s="7">
        <f t="shared" ca="1" si="313"/>
        <v>42</v>
      </c>
      <c r="T603" s="85">
        <f>G603-40</f>
        <v>45900</v>
      </c>
      <c r="U603" s="85"/>
      <c r="V603" s="7">
        <f t="shared" ca="1" si="314"/>
        <v>60</v>
      </c>
      <c r="W603" s="85"/>
      <c r="X603" s="8"/>
    </row>
    <row r="604" spans="1:24" ht="17.25" hidden="1" customHeight="1">
      <c r="A604" s="14">
        <v>229</v>
      </c>
      <c r="B604" s="15" t="s">
        <v>59</v>
      </c>
      <c r="C604" s="14"/>
      <c r="D604" s="318" t="s">
        <v>901</v>
      </c>
      <c r="E604" s="14" t="s">
        <v>242</v>
      </c>
      <c r="F604" s="137" t="s">
        <v>244</v>
      </c>
      <c r="G604" s="240">
        <v>45940</v>
      </c>
      <c r="H604" s="320">
        <v>1396.68</v>
      </c>
      <c r="I604" s="321">
        <v>0.45</v>
      </c>
      <c r="J604" s="320">
        <f t="shared" ref="J604" si="320">H604*I604</f>
        <v>628.50600000000009</v>
      </c>
      <c r="K604" s="18"/>
      <c r="L604" s="18"/>
      <c r="M604" s="40">
        <f t="shared" si="316"/>
        <v>628.50600000000009</v>
      </c>
      <c r="N604" s="40">
        <f t="shared" si="317"/>
        <v>628.50600000000009</v>
      </c>
      <c r="O604" s="302" t="s">
        <v>178</v>
      </c>
      <c r="P604" s="85">
        <f t="shared" si="311"/>
        <v>45875</v>
      </c>
      <c r="Q604" s="85"/>
      <c r="R604" s="85">
        <f t="shared" si="312"/>
        <v>2</v>
      </c>
      <c r="S604" s="7">
        <f t="shared" ca="1" si="313"/>
        <v>35</v>
      </c>
      <c r="T604" s="85">
        <f>G604-32-15</f>
        <v>45893</v>
      </c>
      <c r="U604" s="85"/>
      <c r="V604" s="7">
        <f t="shared" ca="1" si="314"/>
        <v>53</v>
      </c>
      <c r="W604" s="85"/>
      <c r="X604" s="8"/>
    </row>
    <row r="605" spans="1:24" ht="17.25" hidden="1" customHeight="1">
      <c r="A605" s="14">
        <v>229</v>
      </c>
      <c r="B605" s="15" t="s">
        <v>59</v>
      </c>
      <c r="C605" s="14"/>
      <c r="D605" s="318" t="s">
        <v>920</v>
      </c>
      <c r="E605" s="146" t="s">
        <v>242</v>
      </c>
      <c r="F605" s="137" t="s">
        <v>919</v>
      </c>
      <c r="G605" s="240">
        <v>45940</v>
      </c>
      <c r="H605" s="320">
        <v>4059.23</v>
      </c>
      <c r="I605" s="321">
        <v>0.504</v>
      </c>
      <c r="J605" s="320">
        <f>H605*I605</f>
        <v>2045.8519200000001</v>
      </c>
      <c r="K605" s="18"/>
      <c r="L605" s="18"/>
      <c r="M605" s="40">
        <f t="shared" si="316"/>
        <v>2045.8519200000001</v>
      </c>
      <c r="N605" s="40">
        <f t="shared" si="317"/>
        <v>2045.8519200000001</v>
      </c>
      <c r="O605" s="302" t="s">
        <v>178</v>
      </c>
      <c r="P605" s="85">
        <f t="shared" si="311"/>
        <v>45875</v>
      </c>
      <c r="Q605" s="85"/>
      <c r="R605" s="85">
        <f t="shared" si="312"/>
        <v>2</v>
      </c>
      <c r="S605" s="7">
        <f t="shared" ca="1" si="313"/>
        <v>35</v>
      </c>
      <c r="T605" s="85">
        <f>G605-32-15</f>
        <v>45893</v>
      </c>
      <c r="U605" s="85"/>
      <c r="V605" s="7">
        <f t="shared" ca="1" si="314"/>
        <v>53</v>
      </c>
      <c r="W605" s="85"/>
      <c r="X605" s="8"/>
    </row>
    <row r="606" spans="1:24" ht="17.25" hidden="1" customHeight="1">
      <c r="A606" s="14">
        <v>229</v>
      </c>
      <c r="B606" s="15" t="s">
        <v>59</v>
      </c>
      <c r="C606" s="14"/>
      <c r="D606" s="318" t="s">
        <v>920</v>
      </c>
      <c r="E606" s="146" t="s">
        <v>242</v>
      </c>
      <c r="F606" s="14" t="s">
        <v>921</v>
      </c>
      <c r="G606" s="240">
        <v>45940</v>
      </c>
      <c r="H606" s="320">
        <v>4059.23</v>
      </c>
      <c r="I606" s="321">
        <v>0.504</v>
      </c>
      <c r="J606" s="320">
        <f>H606*I606</f>
        <v>2045.8519200000001</v>
      </c>
      <c r="K606" s="18"/>
      <c r="L606" s="18"/>
      <c r="M606" s="40">
        <f t="shared" si="316"/>
        <v>2045.8519200000001</v>
      </c>
      <c r="N606" s="40">
        <f t="shared" si="317"/>
        <v>2045.8519200000001</v>
      </c>
      <c r="O606" s="302" t="s">
        <v>178</v>
      </c>
      <c r="P606" s="85">
        <f t="shared" si="311"/>
        <v>45875</v>
      </c>
      <c r="Q606" s="85"/>
      <c r="R606" s="85">
        <f t="shared" si="312"/>
        <v>2</v>
      </c>
      <c r="S606" s="7">
        <f t="shared" ca="1" si="313"/>
        <v>35</v>
      </c>
      <c r="T606" s="85">
        <f>G606-32-15</f>
        <v>45893</v>
      </c>
      <c r="U606" s="85"/>
      <c r="V606" s="7">
        <f t="shared" ca="1" si="314"/>
        <v>53</v>
      </c>
      <c r="W606" s="85"/>
      <c r="X606" s="8"/>
    </row>
    <row r="607" spans="1:24" ht="17.25" hidden="1" customHeight="1">
      <c r="A607" s="14">
        <v>230</v>
      </c>
      <c r="B607" s="15" t="s">
        <v>59</v>
      </c>
      <c r="C607" s="14"/>
      <c r="D607" s="318" t="s">
        <v>158</v>
      </c>
      <c r="E607" s="146" t="s">
        <v>242</v>
      </c>
      <c r="F607" s="146" t="s">
        <v>155</v>
      </c>
      <c r="G607" s="240">
        <v>45919</v>
      </c>
      <c r="H607" s="320">
        <v>317.24</v>
      </c>
      <c r="I607" s="321">
        <v>0.42799999999999999</v>
      </c>
      <c r="J607" s="320">
        <f>I607*H607</f>
        <v>135.77871999999999</v>
      </c>
      <c r="K607" s="18"/>
      <c r="L607" s="18"/>
      <c r="M607" s="40">
        <f t="shared" ref="M607" si="321">+J607-L607</f>
        <v>135.77871999999999</v>
      </c>
      <c r="N607" s="40">
        <f t="shared" ref="N607" si="322">J607-K607</f>
        <v>135.77871999999999</v>
      </c>
      <c r="O607" s="302" t="s">
        <v>178</v>
      </c>
      <c r="P607" s="85">
        <f t="shared" ref="P607" si="323">T607-18</f>
        <v>45869</v>
      </c>
      <c r="Q607" s="85"/>
      <c r="R607" s="85">
        <f t="shared" ref="R607" si="324">Q607+2</f>
        <v>2</v>
      </c>
      <c r="S607" s="7">
        <f t="shared" ref="S607" ca="1" si="325">+IF(Q607="",P607-TODAY(),P607-Q607)</f>
        <v>29</v>
      </c>
      <c r="T607" s="85">
        <f>G607-32</f>
        <v>45887</v>
      </c>
      <c r="U607" s="85"/>
      <c r="V607" s="7">
        <f t="shared" ref="V607" ca="1" si="326">+IF(U607="",T607-TODAY(),T607-U607)</f>
        <v>47</v>
      </c>
      <c r="W607" s="85"/>
      <c r="X607" s="8"/>
    </row>
    <row r="608" spans="1:24" ht="17.25" hidden="1" customHeight="1">
      <c r="A608" s="14">
        <v>230</v>
      </c>
      <c r="B608" s="15" t="s">
        <v>59</v>
      </c>
      <c r="C608" s="14"/>
      <c r="D608" s="318" t="s">
        <v>158</v>
      </c>
      <c r="E608" s="146" t="s">
        <v>242</v>
      </c>
      <c r="F608" s="146" t="s">
        <v>156</v>
      </c>
      <c r="G608" s="240">
        <v>45919</v>
      </c>
      <c r="H608" s="320">
        <v>1380.2</v>
      </c>
      <c r="I608" s="321">
        <v>0.42799999999999999</v>
      </c>
      <c r="J608" s="320">
        <f>I608*H608</f>
        <v>590.72559999999999</v>
      </c>
      <c r="K608" s="18"/>
      <c r="L608" s="18"/>
      <c r="M608" s="40">
        <f t="shared" ref="M608:M666" si="327">+J608-L608</f>
        <v>590.72559999999999</v>
      </c>
      <c r="N608" s="40">
        <f t="shared" ref="N608:N666" si="328">J608-K608</f>
        <v>590.72559999999999</v>
      </c>
      <c r="O608" s="302" t="s">
        <v>178</v>
      </c>
      <c r="P608" s="85">
        <f t="shared" ref="P608:P666" si="329">T608-18</f>
        <v>45869</v>
      </c>
      <c r="Q608" s="85"/>
      <c r="R608" s="85">
        <f t="shared" ref="R608:R666" si="330">Q608+2</f>
        <v>2</v>
      </c>
      <c r="S608" s="7">
        <f t="shared" ref="S608:S666" ca="1" si="331">+IF(Q608="",P608-TODAY(),P608-Q608)</f>
        <v>29</v>
      </c>
      <c r="T608" s="85">
        <f>G608-32</f>
        <v>45887</v>
      </c>
      <c r="U608" s="85"/>
      <c r="V608" s="7">
        <f t="shared" ref="V608:V666" ca="1" si="332">+IF(U608="",T608-TODAY(),T608-U608)</f>
        <v>47</v>
      </c>
      <c r="W608" s="85"/>
      <c r="X608" s="8"/>
    </row>
    <row r="609" spans="1:24" ht="17.25" hidden="1" customHeight="1">
      <c r="A609" s="14">
        <v>230</v>
      </c>
      <c r="B609" s="15" t="s">
        <v>59</v>
      </c>
      <c r="C609" s="14"/>
      <c r="D609" s="318" t="s">
        <v>901</v>
      </c>
      <c r="E609" s="14" t="s">
        <v>242</v>
      </c>
      <c r="F609" s="137" t="s">
        <v>244</v>
      </c>
      <c r="G609" s="240">
        <v>45919</v>
      </c>
      <c r="H609" s="320">
        <v>1404.92</v>
      </c>
      <c r="I609" s="321">
        <v>0.45</v>
      </c>
      <c r="J609" s="320">
        <f t="shared" ref="J609" si="333">H609*I609</f>
        <v>632.21400000000006</v>
      </c>
      <c r="K609" s="18"/>
      <c r="L609" s="18"/>
      <c r="M609" s="40">
        <f t="shared" si="327"/>
        <v>632.21400000000006</v>
      </c>
      <c r="N609" s="40">
        <f t="shared" si="328"/>
        <v>632.21400000000006</v>
      </c>
      <c r="O609" s="302" t="s">
        <v>178</v>
      </c>
      <c r="P609" s="85">
        <f t="shared" si="329"/>
        <v>45854</v>
      </c>
      <c r="Q609" s="85"/>
      <c r="R609" s="85">
        <f t="shared" si="330"/>
        <v>2</v>
      </c>
      <c r="S609" s="7">
        <f t="shared" ca="1" si="331"/>
        <v>14</v>
      </c>
      <c r="T609" s="85">
        <f t="shared" ref="T609:T666" si="334">G609-32-15</f>
        <v>45872</v>
      </c>
      <c r="U609" s="85"/>
      <c r="V609" s="7">
        <f t="shared" ca="1" si="332"/>
        <v>32</v>
      </c>
      <c r="W609" s="85"/>
      <c r="X609" s="8"/>
    </row>
    <row r="610" spans="1:24" ht="17.25" hidden="1" customHeight="1">
      <c r="A610" s="14">
        <v>231</v>
      </c>
      <c r="B610" s="15" t="s">
        <v>59</v>
      </c>
      <c r="C610" s="14"/>
      <c r="D610" s="301" t="s">
        <v>248</v>
      </c>
      <c r="E610" s="146" t="s">
        <v>270</v>
      </c>
      <c r="F610" s="146" t="s">
        <v>162</v>
      </c>
      <c r="G610" s="240">
        <v>45926</v>
      </c>
      <c r="H610" s="320">
        <v>1996.14</v>
      </c>
      <c r="I610" s="321">
        <v>1.829</v>
      </c>
      <c r="J610" s="320">
        <f>H610*I610</f>
        <v>3650.9400599999999</v>
      </c>
      <c r="K610" s="18"/>
      <c r="L610" s="18"/>
      <c r="M610" s="40">
        <f t="shared" si="327"/>
        <v>3650.9400599999999</v>
      </c>
      <c r="N610" s="40">
        <f t="shared" si="328"/>
        <v>3650.9400599999999</v>
      </c>
      <c r="O610" s="302" t="s">
        <v>178</v>
      </c>
      <c r="P610" s="85">
        <f t="shared" si="329"/>
        <v>45861</v>
      </c>
      <c r="Q610" s="85"/>
      <c r="R610" s="85">
        <f t="shared" si="330"/>
        <v>2</v>
      </c>
      <c r="S610" s="7">
        <f t="shared" ca="1" si="331"/>
        <v>21</v>
      </c>
      <c r="T610" s="85">
        <f t="shared" si="334"/>
        <v>45879</v>
      </c>
      <c r="U610" s="85"/>
      <c r="V610" s="7">
        <f t="shared" ca="1" si="332"/>
        <v>39</v>
      </c>
      <c r="W610" s="85"/>
      <c r="X610" s="8"/>
    </row>
    <row r="611" spans="1:24" ht="17.25" hidden="1" customHeight="1">
      <c r="A611" s="14">
        <v>231</v>
      </c>
      <c r="B611" s="15" t="s">
        <v>59</v>
      </c>
      <c r="C611" s="14"/>
      <c r="D611" s="318" t="s">
        <v>158</v>
      </c>
      <c r="E611" s="146" t="s">
        <v>242</v>
      </c>
      <c r="F611" s="137" t="s">
        <v>154</v>
      </c>
      <c r="G611" s="240">
        <v>45926</v>
      </c>
      <c r="H611" s="320">
        <v>1948.76</v>
      </c>
      <c r="I611" s="321">
        <v>0.42799999999999999</v>
      </c>
      <c r="J611" s="320">
        <f>I611*H611</f>
        <v>834.06927999999994</v>
      </c>
      <c r="K611" s="18"/>
      <c r="L611" s="18"/>
      <c r="M611" s="40">
        <f t="shared" si="327"/>
        <v>834.06927999999994</v>
      </c>
      <c r="N611" s="40">
        <f t="shared" si="328"/>
        <v>834.06927999999994</v>
      </c>
      <c r="O611" s="302" t="s">
        <v>178</v>
      </c>
      <c r="P611" s="85">
        <f t="shared" si="329"/>
        <v>45876</v>
      </c>
      <c r="Q611" s="85"/>
      <c r="R611" s="85">
        <f t="shared" si="330"/>
        <v>2</v>
      </c>
      <c r="S611" s="7">
        <f t="shared" ca="1" si="331"/>
        <v>36</v>
      </c>
      <c r="T611" s="85">
        <f>G611-32</f>
        <v>45894</v>
      </c>
      <c r="U611" s="85"/>
      <c r="V611" s="7">
        <f t="shared" ca="1" si="332"/>
        <v>54</v>
      </c>
      <c r="W611" s="85"/>
      <c r="X611" s="8"/>
    </row>
    <row r="612" spans="1:24" ht="17.25" hidden="1" customHeight="1">
      <c r="A612" s="14">
        <v>231</v>
      </c>
      <c r="B612" s="15" t="s">
        <v>59</v>
      </c>
      <c r="C612" s="14"/>
      <c r="D612" s="318" t="s">
        <v>920</v>
      </c>
      <c r="E612" s="146" t="s">
        <v>242</v>
      </c>
      <c r="F612" s="137" t="s">
        <v>919</v>
      </c>
      <c r="G612" s="240">
        <v>45926</v>
      </c>
      <c r="H612" s="320">
        <v>951.72</v>
      </c>
      <c r="I612" s="321">
        <v>0.504</v>
      </c>
      <c r="J612" s="320">
        <f>H612*I612</f>
        <v>479.66687999999999</v>
      </c>
      <c r="K612" s="18"/>
      <c r="L612" s="18"/>
      <c r="M612" s="40">
        <f t="shared" si="327"/>
        <v>479.66687999999999</v>
      </c>
      <c r="N612" s="40">
        <f t="shared" si="328"/>
        <v>479.66687999999999</v>
      </c>
      <c r="O612" s="302" t="s">
        <v>178</v>
      </c>
      <c r="P612" s="85">
        <f t="shared" si="329"/>
        <v>45861</v>
      </c>
      <c r="Q612" s="85"/>
      <c r="R612" s="85">
        <f t="shared" si="330"/>
        <v>2</v>
      </c>
      <c r="S612" s="7">
        <f t="shared" ca="1" si="331"/>
        <v>21</v>
      </c>
      <c r="T612" s="85">
        <f t="shared" si="334"/>
        <v>45879</v>
      </c>
      <c r="U612" s="85"/>
      <c r="V612" s="7">
        <f t="shared" ca="1" si="332"/>
        <v>39</v>
      </c>
      <c r="W612" s="85"/>
      <c r="X612" s="8"/>
    </row>
    <row r="613" spans="1:24" ht="17.25" hidden="1" customHeight="1">
      <c r="A613" s="14">
        <v>232</v>
      </c>
      <c r="B613" s="15" t="s">
        <v>59</v>
      </c>
      <c r="C613" s="14"/>
      <c r="D613" s="318" t="s">
        <v>193</v>
      </c>
      <c r="E613" s="146" t="s">
        <v>249</v>
      </c>
      <c r="F613" s="146" t="s">
        <v>162</v>
      </c>
      <c r="G613" s="240">
        <v>45926</v>
      </c>
      <c r="H613" s="320">
        <v>2080.6</v>
      </c>
      <c r="I613" s="321">
        <v>2.7</v>
      </c>
      <c r="J613" s="320">
        <f t="shared" ref="J613" si="335">I613*H613</f>
        <v>5617.62</v>
      </c>
      <c r="K613" s="18"/>
      <c r="L613" s="18"/>
      <c r="M613" s="40">
        <f t="shared" si="327"/>
        <v>5617.62</v>
      </c>
      <c r="N613" s="40">
        <f t="shared" si="328"/>
        <v>5617.62</v>
      </c>
      <c r="O613" s="302" t="s">
        <v>178</v>
      </c>
      <c r="P613" s="85">
        <f t="shared" si="329"/>
        <v>45861</v>
      </c>
      <c r="Q613" s="85"/>
      <c r="R613" s="85">
        <f t="shared" si="330"/>
        <v>2</v>
      </c>
      <c r="S613" s="7">
        <f t="shared" ca="1" si="331"/>
        <v>21</v>
      </c>
      <c r="T613" s="85">
        <f t="shared" si="334"/>
        <v>45879</v>
      </c>
      <c r="U613" s="85"/>
      <c r="V613" s="7">
        <f t="shared" ca="1" si="332"/>
        <v>39</v>
      </c>
      <c r="W613" s="85"/>
      <c r="X613" s="8"/>
    </row>
    <row r="614" spans="1:24" ht="17.25" hidden="1" customHeight="1">
      <c r="A614" s="14">
        <v>232</v>
      </c>
      <c r="B614" s="15" t="s">
        <v>59</v>
      </c>
      <c r="C614" s="14"/>
      <c r="D614" s="318" t="s">
        <v>136</v>
      </c>
      <c r="E614" s="146" t="s">
        <v>247</v>
      </c>
      <c r="F614" s="146" t="s">
        <v>162</v>
      </c>
      <c r="G614" s="240">
        <v>45926</v>
      </c>
      <c r="H614" s="320">
        <v>5380.72</v>
      </c>
      <c r="I614" s="321">
        <v>0.28000000000000003</v>
      </c>
      <c r="J614" s="320">
        <f t="shared" ref="J614:J616" si="336">H614*I614</f>
        <v>1506.6016000000002</v>
      </c>
      <c r="K614" s="18"/>
      <c r="L614" s="18"/>
      <c r="M614" s="40">
        <f t="shared" si="327"/>
        <v>1506.6016000000002</v>
      </c>
      <c r="N614" s="40">
        <f t="shared" si="328"/>
        <v>1506.6016000000002</v>
      </c>
      <c r="O614" s="302" t="s">
        <v>265</v>
      </c>
      <c r="P614" s="85">
        <f t="shared" si="329"/>
        <v>45876</v>
      </c>
      <c r="Q614" s="85"/>
      <c r="R614" s="85">
        <f t="shared" si="330"/>
        <v>2</v>
      </c>
      <c r="S614" s="7">
        <f t="shared" ca="1" si="331"/>
        <v>36</v>
      </c>
      <c r="T614" s="85">
        <f>G614-32</f>
        <v>45894</v>
      </c>
      <c r="U614" s="85"/>
      <c r="V614" s="7">
        <f t="shared" ca="1" si="332"/>
        <v>54</v>
      </c>
      <c r="W614" s="85"/>
      <c r="X614" s="8"/>
    </row>
    <row r="615" spans="1:24" ht="17.25" hidden="1" customHeight="1">
      <c r="A615" s="14">
        <v>232</v>
      </c>
      <c r="B615" s="15" t="s">
        <v>59</v>
      </c>
      <c r="C615" s="14"/>
      <c r="D615" s="318" t="s">
        <v>136</v>
      </c>
      <c r="E615" s="146" t="s">
        <v>247</v>
      </c>
      <c r="F615" s="146" t="s">
        <v>163</v>
      </c>
      <c r="G615" s="240">
        <v>45926</v>
      </c>
      <c r="H615" s="320">
        <v>5380.72</v>
      </c>
      <c r="I615" s="321">
        <v>0.28000000000000003</v>
      </c>
      <c r="J615" s="320">
        <f t="shared" si="336"/>
        <v>1506.6016000000002</v>
      </c>
      <c r="K615" s="18"/>
      <c r="L615" s="18"/>
      <c r="M615" s="40">
        <f t="shared" ref="M615:M616" si="337">+J615-L615</f>
        <v>1506.6016000000002</v>
      </c>
      <c r="N615" s="40">
        <f t="shared" ref="N615:N616" si="338">J615-K615</f>
        <v>1506.6016000000002</v>
      </c>
      <c r="O615" s="302" t="s">
        <v>265</v>
      </c>
      <c r="P615" s="85">
        <f t="shared" ref="P615:P616" si="339">T615-18</f>
        <v>45876</v>
      </c>
      <c r="Q615" s="85"/>
      <c r="R615" s="85">
        <f t="shared" ref="R615:R616" si="340">Q615+2</f>
        <v>2</v>
      </c>
      <c r="S615" s="7">
        <f t="shared" ref="S615:S616" ca="1" si="341">+IF(Q615="",P615-TODAY(),P615-Q615)</f>
        <v>36</v>
      </c>
      <c r="T615" s="85">
        <f>G615-32</f>
        <v>45894</v>
      </c>
      <c r="U615" s="85"/>
      <c r="V615" s="7">
        <f t="shared" ref="V615:V616" ca="1" si="342">+IF(U615="",T615-TODAY(),T615-U615)</f>
        <v>54</v>
      </c>
      <c r="W615" s="85"/>
      <c r="X615" s="8"/>
    </row>
    <row r="616" spans="1:24" ht="17.25" hidden="1" customHeight="1">
      <c r="A616" s="14">
        <v>232</v>
      </c>
      <c r="B616" s="15" t="s">
        <v>59</v>
      </c>
      <c r="C616" s="14"/>
      <c r="D616" s="318" t="s">
        <v>136</v>
      </c>
      <c r="E616" s="146" t="s">
        <v>247</v>
      </c>
      <c r="F616" s="146" t="s">
        <v>164</v>
      </c>
      <c r="G616" s="240">
        <v>45926</v>
      </c>
      <c r="H616" s="320">
        <v>5380.72</v>
      </c>
      <c r="I616" s="321">
        <v>0.28000000000000003</v>
      </c>
      <c r="J616" s="320">
        <f t="shared" si="336"/>
        <v>1506.6016000000002</v>
      </c>
      <c r="K616" s="18"/>
      <c r="L616" s="18"/>
      <c r="M616" s="40">
        <f t="shared" si="337"/>
        <v>1506.6016000000002</v>
      </c>
      <c r="N616" s="40">
        <f t="shared" si="338"/>
        <v>1506.6016000000002</v>
      </c>
      <c r="O616" s="302" t="s">
        <v>265</v>
      </c>
      <c r="P616" s="85">
        <f t="shared" si="339"/>
        <v>45876</v>
      </c>
      <c r="Q616" s="85"/>
      <c r="R616" s="85">
        <f t="shared" si="340"/>
        <v>2</v>
      </c>
      <c r="S616" s="7">
        <f t="shared" ca="1" si="341"/>
        <v>36</v>
      </c>
      <c r="T616" s="85">
        <f>G616-32</f>
        <v>45894</v>
      </c>
      <c r="U616" s="85"/>
      <c r="V616" s="7">
        <f t="shared" ca="1" si="342"/>
        <v>54</v>
      </c>
      <c r="W616" s="85"/>
      <c r="X616" s="8"/>
    </row>
    <row r="617" spans="1:24" ht="17.25" hidden="1" customHeight="1">
      <c r="A617" s="14">
        <v>232</v>
      </c>
      <c r="B617" s="15" t="s">
        <v>59</v>
      </c>
      <c r="C617" s="14"/>
      <c r="D617" s="318" t="s">
        <v>889</v>
      </c>
      <c r="E617" s="146" t="s">
        <v>395</v>
      </c>
      <c r="F617" s="15" t="s">
        <v>967</v>
      </c>
      <c r="G617" s="240">
        <v>45926</v>
      </c>
      <c r="H617" s="320">
        <v>2175.36</v>
      </c>
      <c r="I617" s="321"/>
      <c r="J617" s="320">
        <v>2175</v>
      </c>
      <c r="K617" s="18"/>
      <c r="L617" s="18"/>
      <c r="M617" s="40">
        <f t="shared" si="327"/>
        <v>2175</v>
      </c>
      <c r="N617" s="40">
        <f t="shared" si="328"/>
        <v>2175</v>
      </c>
      <c r="O617" s="301" t="s">
        <v>292</v>
      </c>
      <c r="P617" s="85">
        <f t="shared" si="329"/>
        <v>45876</v>
      </c>
      <c r="Q617" s="85"/>
      <c r="R617" s="85">
        <f t="shared" si="330"/>
        <v>2</v>
      </c>
      <c r="S617" s="7">
        <f t="shared" ca="1" si="331"/>
        <v>36</v>
      </c>
      <c r="T617" s="85">
        <f>G617-32</f>
        <v>45894</v>
      </c>
      <c r="U617" s="85"/>
      <c r="V617" s="7">
        <f t="shared" ca="1" si="332"/>
        <v>54</v>
      </c>
      <c r="W617" s="85"/>
      <c r="X617" s="8"/>
    </row>
    <row r="618" spans="1:24" ht="17.25" hidden="1" customHeight="1">
      <c r="A618" s="14">
        <v>232</v>
      </c>
      <c r="B618" s="15" t="s">
        <v>59</v>
      </c>
      <c r="C618" s="14"/>
      <c r="D618" s="318" t="s">
        <v>288</v>
      </c>
      <c r="E618" s="146" t="s">
        <v>289</v>
      </c>
      <c r="F618" s="137" t="s">
        <v>155</v>
      </c>
      <c r="G618" s="240">
        <v>45926</v>
      </c>
      <c r="H618" s="320">
        <v>1635</v>
      </c>
      <c r="I618" s="321">
        <v>0.6</v>
      </c>
      <c r="J618" s="320">
        <f t="shared" ref="J618:J620" si="343">I618*H618</f>
        <v>981</v>
      </c>
      <c r="K618" s="18"/>
      <c r="L618" s="18"/>
      <c r="M618" s="40">
        <f t="shared" si="327"/>
        <v>981</v>
      </c>
      <c r="N618" s="40">
        <f t="shared" si="328"/>
        <v>981</v>
      </c>
      <c r="O618" s="302" t="s">
        <v>178</v>
      </c>
      <c r="P618" s="85">
        <f t="shared" si="329"/>
        <v>45861</v>
      </c>
      <c r="Q618" s="85"/>
      <c r="R618" s="85">
        <f t="shared" si="330"/>
        <v>2</v>
      </c>
      <c r="S618" s="7">
        <f t="shared" ca="1" si="331"/>
        <v>21</v>
      </c>
      <c r="T618" s="85">
        <f t="shared" si="334"/>
        <v>45879</v>
      </c>
      <c r="U618" s="85"/>
      <c r="V618" s="7">
        <f t="shared" ca="1" si="332"/>
        <v>39</v>
      </c>
      <c r="W618" s="85"/>
      <c r="X618" s="8"/>
    </row>
    <row r="619" spans="1:24" ht="17.25" hidden="1" customHeight="1">
      <c r="A619" s="14">
        <v>232</v>
      </c>
      <c r="B619" s="15" t="s">
        <v>59</v>
      </c>
      <c r="C619" s="14"/>
      <c r="D619" s="318" t="s">
        <v>288</v>
      </c>
      <c r="E619" s="146" t="s">
        <v>289</v>
      </c>
      <c r="F619" s="137" t="s">
        <v>154</v>
      </c>
      <c r="G619" s="240">
        <v>45926</v>
      </c>
      <c r="H619" s="320">
        <v>1500</v>
      </c>
      <c r="I619" s="321">
        <v>0.6</v>
      </c>
      <c r="J619" s="320">
        <f t="shared" si="343"/>
        <v>900</v>
      </c>
      <c r="K619" s="18"/>
      <c r="L619" s="18"/>
      <c r="M619" s="40">
        <f t="shared" ref="M619:M620" si="344">+J619-L619</f>
        <v>900</v>
      </c>
      <c r="N619" s="40">
        <f t="shared" ref="N619:N620" si="345">J619-K619</f>
        <v>900</v>
      </c>
      <c r="O619" s="302" t="s">
        <v>178</v>
      </c>
      <c r="P619" s="85">
        <f t="shared" ref="P619:P620" si="346">T619-18</f>
        <v>45861</v>
      </c>
      <c r="Q619" s="85"/>
      <c r="R619" s="85">
        <f t="shared" ref="R619:R620" si="347">Q619+2</f>
        <v>2</v>
      </c>
      <c r="S619" s="7">
        <f t="shared" ref="S619:S620" ca="1" si="348">+IF(Q619="",P619-TODAY(),P619-Q619)</f>
        <v>21</v>
      </c>
      <c r="T619" s="85">
        <f t="shared" ref="T619:T620" si="349">G619-32-15</f>
        <v>45879</v>
      </c>
      <c r="U619" s="85"/>
      <c r="V619" s="7">
        <f t="shared" ref="V619:V620" ca="1" si="350">+IF(U619="",T619-TODAY(),T619-U619)</f>
        <v>39</v>
      </c>
      <c r="W619" s="85"/>
      <c r="X619" s="8"/>
    </row>
    <row r="620" spans="1:24" ht="17.25" hidden="1" customHeight="1">
      <c r="A620" s="14">
        <v>232</v>
      </c>
      <c r="B620" s="15" t="s">
        <v>59</v>
      </c>
      <c r="C620" s="14"/>
      <c r="D620" s="318" t="s">
        <v>288</v>
      </c>
      <c r="E620" s="146" t="s">
        <v>289</v>
      </c>
      <c r="F620" s="137" t="s">
        <v>156</v>
      </c>
      <c r="G620" s="240">
        <v>45926</v>
      </c>
      <c r="H620" s="320">
        <v>1500</v>
      </c>
      <c r="I620" s="321">
        <v>0.6</v>
      </c>
      <c r="J620" s="320">
        <f t="shared" si="343"/>
        <v>900</v>
      </c>
      <c r="K620" s="18"/>
      <c r="L620" s="18"/>
      <c r="M620" s="40">
        <f t="shared" si="344"/>
        <v>900</v>
      </c>
      <c r="N620" s="40">
        <f t="shared" si="345"/>
        <v>900</v>
      </c>
      <c r="O620" s="302" t="s">
        <v>178</v>
      </c>
      <c r="P620" s="85">
        <f t="shared" si="346"/>
        <v>45861</v>
      </c>
      <c r="Q620" s="85"/>
      <c r="R620" s="85">
        <f t="shared" si="347"/>
        <v>2</v>
      </c>
      <c r="S620" s="7">
        <f t="shared" ca="1" si="348"/>
        <v>21</v>
      </c>
      <c r="T620" s="85">
        <f t="shared" si="349"/>
        <v>45879</v>
      </c>
      <c r="U620" s="85"/>
      <c r="V620" s="7">
        <f t="shared" ca="1" si="350"/>
        <v>39</v>
      </c>
      <c r="W620" s="85"/>
      <c r="X620" s="8"/>
    </row>
    <row r="621" spans="1:24" ht="17.25" hidden="1" customHeight="1">
      <c r="A621" s="14">
        <v>232</v>
      </c>
      <c r="B621" s="15" t="s">
        <v>59</v>
      </c>
      <c r="C621" s="14"/>
      <c r="D621" s="318" t="s">
        <v>157</v>
      </c>
      <c r="E621" s="146" t="s">
        <v>903</v>
      </c>
      <c r="F621" s="137" t="s">
        <v>155</v>
      </c>
      <c r="G621" s="240">
        <v>45926</v>
      </c>
      <c r="H621" s="320">
        <v>494.40000000000003</v>
      </c>
      <c r="I621" s="321">
        <v>0.30599999999999999</v>
      </c>
      <c r="J621" s="320">
        <f t="shared" ref="J621" si="351">I621*H621</f>
        <v>151.28640000000001</v>
      </c>
      <c r="K621" s="18"/>
      <c r="L621" s="18"/>
      <c r="M621" s="40">
        <f t="shared" si="327"/>
        <v>151.28640000000001</v>
      </c>
      <c r="N621" s="40">
        <f t="shared" si="328"/>
        <v>151.28640000000001</v>
      </c>
      <c r="O621" s="301" t="s">
        <v>871</v>
      </c>
      <c r="P621" s="85">
        <f t="shared" si="329"/>
        <v>45876</v>
      </c>
      <c r="Q621" s="85"/>
      <c r="R621" s="85">
        <f t="shared" si="330"/>
        <v>2</v>
      </c>
      <c r="S621" s="7">
        <f t="shared" ca="1" si="331"/>
        <v>36</v>
      </c>
      <c r="T621" s="85">
        <f>G621-32</f>
        <v>45894</v>
      </c>
      <c r="U621" s="85"/>
      <c r="V621" s="7">
        <f t="shared" ca="1" si="332"/>
        <v>54</v>
      </c>
      <c r="W621" s="85"/>
      <c r="X621" s="8"/>
    </row>
    <row r="622" spans="1:24" ht="17.25" hidden="1" customHeight="1">
      <c r="A622" s="14">
        <v>232</v>
      </c>
      <c r="B622" s="15" t="s">
        <v>59</v>
      </c>
      <c r="C622" s="14"/>
      <c r="D622" s="318" t="s">
        <v>901</v>
      </c>
      <c r="E622" s="14" t="s">
        <v>242</v>
      </c>
      <c r="F622" s="137" t="s">
        <v>244</v>
      </c>
      <c r="G622" s="240">
        <v>45926</v>
      </c>
      <c r="H622" s="320">
        <v>1363.72</v>
      </c>
      <c r="I622" s="321">
        <v>0.45</v>
      </c>
      <c r="J622" s="320">
        <f t="shared" ref="J622" si="352">H622*I622</f>
        <v>613.67399999999998</v>
      </c>
      <c r="K622" s="18"/>
      <c r="L622" s="18"/>
      <c r="M622" s="40">
        <f t="shared" si="327"/>
        <v>613.67399999999998</v>
      </c>
      <c r="N622" s="40">
        <f t="shared" si="328"/>
        <v>613.67399999999998</v>
      </c>
      <c r="O622" s="302" t="s">
        <v>178</v>
      </c>
      <c r="P622" s="85">
        <f t="shared" si="329"/>
        <v>45861</v>
      </c>
      <c r="Q622" s="85"/>
      <c r="R622" s="85">
        <f t="shared" si="330"/>
        <v>2</v>
      </c>
      <c r="S622" s="7">
        <f t="shared" ca="1" si="331"/>
        <v>21</v>
      </c>
      <c r="T622" s="85">
        <f t="shared" si="334"/>
        <v>45879</v>
      </c>
      <c r="U622" s="85"/>
      <c r="V622" s="7">
        <f t="shared" ca="1" si="332"/>
        <v>39</v>
      </c>
      <c r="W622" s="85"/>
      <c r="X622" s="8"/>
    </row>
    <row r="623" spans="1:24" ht="17.25" hidden="1" customHeight="1">
      <c r="A623" s="14">
        <v>233</v>
      </c>
      <c r="B623" s="15" t="s">
        <v>59</v>
      </c>
      <c r="C623" s="14"/>
      <c r="D623" s="318" t="s">
        <v>193</v>
      </c>
      <c r="E623" s="146" t="s">
        <v>246</v>
      </c>
      <c r="F623" s="146" t="s">
        <v>162</v>
      </c>
      <c r="G623" s="240">
        <v>45933</v>
      </c>
      <c r="H623" s="320">
        <v>2966.4</v>
      </c>
      <c r="I623" s="321">
        <v>0.35399999999999998</v>
      </c>
      <c r="J623" s="320">
        <f>H623*I623</f>
        <v>1050.1055999999999</v>
      </c>
      <c r="K623" s="18"/>
      <c r="L623" s="18"/>
      <c r="M623" s="40">
        <f t="shared" si="327"/>
        <v>1050.1055999999999</v>
      </c>
      <c r="N623" s="40">
        <f t="shared" si="328"/>
        <v>1050.1055999999999</v>
      </c>
      <c r="O623" s="302" t="s">
        <v>178</v>
      </c>
      <c r="P623" s="85">
        <f t="shared" si="329"/>
        <v>45868</v>
      </c>
      <c r="Q623" s="85"/>
      <c r="R623" s="85">
        <f t="shared" si="330"/>
        <v>2</v>
      </c>
      <c r="S623" s="7">
        <f t="shared" ca="1" si="331"/>
        <v>28</v>
      </c>
      <c r="T623" s="85">
        <f t="shared" si="334"/>
        <v>45886</v>
      </c>
      <c r="U623" s="85"/>
      <c r="V623" s="7">
        <f t="shared" ca="1" si="332"/>
        <v>46</v>
      </c>
      <c r="W623" s="85"/>
      <c r="X623" s="8"/>
    </row>
    <row r="624" spans="1:24" ht="17.25" hidden="1" customHeight="1">
      <c r="A624" s="14">
        <v>233</v>
      </c>
      <c r="B624" s="15" t="s">
        <v>59</v>
      </c>
      <c r="C624" s="14"/>
      <c r="D624" s="318" t="s">
        <v>157</v>
      </c>
      <c r="E624" s="146" t="s">
        <v>903</v>
      </c>
      <c r="F624" s="146" t="s">
        <v>162</v>
      </c>
      <c r="G624" s="240">
        <v>45933</v>
      </c>
      <c r="H624" s="320">
        <v>3534.96</v>
      </c>
      <c r="I624" s="321">
        <v>0.30599999999999999</v>
      </c>
      <c r="J624" s="320">
        <f t="shared" ref="J624:J626" si="353">I624*H624</f>
        <v>1081.69776</v>
      </c>
      <c r="K624" s="18"/>
      <c r="L624" s="18"/>
      <c r="M624" s="40">
        <f t="shared" si="327"/>
        <v>1081.69776</v>
      </c>
      <c r="N624" s="40">
        <f t="shared" si="328"/>
        <v>1081.69776</v>
      </c>
      <c r="O624" s="301" t="s">
        <v>871</v>
      </c>
      <c r="P624" s="85">
        <f t="shared" si="329"/>
        <v>45883</v>
      </c>
      <c r="Q624" s="85"/>
      <c r="R624" s="85">
        <f t="shared" si="330"/>
        <v>2</v>
      </c>
      <c r="S624" s="7">
        <f t="shared" ca="1" si="331"/>
        <v>43</v>
      </c>
      <c r="T624" s="85">
        <f>G624-32</f>
        <v>45901</v>
      </c>
      <c r="U624" s="85"/>
      <c r="V624" s="7">
        <f t="shared" ca="1" si="332"/>
        <v>61</v>
      </c>
      <c r="W624" s="85"/>
      <c r="X624" s="8"/>
    </row>
    <row r="625" spans="1:24" ht="17.25" hidden="1" customHeight="1">
      <c r="A625" s="14">
        <v>233</v>
      </c>
      <c r="B625" s="15" t="s">
        <v>59</v>
      </c>
      <c r="C625" s="14"/>
      <c r="D625" s="318" t="s">
        <v>158</v>
      </c>
      <c r="E625" s="146" t="s">
        <v>242</v>
      </c>
      <c r="F625" s="146" t="s">
        <v>155</v>
      </c>
      <c r="G625" s="240">
        <v>45933</v>
      </c>
      <c r="H625" s="320">
        <v>733.36</v>
      </c>
      <c r="I625" s="321">
        <v>0.42799999999999999</v>
      </c>
      <c r="J625" s="320">
        <f t="shared" si="353"/>
        <v>313.87808000000001</v>
      </c>
      <c r="K625" s="18"/>
      <c r="L625" s="18"/>
      <c r="M625" s="40">
        <f t="shared" si="327"/>
        <v>313.87808000000001</v>
      </c>
      <c r="N625" s="40">
        <f t="shared" si="328"/>
        <v>313.87808000000001</v>
      </c>
      <c r="O625" s="302" t="s">
        <v>178</v>
      </c>
      <c r="P625" s="85">
        <f t="shared" si="329"/>
        <v>45883</v>
      </c>
      <c r="Q625" s="85"/>
      <c r="R625" s="85">
        <f t="shared" si="330"/>
        <v>2</v>
      </c>
      <c r="S625" s="7">
        <f t="shared" ca="1" si="331"/>
        <v>43</v>
      </c>
      <c r="T625" s="85">
        <f>G625-32</f>
        <v>45901</v>
      </c>
      <c r="U625" s="85"/>
      <c r="V625" s="7">
        <f t="shared" ca="1" si="332"/>
        <v>61</v>
      </c>
      <c r="W625" s="85"/>
      <c r="X625" s="8"/>
    </row>
    <row r="626" spans="1:24" ht="17.25" hidden="1" customHeight="1">
      <c r="A626" s="14">
        <v>233</v>
      </c>
      <c r="B626" s="15" t="s">
        <v>59</v>
      </c>
      <c r="C626" s="14"/>
      <c r="D626" s="318" t="s">
        <v>158</v>
      </c>
      <c r="E626" s="146" t="s">
        <v>242</v>
      </c>
      <c r="F626" s="146" t="s">
        <v>156</v>
      </c>
      <c r="G626" s="240">
        <v>45933</v>
      </c>
      <c r="H626" s="320">
        <v>148.32</v>
      </c>
      <c r="I626" s="321">
        <v>0.42799999999999999</v>
      </c>
      <c r="J626" s="320">
        <f t="shared" si="353"/>
        <v>63.480959999999996</v>
      </c>
      <c r="K626" s="18"/>
      <c r="L626" s="18"/>
      <c r="M626" s="40">
        <f t="shared" si="327"/>
        <v>63.480959999999996</v>
      </c>
      <c r="N626" s="40">
        <f t="shared" si="328"/>
        <v>63.480959999999996</v>
      </c>
      <c r="O626" s="302" t="s">
        <v>178</v>
      </c>
      <c r="P626" s="85">
        <f t="shared" si="329"/>
        <v>45883</v>
      </c>
      <c r="Q626" s="85"/>
      <c r="R626" s="85">
        <f t="shared" si="330"/>
        <v>2</v>
      </c>
      <c r="S626" s="7">
        <f t="shared" ca="1" si="331"/>
        <v>43</v>
      </c>
      <c r="T626" s="85">
        <f>G626-32</f>
        <v>45901</v>
      </c>
      <c r="U626" s="85"/>
      <c r="V626" s="7">
        <f t="shared" ca="1" si="332"/>
        <v>61</v>
      </c>
      <c r="W626" s="85"/>
      <c r="X626" s="8"/>
    </row>
    <row r="627" spans="1:24" ht="17.25" hidden="1" customHeight="1">
      <c r="A627" s="14">
        <v>233</v>
      </c>
      <c r="B627" s="15" t="s">
        <v>59</v>
      </c>
      <c r="C627" s="14"/>
      <c r="D627" s="318" t="s">
        <v>901</v>
      </c>
      <c r="E627" s="14" t="s">
        <v>242</v>
      </c>
      <c r="F627" s="137" t="s">
        <v>244</v>
      </c>
      <c r="G627" s="240">
        <v>45933</v>
      </c>
      <c r="H627" s="320">
        <v>741.6</v>
      </c>
      <c r="I627" s="321">
        <v>0.45</v>
      </c>
      <c r="J627" s="320">
        <f t="shared" ref="J627" si="354">H627*I627</f>
        <v>333.72</v>
      </c>
      <c r="K627" s="18"/>
      <c r="L627" s="18"/>
      <c r="M627" s="40">
        <f t="shared" si="327"/>
        <v>333.72</v>
      </c>
      <c r="N627" s="40">
        <f t="shared" si="328"/>
        <v>333.72</v>
      </c>
      <c r="O627" s="302" t="s">
        <v>178</v>
      </c>
      <c r="P627" s="85">
        <f t="shared" si="329"/>
        <v>45868</v>
      </c>
      <c r="Q627" s="85"/>
      <c r="R627" s="85">
        <f t="shared" si="330"/>
        <v>2</v>
      </c>
      <c r="S627" s="7">
        <f t="shared" ca="1" si="331"/>
        <v>28</v>
      </c>
      <c r="T627" s="85">
        <f t="shared" si="334"/>
        <v>45886</v>
      </c>
      <c r="U627" s="85"/>
      <c r="V627" s="7">
        <f t="shared" ca="1" si="332"/>
        <v>46</v>
      </c>
      <c r="W627" s="85"/>
      <c r="X627" s="8"/>
    </row>
    <row r="628" spans="1:24" ht="17.25" hidden="1" customHeight="1">
      <c r="A628" s="14">
        <v>233</v>
      </c>
      <c r="B628" s="15" t="s">
        <v>59</v>
      </c>
      <c r="C628" s="14"/>
      <c r="D628" s="318" t="s">
        <v>920</v>
      </c>
      <c r="E628" s="146" t="s">
        <v>242</v>
      </c>
      <c r="F628" s="137" t="s">
        <v>919</v>
      </c>
      <c r="G628" s="240">
        <v>45933</v>
      </c>
      <c r="H628" s="320">
        <v>2379.3000000000002</v>
      </c>
      <c r="I628" s="321">
        <v>0.504</v>
      </c>
      <c r="J628" s="320">
        <f t="shared" ref="J628:J629" si="355">H628*I628</f>
        <v>1199.1672000000001</v>
      </c>
      <c r="K628" s="18"/>
      <c r="L628" s="18"/>
      <c r="M628" s="40">
        <f t="shared" si="327"/>
        <v>1199.1672000000001</v>
      </c>
      <c r="N628" s="40">
        <f t="shared" si="328"/>
        <v>1199.1672000000001</v>
      </c>
      <c r="O628" s="302" t="s">
        <v>178</v>
      </c>
      <c r="P628" s="85">
        <f t="shared" si="329"/>
        <v>45868</v>
      </c>
      <c r="Q628" s="85"/>
      <c r="R628" s="85">
        <f t="shared" si="330"/>
        <v>2</v>
      </c>
      <c r="S628" s="7">
        <f t="shared" ca="1" si="331"/>
        <v>28</v>
      </c>
      <c r="T628" s="85">
        <f t="shared" si="334"/>
        <v>45886</v>
      </c>
      <c r="U628" s="85"/>
      <c r="V628" s="7">
        <f t="shared" ca="1" si="332"/>
        <v>46</v>
      </c>
      <c r="W628" s="85"/>
      <c r="X628" s="8"/>
    </row>
    <row r="629" spans="1:24" ht="17.25" hidden="1" customHeight="1">
      <c r="A629" s="14">
        <v>233</v>
      </c>
      <c r="B629" s="15" t="s">
        <v>59</v>
      </c>
      <c r="C629" s="14"/>
      <c r="D629" s="318" t="s">
        <v>920</v>
      </c>
      <c r="E629" s="146" t="s">
        <v>242</v>
      </c>
      <c r="F629" s="14" t="s">
        <v>921</v>
      </c>
      <c r="G629" s="240">
        <v>45933</v>
      </c>
      <c r="H629" s="320">
        <v>2379.3000000000002</v>
      </c>
      <c r="I629" s="321">
        <v>0.504</v>
      </c>
      <c r="J629" s="320">
        <f t="shared" si="355"/>
        <v>1199.1672000000001</v>
      </c>
      <c r="K629" s="18"/>
      <c r="L629" s="18"/>
      <c r="M629" s="40">
        <f t="shared" si="327"/>
        <v>1199.1672000000001</v>
      </c>
      <c r="N629" s="40">
        <f t="shared" si="328"/>
        <v>1199.1672000000001</v>
      </c>
      <c r="O629" s="302" t="s">
        <v>178</v>
      </c>
      <c r="P629" s="85">
        <f t="shared" si="329"/>
        <v>45868</v>
      </c>
      <c r="Q629" s="85"/>
      <c r="R629" s="85">
        <f t="shared" si="330"/>
        <v>2</v>
      </c>
      <c r="S629" s="7">
        <f t="shared" ca="1" si="331"/>
        <v>28</v>
      </c>
      <c r="T629" s="85">
        <f t="shared" si="334"/>
        <v>45886</v>
      </c>
      <c r="U629" s="85"/>
      <c r="V629" s="7">
        <f t="shared" ca="1" si="332"/>
        <v>46</v>
      </c>
      <c r="W629" s="85"/>
      <c r="X629" s="8"/>
    </row>
    <row r="630" spans="1:24" ht="17.25" hidden="1" customHeight="1">
      <c r="A630" s="14">
        <v>234</v>
      </c>
      <c r="B630" s="15" t="s">
        <v>59</v>
      </c>
      <c r="C630" s="14"/>
      <c r="D630" s="318" t="s">
        <v>193</v>
      </c>
      <c r="E630" s="146" t="s">
        <v>246</v>
      </c>
      <c r="F630" s="146" t="s">
        <v>162</v>
      </c>
      <c r="G630" s="240">
        <v>45933</v>
      </c>
      <c r="H630" s="320">
        <v>3120.9</v>
      </c>
      <c r="I630" s="321">
        <v>0.35399999999999998</v>
      </c>
      <c r="J630" s="320">
        <f>H630*I630</f>
        <v>1104.7986000000001</v>
      </c>
      <c r="K630" s="18"/>
      <c r="L630" s="18"/>
      <c r="M630" s="40">
        <f t="shared" si="327"/>
        <v>1104.7986000000001</v>
      </c>
      <c r="N630" s="40">
        <f t="shared" si="328"/>
        <v>1104.7986000000001</v>
      </c>
      <c r="O630" s="302" t="s">
        <v>178</v>
      </c>
      <c r="P630" s="85">
        <f t="shared" si="329"/>
        <v>45868</v>
      </c>
      <c r="Q630" s="85"/>
      <c r="R630" s="85">
        <f t="shared" si="330"/>
        <v>2</v>
      </c>
      <c r="S630" s="7">
        <f t="shared" ca="1" si="331"/>
        <v>28</v>
      </c>
      <c r="T630" s="85">
        <f t="shared" si="334"/>
        <v>45886</v>
      </c>
      <c r="U630" s="85"/>
      <c r="V630" s="7">
        <f t="shared" ca="1" si="332"/>
        <v>46</v>
      </c>
      <c r="W630" s="85"/>
      <c r="X630" s="8"/>
    </row>
    <row r="631" spans="1:24" ht="17.25" customHeight="1">
      <c r="A631" s="14">
        <v>234</v>
      </c>
      <c r="B631" s="15" t="s">
        <v>59</v>
      </c>
      <c r="C631" s="14"/>
      <c r="D631" s="318" t="s">
        <v>201</v>
      </c>
      <c r="E631" s="146" t="s">
        <v>247</v>
      </c>
      <c r="F631" s="146" t="s">
        <v>155</v>
      </c>
      <c r="G631" s="240">
        <v>45933</v>
      </c>
      <c r="H631" s="320">
        <v>2521.44</v>
      </c>
      <c r="I631" s="321">
        <v>0.84</v>
      </c>
      <c r="J631" s="320">
        <f t="shared" ref="J631:J633" si="356">I631*H631</f>
        <v>2118.0095999999999</v>
      </c>
      <c r="K631" s="18"/>
      <c r="L631" s="18"/>
      <c r="M631" s="40">
        <f t="shared" si="327"/>
        <v>2118.0095999999999</v>
      </c>
      <c r="N631" s="40">
        <f t="shared" si="328"/>
        <v>2118.0095999999999</v>
      </c>
      <c r="O631" s="302" t="s">
        <v>178</v>
      </c>
      <c r="P631" s="85">
        <f t="shared" si="329"/>
        <v>45868</v>
      </c>
      <c r="Q631" s="85"/>
      <c r="R631" s="85">
        <f t="shared" si="330"/>
        <v>2</v>
      </c>
      <c r="S631" s="7">
        <f t="shared" ca="1" si="331"/>
        <v>28</v>
      </c>
      <c r="T631" s="85">
        <f t="shared" si="334"/>
        <v>45886</v>
      </c>
      <c r="U631" s="85"/>
      <c r="V631" s="7">
        <f t="shared" ca="1" si="332"/>
        <v>46</v>
      </c>
      <c r="W631" s="85"/>
      <c r="X631" s="8"/>
    </row>
    <row r="632" spans="1:24" ht="17.25" hidden="1" customHeight="1">
      <c r="A632" s="14">
        <v>234</v>
      </c>
      <c r="B632" s="15" t="s">
        <v>59</v>
      </c>
      <c r="C632" s="14"/>
      <c r="D632" s="318" t="s">
        <v>158</v>
      </c>
      <c r="E632" s="146" t="s">
        <v>242</v>
      </c>
      <c r="F632" s="15" t="s">
        <v>154</v>
      </c>
      <c r="G632" s="240">
        <v>45933</v>
      </c>
      <c r="H632" s="320">
        <v>1363.72</v>
      </c>
      <c r="I632" s="321">
        <v>0.42799999999999999</v>
      </c>
      <c r="J632" s="320">
        <f t="shared" si="356"/>
        <v>583.67215999999996</v>
      </c>
      <c r="K632" s="18"/>
      <c r="L632" s="18"/>
      <c r="M632" s="40">
        <f t="shared" si="327"/>
        <v>583.67215999999996</v>
      </c>
      <c r="N632" s="40">
        <f t="shared" si="328"/>
        <v>583.67215999999996</v>
      </c>
      <c r="O632" s="302" t="s">
        <v>178</v>
      </c>
      <c r="P632" s="85">
        <f t="shared" si="329"/>
        <v>45883</v>
      </c>
      <c r="Q632" s="85"/>
      <c r="R632" s="85">
        <f t="shared" si="330"/>
        <v>2</v>
      </c>
      <c r="S632" s="7">
        <f t="shared" ca="1" si="331"/>
        <v>43</v>
      </c>
      <c r="T632" s="85">
        <f>G632-32</f>
        <v>45901</v>
      </c>
      <c r="U632" s="85"/>
      <c r="V632" s="7">
        <f t="shared" ca="1" si="332"/>
        <v>61</v>
      </c>
      <c r="W632" s="85"/>
      <c r="X632" s="8"/>
    </row>
    <row r="633" spans="1:24" ht="17.25" hidden="1" customHeight="1">
      <c r="A633" s="14">
        <v>234</v>
      </c>
      <c r="B633" s="15" t="s">
        <v>59</v>
      </c>
      <c r="C633" s="14"/>
      <c r="D633" s="318" t="s">
        <v>158</v>
      </c>
      <c r="E633" s="146" t="s">
        <v>242</v>
      </c>
      <c r="F633" s="146" t="s">
        <v>155</v>
      </c>
      <c r="G633" s="240">
        <v>45933</v>
      </c>
      <c r="H633" s="320">
        <v>1141.24</v>
      </c>
      <c r="I633" s="321">
        <v>0.42799999999999999</v>
      </c>
      <c r="J633" s="320">
        <f t="shared" si="356"/>
        <v>488.45071999999999</v>
      </c>
      <c r="K633" s="18"/>
      <c r="L633" s="18"/>
      <c r="M633" s="40">
        <f t="shared" si="327"/>
        <v>488.45071999999999</v>
      </c>
      <c r="N633" s="40">
        <f t="shared" si="328"/>
        <v>488.45071999999999</v>
      </c>
      <c r="O633" s="302" t="s">
        <v>178</v>
      </c>
      <c r="P633" s="85">
        <f t="shared" si="329"/>
        <v>45883</v>
      </c>
      <c r="Q633" s="85"/>
      <c r="R633" s="85">
        <f t="shared" si="330"/>
        <v>2</v>
      </c>
      <c r="S633" s="7">
        <f t="shared" ca="1" si="331"/>
        <v>43</v>
      </c>
      <c r="T633" s="85">
        <f>G633-32</f>
        <v>45901</v>
      </c>
      <c r="U633" s="85"/>
      <c r="V633" s="7">
        <f t="shared" ca="1" si="332"/>
        <v>61</v>
      </c>
      <c r="W633" s="85"/>
      <c r="X633" s="8"/>
    </row>
    <row r="634" spans="1:24" ht="17.25" hidden="1" customHeight="1">
      <c r="A634" s="14">
        <v>234</v>
      </c>
      <c r="B634" s="15" t="s">
        <v>59</v>
      </c>
      <c r="C634" s="14"/>
      <c r="D634" s="318" t="s">
        <v>920</v>
      </c>
      <c r="E634" s="146" t="s">
        <v>242</v>
      </c>
      <c r="F634" s="137" t="s">
        <v>919</v>
      </c>
      <c r="G634" s="240">
        <v>45933</v>
      </c>
      <c r="H634" s="320">
        <v>1860.18</v>
      </c>
      <c r="I634" s="321">
        <v>0.504</v>
      </c>
      <c r="J634" s="320">
        <f t="shared" ref="J634:J635" si="357">H634*I634</f>
        <v>937.53072000000009</v>
      </c>
      <c r="K634" s="18"/>
      <c r="L634" s="18"/>
      <c r="M634" s="40">
        <f t="shared" si="327"/>
        <v>937.53072000000009</v>
      </c>
      <c r="N634" s="40">
        <f t="shared" si="328"/>
        <v>937.53072000000009</v>
      </c>
      <c r="O634" s="302" t="s">
        <v>178</v>
      </c>
      <c r="P634" s="85">
        <f t="shared" si="329"/>
        <v>45868</v>
      </c>
      <c r="Q634" s="85"/>
      <c r="R634" s="85">
        <f t="shared" si="330"/>
        <v>2</v>
      </c>
      <c r="S634" s="7">
        <f t="shared" ca="1" si="331"/>
        <v>28</v>
      </c>
      <c r="T634" s="85">
        <f t="shared" si="334"/>
        <v>45886</v>
      </c>
      <c r="U634" s="85"/>
      <c r="V634" s="7">
        <f t="shared" ca="1" si="332"/>
        <v>46</v>
      </c>
      <c r="W634" s="85"/>
      <c r="X634" s="8"/>
    </row>
    <row r="635" spans="1:24" ht="17.25" hidden="1" customHeight="1">
      <c r="A635" s="14">
        <v>234</v>
      </c>
      <c r="B635" s="15" t="s">
        <v>59</v>
      </c>
      <c r="C635" s="14"/>
      <c r="D635" s="318" t="s">
        <v>920</v>
      </c>
      <c r="E635" s="146" t="s">
        <v>242</v>
      </c>
      <c r="F635" s="14" t="s">
        <v>921</v>
      </c>
      <c r="G635" s="240">
        <v>45933</v>
      </c>
      <c r="H635" s="320">
        <v>1860.18</v>
      </c>
      <c r="I635" s="321">
        <v>0.504</v>
      </c>
      <c r="J635" s="320">
        <f t="shared" si="357"/>
        <v>937.53072000000009</v>
      </c>
      <c r="K635" s="18"/>
      <c r="L635" s="18"/>
      <c r="M635" s="40">
        <f t="shared" si="327"/>
        <v>937.53072000000009</v>
      </c>
      <c r="N635" s="40">
        <f t="shared" si="328"/>
        <v>937.53072000000009</v>
      </c>
      <c r="O635" s="302" t="s">
        <v>178</v>
      </c>
      <c r="P635" s="85">
        <f t="shared" si="329"/>
        <v>45868</v>
      </c>
      <c r="Q635" s="85"/>
      <c r="R635" s="85">
        <f t="shared" si="330"/>
        <v>2</v>
      </c>
      <c r="S635" s="7">
        <f t="shared" ca="1" si="331"/>
        <v>28</v>
      </c>
      <c r="T635" s="85">
        <f t="shared" si="334"/>
        <v>45886</v>
      </c>
      <c r="U635" s="85"/>
      <c r="V635" s="7">
        <f t="shared" ca="1" si="332"/>
        <v>46</v>
      </c>
      <c r="W635" s="85"/>
      <c r="X635" s="8"/>
    </row>
    <row r="636" spans="1:24" ht="17.25" hidden="1" customHeight="1">
      <c r="A636" s="14">
        <v>235</v>
      </c>
      <c r="B636" s="15" t="s">
        <v>59</v>
      </c>
      <c r="C636" s="14"/>
      <c r="D636" s="318" t="s">
        <v>889</v>
      </c>
      <c r="E636" s="146" t="s">
        <v>395</v>
      </c>
      <c r="F636" s="15" t="s">
        <v>967</v>
      </c>
      <c r="G636" s="240">
        <v>45940</v>
      </c>
      <c r="H636" s="320">
        <v>1483.2</v>
      </c>
      <c r="I636" s="321"/>
      <c r="J636" s="320">
        <v>1483</v>
      </c>
      <c r="K636" s="18"/>
      <c r="L636" s="18"/>
      <c r="M636" s="40">
        <f t="shared" si="327"/>
        <v>1483</v>
      </c>
      <c r="N636" s="40">
        <f t="shared" si="328"/>
        <v>1483</v>
      </c>
      <c r="O636" s="301" t="s">
        <v>292</v>
      </c>
      <c r="P636" s="85">
        <f t="shared" si="329"/>
        <v>45890</v>
      </c>
      <c r="Q636" s="85"/>
      <c r="R636" s="85">
        <f t="shared" si="330"/>
        <v>2</v>
      </c>
      <c r="S636" s="7">
        <f t="shared" ca="1" si="331"/>
        <v>50</v>
      </c>
      <c r="T636" s="85">
        <f>G636-32</f>
        <v>45908</v>
      </c>
      <c r="U636" s="85"/>
      <c r="V636" s="7">
        <f t="shared" ca="1" si="332"/>
        <v>68</v>
      </c>
      <c r="W636" s="85"/>
      <c r="X636" s="8"/>
    </row>
    <row r="637" spans="1:24" ht="17.25" hidden="1" customHeight="1">
      <c r="A637" s="14">
        <v>235</v>
      </c>
      <c r="B637" s="15" t="s">
        <v>59</v>
      </c>
      <c r="C637" s="14"/>
      <c r="D637" s="318" t="s">
        <v>189</v>
      </c>
      <c r="E637" s="146" t="s">
        <v>242</v>
      </c>
      <c r="F637" s="146" t="s">
        <v>90</v>
      </c>
      <c r="G637" s="240">
        <v>45940</v>
      </c>
      <c r="H637" s="320">
        <v>1409.04</v>
      </c>
      <c r="I637" s="321">
        <v>0.48299999999999998</v>
      </c>
      <c r="J637" s="320">
        <f>H637*I637</f>
        <v>680.56631999999991</v>
      </c>
      <c r="K637" s="18"/>
      <c r="L637" s="18"/>
      <c r="M637" s="40">
        <f t="shared" si="327"/>
        <v>680.56631999999991</v>
      </c>
      <c r="N637" s="40">
        <f t="shared" si="328"/>
        <v>680.56631999999991</v>
      </c>
      <c r="O637" s="302" t="s">
        <v>178</v>
      </c>
      <c r="P637" s="85">
        <f t="shared" si="329"/>
        <v>45875</v>
      </c>
      <c r="Q637" s="85"/>
      <c r="R637" s="85">
        <f t="shared" si="330"/>
        <v>2</v>
      </c>
      <c r="S637" s="7">
        <f t="shared" ca="1" si="331"/>
        <v>35</v>
      </c>
      <c r="T637" s="85">
        <f t="shared" si="334"/>
        <v>45893</v>
      </c>
      <c r="U637" s="85"/>
      <c r="V637" s="7">
        <f t="shared" ca="1" si="332"/>
        <v>53</v>
      </c>
      <c r="W637" s="85"/>
      <c r="X637" s="8"/>
    </row>
    <row r="638" spans="1:24" ht="17.25" hidden="1" customHeight="1">
      <c r="A638" s="14">
        <v>235</v>
      </c>
      <c r="B638" s="15" t="s">
        <v>59</v>
      </c>
      <c r="C638" s="14"/>
      <c r="D638" s="318" t="s">
        <v>158</v>
      </c>
      <c r="E638" s="146" t="s">
        <v>242</v>
      </c>
      <c r="F638" s="146" t="s">
        <v>156</v>
      </c>
      <c r="G638" s="240">
        <v>45940</v>
      </c>
      <c r="H638" s="320">
        <v>1483.2</v>
      </c>
      <c r="I638" s="321">
        <v>0.42799999999999999</v>
      </c>
      <c r="J638" s="320">
        <f>I638*H638</f>
        <v>634.80960000000005</v>
      </c>
      <c r="K638" s="18"/>
      <c r="L638" s="18"/>
      <c r="M638" s="40">
        <f t="shared" si="327"/>
        <v>634.80960000000005</v>
      </c>
      <c r="N638" s="40">
        <f t="shared" si="328"/>
        <v>634.80960000000005</v>
      </c>
      <c r="O638" s="302" t="s">
        <v>178</v>
      </c>
      <c r="P638" s="85">
        <f t="shared" si="329"/>
        <v>45890</v>
      </c>
      <c r="Q638" s="85"/>
      <c r="R638" s="85">
        <f t="shared" si="330"/>
        <v>2</v>
      </c>
      <c r="S638" s="7">
        <f t="shared" ca="1" si="331"/>
        <v>50</v>
      </c>
      <c r="T638" s="85">
        <f>G638-32</f>
        <v>45908</v>
      </c>
      <c r="U638" s="85"/>
      <c r="V638" s="7">
        <f t="shared" ca="1" si="332"/>
        <v>68</v>
      </c>
      <c r="W638" s="85"/>
      <c r="X638" s="8"/>
    </row>
    <row r="639" spans="1:24" ht="17.25" hidden="1" customHeight="1">
      <c r="A639" s="14">
        <v>235</v>
      </c>
      <c r="B639" s="15" t="s">
        <v>59</v>
      </c>
      <c r="C639" s="14"/>
      <c r="D639" s="318" t="s">
        <v>920</v>
      </c>
      <c r="E639" s="146" t="s">
        <v>242</v>
      </c>
      <c r="F639" s="137" t="s">
        <v>919</v>
      </c>
      <c r="G639" s="240">
        <v>45940</v>
      </c>
      <c r="H639" s="320">
        <v>5191.2</v>
      </c>
      <c r="I639" s="321">
        <v>0.504</v>
      </c>
      <c r="J639" s="320">
        <f t="shared" ref="J639:J640" si="358">H639*I639</f>
        <v>2616.3647999999998</v>
      </c>
      <c r="K639" s="18"/>
      <c r="L639" s="18"/>
      <c r="M639" s="40">
        <f t="shared" si="327"/>
        <v>2616.3647999999998</v>
      </c>
      <c r="N639" s="40">
        <f t="shared" si="328"/>
        <v>2616.3647999999998</v>
      </c>
      <c r="O639" s="302" t="s">
        <v>178</v>
      </c>
      <c r="P639" s="85">
        <f t="shared" si="329"/>
        <v>45875</v>
      </c>
      <c r="Q639" s="85"/>
      <c r="R639" s="85">
        <f t="shared" si="330"/>
        <v>2</v>
      </c>
      <c r="S639" s="7">
        <f t="shared" ca="1" si="331"/>
        <v>35</v>
      </c>
      <c r="T639" s="85">
        <f t="shared" si="334"/>
        <v>45893</v>
      </c>
      <c r="U639" s="85"/>
      <c r="V639" s="7">
        <f t="shared" ca="1" si="332"/>
        <v>53</v>
      </c>
      <c r="W639" s="85"/>
      <c r="X639" s="8"/>
    </row>
    <row r="640" spans="1:24" ht="17.25" hidden="1" customHeight="1">
      <c r="A640" s="14">
        <v>235</v>
      </c>
      <c r="B640" s="15" t="s">
        <v>59</v>
      </c>
      <c r="C640" s="14"/>
      <c r="D640" s="318" t="s">
        <v>920</v>
      </c>
      <c r="E640" s="146" t="s">
        <v>242</v>
      </c>
      <c r="F640" s="14" t="s">
        <v>921</v>
      </c>
      <c r="G640" s="240">
        <v>45940</v>
      </c>
      <c r="H640" s="320">
        <v>5191.2</v>
      </c>
      <c r="I640" s="321">
        <v>0.504</v>
      </c>
      <c r="J640" s="320">
        <f t="shared" si="358"/>
        <v>2616.3647999999998</v>
      </c>
      <c r="K640" s="18"/>
      <c r="L640" s="18"/>
      <c r="M640" s="40">
        <f t="shared" si="327"/>
        <v>2616.3647999999998</v>
      </c>
      <c r="N640" s="40">
        <f t="shared" si="328"/>
        <v>2616.3647999999998</v>
      </c>
      <c r="O640" s="302" t="s">
        <v>178</v>
      </c>
      <c r="P640" s="85">
        <f t="shared" si="329"/>
        <v>45875</v>
      </c>
      <c r="Q640" s="85"/>
      <c r="R640" s="85">
        <f t="shared" si="330"/>
        <v>2</v>
      </c>
      <c r="S640" s="7">
        <f t="shared" ca="1" si="331"/>
        <v>35</v>
      </c>
      <c r="T640" s="85">
        <f t="shared" si="334"/>
        <v>45893</v>
      </c>
      <c r="U640" s="85"/>
      <c r="V640" s="7">
        <f t="shared" ca="1" si="332"/>
        <v>53</v>
      </c>
      <c r="W640" s="85"/>
      <c r="X640" s="8"/>
    </row>
    <row r="641" spans="1:24" ht="17.25" hidden="1" customHeight="1">
      <c r="A641" s="14">
        <v>236</v>
      </c>
      <c r="B641" s="15" t="s">
        <v>59</v>
      </c>
      <c r="C641" s="14"/>
      <c r="D641" s="318" t="s">
        <v>193</v>
      </c>
      <c r="E641" s="146" t="s">
        <v>249</v>
      </c>
      <c r="F641" s="146" t="s">
        <v>162</v>
      </c>
      <c r="G641" s="240">
        <v>45940</v>
      </c>
      <c r="H641" s="320">
        <v>2142.4</v>
      </c>
      <c r="I641" s="321">
        <v>2.7</v>
      </c>
      <c r="J641" s="320">
        <f t="shared" ref="J641" si="359">I641*H641</f>
        <v>5784.4800000000005</v>
      </c>
      <c r="K641" s="18"/>
      <c r="L641" s="18"/>
      <c r="M641" s="40">
        <f t="shared" si="327"/>
        <v>5784.4800000000005</v>
      </c>
      <c r="N641" s="40">
        <f t="shared" si="328"/>
        <v>5784.4800000000005</v>
      </c>
      <c r="O641" s="302" t="s">
        <v>178</v>
      </c>
      <c r="P641" s="85">
        <f t="shared" si="329"/>
        <v>45875</v>
      </c>
      <c r="Q641" s="85"/>
      <c r="R641" s="85">
        <f t="shared" si="330"/>
        <v>2</v>
      </c>
      <c r="S641" s="7">
        <f t="shared" ca="1" si="331"/>
        <v>35</v>
      </c>
      <c r="T641" s="85">
        <f t="shared" si="334"/>
        <v>45893</v>
      </c>
      <c r="U641" s="85"/>
      <c r="V641" s="7">
        <f t="shared" ca="1" si="332"/>
        <v>53</v>
      </c>
      <c r="W641" s="85"/>
      <c r="X641" s="8"/>
    </row>
    <row r="642" spans="1:24" ht="17.25" hidden="1" customHeight="1">
      <c r="A642" s="14">
        <v>236</v>
      </c>
      <c r="B642" s="15" t="s">
        <v>59</v>
      </c>
      <c r="C642" s="14"/>
      <c r="D642" s="318" t="s">
        <v>250</v>
      </c>
      <c r="E642" s="146" t="s">
        <v>269</v>
      </c>
      <c r="F642" s="146" t="s">
        <v>162</v>
      </c>
      <c r="G642" s="240">
        <v>45940</v>
      </c>
      <c r="H642" s="320">
        <v>2023.95</v>
      </c>
      <c r="I642" s="86">
        <v>2.8</v>
      </c>
      <c r="J642" s="320">
        <f t="shared" ref="J642" si="360">H642*I642</f>
        <v>5667.0599999999995</v>
      </c>
      <c r="K642" s="18"/>
      <c r="L642" s="18"/>
      <c r="M642" s="40">
        <f t="shared" si="327"/>
        <v>5667.0599999999995</v>
      </c>
      <c r="N642" s="40">
        <f t="shared" si="328"/>
        <v>5667.0599999999995</v>
      </c>
      <c r="O642" s="302" t="s">
        <v>178</v>
      </c>
      <c r="P642" s="85">
        <f t="shared" si="329"/>
        <v>45875</v>
      </c>
      <c r="Q642" s="85"/>
      <c r="R642" s="85">
        <f t="shared" si="330"/>
        <v>2</v>
      </c>
      <c r="S642" s="7">
        <f t="shared" ca="1" si="331"/>
        <v>35</v>
      </c>
      <c r="T642" s="85">
        <f t="shared" si="334"/>
        <v>45893</v>
      </c>
      <c r="U642" s="85"/>
      <c r="V642" s="7">
        <f t="shared" ca="1" si="332"/>
        <v>53</v>
      </c>
      <c r="W642" s="85"/>
      <c r="X642" s="8"/>
    </row>
    <row r="643" spans="1:24" ht="17.25" customHeight="1">
      <c r="A643" s="14">
        <v>236</v>
      </c>
      <c r="B643" s="15" t="s">
        <v>59</v>
      </c>
      <c r="C643" s="14"/>
      <c r="D643" s="318" t="s">
        <v>201</v>
      </c>
      <c r="E643" s="146" t="s">
        <v>247</v>
      </c>
      <c r="F643" s="146" t="s">
        <v>155</v>
      </c>
      <c r="G643" s="240">
        <v>45940</v>
      </c>
      <c r="H643" s="320">
        <v>6056.4000000000005</v>
      </c>
      <c r="I643" s="321">
        <v>0.84</v>
      </c>
      <c r="J643" s="320">
        <f t="shared" ref="J643:J645" si="361">I643*H643</f>
        <v>5087.3760000000002</v>
      </c>
      <c r="K643" s="18"/>
      <c r="L643" s="18"/>
      <c r="M643" s="40">
        <f t="shared" si="327"/>
        <v>5087.3760000000002</v>
      </c>
      <c r="N643" s="40">
        <f t="shared" si="328"/>
        <v>5087.3760000000002</v>
      </c>
      <c r="O643" s="302" t="s">
        <v>178</v>
      </c>
      <c r="P643" s="85">
        <f t="shared" si="329"/>
        <v>45875</v>
      </c>
      <c r="Q643" s="85"/>
      <c r="R643" s="85">
        <f t="shared" si="330"/>
        <v>2</v>
      </c>
      <c r="S643" s="7">
        <f t="shared" ca="1" si="331"/>
        <v>35</v>
      </c>
      <c r="T643" s="85">
        <f t="shared" si="334"/>
        <v>45893</v>
      </c>
      <c r="U643" s="85"/>
      <c r="V643" s="7">
        <f t="shared" ca="1" si="332"/>
        <v>53</v>
      </c>
      <c r="W643" s="85"/>
      <c r="X643" s="8"/>
    </row>
    <row r="644" spans="1:24" ht="17.25" hidden="1" customHeight="1">
      <c r="A644" s="14">
        <v>236</v>
      </c>
      <c r="B644" s="15" t="s">
        <v>59</v>
      </c>
      <c r="C644" s="14"/>
      <c r="D644" s="318" t="s">
        <v>158</v>
      </c>
      <c r="E644" s="146" t="s">
        <v>242</v>
      </c>
      <c r="F644" s="146" t="s">
        <v>155</v>
      </c>
      <c r="G644" s="240">
        <v>45940</v>
      </c>
      <c r="H644" s="320">
        <v>1322.52</v>
      </c>
      <c r="I644" s="321">
        <v>0.42799999999999999</v>
      </c>
      <c r="J644" s="320">
        <f t="shared" si="361"/>
        <v>566.03855999999996</v>
      </c>
      <c r="K644" s="18"/>
      <c r="L644" s="18"/>
      <c r="M644" s="40">
        <f t="shared" si="327"/>
        <v>566.03855999999996</v>
      </c>
      <c r="N644" s="40">
        <f t="shared" si="328"/>
        <v>566.03855999999996</v>
      </c>
      <c r="O644" s="302" t="s">
        <v>178</v>
      </c>
      <c r="P644" s="85">
        <f t="shared" si="329"/>
        <v>45890</v>
      </c>
      <c r="Q644" s="85"/>
      <c r="R644" s="85">
        <f t="shared" si="330"/>
        <v>2</v>
      </c>
      <c r="S644" s="7">
        <f t="shared" ca="1" si="331"/>
        <v>50</v>
      </c>
      <c r="T644" s="85">
        <f>G644-32</f>
        <v>45908</v>
      </c>
      <c r="U644" s="85"/>
      <c r="V644" s="7">
        <f t="shared" ca="1" si="332"/>
        <v>68</v>
      </c>
      <c r="W644" s="85"/>
      <c r="X644" s="8"/>
    </row>
    <row r="645" spans="1:24" ht="17.25" hidden="1" customHeight="1">
      <c r="A645" s="14">
        <v>236</v>
      </c>
      <c r="B645" s="15" t="s">
        <v>59</v>
      </c>
      <c r="C645" s="14"/>
      <c r="D645" s="318" t="s">
        <v>158</v>
      </c>
      <c r="E645" s="146" t="s">
        <v>242</v>
      </c>
      <c r="F645" s="146" t="s">
        <v>156</v>
      </c>
      <c r="G645" s="240">
        <v>45940</v>
      </c>
      <c r="H645" s="320">
        <v>1322.52</v>
      </c>
      <c r="I645" s="321">
        <v>0.42799999999999999</v>
      </c>
      <c r="J645" s="320">
        <f t="shared" si="361"/>
        <v>566.03855999999996</v>
      </c>
      <c r="K645" s="18"/>
      <c r="L645" s="18"/>
      <c r="M645" s="40">
        <f t="shared" si="327"/>
        <v>566.03855999999996</v>
      </c>
      <c r="N645" s="40">
        <f t="shared" si="328"/>
        <v>566.03855999999996</v>
      </c>
      <c r="O645" s="302" t="s">
        <v>178</v>
      </c>
      <c r="P645" s="85">
        <f t="shared" si="329"/>
        <v>45890</v>
      </c>
      <c r="Q645" s="85"/>
      <c r="R645" s="85">
        <f t="shared" si="330"/>
        <v>2</v>
      </c>
      <c r="S645" s="7">
        <f t="shared" ca="1" si="331"/>
        <v>50</v>
      </c>
      <c r="T645" s="85">
        <f>G645-32</f>
        <v>45908</v>
      </c>
      <c r="U645" s="85"/>
      <c r="V645" s="7">
        <f t="shared" ca="1" si="332"/>
        <v>68</v>
      </c>
      <c r="W645" s="85"/>
      <c r="X645" s="8"/>
    </row>
    <row r="646" spans="1:24" ht="17.25" hidden="1" customHeight="1">
      <c r="A646" s="14">
        <v>237</v>
      </c>
      <c r="B646" s="15" t="s">
        <v>59</v>
      </c>
      <c r="C646" s="14"/>
      <c r="D646" s="318" t="s">
        <v>193</v>
      </c>
      <c r="E646" s="146" t="s">
        <v>249</v>
      </c>
      <c r="F646" s="146" t="s">
        <v>162</v>
      </c>
      <c r="G646" s="240">
        <v>45948</v>
      </c>
      <c r="H646" s="320">
        <v>1534.7</v>
      </c>
      <c r="I646" s="321">
        <v>2.7</v>
      </c>
      <c r="J646" s="320">
        <f t="shared" ref="J646" si="362">I646*H646</f>
        <v>4143.6900000000005</v>
      </c>
      <c r="K646" s="18"/>
      <c r="L646" s="18"/>
      <c r="M646" s="40">
        <f t="shared" si="327"/>
        <v>4143.6900000000005</v>
      </c>
      <c r="N646" s="40">
        <f t="shared" si="328"/>
        <v>4143.6900000000005</v>
      </c>
      <c r="O646" s="302" t="s">
        <v>178</v>
      </c>
      <c r="P646" s="85">
        <f t="shared" si="329"/>
        <v>45883</v>
      </c>
      <c r="Q646" s="85"/>
      <c r="R646" s="85">
        <f t="shared" si="330"/>
        <v>2</v>
      </c>
      <c r="S646" s="7">
        <f t="shared" ca="1" si="331"/>
        <v>43</v>
      </c>
      <c r="T646" s="85">
        <f t="shared" si="334"/>
        <v>45901</v>
      </c>
      <c r="U646" s="85"/>
      <c r="V646" s="7">
        <f t="shared" ca="1" si="332"/>
        <v>61</v>
      </c>
      <c r="W646" s="85"/>
      <c r="X646" s="8"/>
    </row>
    <row r="647" spans="1:24" ht="17.25" hidden="1" customHeight="1">
      <c r="A647" s="14">
        <v>237</v>
      </c>
      <c r="B647" s="15" t="s">
        <v>59</v>
      </c>
      <c r="C647" s="14"/>
      <c r="D647" s="318" t="s">
        <v>193</v>
      </c>
      <c r="E647" s="146" t="s">
        <v>246</v>
      </c>
      <c r="F647" s="146" t="s">
        <v>162</v>
      </c>
      <c r="G647" s="240">
        <v>45948</v>
      </c>
      <c r="H647" s="320">
        <v>3306.3</v>
      </c>
      <c r="I647" s="321">
        <v>0.35399999999999998</v>
      </c>
      <c r="J647" s="320">
        <f>H647*I647</f>
        <v>1170.4302</v>
      </c>
      <c r="K647" s="18"/>
      <c r="L647" s="18"/>
      <c r="M647" s="40">
        <f t="shared" si="327"/>
        <v>1170.4302</v>
      </c>
      <c r="N647" s="40">
        <f t="shared" si="328"/>
        <v>1170.4302</v>
      </c>
      <c r="O647" s="302" t="s">
        <v>178</v>
      </c>
      <c r="P647" s="85">
        <f t="shared" si="329"/>
        <v>45883</v>
      </c>
      <c r="Q647" s="85"/>
      <c r="R647" s="85">
        <f t="shared" si="330"/>
        <v>2</v>
      </c>
      <c r="S647" s="7">
        <f t="shared" ca="1" si="331"/>
        <v>43</v>
      </c>
      <c r="T647" s="85">
        <f t="shared" si="334"/>
        <v>45901</v>
      </c>
      <c r="U647" s="85"/>
      <c r="V647" s="7">
        <f t="shared" ca="1" si="332"/>
        <v>61</v>
      </c>
      <c r="W647" s="85"/>
      <c r="X647" s="8"/>
    </row>
    <row r="648" spans="1:24" ht="17.25" hidden="1" customHeight="1">
      <c r="A648" s="14">
        <v>237</v>
      </c>
      <c r="B648" s="15" t="s">
        <v>59</v>
      </c>
      <c r="C648" s="14"/>
      <c r="D648" s="318" t="s">
        <v>158</v>
      </c>
      <c r="E648" s="146" t="s">
        <v>242</v>
      </c>
      <c r="F648" s="146" t="s">
        <v>156</v>
      </c>
      <c r="G648" s="240">
        <v>45948</v>
      </c>
      <c r="H648" s="320">
        <v>1334.88</v>
      </c>
      <c r="I648" s="321">
        <v>0.42799999999999999</v>
      </c>
      <c r="J648" s="320">
        <f>I648*H648</f>
        <v>571.32864000000006</v>
      </c>
      <c r="K648" s="18"/>
      <c r="L648" s="18"/>
      <c r="M648" s="40">
        <f t="shared" si="327"/>
        <v>571.32864000000006</v>
      </c>
      <c r="N648" s="40">
        <f t="shared" si="328"/>
        <v>571.32864000000006</v>
      </c>
      <c r="O648" s="302" t="s">
        <v>178</v>
      </c>
      <c r="P648" s="85">
        <f t="shared" si="329"/>
        <v>45898</v>
      </c>
      <c r="Q648" s="85"/>
      <c r="R648" s="85">
        <f t="shared" si="330"/>
        <v>2</v>
      </c>
      <c r="S648" s="7">
        <f t="shared" ca="1" si="331"/>
        <v>58</v>
      </c>
      <c r="T648" s="85">
        <f>G648-32</f>
        <v>45916</v>
      </c>
      <c r="U648" s="85"/>
      <c r="V648" s="7">
        <f t="shared" ca="1" si="332"/>
        <v>76</v>
      </c>
      <c r="W648" s="85"/>
      <c r="X648" s="8"/>
    </row>
    <row r="649" spans="1:24" ht="17.25" hidden="1" customHeight="1">
      <c r="A649" s="14">
        <v>237</v>
      </c>
      <c r="B649" s="15" t="s">
        <v>59</v>
      </c>
      <c r="C649" s="14"/>
      <c r="D649" s="318" t="s">
        <v>901</v>
      </c>
      <c r="E649" s="14" t="s">
        <v>242</v>
      </c>
      <c r="F649" s="137" t="s">
        <v>244</v>
      </c>
      <c r="G649" s="240">
        <v>45948</v>
      </c>
      <c r="H649" s="320">
        <v>1582.08</v>
      </c>
      <c r="I649" s="321">
        <v>0.45</v>
      </c>
      <c r="J649" s="320">
        <f t="shared" ref="J649" si="363">H649*I649</f>
        <v>711.93600000000004</v>
      </c>
      <c r="K649" s="18"/>
      <c r="L649" s="18"/>
      <c r="M649" s="40">
        <f t="shared" si="327"/>
        <v>711.93600000000004</v>
      </c>
      <c r="N649" s="40">
        <f t="shared" si="328"/>
        <v>711.93600000000004</v>
      </c>
      <c r="O649" s="302" t="s">
        <v>178</v>
      </c>
      <c r="P649" s="85">
        <f t="shared" si="329"/>
        <v>45883</v>
      </c>
      <c r="Q649" s="85"/>
      <c r="R649" s="85">
        <f t="shared" si="330"/>
        <v>2</v>
      </c>
      <c r="S649" s="7">
        <f t="shared" ca="1" si="331"/>
        <v>43</v>
      </c>
      <c r="T649" s="85">
        <f t="shared" si="334"/>
        <v>45901</v>
      </c>
      <c r="U649" s="85"/>
      <c r="V649" s="7">
        <f t="shared" ca="1" si="332"/>
        <v>61</v>
      </c>
      <c r="W649" s="85"/>
      <c r="X649" s="8"/>
    </row>
    <row r="650" spans="1:24" ht="17.25" hidden="1" customHeight="1">
      <c r="A650" s="14">
        <v>237</v>
      </c>
      <c r="B650" s="15" t="s">
        <v>59</v>
      </c>
      <c r="C650" s="14"/>
      <c r="D650" s="318" t="s">
        <v>920</v>
      </c>
      <c r="E650" s="146" t="s">
        <v>242</v>
      </c>
      <c r="F650" s="137" t="s">
        <v>919</v>
      </c>
      <c r="G650" s="240">
        <v>45948</v>
      </c>
      <c r="H650" s="320">
        <v>4203.43</v>
      </c>
      <c r="I650" s="321">
        <v>0.504</v>
      </c>
      <c r="J650" s="320">
        <f t="shared" ref="J650:J651" si="364">H650*I650</f>
        <v>2118.5287200000002</v>
      </c>
      <c r="K650" s="18"/>
      <c r="L650" s="18"/>
      <c r="M650" s="40">
        <f t="shared" si="327"/>
        <v>2118.5287200000002</v>
      </c>
      <c r="N650" s="40">
        <f t="shared" si="328"/>
        <v>2118.5287200000002</v>
      </c>
      <c r="O650" s="302" t="s">
        <v>178</v>
      </c>
      <c r="P650" s="85">
        <f t="shared" si="329"/>
        <v>45883</v>
      </c>
      <c r="Q650" s="85"/>
      <c r="R650" s="85">
        <f t="shared" si="330"/>
        <v>2</v>
      </c>
      <c r="S650" s="7">
        <f t="shared" ca="1" si="331"/>
        <v>43</v>
      </c>
      <c r="T650" s="85">
        <f t="shared" si="334"/>
        <v>45901</v>
      </c>
      <c r="U650" s="85"/>
      <c r="V650" s="7">
        <f t="shared" ca="1" si="332"/>
        <v>61</v>
      </c>
      <c r="W650" s="85"/>
      <c r="X650" s="8"/>
    </row>
    <row r="651" spans="1:24" ht="17.25" hidden="1" customHeight="1">
      <c r="A651" s="14">
        <v>237</v>
      </c>
      <c r="B651" s="15" t="s">
        <v>59</v>
      </c>
      <c r="C651" s="14"/>
      <c r="D651" s="318" t="s">
        <v>920</v>
      </c>
      <c r="E651" s="146" t="s">
        <v>242</v>
      </c>
      <c r="F651" s="14" t="s">
        <v>921</v>
      </c>
      <c r="G651" s="240">
        <v>45948</v>
      </c>
      <c r="H651" s="320">
        <v>4203.43</v>
      </c>
      <c r="I651" s="321">
        <v>0.504</v>
      </c>
      <c r="J651" s="320">
        <f t="shared" si="364"/>
        <v>2118.5287200000002</v>
      </c>
      <c r="K651" s="18"/>
      <c r="L651" s="18"/>
      <c r="M651" s="40">
        <f t="shared" si="327"/>
        <v>2118.5287200000002</v>
      </c>
      <c r="N651" s="40">
        <f t="shared" si="328"/>
        <v>2118.5287200000002</v>
      </c>
      <c r="O651" s="302" t="s">
        <v>178</v>
      </c>
      <c r="P651" s="85">
        <f t="shared" si="329"/>
        <v>45883</v>
      </c>
      <c r="Q651" s="85"/>
      <c r="R651" s="85">
        <f t="shared" si="330"/>
        <v>2</v>
      </c>
      <c r="S651" s="7">
        <f t="shared" ca="1" si="331"/>
        <v>43</v>
      </c>
      <c r="T651" s="85">
        <f t="shared" si="334"/>
        <v>45901</v>
      </c>
      <c r="U651" s="85"/>
      <c r="V651" s="7">
        <f t="shared" ca="1" si="332"/>
        <v>61</v>
      </c>
      <c r="W651" s="85"/>
      <c r="X651" s="8"/>
    </row>
    <row r="652" spans="1:24" ht="17.25" hidden="1" customHeight="1">
      <c r="A652" s="14">
        <v>238</v>
      </c>
      <c r="B652" s="15" t="s">
        <v>59</v>
      </c>
      <c r="C652" s="14"/>
      <c r="D652" s="318" t="s">
        <v>157</v>
      </c>
      <c r="E652" s="146" t="s">
        <v>903</v>
      </c>
      <c r="F652" s="146" t="s">
        <v>162</v>
      </c>
      <c r="G652" s="240">
        <v>45948</v>
      </c>
      <c r="H652" s="320">
        <v>3751.26</v>
      </c>
      <c r="I652" s="321">
        <v>0.30599999999999999</v>
      </c>
      <c r="J652" s="320">
        <f t="shared" ref="J652" si="365">I652*H652</f>
        <v>1147.8855599999999</v>
      </c>
      <c r="K652" s="18"/>
      <c r="L652" s="18"/>
      <c r="M652" s="40">
        <f t="shared" si="327"/>
        <v>1147.8855599999999</v>
      </c>
      <c r="N652" s="40">
        <f t="shared" si="328"/>
        <v>1147.8855599999999</v>
      </c>
      <c r="O652" s="301" t="s">
        <v>871</v>
      </c>
      <c r="P652" s="85">
        <f t="shared" si="329"/>
        <v>45898</v>
      </c>
      <c r="Q652" s="85"/>
      <c r="R652" s="85">
        <f t="shared" si="330"/>
        <v>2</v>
      </c>
      <c r="S652" s="7">
        <f t="shared" ca="1" si="331"/>
        <v>58</v>
      </c>
      <c r="T652" s="85">
        <f>G652-32</f>
        <v>45916</v>
      </c>
      <c r="U652" s="85"/>
      <c r="V652" s="7">
        <f t="shared" ca="1" si="332"/>
        <v>76</v>
      </c>
      <c r="W652" s="85"/>
      <c r="X652" s="8"/>
    </row>
    <row r="653" spans="1:24" ht="17.25" hidden="1" customHeight="1">
      <c r="A653" s="14">
        <v>238</v>
      </c>
      <c r="B653" s="15" t="s">
        <v>59</v>
      </c>
      <c r="C653" s="14"/>
      <c r="D653" s="318" t="s">
        <v>158</v>
      </c>
      <c r="E653" s="146" t="s">
        <v>242</v>
      </c>
      <c r="F653" s="15" t="s">
        <v>154</v>
      </c>
      <c r="G653" s="240">
        <v>45948</v>
      </c>
      <c r="H653" s="320">
        <v>741.6</v>
      </c>
      <c r="I653" s="321">
        <v>0.42799999999999999</v>
      </c>
      <c r="J653" s="320">
        <f>I653*H653</f>
        <v>317.40480000000002</v>
      </c>
      <c r="K653" s="18"/>
      <c r="L653" s="18"/>
      <c r="M653" s="40">
        <f t="shared" si="327"/>
        <v>317.40480000000002</v>
      </c>
      <c r="N653" s="40">
        <f t="shared" si="328"/>
        <v>317.40480000000002</v>
      </c>
      <c r="O653" s="302" t="s">
        <v>178</v>
      </c>
      <c r="P653" s="85">
        <f t="shared" si="329"/>
        <v>45898</v>
      </c>
      <c r="Q653" s="85"/>
      <c r="R653" s="85">
        <f t="shared" si="330"/>
        <v>2</v>
      </c>
      <c r="S653" s="7">
        <f t="shared" ca="1" si="331"/>
        <v>58</v>
      </c>
      <c r="T653" s="85">
        <f>G653-32</f>
        <v>45916</v>
      </c>
      <c r="U653" s="85"/>
      <c r="V653" s="7">
        <f t="shared" ca="1" si="332"/>
        <v>76</v>
      </c>
      <c r="W653" s="85"/>
      <c r="X653" s="8"/>
    </row>
    <row r="654" spans="1:24" ht="17.25" hidden="1" customHeight="1">
      <c r="A654" s="14">
        <v>238</v>
      </c>
      <c r="B654" s="15" t="s">
        <v>59</v>
      </c>
      <c r="C654" s="14"/>
      <c r="D654" s="318" t="s">
        <v>189</v>
      </c>
      <c r="E654" s="146" t="s">
        <v>242</v>
      </c>
      <c r="F654" s="146" t="s">
        <v>90</v>
      </c>
      <c r="G654" s="240">
        <v>45948</v>
      </c>
      <c r="H654" s="320">
        <v>1112.4000000000001</v>
      </c>
      <c r="I654" s="321">
        <v>0.48299999999999998</v>
      </c>
      <c r="J654" s="320">
        <f>H654*I654</f>
        <v>537.28920000000005</v>
      </c>
      <c r="K654" s="18"/>
      <c r="L654" s="18"/>
      <c r="M654" s="40">
        <f t="shared" si="327"/>
        <v>537.28920000000005</v>
      </c>
      <c r="N654" s="40">
        <f t="shared" si="328"/>
        <v>537.28920000000005</v>
      </c>
      <c r="O654" s="302" t="s">
        <v>178</v>
      </c>
      <c r="P654" s="85">
        <f t="shared" si="329"/>
        <v>45883</v>
      </c>
      <c r="Q654" s="85"/>
      <c r="R654" s="85">
        <f t="shared" si="330"/>
        <v>2</v>
      </c>
      <c r="S654" s="7">
        <f t="shared" ca="1" si="331"/>
        <v>43</v>
      </c>
      <c r="T654" s="85">
        <f t="shared" si="334"/>
        <v>45901</v>
      </c>
      <c r="U654" s="85"/>
      <c r="V654" s="7">
        <f t="shared" ca="1" si="332"/>
        <v>61</v>
      </c>
      <c r="W654" s="85"/>
      <c r="X654" s="8"/>
    </row>
    <row r="655" spans="1:24" ht="17.25" hidden="1" customHeight="1">
      <c r="A655" s="14">
        <v>238</v>
      </c>
      <c r="B655" s="15" t="s">
        <v>59</v>
      </c>
      <c r="C655" s="14"/>
      <c r="D655" s="318" t="s">
        <v>920</v>
      </c>
      <c r="E655" s="146" t="s">
        <v>242</v>
      </c>
      <c r="F655" s="137" t="s">
        <v>919</v>
      </c>
      <c r="G655" s="240">
        <v>45948</v>
      </c>
      <c r="H655" s="320">
        <v>1824.13</v>
      </c>
      <c r="I655" s="321">
        <v>0.504</v>
      </c>
      <c r="J655" s="320">
        <f t="shared" ref="J655:J656" si="366">H655*I655</f>
        <v>919.36152000000004</v>
      </c>
      <c r="K655" s="18"/>
      <c r="L655" s="18"/>
      <c r="M655" s="40">
        <f t="shared" si="327"/>
        <v>919.36152000000004</v>
      </c>
      <c r="N655" s="40">
        <f t="shared" si="328"/>
        <v>919.36152000000004</v>
      </c>
      <c r="O655" s="302" t="s">
        <v>178</v>
      </c>
      <c r="P655" s="85">
        <f t="shared" si="329"/>
        <v>45883</v>
      </c>
      <c r="Q655" s="85"/>
      <c r="R655" s="85">
        <f t="shared" si="330"/>
        <v>2</v>
      </c>
      <c r="S655" s="7">
        <f t="shared" ca="1" si="331"/>
        <v>43</v>
      </c>
      <c r="T655" s="85">
        <f t="shared" si="334"/>
        <v>45901</v>
      </c>
      <c r="U655" s="85"/>
      <c r="V655" s="7">
        <f t="shared" ca="1" si="332"/>
        <v>61</v>
      </c>
      <c r="W655" s="85"/>
      <c r="X655" s="8"/>
    </row>
    <row r="656" spans="1:24" ht="17.25" hidden="1" customHeight="1">
      <c r="A656" s="14">
        <v>238</v>
      </c>
      <c r="B656" s="15" t="s">
        <v>59</v>
      </c>
      <c r="C656" s="14"/>
      <c r="D656" s="318" t="s">
        <v>920</v>
      </c>
      <c r="E656" s="146" t="s">
        <v>242</v>
      </c>
      <c r="F656" s="14" t="s">
        <v>921</v>
      </c>
      <c r="G656" s="240">
        <v>45948</v>
      </c>
      <c r="H656" s="320">
        <v>2400.9299999999998</v>
      </c>
      <c r="I656" s="321">
        <v>0.504</v>
      </c>
      <c r="J656" s="320">
        <f t="shared" si="366"/>
        <v>1210.06872</v>
      </c>
      <c r="K656" s="18"/>
      <c r="L656" s="18"/>
      <c r="M656" s="40">
        <f t="shared" si="327"/>
        <v>1210.06872</v>
      </c>
      <c r="N656" s="40">
        <f t="shared" si="328"/>
        <v>1210.06872</v>
      </c>
      <c r="O656" s="302" t="s">
        <v>178</v>
      </c>
      <c r="P656" s="85">
        <f t="shared" si="329"/>
        <v>45883</v>
      </c>
      <c r="Q656" s="85"/>
      <c r="R656" s="85">
        <f t="shared" si="330"/>
        <v>2</v>
      </c>
      <c r="S656" s="7">
        <f t="shared" ca="1" si="331"/>
        <v>43</v>
      </c>
      <c r="T656" s="85">
        <f t="shared" si="334"/>
        <v>45901</v>
      </c>
      <c r="U656" s="85"/>
      <c r="V656" s="7">
        <f t="shared" ca="1" si="332"/>
        <v>61</v>
      </c>
      <c r="W656" s="85"/>
      <c r="X656" s="8"/>
    </row>
    <row r="657" spans="1:24" ht="17.25" hidden="1" customHeight="1">
      <c r="A657" s="14">
        <v>239</v>
      </c>
      <c r="B657" s="15" t="s">
        <v>59</v>
      </c>
      <c r="C657" s="14"/>
      <c r="D657" s="318" t="s">
        <v>158</v>
      </c>
      <c r="E657" s="146" t="s">
        <v>242</v>
      </c>
      <c r="F657" s="15" t="s">
        <v>154</v>
      </c>
      <c r="G657" s="240">
        <v>45948</v>
      </c>
      <c r="H657" s="320">
        <v>1334.88</v>
      </c>
      <c r="I657" s="321">
        <v>0.42799999999999999</v>
      </c>
      <c r="J657" s="320">
        <f>I657*H657</f>
        <v>571.32864000000006</v>
      </c>
      <c r="K657" s="18"/>
      <c r="L657" s="18"/>
      <c r="M657" s="40">
        <f t="shared" si="327"/>
        <v>571.32864000000006</v>
      </c>
      <c r="N657" s="40">
        <f t="shared" si="328"/>
        <v>571.32864000000006</v>
      </c>
      <c r="O657" s="302" t="s">
        <v>178</v>
      </c>
      <c r="P657" s="85">
        <f t="shared" si="329"/>
        <v>45898</v>
      </c>
      <c r="Q657" s="85"/>
      <c r="R657" s="85">
        <f t="shared" si="330"/>
        <v>2</v>
      </c>
      <c r="S657" s="7">
        <f t="shared" ca="1" si="331"/>
        <v>58</v>
      </c>
      <c r="T657" s="85">
        <f>G657-32</f>
        <v>45916</v>
      </c>
      <c r="U657" s="85"/>
      <c r="V657" s="7">
        <f t="shared" ca="1" si="332"/>
        <v>76</v>
      </c>
      <c r="W657" s="85"/>
      <c r="X657" s="8"/>
    </row>
    <row r="658" spans="1:24" ht="17.25" hidden="1" customHeight="1">
      <c r="A658" s="14">
        <v>239</v>
      </c>
      <c r="B658" s="15" t="s">
        <v>59</v>
      </c>
      <c r="C658" s="14"/>
      <c r="D658" s="318" t="s">
        <v>158</v>
      </c>
      <c r="E658" s="146" t="s">
        <v>242</v>
      </c>
      <c r="F658" s="146" t="s">
        <v>156</v>
      </c>
      <c r="G658" s="240">
        <v>45948</v>
      </c>
      <c r="H658" s="320">
        <v>889.92000000000007</v>
      </c>
      <c r="I658" s="321">
        <v>0.42799999999999999</v>
      </c>
      <c r="J658" s="320">
        <f>I658*H658</f>
        <v>380.88576</v>
      </c>
      <c r="K658" s="18"/>
      <c r="L658" s="18"/>
      <c r="M658" s="40">
        <f t="shared" si="327"/>
        <v>380.88576</v>
      </c>
      <c r="N658" s="40">
        <f t="shared" si="328"/>
        <v>380.88576</v>
      </c>
      <c r="O658" s="302" t="s">
        <v>178</v>
      </c>
      <c r="P658" s="85">
        <f t="shared" si="329"/>
        <v>45898</v>
      </c>
      <c r="Q658" s="85"/>
      <c r="R658" s="85">
        <f t="shared" si="330"/>
        <v>2</v>
      </c>
      <c r="S658" s="7">
        <f t="shared" ca="1" si="331"/>
        <v>58</v>
      </c>
      <c r="T658" s="85">
        <f>G658-32</f>
        <v>45916</v>
      </c>
      <c r="U658" s="85"/>
      <c r="V658" s="7">
        <f t="shared" ca="1" si="332"/>
        <v>76</v>
      </c>
      <c r="W658" s="85"/>
      <c r="X658" s="8"/>
    </row>
    <row r="659" spans="1:24" ht="17.25" hidden="1" customHeight="1">
      <c r="A659" s="14">
        <v>239</v>
      </c>
      <c r="B659" s="15" t="s">
        <v>59</v>
      </c>
      <c r="C659" s="14"/>
      <c r="D659" s="318" t="s">
        <v>901</v>
      </c>
      <c r="E659" s="14" t="s">
        <v>242</v>
      </c>
      <c r="F659" s="137" t="s">
        <v>244</v>
      </c>
      <c r="G659" s="240">
        <v>45948</v>
      </c>
      <c r="H659" s="320">
        <v>815.76</v>
      </c>
      <c r="I659" s="321">
        <v>0.45</v>
      </c>
      <c r="J659" s="320">
        <f t="shared" ref="J659" si="367">H659*I659</f>
        <v>367.09199999999998</v>
      </c>
      <c r="K659" s="18"/>
      <c r="L659" s="18"/>
      <c r="M659" s="40">
        <f t="shared" si="327"/>
        <v>367.09199999999998</v>
      </c>
      <c r="N659" s="40">
        <f t="shared" si="328"/>
        <v>367.09199999999998</v>
      </c>
      <c r="O659" s="302" t="s">
        <v>178</v>
      </c>
      <c r="P659" s="85">
        <f t="shared" si="329"/>
        <v>45883</v>
      </c>
      <c r="Q659" s="85"/>
      <c r="R659" s="85">
        <f t="shared" si="330"/>
        <v>2</v>
      </c>
      <c r="S659" s="7">
        <f t="shared" ca="1" si="331"/>
        <v>43</v>
      </c>
      <c r="T659" s="85">
        <f t="shared" si="334"/>
        <v>45901</v>
      </c>
      <c r="U659" s="85"/>
      <c r="V659" s="7">
        <f t="shared" ca="1" si="332"/>
        <v>61</v>
      </c>
      <c r="W659" s="85"/>
      <c r="X659" s="8"/>
    </row>
    <row r="660" spans="1:24" ht="17.25" hidden="1" customHeight="1">
      <c r="A660" s="14">
        <v>239</v>
      </c>
      <c r="B660" s="15" t="s">
        <v>59</v>
      </c>
      <c r="C660" s="14"/>
      <c r="D660" s="318" t="s">
        <v>920</v>
      </c>
      <c r="E660" s="146" t="s">
        <v>242</v>
      </c>
      <c r="F660" s="137" t="s">
        <v>919</v>
      </c>
      <c r="G660" s="240">
        <v>45948</v>
      </c>
      <c r="H660" s="320">
        <v>886.83</v>
      </c>
      <c r="I660" s="321">
        <v>0.504</v>
      </c>
      <c r="J660" s="320">
        <f t="shared" ref="J660:J661" si="368">H660*I660</f>
        <v>446.96232000000003</v>
      </c>
      <c r="K660" s="18"/>
      <c r="L660" s="18"/>
      <c r="M660" s="40">
        <f t="shared" si="327"/>
        <v>446.96232000000003</v>
      </c>
      <c r="N660" s="40">
        <f t="shared" si="328"/>
        <v>446.96232000000003</v>
      </c>
      <c r="O660" s="302" t="s">
        <v>178</v>
      </c>
      <c r="P660" s="85">
        <f t="shared" si="329"/>
        <v>45883</v>
      </c>
      <c r="Q660" s="85"/>
      <c r="R660" s="85">
        <f t="shared" si="330"/>
        <v>2</v>
      </c>
      <c r="S660" s="7">
        <f t="shared" ca="1" si="331"/>
        <v>43</v>
      </c>
      <c r="T660" s="85">
        <f t="shared" si="334"/>
        <v>45901</v>
      </c>
      <c r="U660" s="85"/>
      <c r="V660" s="7">
        <f t="shared" ca="1" si="332"/>
        <v>61</v>
      </c>
      <c r="W660" s="85"/>
      <c r="X660" s="8"/>
    </row>
    <row r="661" spans="1:24" ht="17.25" hidden="1" customHeight="1">
      <c r="A661" s="14">
        <v>239</v>
      </c>
      <c r="B661" s="15" t="s">
        <v>59</v>
      </c>
      <c r="C661" s="14"/>
      <c r="D661" s="318" t="s">
        <v>920</v>
      </c>
      <c r="E661" s="146" t="s">
        <v>242</v>
      </c>
      <c r="F661" s="14" t="s">
        <v>921</v>
      </c>
      <c r="G661" s="240">
        <v>45948</v>
      </c>
      <c r="H661" s="320">
        <v>886.83</v>
      </c>
      <c r="I661" s="321">
        <v>0.504</v>
      </c>
      <c r="J661" s="320">
        <f t="shared" si="368"/>
        <v>446.96232000000003</v>
      </c>
      <c r="K661" s="18"/>
      <c r="L661" s="18"/>
      <c r="M661" s="40">
        <f t="shared" si="327"/>
        <v>446.96232000000003</v>
      </c>
      <c r="N661" s="40">
        <f t="shared" si="328"/>
        <v>446.96232000000003</v>
      </c>
      <c r="O661" s="302" t="s">
        <v>178</v>
      </c>
      <c r="P661" s="85">
        <f t="shared" si="329"/>
        <v>45883</v>
      </c>
      <c r="Q661" s="85"/>
      <c r="R661" s="85">
        <f t="shared" si="330"/>
        <v>2</v>
      </c>
      <c r="S661" s="7">
        <f t="shared" ca="1" si="331"/>
        <v>43</v>
      </c>
      <c r="T661" s="85">
        <f t="shared" si="334"/>
        <v>45901</v>
      </c>
      <c r="U661" s="85"/>
      <c r="V661" s="7">
        <f t="shared" ca="1" si="332"/>
        <v>61</v>
      </c>
      <c r="W661" s="85"/>
      <c r="X661" s="8"/>
    </row>
    <row r="662" spans="1:24" ht="17.25" hidden="1" customHeight="1">
      <c r="A662" s="14">
        <v>240</v>
      </c>
      <c r="B662" s="15" t="s">
        <v>59</v>
      </c>
      <c r="C662" s="14"/>
      <c r="D662" s="318" t="s">
        <v>193</v>
      </c>
      <c r="E662" s="146" t="s">
        <v>249</v>
      </c>
      <c r="F662" s="146" t="s">
        <v>162</v>
      </c>
      <c r="G662" s="240">
        <v>45961</v>
      </c>
      <c r="H662" s="320">
        <v>1205.1000000000001</v>
      </c>
      <c r="I662" s="321">
        <v>2.7</v>
      </c>
      <c r="J662" s="320">
        <f t="shared" ref="J662:J663" si="369">I662*H662</f>
        <v>3253.7700000000004</v>
      </c>
      <c r="K662" s="18"/>
      <c r="L662" s="18"/>
      <c r="M662" s="40">
        <f t="shared" si="327"/>
        <v>3253.7700000000004</v>
      </c>
      <c r="N662" s="40">
        <f t="shared" si="328"/>
        <v>3253.7700000000004</v>
      </c>
      <c r="O662" s="302" t="s">
        <v>178</v>
      </c>
      <c r="P662" s="85">
        <f t="shared" si="329"/>
        <v>45896</v>
      </c>
      <c r="Q662" s="85"/>
      <c r="R662" s="85">
        <f t="shared" si="330"/>
        <v>2</v>
      </c>
      <c r="S662" s="7">
        <f t="shared" ca="1" si="331"/>
        <v>56</v>
      </c>
      <c r="T662" s="85">
        <f t="shared" si="334"/>
        <v>45914</v>
      </c>
      <c r="U662" s="85"/>
      <c r="V662" s="7">
        <f t="shared" ca="1" si="332"/>
        <v>74</v>
      </c>
      <c r="W662" s="85"/>
      <c r="X662" s="8"/>
    </row>
    <row r="663" spans="1:24" ht="17.25" customHeight="1">
      <c r="A663" s="14">
        <v>240</v>
      </c>
      <c r="B663" s="15" t="s">
        <v>59</v>
      </c>
      <c r="C663" s="14"/>
      <c r="D663" s="318" t="s">
        <v>201</v>
      </c>
      <c r="E663" s="146" t="s">
        <v>247</v>
      </c>
      <c r="F663" s="146" t="s">
        <v>155</v>
      </c>
      <c r="G663" s="240">
        <v>45961</v>
      </c>
      <c r="H663" s="320">
        <v>3238.32</v>
      </c>
      <c r="I663" s="321">
        <v>0.84</v>
      </c>
      <c r="J663" s="320">
        <f t="shared" si="369"/>
        <v>2720.1887999999999</v>
      </c>
      <c r="K663" s="18"/>
      <c r="L663" s="18"/>
      <c r="M663" s="40">
        <f t="shared" si="327"/>
        <v>2720.1887999999999</v>
      </c>
      <c r="N663" s="40">
        <f t="shared" si="328"/>
        <v>2720.1887999999999</v>
      </c>
      <c r="O663" s="302" t="s">
        <v>178</v>
      </c>
      <c r="P663" s="85">
        <f t="shared" si="329"/>
        <v>45896</v>
      </c>
      <c r="Q663" s="85"/>
      <c r="R663" s="85">
        <f t="shared" si="330"/>
        <v>2</v>
      </c>
      <c r="S663" s="7">
        <f t="shared" ca="1" si="331"/>
        <v>56</v>
      </c>
      <c r="T663" s="85">
        <f t="shared" si="334"/>
        <v>45914</v>
      </c>
      <c r="U663" s="85"/>
      <c r="V663" s="7">
        <f t="shared" ca="1" si="332"/>
        <v>74</v>
      </c>
      <c r="W663" s="85"/>
      <c r="X663" s="8"/>
    </row>
    <row r="664" spans="1:24" ht="17.25" hidden="1" customHeight="1">
      <c r="A664" s="14">
        <v>240</v>
      </c>
      <c r="B664" s="15" t="s">
        <v>59</v>
      </c>
      <c r="C664" s="14"/>
      <c r="D664" s="318" t="s">
        <v>889</v>
      </c>
      <c r="E664" s="146" t="s">
        <v>395</v>
      </c>
      <c r="F664" s="15" t="s">
        <v>967</v>
      </c>
      <c r="G664" s="240">
        <v>45961</v>
      </c>
      <c r="H664" s="320">
        <v>1730.4</v>
      </c>
      <c r="I664" s="321"/>
      <c r="J664" s="320">
        <v>1730</v>
      </c>
      <c r="K664" s="18"/>
      <c r="L664" s="18"/>
      <c r="M664" s="40">
        <f t="shared" si="327"/>
        <v>1730</v>
      </c>
      <c r="N664" s="40">
        <f t="shared" si="328"/>
        <v>1730</v>
      </c>
      <c r="O664" s="301" t="s">
        <v>292</v>
      </c>
      <c r="P664" s="85">
        <f t="shared" si="329"/>
        <v>45911</v>
      </c>
      <c r="Q664" s="85"/>
      <c r="R664" s="85">
        <f t="shared" si="330"/>
        <v>2</v>
      </c>
      <c r="S664" s="7">
        <f t="shared" ca="1" si="331"/>
        <v>71</v>
      </c>
      <c r="T664" s="85">
        <f>G664-32</f>
        <v>45929</v>
      </c>
      <c r="U664" s="85"/>
      <c r="V664" s="7">
        <f t="shared" ca="1" si="332"/>
        <v>89</v>
      </c>
      <c r="W664" s="85"/>
      <c r="X664" s="8"/>
    </row>
    <row r="665" spans="1:24" ht="17.25" hidden="1" customHeight="1">
      <c r="A665" s="14">
        <v>240</v>
      </c>
      <c r="B665" s="15" t="s">
        <v>59</v>
      </c>
      <c r="C665" s="14"/>
      <c r="D665" s="318" t="s">
        <v>158</v>
      </c>
      <c r="E665" s="146" t="s">
        <v>242</v>
      </c>
      <c r="F665" s="15" t="s">
        <v>154</v>
      </c>
      <c r="G665" s="240">
        <v>45961</v>
      </c>
      <c r="H665" s="320">
        <v>399.64</v>
      </c>
      <c r="I665" s="321">
        <v>0.42799999999999999</v>
      </c>
      <c r="J665" s="320">
        <f>I665*H665</f>
        <v>171.04592</v>
      </c>
      <c r="K665" s="18"/>
      <c r="L665" s="18"/>
      <c r="M665" s="40">
        <f t="shared" si="327"/>
        <v>171.04592</v>
      </c>
      <c r="N665" s="40">
        <f t="shared" si="328"/>
        <v>171.04592</v>
      </c>
      <c r="O665" s="302" t="s">
        <v>178</v>
      </c>
      <c r="P665" s="85">
        <f t="shared" si="329"/>
        <v>45911</v>
      </c>
      <c r="Q665" s="85"/>
      <c r="R665" s="85">
        <f t="shared" si="330"/>
        <v>2</v>
      </c>
      <c r="S665" s="7">
        <f t="shared" ca="1" si="331"/>
        <v>71</v>
      </c>
      <c r="T665" s="85">
        <f>G665-32</f>
        <v>45929</v>
      </c>
      <c r="U665" s="85"/>
      <c r="V665" s="7">
        <f t="shared" ca="1" si="332"/>
        <v>89</v>
      </c>
      <c r="W665" s="85"/>
      <c r="X665" s="8"/>
    </row>
    <row r="666" spans="1:24" ht="17.25" hidden="1" customHeight="1">
      <c r="A666" s="14">
        <v>240</v>
      </c>
      <c r="B666" s="15" t="s">
        <v>59</v>
      </c>
      <c r="C666" s="14"/>
      <c r="D666" s="318" t="s">
        <v>189</v>
      </c>
      <c r="E666" s="146" t="s">
        <v>242</v>
      </c>
      <c r="F666" s="146" t="s">
        <v>90</v>
      </c>
      <c r="G666" s="240">
        <v>45961</v>
      </c>
      <c r="H666" s="320">
        <v>222.48000000000002</v>
      </c>
      <c r="I666" s="321">
        <v>0.48299999999999998</v>
      </c>
      <c r="J666" s="320">
        <f>H666*I666</f>
        <v>107.45784</v>
      </c>
      <c r="K666" s="18"/>
      <c r="L666" s="18"/>
      <c r="M666" s="40">
        <f t="shared" si="327"/>
        <v>107.45784</v>
      </c>
      <c r="N666" s="40">
        <f t="shared" si="328"/>
        <v>107.45784</v>
      </c>
      <c r="O666" s="302" t="s">
        <v>178</v>
      </c>
      <c r="P666" s="85">
        <f t="shared" si="329"/>
        <v>45896</v>
      </c>
      <c r="Q666" s="85"/>
      <c r="R666" s="85">
        <f t="shared" si="330"/>
        <v>2</v>
      </c>
      <c r="S666" s="7">
        <f t="shared" ca="1" si="331"/>
        <v>56</v>
      </c>
      <c r="T666" s="85">
        <f t="shared" si="334"/>
        <v>45914</v>
      </c>
      <c r="U666" s="85"/>
      <c r="V666" s="7">
        <f t="shared" ca="1" si="332"/>
        <v>74</v>
      </c>
      <c r="W666" s="85"/>
      <c r="X666" s="8"/>
    </row>
    <row r="667" spans="1:24" ht="17.25" hidden="1" customHeight="1">
      <c r="A667" s="14">
        <v>240</v>
      </c>
      <c r="B667" s="15" t="s">
        <v>59</v>
      </c>
      <c r="C667" s="14"/>
      <c r="D667" s="318" t="s">
        <v>158</v>
      </c>
      <c r="E667" s="146" t="s">
        <v>242</v>
      </c>
      <c r="F667" s="146" t="s">
        <v>156</v>
      </c>
      <c r="G667" s="240">
        <v>45961</v>
      </c>
      <c r="H667" s="320">
        <v>1334.88</v>
      </c>
      <c r="I667" s="321">
        <v>0.42799999999999999</v>
      </c>
      <c r="J667" s="320">
        <f>I667*H667</f>
        <v>571.32864000000006</v>
      </c>
      <c r="K667" s="18"/>
      <c r="L667" s="18"/>
      <c r="M667" s="40">
        <f t="shared" ref="M667:M671" si="370">+J667-L667</f>
        <v>571.32864000000006</v>
      </c>
      <c r="N667" s="40">
        <f t="shared" ref="N667:N671" si="371">J667-K667</f>
        <v>571.32864000000006</v>
      </c>
      <c r="O667" s="302" t="s">
        <v>178</v>
      </c>
      <c r="P667" s="85">
        <f t="shared" ref="P667:P671" si="372">T667-18</f>
        <v>45911</v>
      </c>
      <c r="Q667" s="85"/>
      <c r="R667" s="85">
        <f t="shared" ref="R667:R671" si="373">Q667+2</f>
        <v>2</v>
      </c>
      <c r="S667" s="7">
        <f t="shared" ref="S667:S671" ca="1" si="374">+IF(Q667="",P667-TODAY(),P667-Q667)</f>
        <v>71</v>
      </c>
      <c r="T667" s="85">
        <f>G667-32</f>
        <v>45929</v>
      </c>
      <c r="U667" s="85"/>
      <c r="V667" s="7">
        <f t="shared" ref="V667:V671" ca="1" si="375">+IF(U667="",T667-TODAY(),T667-U667)</f>
        <v>89</v>
      </c>
      <c r="W667" s="85"/>
      <c r="X667" s="8"/>
    </row>
    <row r="668" spans="1:24" ht="17.25" hidden="1" customHeight="1">
      <c r="A668" s="14">
        <v>241</v>
      </c>
      <c r="B668" s="15" t="s">
        <v>59</v>
      </c>
      <c r="C668" s="14"/>
      <c r="D668" s="301" t="s">
        <v>248</v>
      </c>
      <c r="E668" s="146" t="s">
        <v>270</v>
      </c>
      <c r="F668" s="146" t="s">
        <v>162</v>
      </c>
      <c r="G668" s="240">
        <v>45975</v>
      </c>
      <c r="H668" s="320">
        <v>1996.14</v>
      </c>
      <c r="I668" s="321">
        <v>1.829</v>
      </c>
      <c r="J668" s="320">
        <f>H668*I668</f>
        <v>3650.9400599999999</v>
      </c>
      <c r="K668" s="18"/>
      <c r="L668" s="18"/>
      <c r="M668" s="40">
        <f t="shared" si="370"/>
        <v>3650.9400599999999</v>
      </c>
      <c r="N668" s="40">
        <f t="shared" si="371"/>
        <v>3650.9400599999999</v>
      </c>
      <c r="O668" s="302" t="s">
        <v>178</v>
      </c>
      <c r="P668" s="85">
        <f t="shared" si="372"/>
        <v>45910</v>
      </c>
      <c r="Q668" s="85"/>
      <c r="R668" s="85">
        <f t="shared" si="373"/>
        <v>2</v>
      </c>
      <c r="S668" s="7">
        <f t="shared" ca="1" si="374"/>
        <v>70</v>
      </c>
      <c r="T668" s="85">
        <f t="shared" ref="T668:T671" si="376">G668-32-15</f>
        <v>45928</v>
      </c>
      <c r="U668" s="85"/>
      <c r="V668" s="7">
        <f t="shared" ca="1" si="375"/>
        <v>88</v>
      </c>
      <c r="W668" s="85"/>
      <c r="X668" s="8"/>
    </row>
    <row r="669" spans="1:24" ht="17.25" hidden="1" customHeight="1">
      <c r="A669" s="14">
        <v>241</v>
      </c>
      <c r="B669" s="15" t="s">
        <v>59</v>
      </c>
      <c r="C669" s="14"/>
      <c r="D669" s="318" t="s">
        <v>158</v>
      </c>
      <c r="E669" s="146" t="s">
        <v>242</v>
      </c>
      <c r="F669" s="15" t="s">
        <v>154</v>
      </c>
      <c r="G669" s="240">
        <v>45975</v>
      </c>
      <c r="H669" s="320">
        <v>1380.2</v>
      </c>
      <c r="I669" s="321">
        <v>0.42799999999999999</v>
      </c>
      <c r="J669" s="320">
        <f>I669*H669</f>
        <v>590.72559999999999</v>
      </c>
      <c r="K669" s="18"/>
      <c r="L669" s="18"/>
      <c r="M669" s="40">
        <f t="shared" si="370"/>
        <v>590.72559999999999</v>
      </c>
      <c r="N669" s="40">
        <f t="shared" si="371"/>
        <v>590.72559999999999</v>
      </c>
      <c r="O669" s="302" t="s">
        <v>178</v>
      </c>
      <c r="P669" s="85">
        <f t="shared" si="372"/>
        <v>45925</v>
      </c>
      <c r="Q669" s="85"/>
      <c r="R669" s="85">
        <f t="shared" si="373"/>
        <v>2</v>
      </c>
      <c r="S669" s="7">
        <f t="shared" ca="1" si="374"/>
        <v>85</v>
      </c>
      <c r="T669" s="85">
        <f>G669-32</f>
        <v>45943</v>
      </c>
      <c r="U669" s="85"/>
      <c r="V669" s="7">
        <f t="shared" ca="1" si="375"/>
        <v>103</v>
      </c>
      <c r="W669" s="85"/>
      <c r="X669" s="8"/>
    </row>
    <row r="670" spans="1:24" ht="17.25" hidden="1" customHeight="1">
      <c r="A670" s="14">
        <v>241</v>
      </c>
      <c r="B670" s="15" t="s">
        <v>59</v>
      </c>
      <c r="C670" s="14"/>
      <c r="D670" s="318" t="s">
        <v>158</v>
      </c>
      <c r="E670" s="146" t="s">
        <v>242</v>
      </c>
      <c r="F670" s="146" t="s">
        <v>156</v>
      </c>
      <c r="G670" s="240">
        <v>45975</v>
      </c>
      <c r="H670" s="320">
        <v>1380.2</v>
      </c>
      <c r="I670" s="321">
        <v>0.42799999999999999</v>
      </c>
      <c r="J670" s="320">
        <f>I670*H670</f>
        <v>590.72559999999999</v>
      </c>
      <c r="K670" s="18"/>
      <c r="L670" s="18"/>
      <c r="M670" s="40">
        <f t="shared" si="370"/>
        <v>590.72559999999999</v>
      </c>
      <c r="N670" s="40">
        <f t="shared" si="371"/>
        <v>590.72559999999999</v>
      </c>
      <c r="O670" s="302" t="s">
        <v>178</v>
      </c>
      <c r="P670" s="85">
        <f t="shared" si="372"/>
        <v>45925</v>
      </c>
      <c r="Q670" s="85"/>
      <c r="R670" s="85">
        <f t="shared" si="373"/>
        <v>2</v>
      </c>
      <c r="S670" s="7">
        <f t="shared" ca="1" si="374"/>
        <v>85</v>
      </c>
      <c r="T670" s="85">
        <f>G670-32</f>
        <v>45943</v>
      </c>
      <c r="U670" s="85"/>
      <c r="V670" s="7">
        <f t="shared" ca="1" si="375"/>
        <v>103</v>
      </c>
      <c r="W670" s="85"/>
      <c r="X670" s="8"/>
    </row>
    <row r="671" spans="1:24" ht="17.25" hidden="1" customHeight="1">
      <c r="A671" s="14">
        <v>241</v>
      </c>
      <c r="B671" s="15" t="s">
        <v>59</v>
      </c>
      <c r="C671" s="14"/>
      <c r="D671" s="318" t="s">
        <v>920</v>
      </c>
      <c r="E671" s="146" t="s">
        <v>242</v>
      </c>
      <c r="F671" s="137" t="s">
        <v>919</v>
      </c>
      <c r="G671" s="240">
        <v>45975</v>
      </c>
      <c r="H671" s="320">
        <v>757.05000000000007</v>
      </c>
      <c r="I671" s="321">
        <v>0.504</v>
      </c>
      <c r="J671" s="320">
        <f>H671*I671</f>
        <v>381.55320000000006</v>
      </c>
      <c r="K671" s="18"/>
      <c r="L671" s="18"/>
      <c r="M671" s="40">
        <f t="shared" si="370"/>
        <v>381.55320000000006</v>
      </c>
      <c r="N671" s="40">
        <f t="shared" si="371"/>
        <v>381.55320000000006</v>
      </c>
      <c r="O671" s="302" t="s">
        <v>178</v>
      </c>
      <c r="P671" s="85">
        <f t="shared" si="372"/>
        <v>45910</v>
      </c>
      <c r="Q671" s="85"/>
      <c r="R671" s="85">
        <f t="shared" si="373"/>
        <v>2</v>
      </c>
      <c r="S671" s="7">
        <f t="shared" ca="1" si="374"/>
        <v>70</v>
      </c>
      <c r="T671" s="85">
        <f t="shared" si="376"/>
        <v>45928</v>
      </c>
      <c r="U671" s="85"/>
      <c r="V671" s="7">
        <f t="shared" ca="1" si="375"/>
        <v>88</v>
      </c>
      <c r="W671" s="85"/>
      <c r="X671" s="8"/>
    </row>
  </sheetData>
  <autoFilter ref="A2:X671">
    <filterColumn colId="1">
      <filters>
        <filter val="JYSK"/>
      </filters>
    </filterColumn>
    <filterColumn colId="3">
      <filters>
        <filter val="Sandarve"/>
      </filters>
    </filterColumn>
    <filterColumn colId="14">
      <filters>
        <filter val="IH"/>
      </filters>
    </filterColumn>
  </autoFilter>
  <mergeCells count="3">
    <mergeCell ref="W1:X1"/>
    <mergeCell ref="T1:V1"/>
    <mergeCell ref="P1:S1"/>
  </mergeCells>
  <conditionalFormatting sqref="E19:J72 D73:J81 D82:N82 D83:J103 D105:J137 D161:J190">
    <cfRule type="expression" dxfId="108" priority="351">
      <formula>ROW()=CELL("row")</formula>
    </cfRule>
  </conditionalFormatting>
  <conditionalFormatting sqref="E3:X18 D3:D72 A3:C190 K19:X49 K50:T50 L51:T57 L58:X58 K59:X78 O79:X87 K81:O81 K83:O83 K88:X93 O94:X94 K95:X97 O98:X100 K101:X103 D104:X104 O121:X122 K123:X137 K161:X163 O164:X166 K167:X167 O168:X168 K169:X173 O174:X174 K175:X181 O182:X184 K185:O248 K255:O258 O259 O261:O262 O307:O313 O315">
    <cfRule type="expression" dxfId="107" priority="62">
      <formula>ROW()=CELL("row")</formula>
    </cfRule>
  </conditionalFormatting>
  <conditionalFormatting sqref="K51:K58">
    <cfRule type="expression" dxfId="106" priority="749">
      <formula>ROW()=CELL("row")</formula>
    </cfRule>
  </conditionalFormatting>
  <conditionalFormatting sqref="K79:N80 K94:N94 K98:N100 K121:N122 K164:N166 K168:N168 K174:N174 K182:N184 K249:O249 K250:N254 K259:N259 K260:O260 K261:N262 K263:O263 K264:N274 K280:N280 K281:O281 K306:O306 K307:N313 K314:O314 K315:N315 K316:O316">
    <cfRule type="expression" dxfId="105" priority="817">
      <formula>ROW()=CELL("row")</formula>
    </cfRule>
  </conditionalFormatting>
  <conditionalFormatting sqref="K84:N87 U50:X57">
    <cfRule type="expression" dxfId="104" priority="796">
      <formula>ROW()=CELL("row")</formula>
    </cfRule>
  </conditionalFormatting>
  <conditionalFormatting sqref="K275:O277 K278:N279">
    <cfRule type="expression" dxfId="103" priority="739">
      <formula>ROW()=CELL("row")</formula>
    </cfRule>
  </conditionalFormatting>
  <conditionalFormatting sqref="K317:O384">
    <cfRule type="expression" dxfId="102" priority="69">
      <formula>ROW()=CELL("row")</formula>
    </cfRule>
  </conditionalFormatting>
  <conditionalFormatting sqref="K105:X120 D138:X160">
    <cfRule type="expression" dxfId="101" priority="30">
      <formula>ROW()=CELL("row")</formula>
    </cfRule>
  </conditionalFormatting>
  <conditionalFormatting sqref="M3:N671">
    <cfRule type="cellIs" dxfId="100" priority="775" operator="lessThanOrEqual">
      <formula>0</formula>
    </cfRule>
  </conditionalFormatting>
  <conditionalFormatting sqref="N397">
    <cfRule type="expression" dxfId="99" priority="342">
      <formula>ROW()=CELL("row")</formula>
    </cfRule>
  </conditionalFormatting>
  <conditionalFormatting sqref="O250:O254">
    <cfRule type="expression" dxfId="98" priority="708">
      <formula>ROW()=CELL("row")</formula>
    </cfRule>
  </conditionalFormatting>
  <conditionalFormatting sqref="O264:O274">
    <cfRule type="expression" dxfId="97" priority="705">
      <formula>ROW()=CELL("row")</formula>
    </cfRule>
  </conditionalFormatting>
  <conditionalFormatting sqref="O278:O280">
    <cfRule type="expression" dxfId="96" priority="114">
      <formula>ROW()=CELL("row")</formula>
    </cfRule>
  </conditionalFormatting>
  <conditionalFormatting sqref="P185:X671 A191:J384 K282:O305 A385:O671">
    <cfRule type="expression" dxfId="95" priority="1">
      <formula>ROW()=CELL("row")</formula>
    </cfRule>
  </conditionalFormatting>
  <conditionalFormatting sqref="V3:V671 S3:S671">
    <cfRule type="cellIs" dxfId="94" priority="823" operator="greaterThanOrEqual">
      <formula>0</formula>
    </cfRule>
    <cfRule type="cellIs" dxfId="93" priority="824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1"/>
  <sheetViews>
    <sheetView workbookViewId="0">
      <selection activeCell="K18" sqref="K18"/>
    </sheetView>
  </sheetViews>
  <sheetFormatPr defaultRowHeight="14"/>
  <cols>
    <col min="1" max="1" width="27.4140625" bestFit="1" customWidth="1"/>
    <col min="2" max="2" width="10.4140625" customWidth="1"/>
    <col min="3" max="3" width="7.4140625" customWidth="1"/>
    <col min="4" max="5" width="8.4140625" customWidth="1"/>
    <col min="6" max="6" width="8" customWidth="1"/>
    <col min="7" max="7" width="11.4140625" bestFit="1" customWidth="1"/>
  </cols>
  <sheetData>
    <row r="3" spans="1:7" ht="55.5" customHeight="1">
      <c r="A3" s="32" t="s">
        <v>368</v>
      </c>
      <c r="B3" s="31" t="s">
        <v>369</v>
      </c>
      <c r="C3" s="33"/>
      <c r="D3" s="33"/>
      <c r="E3" s="33"/>
      <c r="F3" s="33"/>
      <c r="G3" s="33"/>
    </row>
    <row r="4" spans="1:7">
      <c r="A4" s="26" t="s">
        <v>370</v>
      </c>
      <c r="B4" s="1" t="s">
        <v>371</v>
      </c>
      <c r="C4" s="1" t="s">
        <v>372</v>
      </c>
      <c r="D4" s="1" t="s">
        <v>373</v>
      </c>
      <c r="E4" s="1" t="s">
        <v>374</v>
      </c>
      <c r="F4" s="1" t="s">
        <v>375</v>
      </c>
      <c r="G4" s="30" t="s">
        <v>168</v>
      </c>
    </row>
    <row r="5" spans="1:7">
      <c r="A5" s="1" t="s">
        <v>187</v>
      </c>
      <c r="B5" s="25">
        <v>20391.007999999998</v>
      </c>
      <c r="C5" s="25"/>
      <c r="D5" s="25">
        <v>35684.475999999995</v>
      </c>
      <c r="E5" s="25">
        <v>32290.095999999998</v>
      </c>
      <c r="F5" s="25">
        <v>20391.007999999998</v>
      </c>
      <c r="G5" s="25">
        <v>108756.58799999999</v>
      </c>
    </row>
    <row r="6" spans="1:7">
      <c r="A6" s="1" t="s">
        <v>135</v>
      </c>
      <c r="B6" s="25"/>
      <c r="C6" s="25"/>
      <c r="D6" s="25"/>
      <c r="E6" s="25">
        <v>931.6</v>
      </c>
      <c r="F6" s="25">
        <v>931.6</v>
      </c>
      <c r="G6" s="25">
        <v>1863.2</v>
      </c>
    </row>
    <row r="7" spans="1:7">
      <c r="A7" s="1" t="s">
        <v>192</v>
      </c>
      <c r="B7" s="25"/>
      <c r="C7" s="25">
        <v>115.72657534246576</v>
      </c>
      <c r="D7" s="25"/>
      <c r="E7" s="25"/>
      <c r="F7" s="25">
        <v>93.812602739726032</v>
      </c>
      <c r="G7" s="25">
        <v>209.5391780821918</v>
      </c>
    </row>
    <row r="8" spans="1:7">
      <c r="A8" s="1" t="s">
        <v>157</v>
      </c>
      <c r="B8" s="25">
        <v>4227.12</v>
      </c>
      <c r="C8" s="25"/>
      <c r="D8" s="25">
        <v>4597.92</v>
      </c>
      <c r="E8" s="25">
        <v>13828.986000000001</v>
      </c>
      <c r="F8" s="25">
        <v>8096.4179999999997</v>
      </c>
      <c r="G8" s="25">
        <v>30750.444000000003</v>
      </c>
    </row>
    <row r="9" spans="1:7">
      <c r="A9" s="1" t="s">
        <v>193</v>
      </c>
      <c r="B9" s="25"/>
      <c r="C9" s="25"/>
      <c r="D9" s="25">
        <v>25420.04</v>
      </c>
      <c r="E9" s="25">
        <v>24943.74</v>
      </c>
      <c r="F9" s="25">
        <v>25989.055</v>
      </c>
      <c r="G9" s="25">
        <v>76352.834999999992</v>
      </c>
    </row>
    <row r="10" spans="1:7">
      <c r="A10" s="1" t="s">
        <v>189</v>
      </c>
      <c r="B10" s="25">
        <v>1397.0800000000002</v>
      </c>
      <c r="C10" s="25"/>
      <c r="D10" s="25">
        <v>6419.3600000000006</v>
      </c>
      <c r="E10" s="25">
        <v>18327.400000000001</v>
      </c>
      <c r="F10" s="25">
        <v>11908.04</v>
      </c>
      <c r="G10" s="25">
        <v>38051.880000000005</v>
      </c>
    </row>
    <row r="11" spans="1:7">
      <c r="A11" s="1" t="s">
        <v>190</v>
      </c>
      <c r="B11" s="25">
        <v>2439.36</v>
      </c>
      <c r="C11" s="25"/>
      <c r="D11" s="25"/>
      <c r="E11" s="25"/>
      <c r="F11" s="25">
        <v>1751.2</v>
      </c>
      <c r="G11" s="25">
        <v>4190.5600000000004</v>
      </c>
    </row>
    <row r="12" spans="1:7">
      <c r="A12" s="1" t="s">
        <v>194</v>
      </c>
      <c r="B12" s="25"/>
      <c r="C12" s="25"/>
      <c r="D12" s="25"/>
      <c r="E12" s="25">
        <v>7300</v>
      </c>
      <c r="F12" s="25"/>
      <c r="G12" s="25">
        <v>7300</v>
      </c>
    </row>
    <row r="13" spans="1:7">
      <c r="A13" s="1" t="s">
        <v>195</v>
      </c>
      <c r="B13" s="25"/>
      <c r="C13" s="25"/>
      <c r="D13" s="25">
        <v>11161.11</v>
      </c>
      <c r="E13" s="25">
        <v>26624.85</v>
      </c>
      <c r="F13" s="25">
        <v>8833.1999999999989</v>
      </c>
      <c r="G13" s="25">
        <v>46619.159999999996</v>
      </c>
    </row>
    <row r="14" spans="1:7">
      <c r="A14" s="1" t="s">
        <v>196</v>
      </c>
      <c r="B14" s="25"/>
      <c r="C14" s="25"/>
      <c r="D14" s="25">
        <v>6179</v>
      </c>
      <c r="E14" s="25"/>
      <c r="F14" s="25"/>
      <c r="G14" s="25">
        <v>6179</v>
      </c>
    </row>
    <row r="15" spans="1:7">
      <c r="A15" s="1" t="s">
        <v>197</v>
      </c>
      <c r="B15" s="25"/>
      <c r="C15" s="25"/>
      <c r="D15" s="25">
        <v>3870</v>
      </c>
      <c r="E15" s="25"/>
      <c r="F15" s="25"/>
      <c r="G15" s="25">
        <v>3870</v>
      </c>
    </row>
    <row r="16" spans="1:7">
      <c r="A16" s="1" t="s">
        <v>136</v>
      </c>
      <c r="B16" s="25">
        <v>3207.96</v>
      </c>
      <c r="C16" s="25"/>
      <c r="D16" s="25"/>
      <c r="E16" s="25">
        <v>9819.9599999999991</v>
      </c>
      <c r="F16" s="25">
        <v>11443.32</v>
      </c>
      <c r="G16" s="25">
        <v>24471.239999999998</v>
      </c>
    </row>
    <row r="17" spans="1:7">
      <c r="A17" s="1" t="s">
        <v>198</v>
      </c>
      <c r="B17" s="25"/>
      <c r="C17" s="25"/>
      <c r="D17" s="25">
        <v>24390.400000000001</v>
      </c>
      <c r="E17" s="25">
        <v>13919.999999999998</v>
      </c>
      <c r="F17" s="25">
        <v>20083.199999999997</v>
      </c>
      <c r="G17" s="25">
        <v>58393.599999999999</v>
      </c>
    </row>
    <row r="18" spans="1:7">
      <c r="A18" s="1" t="s">
        <v>199</v>
      </c>
      <c r="B18" s="25"/>
      <c r="C18" s="25">
        <v>172.92000000000002</v>
      </c>
      <c r="D18" s="25"/>
      <c r="E18" s="25"/>
      <c r="F18" s="25">
        <v>220.08</v>
      </c>
      <c r="G18" s="25">
        <v>393</v>
      </c>
    </row>
    <row r="19" spans="1:7">
      <c r="A19" s="1" t="s">
        <v>200</v>
      </c>
      <c r="B19" s="25"/>
      <c r="C19" s="25"/>
      <c r="D19" s="25">
        <v>448.18799999999999</v>
      </c>
      <c r="E19" s="25"/>
      <c r="F19" s="25"/>
      <c r="G19" s="25">
        <v>448.18799999999999</v>
      </c>
    </row>
    <row r="20" spans="1:7">
      <c r="A20" s="1" t="s">
        <v>201</v>
      </c>
      <c r="B20" s="25"/>
      <c r="C20" s="25"/>
      <c r="D20" s="25"/>
      <c r="E20" s="25">
        <v>20442.240000000002</v>
      </c>
      <c r="F20" s="25">
        <v>20119.68</v>
      </c>
      <c r="G20" s="25">
        <v>40561.919999999998</v>
      </c>
    </row>
    <row r="21" spans="1:7">
      <c r="A21" s="1" t="s">
        <v>202</v>
      </c>
      <c r="B21" s="25"/>
      <c r="C21" s="25"/>
      <c r="D21" s="25">
        <v>4680.4230000000007</v>
      </c>
      <c r="E21" s="25"/>
      <c r="F21" s="25"/>
      <c r="G21" s="25">
        <v>4680.4230000000007</v>
      </c>
    </row>
    <row r="22" spans="1:7">
      <c r="A22" s="1" t="s">
        <v>158</v>
      </c>
      <c r="B22" s="25">
        <v>1802.7359999999999</v>
      </c>
      <c r="C22" s="25">
        <v>672.048</v>
      </c>
      <c r="D22" s="25">
        <v>5674.5000000000009</v>
      </c>
      <c r="E22" s="25">
        <v>10569.312</v>
      </c>
      <c r="F22" s="25">
        <v>10005.84</v>
      </c>
      <c r="G22" s="25">
        <v>28724.436000000002</v>
      </c>
    </row>
    <row r="23" spans="1:7">
      <c r="A23" s="1" t="s">
        <v>203</v>
      </c>
      <c r="B23" s="25"/>
      <c r="C23" s="25"/>
      <c r="D23" s="25">
        <v>40500</v>
      </c>
      <c r="E23" s="25">
        <v>40500</v>
      </c>
      <c r="F23" s="25"/>
      <c r="G23" s="25">
        <v>81000</v>
      </c>
    </row>
    <row r="24" spans="1:7">
      <c r="A24" s="1" t="s">
        <v>204</v>
      </c>
      <c r="B24" s="25"/>
      <c r="C24" s="25">
        <v>1030.5334246575342</v>
      </c>
      <c r="D24" s="25"/>
      <c r="E24" s="25"/>
      <c r="F24" s="25">
        <v>1257.1753424657531</v>
      </c>
      <c r="G24" s="25">
        <v>2287.7087671232875</v>
      </c>
    </row>
    <row r="25" spans="1:7">
      <c r="A25" s="1" t="s">
        <v>205</v>
      </c>
      <c r="B25" s="25"/>
      <c r="C25" s="25"/>
      <c r="D25" s="25">
        <v>222.48</v>
      </c>
      <c r="E25" s="25"/>
      <c r="F25" s="25">
        <v>180.27599999999998</v>
      </c>
      <c r="G25" s="25">
        <v>402.75599999999997</v>
      </c>
    </row>
    <row r="26" spans="1:7">
      <c r="A26" s="1" t="s">
        <v>206</v>
      </c>
      <c r="B26" s="25"/>
      <c r="C26" s="25"/>
      <c r="D26" s="25"/>
      <c r="E26" s="25">
        <v>453.68</v>
      </c>
      <c r="F26" s="25"/>
      <c r="G26" s="25">
        <v>453.68</v>
      </c>
    </row>
    <row r="27" spans="1:7">
      <c r="A27" s="1" t="s">
        <v>207</v>
      </c>
      <c r="B27" s="25"/>
      <c r="C27" s="25">
        <v>199.37123287671233</v>
      </c>
      <c r="D27" s="25"/>
      <c r="E27" s="25"/>
      <c r="F27" s="25">
        <v>292.62191780821917</v>
      </c>
      <c r="G27" s="25">
        <v>491.99315068493149</v>
      </c>
    </row>
    <row r="28" spans="1:7">
      <c r="A28" s="1" t="s">
        <v>191</v>
      </c>
      <c r="B28" s="25">
        <v>32208.539999999997</v>
      </c>
      <c r="C28" s="25"/>
      <c r="D28" s="25"/>
      <c r="E28" s="25"/>
      <c r="F28" s="25">
        <v>20400</v>
      </c>
      <c r="G28" s="25">
        <v>52608.539999999994</v>
      </c>
    </row>
    <row r="29" spans="1:7">
      <c r="A29" s="1" t="s">
        <v>208</v>
      </c>
      <c r="B29" s="25"/>
      <c r="C29" s="25"/>
      <c r="D29" s="25">
        <v>42000</v>
      </c>
      <c r="E29" s="25">
        <v>42000</v>
      </c>
      <c r="F29" s="25"/>
      <c r="G29" s="25">
        <v>84000</v>
      </c>
    </row>
    <row r="30" spans="1:7">
      <c r="A30" s="1" t="s">
        <v>209</v>
      </c>
      <c r="B30" s="25"/>
      <c r="C30" s="25"/>
      <c r="D30" s="25"/>
      <c r="E30" s="25">
        <v>5729.0879999999997</v>
      </c>
      <c r="F30" s="25"/>
      <c r="G30" s="25">
        <v>5729.0879999999997</v>
      </c>
    </row>
    <row r="31" spans="1:7">
      <c r="A31" s="1" t="s">
        <v>168</v>
      </c>
      <c r="B31" s="25">
        <v>65673.803999999989</v>
      </c>
      <c r="C31" s="25">
        <v>2190.5992328767124</v>
      </c>
      <c r="D31" s="25">
        <v>211247.89699999997</v>
      </c>
      <c r="E31" s="25">
        <v>267680.95199999999</v>
      </c>
      <c r="F31" s="25">
        <v>161996.52686301369</v>
      </c>
      <c r="G31" s="25">
        <v>708789.77909589058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79"/>
  <sheetViews>
    <sheetView zoomScale="96" zoomScaleNormal="96" workbookViewId="0">
      <selection sqref="A1:XFD1"/>
    </sheetView>
  </sheetViews>
  <sheetFormatPr defaultRowHeight="14"/>
  <cols>
    <col min="1" max="1" width="4.75" customWidth="1"/>
    <col min="2" max="2" width="5.1640625" customWidth="1"/>
    <col min="3" max="3" width="6.4140625" customWidth="1"/>
    <col min="4" max="4" width="12.83203125" customWidth="1"/>
    <col min="9" max="13" width="9.1640625" customWidth="1"/>
    <col min="14" max="14" width="4.75" customWidth="1"/>
    <col min="17" max="17" width="9.1640625" customWidth="1"/>
    <col min="18" max="18" width="6.4140625" customWidth="1"/>
    <col min="21" max="21" width="6.58203125" customWidth="1"/>
    <col min="22" max="22" width="7" customWidth="1"/>
  </cols>
  <sheetData>
    <row r="1" spans="1:25" ht="27.75" customHeight="1">
      <c r="A1" s="255" t="s">
        <v>223</v>
      </c>
      <c r="B1" s="294" t="s">
        <v>20</v>
      </c>
      <c r="C1" s="255" t="s">
        <v>21</v>
      </c>
      <c r="D1" s="255" t="s">
        <v>22</v>
      </c>
      <c r="E1" s="255" t="s">
        <v>224</v>
      </c>
      <c r="F1" s="255" t="s">
        <v>225</v>
      </c>
      <c r="G1" s="255" t="s">
        <v>24</v>
      </c>
      <c r="H1" s="255" t="s">
        <v>376</v>
      </c>
      <c r="I1" s="255" t="s">
        <v>377</v>
      </c>
      <c r="J1" s="255" t="s">
        <v>378</v>
      </c>
      <c r="K1" s="255" t="s">
        <v>379</v>
      </c>
      <c r="L1" s="255" t="s">
        <v>380</v>
      </c>
      <c r="M1" s="250" t="s">
        <v>381</v>
      </c>
      <c r="N1" s="368" t="s">
        <v>770</v>
      </c>
      <c r="O1" s="353" t="s">
        <v>104</v>
      </c>
      <c r="P1" s="354"/>
      <c r="Q1" s="354"/>
      <c r="R1" s="355"/>
      <c r="S1" s="353" t="s">
        <v>30</v>
      </c>
      <c r="T1" s="354"/>
      <c r="U1" s="355"/>
      <c r="V1" s="366" t="s">
        <v>852</v>
      </c>
      <c r="W1" s="353" t="s">
        <v>31</v>
      </c>
      <c r="X1" s="354"/>
      <c r="Y1" s="124"/>
    </row>
    <row r="2" spans="1:25" ht="33.75" customHeight="1">
      <c r="A2" s="256"/>
      <c r="B2" s="295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2"/>
      <c r="N2" s="369"/>
      <c r="O2" s="225" t="s">
        <v>50</v>
      </c>
      <c r="P2" s="226" t="s">
        <v>32</v>
      </c>
      <c r="Q2" s="43" t="s">
        <v>385</v>
      </c>
      <c r="R2" s="226" t="s">
        <v>52</v>
      </c>
      <c r="S2" s="225" t="s">
        <v>50</v>
      </c>
      <c r="T2" s="226" t="s">
        <v>32</v>
      </c>
      <c r="U2" s="226" t="s">
        <v>52</v>
      </c>
      <c r="V2" s="367"/>
      <c r="W2" s="225" t="s">
        <v>53</v>
      </c>
      <c r="X2" s="225" t="s">
        <v>54</v>
      </c>
      <c r="Y2" s="124"/>
    </row>
    <row r="3" spans="1:25" ht="14.5" hidden="1">
      <c r="A3" s="331">
        <v>57</v>
      </c>
      <c r="B3" s="332" t="s">
        <v>97</v>
      </c>
      <c r="C3" s="134"/>
      <c r="D3" s="329" t="s">
        <v>307</v>
      </c>
      <c r="E3" s="329" t="s">
        <v>308</v>
      </c>
      <c r="F3" s="329" t="s">
        <v>305</v>
      </c>
      <c r="G3" s="240">
        <v>45833</v>
      </c>
      <c r="H3" s="17">
        <v>2549</v>
      </c>
      <c r="I3" s="241">
        <v>2549</v>
      </c>
      <c r="J3" s="241">
        <v>2396</v>
      </c>
      <c r="K3" s="6">
        <f t="shared" ref="K3:K9" si="0">+H3*94%-J3</f>
        <v>5.999999999994543E-2</v>
      </c>
      <c r="L3" s="6">
        <f t="shared" ref="L3:L39" si="1">+H3-I3</f>
        <v>0</v>
      </c>
      <c r="M3" s="130" t="s">
        <v>853</v>
      </c>
      <c r="N3" s="132">
        <f t="shared" ref="N3:N22" ca="1" si="2">G3-TODAY()</f>
        <v>-7</v>
      </c>
      <c r="O3" s="131">
        <v>45769</v>
      </c>
      <c r="P3" s="131">
        <v>45785</v>
      </c>
      <c r="Q3" s="131">
        <f t="shared" ref="Q3:Q39" si="3">P3+2</f>
        <v>45787</v>
      </c>
      <c r="R3" s="132">
        <f t="shared" ref="R3:R39" ca="1" si="4">+IF(P3="",O3-TODAY(),O3-P3)</f>
        <v>-16</v>
      </c>
      <c r="S3" s="131">
        <f>+O3+12</f>
        <v>45781</v>
      </c>
      <c r="T3" s="133">
        <v>45815</v>
      </c>
      <c r="U3" s="132">
        <f t="shared" ref="U3:U39" ca="1" si="5">+IF(T3="",S3-TODAY(),S3-T3)</f>
        <v>-34</v>
      </c>
      <c r="V3" s="303">
        <f t="shared" ref="V3:V9" si="6">G3-S3</f>
        <v>52</v>
      </c>
      <c r="W3" s="131">
        <v>45810</v>
      </c>
      <c r="X3" s="304"/>
      <c r="Y3" s="124"/>
    </row>
    <row r="4" spans="1:25" ht="14.5" hidden="1">
      <c r="A4" s="331">
        <v>57</v>
      </c>
      <c r="B4" s="332" t="s">
        <v>97</v>
      </c>
      <c r="C4" s="134"/>
      <c r="D4" s="334" t="s">
        <v>159</v>
      </c>
      <c r="E4" s="329" t="s">
        <v>301</v>
      </c>
      <c r="F4" s="329" t="s">
        <v>302</v>
      </c>
      <c r="G4" s="240">
        <v>45833</v>
      </c>
      <c r="H4" s="17">
        <v>2333</v>
      </c>
      <c r="I4" s="241">
        <v>2333</v>
      </c>
      <c r="J4" s="241">
        <v>2210</v>
      </c>
      <c r="K4" s="6">
        <f t="shared" si="0"/>
        <v>-16.980000000000018</v>
      </c>
      <c r="L4" s="6">
        <f t="shared" si="1"/>
        <v>0</v>
      </c>
      <c r="M4" s="300" t="s">
        <v>386</v>
      </c>
      <c r="N4" s="132">
        <f t="shared" ca="1" si="2"/>
        <v>-7</v>
      </c>
      <c r="O4" s="131">
        <v>45787</v>
      </c>
      <c r="P4" s="131">
        <v>45815</v>
      </c>
      <c r="Q4" s="131">
        <f t="shared" si="3"/>
        <v>45817</v>
      </c>
      <c r="R4" s="132">
        <f t="shared" ca="1" si="4"/>
        <v>-28</v>
      </c>
      <c r="S4" s="131">
        <f>+O4+5</f>
        <v>45792</v>
      </c>
      <c r="T4" s="133">
        <v>45834</v>
      </c>
      <c r="U4" s="132">
        <f t="shared" ca="1" si="5"/>
        <v>-42</v>
      </c>
      <c r="V4" s="303">
        <f t="shared" si="6"/>
        <v>41</v>
      </c>
      <c r="W4" s="131">
        <v>45815</v>
      </c>
      <c r="X4" s="304"/>
      <c r="Y4" s="124"/>
    </row>
    <row r="5" spans="1:25" ht="14.5" hidden="1">
      <c r="A5" s="331">
        <v>57</v>
      </c>
      <c r="B5" s="332" t="s">
        <v>97</v>
      </c>
      <c r="C5" s="134"/>
      <c r="D5" s="334" t="s">
        <v>159</v>
      </c>
      <c r="E5" s="329" t="s">
        <v>301</v>
      </c>
      <c r="F5" s="329" t="s">
        <v>303</v>
      </c>
      <c r="G5" s="240">
        <v>45833</v>
      </c>
      <c r="H5" s="17">
        <v>2333</v>
      </c>
      <c r="I5" s="241">
        <v>2333</v>
      </c>
      <c r="J5" s="241">
        <v>2220</v>
      </c>
      <c r="K5" s="6">
        <f t="shared" si="0"/>
        <v>-26.980000000000018</v>
      </c>
      <c r="L5" s="6">
        <f t="shared" si="1"/>
        <v>0</v>
      </c>
      <c r="M5" s="300" t="s">
        <v>386</v>
      </c>
      <c r="N5" s="132">
        <f t="shared" ca="1" si="2"/>
        <v>-7</v>
      </c>
      <c r="O5" s="131">
        <v>45787</v>
      </c>
      <c r="P5" s="131">
        <v>45815</v>
      </c>
      <c r="Q5" s="131">
        <f t="shared" si="3"/>
        <v>45817</v>
      </c>
      <c r="R5" s="132">
        <f t="shared" ca="1" si="4"/>
        <v>-28</v>
      </c>
      <c r="S5" s="131">
        <f>+O5+5</f>
        <v>45792</v>
      </c>
      <c r="T5" s="133">
        <v>45834</v>
      </c>
      <c r="U5" s="132">
        <f t="shared" ca="1" si="5"/>
        <v>-42</v>
      </c>
      <c r="V5" s="303">
        <f t="shared" si="6"/>
        <v>41</v>
      </c>
      <c r="W5" s="131">
        <v>45815</v>
      </c>
      <c r="X5" s="304"/>
      <c r="Y5" s="124"/>
    </row>
    <row r="6" spans="1:25" ht="14.5" hidden="1">
      <c r="A6" s="331">
        <v>57</v>
      </c>
      <c r="B6" s="332" t="s">
        <v>97</v>
      </c>
      <c r="C6" s="134"/>
      <c r="D6" s="329" t="s">
        <v>310</v>
      </c>
      <c r="E6" s="329" t="s">
        <v>403</v>
      </c>
      <c r="F6" s="329" t="s">
        <v>305</v>
      </c>
      <c r="G6" s="240">
        <v>45833</v>
      </c>
      <c r="H6" s="17">
        <v>1997</v>
      </c>
      <c r="I6" s="241">
        <v>1997</v>
      </c>
      <c r="J6" s="241">
        <v>1877</v>
      </c>
      <c r="K6" s="6">
        <f t="shared" si="0"/>
        <v>0.17999999999983629</v>
      </c>
      <c r="L6" s="6">
        <f t="shared" si="1"/>
        <v>0</v>
      </c>
      <c r="M6" s="136" t="s">
        <v>853</v>
      </c>
      <c r="N6" s="132">
        <f t="shared" ca="1" si="2"/>
        <v>-7</v>
      </c>
      <c r="O6" s="131">
        <v>45769</v>
      </c>
      <c r="P6" s="131">
        <v>45785</v>
      </c>
      <c r="Q6" s="131">
        <f t="shared" si="3"/>
        <v>45787</v>
      </c>
      <c r="R6" s="132">
        <f t="shared" ca="1" si="4"/>
        <v>-16</v>
      </c>
      <c r="S6" s="131">
        <f>+O6+12</f>
        <v>45781</v>
      </c>
      <c r="T6" s="133">
        <v>45815</v>
      </c>
      <c r="U6" s="132">
        <f t="shared" ca="1" si="5"/>
        <v>-34</v>
      </c>
      <c r="V6" s="303">
        <f t="shared" si="6"/>
        <v>52</v>
      </c>
      <c r="W6" s="131">
        <v>45810</v>
      </c>
      <c r="X6" s="304"/>
      <c r="Y6" s="124"/>
    </row>
    <row r="7" spans="1:25" ht="14.5" hidden="1">
      <c r="A7" s="331">
        <v>57</v>
      </c>
      <c r="B7" s="332" t="s">
        <v>97</v>
      </c>
      <c r="C7" s="134"/>
      <c r="D7" s="329" t="s">
        <v>309</v>
      </c>
      <c r="E7" s="329" t="s">
        <v>309</v>
      </c>
      <c r="F7" s="329" t="s">
        <v>305</v>
      </c>
      <c r="G7" s="240">
        <v>45833</v>
      </c>
      <c r="H7" s="17">
        <v>2017</v>
      </c>
      <c r="I7" s="241">
        <v>2017</v>
      </c>
      <c r="J7" s="241">
        <v>1896</v>
      </c>
      <c r="K7" s="6">
        <f t="shared" si="0"/>
        <v>-2.0000000000209184E-2</v>
      </c>
      <c r="L7" s="6">
        <f t="shared" si="1"/>
        <v>0</v>
      </c>
      <c r="M7" s="130" t="s">
        <v>853</v>
      </c>
      <c r="N7" s="132">
        <f t="shared" ca="1" si="2"/>
        <v>-7</v>
      </c>
      <c r="O7" s="131">
        <v>45769</v>
      </c>
      <c r="P7" s="131">
        <v>45785</v>
      </c>
      <c r="Q7" s="131">
        <f t="shared" si="3"/>
        <v>45787</v>
      </c>
      <c r="R7" s="132">
        <f t="shared" ca="1" si="4"/>
        <v>-16</v>
      </c>
      <c r="S7" s="131">
        <f>+O7+12</f>
        <v>45781</v>
      </c>
      <c r="T7" s="133">
        <v>45815</v>
      </c>
      <c r="U7" s="132">
        <f t="shared" ca="1" si="5"/>
        <v>-34</v>
      </c>
      <c r="V7" s="303">
        <f t="shared" si="6"/>
        <v>52</v>
      </c>
      <c r="W7" s="131">
        <v>45810</v>
      </c>
      <c r="X7" s="304"/>
      <c r="Y7" s="124"/>
    </row>
    <row r="8" spans="1:25" ht="14.5" hidden="1">
      <c r="A8" s="331">
        <v>57</v>
      </c>
      <c r="B8" s="332" t="s">
        <v>97</v>
      </c>
      <c r="C8" s="134"/>
      <c r="D8" s="329" t="s">
        <v>304</v>
      </c>
      <c r="E8" s="329" t="s">
        <v>301</v>
      </c>
      <c r="F8" s="329" t="s">
        <v>305</v>
      </c>
      <c r="G8" s="240">
        <v>45833</v>
      </c>
      <c r="H8" s="17">
        <v>2410</v>
      </c>
      <c r="I8" s="241">
        <v>2410</v>
      </c>
      <c r="J8" s="241">
        <v>2265</v>
      </c>
      <c r="K8" s="6">
        <f t="shared" si="0"/>
        <v>0.40000000000009095</v>
      </c>
      <c r="L8" s="6">
        <f t="shared" si="1"/>
        <v>0</v>
      </c>
      <c r="M8" s="130" t="s">
        <v>853</v>
      </c>
      <c r="N8" s="132">
        <f t="shared" ca="1" si="2"/>
        <v>-7</v>
      </c>
      <c r="O8" s="131">
        <v>45769</v>
      </c>
      <c r="P8" s="131">
        <v>45785</v>
      </c>
      <c r="Q8" s="131">
        <f t="shared" si="3"/>
        <v>45787</v>
      </c>
      <c r="R8" s="132">
        <f t="shared" ca="1" si="4"/>
        <v>-16</v>
      </c>
      <c r="S8" s="131">
        <f>+O8+12</f>
        <v>45781</v>
      </c>
      <c r="T8" s="133">
        <v>45815</v>
      </c>
      <c r="U8" s="132">
        <f t="shared" ca="1" si="5"/>
        <v>-34</v>
      </c>
      <c r="V8" s="303">
        <f t="shared" si="6"/>
        <v>52</v>
      </c>
      <c r="W8" s="131">
        <v>45810</v>
      </c>
      <c r="X8" s="304"/>
      <c r="Y8" s="124"/>
    </row>
    <row r="9" spans="1:25" ht="14.5" hidden="1">
      <c r="A9" s="331">
        <v>57</v>
      </c>
      <c r="B9" s="332" t="s">
        <v>97</v>
      </c>
      <c r="C9" s="134"/>
      <c r="D9" s="329" t="s">
        <v>304</v>
      </c>
      <c r="E9" s="329" t="s">
        <v>301</v>
      </c>
      <c r="F9" s="329" t="s">
        <v>306</v>
      </c>
      <c r="G9" s="240">
        <v>45833</v>
      </c>
      <c r="H9" s="17">
        <v>2410</v>
      </c>
      <c r="I9" s="241">
        <v>2410</v>
      </c>
      <c r="J9" s="241">
        <v>2265</v>
      </c>
      <c r="K9" s="6">
        <f t="shared" si="0"/>
        <v>0.40000000000009095</v>
      </c>
      <c r="L9" s="6">
        <f t="shared" si="1"/>
        <v>0</v>
      </c>
      <c r="M9" s="136" t="s">
        <v>853</v>
      </c>
      <c r="N9" s="132">
        <f t="shared" ca="1" si="2"/>
        <v>-7</v>
      </c>
      <c r="O9" s="131">
        <v>45769</v>
      </c>
      <c r="P9" s="131">
        <v>45785</v>
      </c>
      <c r="Q9" s="131">
        <f t="shared" si="3"/>
        <v>45787</v>
      </c>
      <c r="R9" s="132">
        <f t="shared" ca="1" si="4"/>
        <v>-16</v>
      </c>
      <c r="S9" s="131">
        <f>+O9+12</f>
        <v>45781</v>
      </c>
      <c r="T9" s="133">
        <v>45815</v>
      </c>
      <c r="U9" s="132">
        <f t="shared" ca="1" si="5"/>
        <v>-34</v>
      </c>
      <c r="V9" s="303">
        <f t="shared" si="6"/>
        <v>52</v>
      </c>
      <c r="W9" s="131">
        <v>45810</v>
      </c>
      <c r="X9" s="304"/>
      <c r="Y9" s="124"/>
    </row>
    <row r="10" spans="1:25" ht="14.5" hidden="1">
      <c r="A10" s="14" t="s">
        <v>295</v>
      </c>
      <c r="B10" s="146" t="s">
        <v>59</v>
      </c>
      <c r="C10" s="15">
        <v>64</v>
      </c>
      <c r="D10" s="146" t="s">
        <v>390</v>
      </c>
      <c r="E10" s="146" t="s">
        <v>242</v>
      </c>
      <c r="F10" s="146" t="s">
        <v>162</v>
      </c>
      <c r="G10" s="240">
        <v>45842</v>
      </c>
      <c r="H10" s="17">
        <v>87</v>
      </c>
      <c r="I10" s="241">
        <v>87</v>
      </c>
      <c r="J10" s="241">
        <v>83</v>
      </c>
      <c r="K10" s="6">
        <f>+H10*95%-J10</f>
        <v>-0.35000000000000853</v>
      </c>
      <c r="L10" s="6">
        <f t="shared" si="1"/>
        <v>0</v>
      </c>
      <c r="M10" s="300" t="s">
        <v>388</v>
      </c>
      <c r="N10" s="132">
        <f t="shared" ca="1" si="2"/>
        <v>2</v>
      </c>
      <c r="O10" s="131">
        <f>G10-(76-15)</f>
        <v>45781</v>
      </c>
      <c r="P10" s="131">
        <v>45756</v>
      </c>
      <c r="Q10" s="131">
        <f t="shared" si="3"/>
        <v>45758</v>
      </c>
      <c r="R10" s="132">
        <f t="shared" ca="1" si="4"/>
        <v>25</v>
      </c>
      <c r="S10" s="131">
        <f>+O10+12</f>
        <v>45793</v>
      </c>
      <c r="T10" s="133">
        <v>45785</v>
      </c>
      <c r="U10" s="132">
        <f t="shared" ca="1" si="5"/>
        <v>8</v>
      </c>
      <c r="V10" s="303">
        <f t="shared" ref="V10:V44" si="7">G10-S10</f>
        <v>49</v>
      </c>
      <c r="W10" s="131">
        <v>45777</v>
      </c>
      <c r="X10" s="125"/>
      <c r="Y10" s="124"/>
    </row>
    <row r="11" spans="1:25" ht="14.5" hidden="1">
      <c r="A11" s="14" t="s">
        <v>295</v>
      </c>
      <c r="B11" s="146" t="s">
        <v>59</v>
      </c>
      <c r="C11" s="15">
        <v>60</v>
      </c>
      <c r="D11" s="301" t="s">
        <v>190</v>
      </c>
      <c r="E11" s="146" t="s">
        <v>242</v>
      </c>
      <c r="F11" s="146" t="s">
        <v>244</v>
      </c>
      <c r="G11" s="240">
        <v>45842</v>
      </c>
      <c r="H11" s="17">
        <v>636</v>
      </c>
      <c r="I11" s="241">
        <v>636</v>
      </c>
      <c r="J11" s="241">
        <v>598</v>
      </c>
      <c r="K11" s="6">
        <f t="shared" ref="K11:K44" si="8">+H11*94%-J11</f>
        <v>-0.16000000000008185</v>
      </c>
      <c r="L11" s="6">
        <f t="shared" si="1"/>
        <v>0</v>
      </c>
      <c r="M11" s="136" t="s">
        <v>133</v>
      </c>
      <c r="N11" s="132">
        <f t="shared" ca="1" si="2"/>
        <v>2</v>
      </c>
      <c r="O11" s="131">
        <v>45788</v>
      </c>
      <c r="P11" s="131">
        <v>45785</v>
      </c>
      <c r="Q11" s="131">
        <f t="shared" si="3"/>
        <v>45787</v>
      </c>
      <c r="R11" s="132">
        <f t="shared" ca="1" si="4"/>
        <v>3</v>
      </c>
      <c r="S11" s="131">
        <f>G11-21</f>
        <v>45821</v>
      </c>
      <c r="T11" s="133">
        <v>45801</v>
      </c>
      <c r="U11" s="132">
        <f t="shared" ca="1" si="5"/>
        <v>20</v>
      </c>
      <c r="V11" s="303">
        <f t="shared" si="7"/>
        <v>21</v>
      </c>
      <c r="W11" s="131"/>
      <c r="X11" s="125"/>
      <c r="Y11" s="124"/>
    </row>
    <row r="12" spans="1:25" ht="14.5" hidden="1">
      <c r="A12" s="14" t="s">
        <v>297</v>
      </c>
      <c r="B12" s="146" t="s">
        <v>59</v>
      </c>
      <c r="C12" s="15">
        <v>66</v>
      </c>
      <c r="D12" s="301" t="s">
        <v>391</v>
      </c>
      <c r="E12" s="146" t="s">
        <v>392</v>
      </c>
      <c r="F12" s="146" t="s">
        <v>393</v>
      </c>
      <c r="G12" s="240">
        <v>45849</v>
      </c>
      <c r="H12" s="17">
        <v>656</v>
      </c>
      <c r="I12" s="21">
        <v>656</v>
      </c>
      <c r="J12" s="241">
        <v>630</v>
      </c>
      <c r="K12" s="6">
        <f>+H12*96%-J12</f>
        <v>-0.24000000000000909</v>
      </c>
      <c r="L12" s="6">
        <f t="shared" si="1"/>
        <v>0</v>
      </c>
      <c r="M12" s="300" t="s">
        <v>853</v>
      </c>
      <c r="N12" s="132">
        <f t="shared" ca="1" si="2"/>
        <v>9</v>
      </c>
      <c r="O12" s="131">
        <f>G12-(76-15)</f>
        <v>45788</v>
      </c>
      <c r="P12" s="131">
        <v>45787</v>
      </c>
      <c r="Q12" s="131">
        <f t="shared" si="3"/>
        <v>45789</v>
      </c>
      <c r="R12" s="132">
        <f t="shared" ca="1" si="4"/>
        <v>1</v>
      </c>
      <c r="S12" s="131">
        <f>+O12+12</f>
        <v>45800</v>
      </c>
      <c r="T12" s="133">
        <v>45819</v>
      </c>
      <c r="U12" s="132">
        <f t="shared" ca="1" si="5"/>
        <v>-19</v>
      </c>
      <c r="V12" s="303">
        <f t="shared" si="7"/>
        <v>49</v>
      </c>
      <c r="W12" s="131"/>
      <c r="X12" s="125"/>
      <c r="Y12" s="124"/>
    </row>
    <row r="13" spans="1:25" ht="14.5" hidden="1">
      <c r="A13" s="14">
        <v>72</v>
      </c>
      <c r="B13" s="146" t="s">
        <v>89</v>
      </c>
      <c r="C13" s="333"/>
      <c r="D13" s="137" t="s">
        <v>349</v>
      </c>
      <c r="E13" s="146" t="s">
        <v>347</v>
      </c>
      <c r="F13" s="146" t="s">
        <v>154</v>
      </c>
      <c r="G13" s="240">
        <v>45828</v>
      </c>
      <c r="H13" s="17">
        <v>588.96804096000017</v>
      </c>
      <c r="I13" s="241">
        <v>589</v>
      </c>
      <c r="J13" s="241">
        <v>554</v>
      </c>
      <c r="K13" s="6">
        <f t="shared" si="8"/>
        <v>-0.37004149759991378</v>
      </c>
      <c r="L13" s="6">
        <f t="shared" si="1"/>
        <v>-3.1959039999833294E-2</v>
      </c>
      <c r="M13" s="299" t="s">
        <v>396</v>
      </c>
      <c r="N13" s="132">
        <f t="shared" ca="1" si="2"/>
        <v>-12</v>
      </c>
      <c r="O13" s="131">
        <f t="shared" ref="O13:O44" si="9">S13-12</f>
        <v>45784</v>
      </c>
      <c r="P13" s="131">
        <v>45796</v>
      </c>
      <c r="Q13" s="131">
        <f t="shared" si="3"/>
        <v>45798</v>
      </c>
      <c r="R13" s="132">
        <f t="shared" ca="1" si="4"/>
        <v>-12</v>
      </c>
      <c r="S13" s="131">
        <f t="shared" ref="S13:S44" si="10">G13-32</f>
        <v>45796</v>
      </c>
      <c r="T13" s="133">
        <v>45826</v>
      </c>
      <c r="U13" s="132">
        <f t="shared" ca="1" si="5"/>
        <v>-30</v>
      </c>
      <c r="V13" s="303">
        <f t="shared" si="7"/>
        <v>32</v>
      </c>
      <c r="W13" s="131">
        <v>45807</v>
      </c>
      <c r="X13" s="297"/>
      <c r="Y13" s="124"/>
    </row>
    <row r="14" spans="1:25" ht="14.5" hidden="1">
      <c r="A14" s="14">
        <v>72</v>
      </c>
      <c r="B14" s="146" t="s">
        <v>89</v>
      </c>
      <c r="C14" s="134"/>
      <c r="D14" s="137" t="s">
        <v>346</v>
      </c>
      <c r="E14" s="146" t="s">
        <v>347</v>
      </c>
      <c r="F14" s="146" t="s">
        <v>348</v>
      </c>
      <c r="G14" s="240">
        <v>45828</v>
      </c>
      <c r="H14" s="17">
        <v>392.64536064000004</v>
      </c>
      <c r="I14" s="241">
        <v>393</v>
      </c>
      <c r="J14" s="241">
        <v>369</v>
      </c>
      <c r="K14" s="6">
        <f t="shared" si="8"/>
        <v>8.6639001600019583E-2</v>
      </c>
      <c r="L14" s="6">
        <f t="shared" si="1"/>
        <v>-0.35463935999996465</v>
      </c>
      <c r="M14" s="299" t="s">
        <v>396</v>
      </c>
      <c r="N14" s="132">
        <f t="shared" ca="1" si="2"/>
        <v>-12</v>
      </c>
      <c r="O14" s="131">
        <f t="shared" si="9"/>
        <v>45784</v>
      </c>
      <c r="P14" s="131">
        <v>45796</v>
      </c>
      <c r="Q14" s="131">
        <f t="shared" si="3"/>
        <v>45798</v>
      </c>
      <c r="R14" s="132">
        <f t="shared" ca="1" si="4"/>
        <v>-12</v>
      </c>
      <c r="S14" s="131">
        <f t="shared" si="10"/>
        <v>45796</v>
      </c>
      <c r="T14" s="133">
        <v>45826</v>
      </c>
      <c r="U14" s="132">
        <f t="shared" ca="1" si="5"/>
        <v>-30</v>
      </c>
      <c r="V14" s="303">
        <f t="shared" si="7"/>
        <v>32</v>
      </c>
      <c r="W14" s="131">
        <v>45807</v>
      </c>
      <c r="X14" s="297"/>
      <c r="Y14" s="124"/>
    </row>
    <row r="15" spans="1:25" ht="14.5" hidden="1">
      <c r="A15" s="14">
        <v>72</v>
      </c>
      <c r="B15" s="146" t="s">
        <v>89</v>
      </c>
      <c r="C15" s="134"/>
      <c r="D15" s="147" t="s">
        <v>325</v>
      </c>
      <c r="E15" s="146" t="s">
        <v>242</v>
      </c>
      <c r="F15" s="146" t="s">
        <v>322</v>
      </c>
      <c r="G15" s="240">
        <v>45828</v>
      </c>
      <c r="H15" s="17">
        <v>240.97822320000006</v>
      </c>
      <c r="I15" s="241">
        <v>241</v>
      </c>
      <c r="J15" s="241">
        <v>227</v>
      </c>
      <c r="K15" s="6">
        <f t="shared" si="8"/>
        <v>-0.48047019199995589</v>
      </c>
      <c r="L15" s="6">
        <f t="shared" si="1"/>
        <v>-2.1776799999940977E-2</v>
      </c>
      <c r="M15" s="299" t="s">
        <v>396</v>
      </c>
      <c r="N15" s="132">
        <f t="shared" ca="1" si="2"/>
        <v>-12</v>
      </c>
      <c r="O15" s="131">
        <f t="shared" si="9"/>
        <v>45784</v>
      </c>
      <c r="P15" s="131">
        <v>45796</v>
      </c>
      <c r="Q15" s="131">
        <f t="shared" si="3"/>
        <v>45798</v>
      </c>
      <c r="R15" s="132">
        <f t="shared" ca="1" si="4"/>
        <v>-12</v>
      </c>
      <c r="S15" s="131">
        <f t="shared" si="10"/>
        <v>45796</v>
      </c>
      <c r="T15" s="133">
        <v>45826</v>
      </c>
      <c r="U15" s="132">
        <f t="shared" ca="1" si="5"/>
        <v>-30</v>
      </c>
      <c r="V15" s="303">
        <f t="shared" si="7"/>
        <v>32</v>
      </c>
      <c r="W15" s="131">
        <v>45807</v>
      </c>
      <c r="X15" s="297"/>
      <c r="Y15" s="124"/>
    </row>
    <row r="16" spans="1:25" ht="14.5" hidden="1">
      <c r="A16" s="14">
        <v>72</v>
      </c>
      <c r="B16" s="146" t="s">
        <v>89</v>
      </c>
      <c r="C16" s="134"/>
      <c r="D16" s="137" t="s">
        <v>351</v>
      </c>
      <c r="E16" s="146" t="s">
        <v>242</v>
      </c>
      <c r="F16" s="146" t="s">
        <v>154</v>
      </c>
      <c r="G16" s="240">
        <v>45828</v>
      </c>
      <c r="H16" s="17">
        <v>390.76755442758628</v>
      </c>
      <c r="I16" s="241">
        <v>391</v>
      </c>
      <c r="J16" s="241">
        <v>367</v>
      </c>
      <c r="K16" s="6">
        <f t="shared" si="8"/>
        <v>0.32150116193105305</v>
      </c>
      <c r="L16" s="6">
        <f t="shared" si="1"/>
        <v>-0.23244557241372377</v>
      </c>
      <c r="M16" s="299" t="s">
        <v>396</v>
      </c>
      <c r="N16" s="132">
        <f t="shared" ca="1" si="2"/>
        <v>-12</v>
      </c>
      <c r="O16" s="131">
        <f t="shared" si="9"/>
        <v>45784</v>
      </c>
      <c r="P16" s="131">
        <v>45796</v>
      </c>
      <c r="Q16" s="131">
        <f t="shared" si="3"/>
        <v>45798</v>
      </c>
      <c r="R16" s="132">
        <f t="shared" ca="1" si="4"/>
        <v>-12</v>
      </c>
      <c r="S16" s="131">
        <f t="shared" si="10"/>
        <v>45796</v>
      </c>
      <c r="T16" s="133">
        <v>45826</v>
      </c>
      <c r="U16" s="132">
        <f t="shared" ca="1" si="5"/>
        <v>-30</v>
      </c>
      <c r="V16" s="303">
        <f t="shared" si="7"/>
        <v>32</v>
      </c>
      <c r="W16" s="131">
        <v>45807</v>
      </c>
      <c r="X16" s="297"/>
      <c r="Y16" s="124"/>
    </row>
    <row r="17" spans="1:25" ht="14.5" hidden="1">
      <c r="A17" s="14">
        <v>72</v>
      </c>
      <c r="B17" s="146" t="s">
        <v>89</v>
      </c>
      <c r="C17" s="134"/>
      <c r="D17" s="137" t="s">
        <v>350</v>
      </c>
      <c r="E17" s="146" t="s">
        <v>242</v>
      </c>
      <c r="F17" s="146" t="s">
        <v>348</v>
      </c>
      <c r="G17" s="240">
        <v>45828</v>
      </c>
      <c r="H17" s="17">
        <v>182.3581920662069</v>
      </c>
      <c r="I17" s="241">
        <v>182</v>
      </c>
      <c r="J17" s="241">
        <v>171</v>
      </c>
      <c r="K17" s="6">
        <f t="shared" si="8"/>
        <v>0.41670054223448005</v>
      </c>
      <c r="L17" s="6">
        <f t="shared" si="1"/>
        <v>0.3581920662068967</v>
      </c>
      <c r="M17" s="299" t="s">
        <v>396</v>
      </c>
      <c r="N17" s="132">
        <f t="shared" ca="1" si="2"/>
        <v>-12</v>
      </c>
      <c r="O17" s="131">
        <f t="shared" si="9"/>
        <v>45784</v>
      </c>
      <c r="P17" s="131">
        <v>45796</v>
      </c>
      <c r="Q17" s="131">
        <f t="shared" si="3"/>
        <v>45798</v>
      </c>
      <c r="R17" s="132">
        <f t="shared" ca="1" si="4"/>
        <v>-12</v>
      </c>
      <c r="S17" s="131">
        <f t="shared" si="10"/>
        <v>45796</v>
      </c>
      <c r="T17" s="133">
        <v>45826</v>
      </c>
      <c r="U17" s="132">
        <f t="shared" ca="1" si="5"/>
        <v>-30</v>
      </c>
      <c r="V17" s="303">
        <f t="shared" si="7"/>
        <v>32</v>
      </c>
      <c r="W17" s="131">
        <v>45807</v>
      </c>
      <c r="X17" s="297"/>
      <c r="Y17" s="124"/>
    </row>
    <row r="18" spans="1:25" ht="14.5" hidden="1">
      <c r="A18" s="14">
        <v>72</v>
      </c>
      <c r="B18" s="146" t="s">
        <v>89</v>
      </c>
      <c r="C18" s="134"/>
      <c r="D18" s="137" t="s">
        <v>323</v>
      </c>
      <c r="E18" s="146" t="s">
        <v>242</v>
      </c>
      <c r="F18" s="146" t="s">
        <v>322</v>
      </c>
      <c r="G18" s="240">
        <v>45828</v>
      </c>
      <c r="H18" s="17">
        <v>235.22009472000002</v>
      </c>
      <c r="I18" s="129">
        <v>235</v>
      </c>
      <c r="J18" s="241">
        <v>221</v>
      </c>
      <c r="K18" s="6">
        <f t="shared" si="8"/>
        <v>0.10688903679999839</v>
      </c>
      <c r="L18" s="6">
        <f t="shared" si="1"/>
        <v>0.22009472000002006</v>
      </c>
      <c r="M18" s="299" t="s">
        <v>396</v>
      </c>
      <c r="N18" s="132">
        <f t="shared" ca="1" si="2"/>
        <v>-12</v>
      </c>
      <c r="O18" s="131">
        <f t="shared" si="9"/>
        <v>45784</v>
      </c>
      <c r="P18" s="131">
        <v>45796</v>
      </c>
      <c r="Q18" s="131">
        <f t="shared" si="3"/>
        <v>45798</v>
      </c>
      <c r="R18" s="132">
        <f t="shared" ca="1" si="4"/>
        <v>-12</v>
      </c>
      <c r="S18" s="131">
        <f t="shared" si="10"/>
        <v>45796</v>
      </c>
      <c r="T18" s="133">
        <v>45826</v>
      </c>
      <c r="U18" s="132">
        <f t="shared" ca="1" si="5"/>
        <v>-30</v>
      </c>
      <c r="V18" s="303">
        <f t="shared" si="7"/>
        <v>32</v>
      </c>
      <c r="W18" s="131">
        <v>45807</v>
      </c>
      <c r="X18" s="297"/>
      <c r="Y18" s="124"/>
    </row>
    <row r="19" spans="1:25" ht="14.5" hidden="1">
      <c r="A19" s="14">
        <v>72</v>
      </c>
      <c r="B19" s="146" t="s">
        <v>89</v>
      </c>
      <c r="C19" s="134"/>
      <c r="D19" s="137" t="s">
        <v>335</v>
      </c>
      <c r="E19" s="146" t="s">
        <v>242</v>
      </c>
      <c r="F19" s="146" t="s">
        <v>332</v>
      </c>
      <c r="G19" s="240">
        <v>45828</v>
      </c>
      <c r="H19" s="17">
        <v>297.11776153846154</v>
      </c>
      <c r="I19" s="241">
        <v>297</v>
      </c>
      <c r="J19" s="241">
        <v>279</v>
      </c>
      <c r="K19" s="6">
        <f t="shared" si="8"/>
        <v>0.29069584615382382</v>
      </c>
      <c r="L19" s="6">
        <f t="shared" si="1"/>
        <v>0.11776153846153647</v>
      </c>
      <c r="M19" s="299" t="s">
        <v>904</v>
      </c>
      <c r="N19" s="132">
        <f t="shared" ca="1" si="2"/>
        <v>-12</v>
      </c>
      <c r="O19" s="131">
        <f t="shared" si="9"/>
        <v>45784</v>
      </c>
      <c r="P19" s="131">
        <v>45796</v>
      </c>
      <c r="Q19" s="131">
        <f t="shared" si="3"/>
        <v>45798</v>
      </c>
      <c r="R19" s="132">
        <f t="shared" ca="1" si="4"/>
        <v>-12</v>
      </c>
      <c r="S19" s="131">
        <f t="shared" si="10"/>
        <v>45796</v>
      </c>
      <c r="T19" s="133">
        <v>45815</v>
      </c>
      <c r="U19" s="132">
        <f t="shared" ca="1" si="5"/>
        <v>-19</v>
      </c>
      <c r="V19" s="303">
        <f t="shared" si="7"/>
        <v>32</v>
      </c>
      <c r="W19" s="131">
        <v>45807</v>
      </c>
      <c r="X19" s="297"/>
      <c r="Y19" s="124"/>
    </row>
    <row r="20" spans="1:25" ht="14.5" hidden="1">
      <c r="A20" s="14">
        <v>72</v>
      </c>
      <c r="B20" s="146" t="s">
        <v>89</v>
      </c>
      <c r="C20" s="134"/>
      <c r="D20" s="137" t="s">
        <v>336</v>
      </c>
      <c r="E20" s="146" t="s">
        <v>242</v>
      </c>
      <c r="F20" s="146" t="s">
        <v>334</v>
      </c>
      <c r="G20" s="240">
        <v>45828</v>
      </c>
      <c r="H20" s="17">
        <v>159.52956923076923</v>
      </c>
      <c r="I20" s="241">
        <v>160</v>
      </c>
      <c r="J20" s="241">
        <v>150</v>
      </c>
      <c r="K20" s="6">
        <f t="shared" si="8"/>
        <v>-4.2204923076923251E-2</v>
      </c>
      <c r="L20" s="6">
        <f t="shared" si="1"/>
        <v>-0.47043076923077365</v>
      </c>
      <c r="M20" s="299" t="s">
        <v>904</v>
      </c>
      <c r="N20" s="132">
        <f t="shared" ca="1" si="2"/>
        <v>-12</v>
      </c>
      <c r="O20" s="131">
        <f t="shared" si="9"/>
        <v>45784</v>
      </c>
      <c r="P20" s="131">
        <v>45796</v>
      </c>
      <c r="Q20" s="131">
        <f t="shared" si="3"/>
        <v>45798</v>
      </c>
      <c r="R20" s="132">
        <f t="shared" ca="1" si="4"/>
        <v>-12</v>
      </c>
      <c r="S20" s="131">
        <f t="shared" si="10"/>
        <v>45796</v>
      </c>
      <c r="T20" s="133">
        <v>45815</v>
      </c>
      <c r="U20" s="132">
        <f t="shared" ca="1" si="5"/>
        <v>-19</v>
      </c>
      <c r="V20" s="303">
        <f t="shared" si="7"/>
        <v>32</v>
      </c>
      <c r="W20" s="131">
        <v>45807</v>
      </c>
      <c r="X20" s="297"/>
      <c r="Y20" s="124"/>
    </row>
    <row r="21" spans="1:25" ht="14.5" hidden="1">
      <c r="A21" s="14">
        <v>72</v>
      </c>
      <c r="B21" s="146" t="s">
        <v>89</v>
      </c>
      <c r="C21" s="134"/>
      <c r="D21" s="147" t="s">
        <v>345</v>
      </c>
      <c r="E21" s="146" t="s">
        <v>242</v>
      </c>
      <c r="F21" s="146" t="s">
        <v>341</v>
      </c>
      <c r="G21" s="240">
        <v>45828</v>
      </c>
      <c r="H21" s="17">
        <v>317.88298368000011</v>
      </c>
      <c r="I21" s="241">
        <v>318</v>
      </c>
      <c r="J21" s="241">
        <v>299</v>
      </c>
      <c r="K21" s="6">
        <f t="shared" si="8"/>
        <v>-0.18999534079989644</v>
      </c>
      <c r="L21" s="6">
        <f t="shared" si="1"/>
        <v>-0.11701631999989104</v>
      </c>
      <c r="M21" s="299" t="s">
        <v>904</v>
      </c>
      <c r="N21" s="132">
        <f t="shared" ca="1" si="2"/>
        <v>-12</v>
      </c>
      <c r="O21" s="131">
        <f t="shared" si="9"/>
        <v>45784</v>
      </c>
      <c r="P21" s="131">
        <v>45789</v>
      </c>
      <c r="Q21" s="131">
        <f t="shared" si="3"/>
        <v>45791</v>
      </c>
      <c r="R21" s="132">
        <f t="shared" ca="1" si="4"/>
        <v>-5</v>
      </c>
      <c r="S21" s="131">
        <f t="shared" si="10"/>
        <v>45796</v>
      </c>
      <c r="T21" s="133">
        <v>45815</v>
      </c>
      <c r="U21" s="132">
        <f t="shared" ca="1" si="5"/>
        <v>-19</v>
      </c>
      <c r="V21" s="303">
        <f t="shared" si="7"/>
        <v>32</v>
      </c>
      <c r="W21" s="131">
        <v>45807</v>
      </c>
      <c r="X21" s="297"/>
      <c r="Y21" s="124"/>
    </row>
    <row r="22" spans="1:25" ht="14.5" hidden="1">
      <c r="A22" s="14">
        <v>72</v>
      </c>
      <c r="B22" s="146" t="s">
        <v>89</v>
      </c>
      <c r="C22" s="134"/>
      <c r="D22" s="137" t="s">
        <v>343</v>
      </c>
      <c r="E22" s="146" t="s">
        <v>242</v>
      </c>
      <c r="F22" s="146" t="s">
        <v>316</v>
      </c>
      <c r="G22" s="240">
        <v>45828</v>
      </c>
      <c r="H22" s="17">
        <v>244.29895968000005</v>
      </c>
      <c r="I22" s="129">
        <v>244</v>
      </c>
      <c r="J22" s="241">
        <v>230</v>
      </c>
      <c r="K22" s="6">
        <f t="shared" si="8"/>
        <v>-0.35897790079997094</v>
      </c>
      <c r="L22" s="6">
        <f t="shared" si="1"/>
        <v>0.29895968000005269</v>
      </c>
      <c r="M22" s="299" t="s">
        <v>904</v>
      </c>
      <c r="N22" s="132">
        <f t="shared" ca="1" si="2"/>
        <v>-12</v>
      </c>
      <c r="O22" s="131">
        <f t="shared" si="9"/>
        <v>45784</v>
      </c>
      <c r="P22" s="131">
        <v>45789</v>
      </c>
      <c r="Q22" s="131">
        <f t="shared" si="3"/>
        <v>45791</v>
      </c>
      <c r="R22" s="132">
        <f t="shared" ca="1" si="4"/>
        <v>-5</v>
      </c>
      <c r="S22" s="131">
        <f t="shared" si="10"/>
        <v>45796</v>
      </c>
      <c r="T22" s="133">
        <v>45815</v>
      </c>
      <c r="U22" s="132">
        <f t="shared" ca="1" si="5"/>
        <v>-19</v>
      </c>
      <c r="V22" s="303">
        <f t="shared" si="7"/>
        <v>32</v>
      </c>
      <c r="W22" s="131">
        <v>45807</v>
      </c>
      <c r="X22" s="297"/>
      <c r="Y22" s="124"/>
    </row>
    <row r="23" spans="1:25" ht="14.5" hidden="1">
      <c r="A23" s="14">
        <v>72</v>
      </c>
      <c r="B23" s="146" t="s">
        <v>89</v>
      </c>
      <c r="C23" s="134"/>
      <c r="D23" s="137" t="s">
        <v>342</v>
      </c>
      <c r="E23" s="146" t="s">
        <v>242</v>
      </c>
      <c r="F23" s="146" t="s">
        <v>334</v>
      </c>
      <c r="G23" s="240">
        <v>45828</v>
      </c>
      <c r="H23" s="17">
        <v>213.22468704000002</v>
      </c>
      <c r="I23" s="241">
        <v>213</v>
      </c>
      <c r="J23" s="241">
        <v>200</v>
      </c>
      <c r="K23" s="6">
        <f t="shared" si="8"/>
        <v>0.43120581760001642</v>
      </c>
      <c r="L23" s="6">
        <f t="shared" si="1"/>
        <v>0.22468704000002049</v>
      </c>
      <c r="M23" s="299" t="s">
        <v>904</v>
      </c>
      <c r="N23" s="132">
        <f t="shared" ref="N23:N62" ca="1" si="11">G23-TODAY()</f>
        <v>-12</v>
      </c>
      <c r="O23" s="131">
        <f t="shared" si="9"/>
        <v>45784</v>
      </c>
      <c r="P23" s="131">
        <v>45789</v>
      </c>
      <c r="Q23" s="131">
        <f t="shared" si="3"/>
        <v>45791</v>
      </c>
      <c r="R23" s="132">
        <f t="shared" ca="1" si="4"/>
        <v>-5</v>
      </c>
      <c r="S23" s="131">
        <f t="shared" si="10"/>
        <v>45796</v>
      </c>
      <c r="T23" s="133">
        <v>45815</v>
      </c>
      <c r="U23" s="132">
        <f t="shared" ca="1" si="5"/>
        <v>-19</v>
      </c>
      <c r="V23" s="303">
        <f t="shared" si="7"/>
        <v>32</v>
      </c>
      <c r="W23" s="131">
        <v>45807</v>
      </c>
      <c r="X23" s="297"/>
      <c r="Y23" s="124"/>
    </row>
    <row r="24" spans="1:25" ht="14.5" hidden="1">
      <c r="A24" s="14">
        <v>72</v>
      </c>
      <c r="B24" s="146" t="s">
        <v>89</v>
      </c>
      <c r="C24" s="134"/>
      <c r="D24" s="147" t="s">
        <v>344</v>
      </c>
      <c r="E24" s="146" t="s">
        <v>242</v>
      </c>
      <c r="F24" s="146" t="s">
        <v>332</v>
      </c>
      <c r="G24" s="240">
        <v>45828</v>
      </c>
      <c r="H24" s="17">
        <v>170.71493568000002</v>
      </c>
      <c r="I24" s="241">
        <v>171</v>
      </c>
      <c r="J24" s="241">
        <v>160</v>
      </c>
      <c r="K24" s="6">
        <f t="shared" si="8"/>
        <v>0.4720395392000114</v>
      </c>
      <c r="L24" s="6">
        <f t="shared" si="1"/>
        <v>-0.28506431999997517</v>
      </c>
      <c r="M24" s="299" t="s">
        <v>904</v>
      </c>
      <c r="N24" s="132">
        <f t="shared" ca="1" si="11"/>
        <v>-12</v>
      </c>
      <c r="O24" s="131">
        <f t="shared" si="9"/>
        <v>45784</v>
      </c>
      <c r="P24" s="131">
        <v>45789</v>
      </c>
      <c r="Q24" s="131">
        <f t="shared" si="3"/>
        <v>45791</v>
      </c>
      <c r="R24" s="132">
        <f t="shared" ca="1" si="4"/>
        <v>-5</v>
      </c>
      <c r="S24" s="131">
        <f t="shared" si="10"/>
        <v>45796</v>
      </c>
      <c r="T24" s="133">
        <v>45815</v>
      </c>
      <c r="U24" s="132">
        <f t="shared" ca="1" si="5"/>
        <v>-19</v>
      </c>
      <c r="V24" s="303">
        <f t="shared" si="7"/>
        <v>32</v>
      </c>
      <c r="W24" s="131">
        <v>45807</v>
      </c>
      <c r="X24" s="297"/>
      <c r="Y24" s="124"/>
    </row>
    <row r="25" spans="1:25" ht="14.5" hidden="1">
      <c r="A25" s="14">
        <v>72</v>
      </c>
      <c r="B25" s="146" t="s">
        <v>89</v>
      </c>
      <c r="C25" s="134"/>
      <c r="D25" s="137" t="s">
        <v>321</v>
      </c>
      <c r="E25" s="146" t="s">
        <v>242</v>
      </c>
      <c r="F25" s="146" t="s">
        <v>322</v>
      </c>
      <c r="G25" s="240">
        <v>45828</v>
      </c>
      <c r="H25" s="17">
        <v>194.48707200000004</v>
      </c>
      <c r="I25" s="241">
        <v>194</v>
      </c>
      <c r="J25" s="241">
        <v>183</v>
      </c>
      <c r="K25" s="6">
        <f t="shared" si="8"/>
        <v>-0.18215231999997172</v>
      </c>
      <c r="L25" s="6">
        <f t="shared" si="1"/>
        <v>0.48707200000004036</v>
      </c>
      <c r="M25" s="299" t="s">
        <v>396</v>
      </c>
      <c r="N25" s="132">
        <f t="shared" ca="1" si="11"/>
        <v>-12</v>
      </c>
      <c r="O25" s="131">
        <f t="shared" si="9"/>
        <v>45784</v>
      </c>
      <c r="P25" s="131">
        <v>45796</v>
      </c>
      <c r="Q25" s="131">
        <f t="shared" si="3"/>
        <v>45798</v>
      </c>
      <c r="R25" s="132">
        <f t="shared" ca="1" si="4"/>
        <v>-12</v>
      </c>
      <c r="S25" s="131">
        <f t="shared" si="10"/>
        <v>45796</v>
      </c>
      <c r="T25" s="133">
        <v>45826</v>
      </c>
      <c r="U25" s="132">
        <f t="shared" ca="1" si="5"/>
        <v>-30</v>
      </c>
      <c r="V25" s="303">
        <f t="shared" si="7"/>
        <v>32</v>
      </c>
      <c r="W25" s="131">
        <v>45807</v>
      </c>
      <c r="X25" s="297"/>
      <c r="Y25" s="124"/>
    </row>
    <row r="26" spans="1:25" ht="14.5" hidden="1">
      <c r="A26" s="14">
        <v>72</v>
      </c>
      <c r="B26" s="146" t="s">
        <v>89</v>
      </c>
      <c r="C26" s="134"/>
      <c r="D26" s="147" t="s">
        <v>331</v>
      </c>
      <c r="E26" s="146" t="s">
        <v>242</v>
      </c>
      <c r="F26" s="146" t="s">
        <v>332</v>
      </c>
      <c r="G26" s="240">
        <v>45828</v>
      </c>
      <c r="H26" s="17">
        <v>343.66742307692306</v>
      </c>
      <c r="I26" s="241">
        <v>344</v>
      </c>
      <c r="J26" s="241">
        <v>323</v>
      </c>
      <c r="K26" s="6">
        <f t="shared" si="8"/>
        <v>4.7377692307634334E-2</v>
      </c>
      <c r="L26" s="6">
        <f t="shared" si="1"/>
        <v>-0.33257692307694242</v>
      </c>
      <c r="M26" s="299" t="s">
        <v>904</v>
      </c>
      <c r="N26" s="132">
        <f t="shared" ca="1" si="11"/>
        <v>-12</v>
      </c>
      <c r="O26" s="131">
        <f t="shared" si="9"/>
        <v>45784</v>
      </c>
      <c r="P26" s="131">
        <v>45796</v>
      </c>
      <c r="Q26" s="131">
        <f t="shared" si="3"/>
        <v>45798</v>
      </c>
      <c r="R26" s="132">
        <f t="shared" ca="1" si="4"/>
        <v>-12</v>
      </c>
      <c r="S26" s="131">
        <f t="shared" si="10"/>
        <v>45796</v>
      </c>
      <c r="T26" s="133">
        <v>45815</v>
      </c>
      <c r="U26" s="132">
        <f t="shared" ca="1" si="5"/>
        <v>-19</v>
      </c>
      <c r="V26" s="303">
        <f t="shared" si="7"/>
        <v>32</v>
      </c>
      <c r="W26" s="131">
        <v>45807</v>
      </c>
      <c r="X26" s="297"/>
      <c r="Y26" s="124"/>
    </row>
    <row r="27" spans="1:25" ht="14.5" hidden="1">
      <c r="A27" s="14">
        <v>72</v>
      </c>
      <c r="B27" s="146" t="s">
        <v>89</v>
      </c>
      <c r="C27" s="134"/>
      <c r="D27" s="137" t="s">
        <v>333</v>
      </c>
      <c r="E27" s="146" t="s">
        <v>242</v>
      </c>
      <c r="F27" s="146" t="s">
        <v>334</v>
      </c>
      <c r="G27" s="240">
        <v>45828</v>
      </c>
      <c r="H27" s="17">
        <v>315.59215846153842</v>
      </c>
      <c r="I27" s="241">
        <v>316</v>
      </c>
      <c r="J27" s="241">
        <v>297</v>
      </c>
      <c r="K27" s="6">
        <f t="shared" si="8"/>
        <v>-0.3433710461538908</v>
      </c>
      <c r="L27" s="6">
        <f t="shared" si="1"/>
        <v>-0.40784153846158233</v>
      </c>
      <c r="M27" s="299" t="s">
        <v>904</v>
      </c>
      <c r="N27" s="132">
        <f t="shared" ca="1" si="11"/>
        <v>-12</v>
      </c>
      <c r="O27" s="131">
        <f t="shared" si="9"/>
        <v>45784</v>
      </c>
      <c r="P27" s="131">
        <v>45796</v>
      </c>
      <c r="Q27" s="131">
        <f t="shared" si="3"/>
        <v>45798</v>
      </c>
      <c r="R27" s="132">
        <f t="shared" ca="1" si="4"/>
        <v>-12</v>
      </c>
      <c r="S27" s="131">
        <f t="shared" si="10"/>
        <v>45796</v>
      </c>
      <c r="T27" s="133">
        <v>45815</v>
      </c>
      <c r="U27" s="132">
        <f t="shared" ca="1" si="5"/>
        <v>-19</v>
      </c>
      <c r="V27" s="303">
        <f t="shared" si="7"/>
        <v>32</v>
      </c>
      <c r="W27" s="131">
        <v>45807</v>
      </c>
      <c r="X27" s="297"/>
      <c r="Y27" s="124"/>
    </row>
    <row r="28" spans="1:25" ht="14.5" hidden="1">
      <c r="A28" s="14">
        <v>72</v>
      </c>
      <c r="B28" s="146" t="s">
        <v>89</v>
      </c>
      <c r="C28" s="134"/>
      <c r="D28" s="137" t="s">
        <v>340</v>
      </c>
      <c r="E28" s="146" t="s">
        <v>242</v>
      </c>
      <c r="F28" s="146" t="s">
        <v>341</v>
      </c>
      <c r="G28" s="240">
        <v>45828</v>
      </c>
      <c r="H28" s="17">
        <v>445.65947712000008</v>
      </c>
      <c r="I28" s="241">
        <v>446</v>
      </c>
      <c r="J28" s="241">
        <v>419</v>
      </c>
      <c r="K28" s="6">
        <f t="shared" si="8"/>
        <v>-8.0091507199938405E-2</v>
      </c>
      <c r="L28" s="6">
        <f t="shared" si="1"/>
        <v>-0.34052287999992359</v>
      </c>
      <c r="M28" s="299" t="s">
        <v>904</v>
      </c>
      <c r="N28" s="132">
        <f t="shared" ca="1" si="11"/>
        <v>-12</v>
      </c>
      <c r="O28" s="131">
        <f t="shared" si="9"/>
        <v>45784</v>
      </c>
      <c r="P28" s="131">
        <v>45789</v>
      </c>
      <c r="Q28" s="131">
        <f t="shared" si="3"/>
        <v>45791</v>
      </c>
      <c r="R28" s="132">
        <f t="shared" ca="1" si="4"/>
        <v>-5</v>
      </c>
      <c r="S28" s="131">
        <f t="shared" si="10"/>
        <v>45796</v>
      </c>
      <c r="T28" s="133">
        <v>45815</v>
      </c>
      <c r="U28" s="132">
        <f t="shared" ca="1" si="5"/>
        <v>-19</v>
      </c>
      <c r="V28" s="303">
        <f t="shared" si="7"/>
        <v>32</v>
      </c>
      <c r="W28" s="131">
        <v>45807</v>
      </c>
      <c r="X28" s="297"/>
      <c r="Y28" s="124"/>
    </row>
    <row r="29" spans="1:25" ht="14.5" hidden="1">
      <c r="A29" s="14">
        <v>72</v>
      </c>
      <c r="B29" s="146" t="s">
        <v>89</v>
      </c>
      <c r="C29" s="134"/>
      <c r="D29" s="147" t="s">
        <v>338</v>
      </c>
      <c r="E29" s="146" t="s">
        <v>242</v>
      </c>
      <c r="F29" s="146" t="s">
        <v>316</v>
      </c>
      <c r="G29" s="240">
        <v>45828</v>
      </c>
      <c r="H29" s="17">
        <v>558.19974912000009</v>
      </c>
      <c r="I29" s="241">
        <v>558</v>
      </c>
      <c r="J29" s="241">
        <v>525</v>
      </c>
      <c r="K29" s="6">
        <f t="shared" si="8"/>
        <v>-0.29223582719998831</v>
      </c>
      <c r="L29" s="6">
        <f t="shared" si="1"/>
        <v>0.19974912000009226</v>
      </c>
      <c r="M29" s="299" t="s">
        <v>904</v>
      </c>
      <c r="N29" s="132">
        <f t="shared" ca="1" si="11"/>
        <v>-12</v>
      </c>
      <c r="O29" s="131">
        <f t="shared" si="9"/>
        <v>45784</v>
      </c>
      <c r="P29" s="131">
        <v>45789</v>
      </c>
      <c r="Q29" s="131">
        <f t="shared" si="3"/>
        <v>45791</v>
      </c>
      <c r="R29" s="132">
        <f t="shared" ca="1" si="4"/>
        <v>-5</v>
      </c>
      <c r="S29" s="131">
        <f t="shared" si="10"/>
        <v>45796</v>
      </c>
      <c r="T29" s="133">
        <v>45815</v>
      </c>
      <c r="U29" s="132">
        <f t="shared" ca="1" si="5"/>
        <v>-19</v>
      </c>
      <c r="V29" s="303">
        <f t="shared" si="7"/>
        <v>32</v>
      </c>
      <c r="W29" s="131">
        <v>45807</v>
      </c>
      <c r="X29" s="297"/>
      <c r="Y29" s="124"/>
    </row>
    <row r="30" spans="1:25" ht="14.5" hidden="1">
      <c r="A30" s="14">
        <v>72</v>
      </c>
      <c r="B30" s="146" t="s">
        <v>89</v>
      </c>
      <c r="C30" s="134"/>
      <c r="D30" s="147" t="s">
        <v>337</v>
      </c>
      <c r="E30" s="146" t="s">
        <v>242</v>
      </c>
      <c r="F30" s="146" t="s">
        <v>334</v>
      </c>
      <c r="G30" s="240">
        <v>45828</v>
      </c>
      <c r="H30" s="17">
        <v>315.11276160000006</v>
      </c>
      <c r="I30" s="241">
        <v>315</v>
      </c>
      <c r="J30" s="241">
        <v>296</v>
      </c>
      <c r="K30" s="6">
        <f t="shared" si="8"/>
        <v>0.20599590400001944</v>
      </c>
      <c r="L30" s="6">
        <f t="shared" si="1"/>
        <v>0.11276160000005575</v>
      </c>
      <c r="M30" s="299" t="s">
        <v>904</v>
      </c>
      <c r="N30" s="132">
        <f t="shared" ca="1" si="11"/>
        <v>-12</v>
      </c>
      <c r="O30" s="131">
        <f t="shared" si="9"/>
        <v>45784</v>
      </c>
      <c r="P30" s="131">
        <v>45789</v>
      </c>
      <c r="Q30" s="131">
        <f t="shared" si="3"/>
        <v>45791</v>
      </c>
      <c r="R30" s="132">
        <f t="shared" ca="1" si="4"/>
        <v>-5</v>
      </c>
      <c r="S30" s="131">
        <f t="shared" si="10"/>
        <v>45796</v>
      </c>
      <c r="T30" s="133">
        <v>45815</v>
      </c>
      <c r="U30" s="132">
        <f t="shared" ca="1" si="5"/>
        <v>-19</v>
      </c>
      <c r="V30" s="303">
        <f t="shared" si="7"/>
        <v>32</v>
      </c>
      <c r="W30" s="131">
        <v>45807</v>
      </c>
      <c r="X30" s="297"/>
      <c r="Y30" s="124"/>
    </row>
    <row r="31" spans="1:25" ht="14.5" hidden="1">
      <c r="A31" s="14">
        <v>72</v>
      </c>
      <c r="B31" s="146" t="s">
        <v>89</v>
      </c>
      <c r="C31" s="134"/>
      <c r="D31" s="147" t="s">
        <v>339</v>
      </c>
      <c r="E31" s="146" t="s">
        <v>242</v>
      </c>
      <c r="F31" s="146" t="s">
        <v>332</v>
      </c>
      <c r="G31" s="240">
        <v>45828</v>
      </c>
      <c r="H31" s="17">
        <v>400.64336832000004</v>
      </c>
      <c r="I31" s="241">
        <v>401</v>
      </c>
      <c r="J31" s="241">
        <v>377</v>
      </c>
      <c r="K31" s="6">
        <f t="shared" si="8"/>
        <v>-0.39523377919999803</v>
      </c>
      <c r="L31" s="6">
        <f t="shared" si="1"/>
        <v>-0.35663167999996404</v>
      </c>
      <c r="M31" s="299" t="s">
        <v>904</v>
      </c>
      <c r="N31" s="132">
        <f t="shared" ca="1" si="11"/>
        <v>-12</v>
      </c>
      <c r="O31" s="131">
        <f t="shared" si="9"/>
        <v>45784</v>
      </c>
      <c r="P31" s="131">
        <v>45789</v>
      </c>
      <c r="Q31" s="131">
        <f t="shared" si="3"/>
        <v>45791</v>
      </c>
      <c r="R31" s="132">
        <f t="shared" ca="1" si="4"/>
        <v>-5</v>
      </c>
      <c r="S31" s="131">
        <f t="shared" si="10"/>
        <v>45796</v>
      </c>
      <c r="T31" s="133">
        <v>45815</v>
      </c>
      <c r="U31" s="132">
        <f t="shared" ca="1" si="5"/>
        <v>-19</v>
      </c>
      <c r="V31" s="303">
        <f t="shared" si="7"/>
        <v>32</v>
      </c>
      <c r="W31" s="131">
        <v>45807</v>
      </c>
      <c r="X31" s="297"/>
      <c r="Y31" s="124"/>
    </row>
    <row r="32" spans="1:25" ht="14.5" hidden="1">
      <c r="A32" s="14">
        <v>72</v>
      </c>
      <c r="B32" s="146" t="s">
        <v>89</v>
      </c>
      <c r="C32" s="134"/>
      <c r="D32" s="137" t="s">
        <v>324</v>
      </c>
      <c r="E32" s="146" t="s">
        <v>242</v>
      </c>
      <c r="F32" s="146" t="s">
        <v>322</v>
      </c>
      <c r="G32" s="240">
        <v>45828</v>
      </c>
      <c r="H32" s="17">
        <v>259.60746240000009</v>
      </c>
      <c r="I32" s="241">
        <v>260</v>
      </c>
      <c r="J32" s="241">
        <v>244</v>
      </c>
      <c r="K32" s="6">
        <f t="shared" si="8"/>
        <v>3.1014656000081686E-2</v>
      </c>
      <c r="L32" s="6">
        <f t="shared" si="1"/>
        <v>-0.39253759999991189</v>
      </c>
      <c r="M32" s="299" t="s">
        <v>396</v>
      </c>
      <c r="N32" s="132">
        <f t="shared" ca="1" si="11"/>
        <v>-12</v>
      </c>
      <c r="O32" s="131">
        <f t="shared" si="9"/>
        <v>45784</v>
      </c>
      <c r="P32" s="131">
        <v>45796</v>
      </c>
      <c r="Q32" s="131">
        <f t="shared" si="3"/>
        <v>45798</v>
      </c>
      <c r="R32" s="132">
        <f t="shared" ca="1" si="4"/>
        <v>-12</v>
      </c>
      <c r="S32" s="131">
        <f t="shared" si="10"/>
        <v>45796</v>
      </c>
      <c r="T32" s="133">
        <v>45826</v>
      </c>
      <c r="U32" s="132">
        <f t="shared" ca="1" si="5"/>
        <v>-30</v>
      </c>
      <c r="V32" s="303">
        <f t="shared" si="7"/>
        <v>32</v>
      </c>
      <c r="W32" s="131">
        <v>45807</v>
      </c>
      <c r="X32" s="297"/>
      <c r="Y32" s="124"/>
    </row>
    <row r="33" spans="1:25" ht="14.5" hidden="1">
      <c r="A33" s="14">
        <v>72</v>
      </c>
      <c r="B33" s="146" t="s">
        <v>89</v>
      </c>
      <c r="C33" s="134"/>
      <c r="D33" s="147" t="s">
        <v>320</v>
      </c>
      <c r="E33" s="146" t="s">
        <v>242</v>
      </c>
      <c r="F33" s="146" t="s">
        <v>316</v>
      </c>
      <c r="G33" s="240">
        <v>45828</v>
      </c>
      <c r="H33" s="17">
        <v>317.29514891170913</v>
      </c>
      <c r="I33" s="241">
        <v>317</v>
      </c>
      <c r="J33" s="241">
        <v>298</v>
      </c>
      <c r="K33" s="6">
        <f t="shared" si="8"/>
        <v>0.25743997700658383</v>
      </c>
      <c r="L33" s="6">
        <f t="shared" si="1"/>
        <v>0.29514891170913415</v>
      </c>
      <c r="M33" s="299" t="s">
        <v>904</v>
      </c>
      <c r="N33" s="132">
        <f t="shared" ca="1" si="11"/>
        <v>-12</v>
      </c>
      <c r="O33" s="131">
        <f t="shared" si="9"/>
        <v>45784</v>
      </c>
      <c r="P33" s="131">
        <v>45796</v>
      </c>
      <c r="Q33" s="131">
        <f t="shared" si="3"/>
        <v>45798</v>
      </c>
      <c r="R33" s="132">
        <f t="shared" ca="1" si="4"/>
        <v>-12</v>
      </c>
      <c r="S33" s="131">
        <f t="shared" si="10"/>
        <v>45796</v>
      </c>
      <c r="T33" s="133">
        <v>45815</v>
      </c>
      <c r="U33" s="132">
        <f t="shared" ca="1" si="5"/>
        <v>-19</v>
      </c>
      <c r="V33" s="303">
        <f t="shared" si="7"/>
        <v>32</v>
      </c>
      <c r="W33" s="131">
        <v>45807</v>
      </c>
      <c r="X33" s="297"/>
      <c r="Y33" s="124"/>
    </row>
    <row r="34" spans="1:25" ht="14.5" hidden="1">
      <c r="A34" s="14">
        <v>72</v>
      </c>
      <c r="B34" s="146" t="s">
        <v>89</v>
      </c>
      <c r="C34" s="134"/>
      <c r="D34" s="147" t="s">
        <v>319</v>
      </c>
      <c r="E34" s="146" t="s">
        <v>242</v>
      </c>
      <c r="F34" s="146" t="s">
        <v>314</v>
      </c>
      <c r="G34" s="240">
        <v>45828</v>
      </c>
      <c r="H34" s="17">
        <v>258.84604253323636</v>
      </c>
      <c r="I34" s="241">
        <v>259</v>
      </c>
      <c r="J34" s="241">
        <v>243</v>
      </c>
      <c r="K34" s="6">
        <f t="shared" si="8"/>
        <v>0.31527998124215628</v>
      </c>
      <c r="L34" s="6">
        <f t="shared" si="1"/>
        <v>-0.15395746676364297</v>
      </c>
      <c r="M34" s="299" t="s">
        <v>904</v>
      </c>
      <c r="N34" s="132">
        <f t="shared" ca="1" si="11"/>
        <v>-12</v>
      </c>
      <c r="O34" s="131">
        <f t="shared" si="9"/>
        <v>45784</v>
      </c>
      <c r="P34" s="131">
        <v>45796</v>
      </c>
      <c r="Q34" s="131">
        <f t="shared" si="3"/>
        <v>45798</v>
      </c>
      <c r="R34" s="132">
        <f t="shared" ca="1" si="4"/>
        <v>-12</v>
      </c>
      <c r="S34" s="131">
        <f t="shared" si="10"/>
        <v>45796</v>
      </c>
      <c r="T34" s="133">
        <v>45815</v>
      </c>
      <c r="U34" s="132">
        <f t="shared" ca="1" si="5"/>
        <v>-19</v>
      </c>
      <c r="V34" s="303">
        <f t="shared" si="7"/>
        <v>32</v>
      </c>
      <c r="W34" s="131">
        <v>45807</v>
      </c>
      <c r="X34" s="297"/>
      <c r="Y34" s="124"/>
    </row>
    <row r="35" spans="1:25" ht="14.5" hidden="1">
      <c r="A35" s="14">
        <v>72</v>
      </c>
      <c r="B35" s="146" t="s">
        <v>89</v>
      </c>
      <c r="C35" s="134"/>
      <c r="D35" s="147" t="s">
        <v>364</v>
      </c>
      <c r="E35" s="146" t="s">
        <v>311</v>
      </c>
      <c r="F35" s="146" t="s">
        <v>154</v>
      </c>
      <c r="G35" s="240">
        <v>45828</v>
      </c>
      <c r="H35" s="17">
        <v>673.52705279999998</v>
      </c>
      <c r="I35" s="241">
        <v>674</v>
      </c>
      <c r="J35" s="241">
        <v>633</v>
      </c>
      <c r="K35" s="6">
        <f t="shared" si="8"/>
        <v>0.11542963199997303</v>
      </c>
      <c r="L35" s="6">
        <f t="shared" si="1"/>
        <v>-0.47294720000002144</v>
      </c>
      <c r="M35" s="300" t="s">
        <v>396</v>
      </c>
      <c r="N35" s="132">
        <f t="shared" ca="1" si="11"/>
        <v>-12</v>
      </c>
      <c r="O35" s="131">
        <f t="shared" si="9"/>
        <v>45784</v>
      </c>
      <c r="P35" s="131">
        <v>45796</v>
      </c>
      <c r="Q35" s="131">
        <f t="shared" si="3"/>
        <v>45798</v>
      </c>
      <c r="R35" s="132">
        <f t="shared" ca="1" si="4"/>
        <v>-12</v>
      </c>
      <c r="S35" s="131">
        <f t="shared" si="10"/>
        <v>45796</v>
      </c>
      <c r="T35" s="133">
        <v>45826</v>
      </c>
      <c r="U35" s="132">
        <f t="shared" ca="1" si="5"/>
        <v>-30</v>
      </c>
      <c r="V35" s="303">
        <f t="shared" si="7"/>
        <v>32</v>
      </c>
      <c r="W35" s="131">
        <v>45807</v>
      </c>
      <c r="X35" s="297"/>
      <c r="Y35" s="124"/>
    </row>
    <row r="36" spans="1:25" ht="14.5" hidden="1">
      <c r="A36" s="14">
        <v>72</v>
      </c>
      <c r="B36" s="146" t="s">
        <v>89</v>
      </c>
      <c r="C36" s="134"/>
      <c r="D36" s="137" t="s">
        <v>362</v>
      </c>
      <c r="E36" s="146" t="s">
        <v>311</v>
      </c>
      <c r="F36" s="146" t="s">
        <v>348</v>
      </c>
      <c r="G36" s="240">
        <v>45828</v>
      </c>
      <c r="H36" s="17">
        <v>523.85437439999998</v>
      </c>
      <c r="I36" s="241">
        <v>524</v>
      </c>
      <c r="J36" s="241">
        <v>492</v>
      </c>
      <c r="K36" s="6">
        <f t="shared" si="8"/>
        <v>0.42311193599994112</v>
      </c>
      <c r="L36" s="6">
        <f t="shared" si="1"/>
        <v>-0.14562560000001668</v>
      </c>
      <c r="M36" s="299" t="s">
        <v>396</v>
      </c>
      <c r="N36" s="132">
        <f t="shared" ca="1" si="11"/>
        <v>-12</v>
      </c>
      <c r="O36" s="131">
        <f t="shared" si="9"/>
        <v>45784</v>
      </c>
      <c r="P36" s="131">
        <v>45796</v>
      </c>
      <c r="Q36" s="131">
        <f t="shared" si="3"/>
        <v>45798</v>
      </c>
      <c r="R36" s="132">
        <f t="shared" ca="1" si="4"/>
        <v>-12</v>
      </c>
      <c r="S36" s="131">
        <f t="shared" si="10"/>
        <v>45796</v>
      </c>
      <c r="T36" s="133">
        <v>45826</v>
      </c>
      <c r="U36" s="132">
        <f t="shared" ca="1" si="5"/>
        <v>-30</v>
      </c>
      <c r="V36" s="303">
        <f t="shared" si="7"/>
        <v>32</v>
      </c>
      <c r="W36" s="131">
        <v>45807</v>
      </c>
      <c r="X36" s="297"/>
      <c r="Y36" s="124"/>
    </row>
    <row r="37" spans="1:25" ht="14.5" hidden="1">
      <c r="A37" s="14">
        <v>72</v>
      </c>
      <c r="B37" s="146" t="s">
        <v>89</v>
      </c>
      <c r="C37" s="134"/>
      <c r="D37" s="147" t="s">
        <v>359</v>
      </c>
      <c r="E37" s="146" t="s">
        <v>300</v>
      </c>
      <c r="F37" s="146" t="s">
        <v>154</v>
      </c>
      <c r="G37" s="240">
        <v>45828</v>
      </c>
      <c r="H37" s="17">
        <v>1267.4438399999999</v>
      </c>
      <c r="I37" s="241">
        <v>1267</v>
      </c>
      <c r="J37" s="241">
        <v>1191</v>
      </c>
      <c r="K37" s="6">
        <f t="shared" si="8"/>
        <v>0.39720959999976913</v>
      </c>
      <c r="L37" s="6">
        <f t="shared" si="1"/>
        <v>0.4438399999999092</v>
      </c>
      <c r="M37" s="299" t="s">
        <v>396</v>
      </c>
      <c r="N37" s="132">
        <f t="shared" ca="1" si="11"/>
        <v>-12</v>
      </c>
      <c r="O37" s="131">
        <f t="shared" si="9"/>
        <v>45784</v>
      </c>
      <c r="P37" s="131">
        <v>45796</v>
      </c>
      <c r="Q37" s="131">
        <f t="shared" si="3"/>
        <v>45798</v>
      </c>
      <c r="R37" s="132">
        <f t="shared" ca="1" si="4"/>
        <v>-12</v>
      </c>
      <c r="S37" s="131">
        <f t="shared" si="10"/>
        <v>45796</v>
      </c>
      <c r="T37" s="133">
        <v>45826</v>
      </c>
      <c r="U37" s="132">
        <f t="shared" ca="1" si="5"/>
        <v>-30</v>
      </c>
      <c r="V37" s="303">
        <f t="shared" si="7"/>
        <v>32</v>
      </c>
      <c r="W37" s="131">
        <v>45807</v>
      </c>
      <c r="X37" s="297"/>
      <c r="Y37" s="124"/>
    </row>
    <row r="38" spans="1:25" ht="14.5" hidden="1">
      <c r="A38" s="14">
        <v>72</v>
      </c>
      <c r="B38" s="146" t="s">
        <v>89</v>
      </c>
      <c r="C38" s="134"/>
      <c r="D38" s="137" t="s">
        <v>358</v>
      </c>
      <c r="E38" s="146" t="s">
        <v>300</v>
      </c>
      <c r="F38" s="146" t="s">
        <v>348</v>
      </c>
      <c r="G38" s="240">
        <v>45828</v>
      </c>
      <c r="H38" s="17">
        <v>568.16448000000003</v>
      </c>
      <c r="I38" s="129">
        <v>568</v>
      </c>
      <c r="J38" s="241">
        <v>534</v>
      </c>
      <c r="K38" s="6">
        <f t="shared" si="8"/>
        <v>7.4611200000049394E-2</v>
      </c>
      <c r="L38" s="6">
        <f t="shared" si="1"/>
        <v>0.16448000000002594</v>
      </c>
      <c r="M38" s="299" t="s">
        <v>396</v>
      </c>
      <c r="N38" s="132">
        <f t="shared" ca="1" si="11"/>
        <v>-12</v>
      </c>
      <c r="O38" s="131">
        <f t="shared" si="9"/>
        <v>45784</v>
      </c>
      <c r="P38" s="131">
        <v>45796</v>
      </c>
      <c r="Q38" s="131">
        <f t="shared" si="3"/>
        <v>45798</v>
      </c>
      <c r="R38" s="132">
        <f t="shared" ca="1" si="4"/>
        <v>-12</v>
      </c>
      <c r="S38" s="131">
        <f t="shared" si="10"/>
        <v>45796</v>
      </c>
      <c r="T38" s="133">
        <v>45826</v>
      </c>
      <c r="U38" s="132">
        <f t="shared" ca="1" si="5"/>
        <v>-30</v>
      </c>
      <c r="V38" s="303">
        <f t="shared" si="7"/>
        <v>32</v>
      </c>
      <c r="W38" s="131">
        <v>45807</v>
      </c>
      <c r="X38" s="297"/>
      <c r="Y38" s="124"/>
    </row>
    <row r="39" spans="1:25" ht="14.5" hidden="1">
      <c r="A39" s="14">
        <v>72</v>
      </c>
      <c r="B39" s="146" t="s">
        <v>89</v>
      </c>
      <c r="C39" s="134"/>
      <c r="D39" s="137" t="s">
        <v>357</v>
      </c>
      <c r="E39" s="146" t="s">
        <v>300</v>
      </c>
      <c r="F39" s="146" t="s">
        <v>154</v>
      </c>
      <c r="G39" s="240">
        <v>45828</v>
      </c>
      <c r="H39" s="17">
        <v>1368.8393472</v>
      </c>
      <c r="I39" s="241">
        <v>1369</v>
      </c>
      <c r="J39" s="241">
        <v>1287</v>
      </c>
      <c r="K39" s="6">
        <f t="shared" si="8"/>
        <v>-0.2910136320001584</v>
      </c>
      <c r="L39" s="6">
        <f t="shared" si="1"/>
        <v>-0.16065279999997983</v>
      </c>
      <c r="M39" s="299" t="s">
        <v>396</v>
      </c>
      <c r="N39" s="132">
        <f t="shared" ca="1" si="11"/>
        <v>-12</v>
      </c>
      <c r="O39" s="131">
        <f t="shared" si="9"/>
        <v>45784</v>
      </c>
      <c r="P39" s="131">
        <v>45796</v>
      </c>
      <c r="Q39" s="131">
        <f t="shared" si="3"/>
        <v>45798</v>
      </c>
      <c r="R39" s="132">
        <f t="shared" ca="1" si="4"/>
        <v>-12</v>
      </c>
      <c r="S39" s="131">
        <f t="shared" si="10"/>
        <v>45796</v>
      </c>
      <c r="T39" s="133">
        <v>45826</v>
      </c>
      <c r="U39" s="132">
        <f t="shared" ca="1" si="5"/>
        <v>-30</v>
      </c>
      <c r="V39" s="303">
        <f t="shared" si="7"/>
        <v>32</v>
      </c>
      <c r="W39" s="131">
        <v>45807</v>
      </c>
      <c r="X39" s="297"/>
      <c r="Y39" s="124"/>
    </row>
    <row r="40" spans="1:25" ht="14.5" hidden="1">
      <c r="A40" s="14">
        <v>72</v>
      </c>
      <c r="B40" s="146" t="s">
        <v>89</v>
      </c>
      <c r="C40" s="134"/>
      <c r="D40" s="137" t="s">
        <v>356</v>
      </c>
      <c r="E40" s="146" t="s">
        <v>300</v>
      </c>
      <c r="F40" s="146" t="s">
        <v>348</v>
      </c>
      <c r="G40" s="240">
        <v>45828</v>
      </c>
      <c r="H40" s="17">
        <v>741.4546464</v>
      </c>
      <c r="I40" s="241">
        <v>741</v>
      </c>
      <c r="J40" s="241">
        <v>697</v>
      </c>
      <c r="K40" s="6">
        <f t="shared" si="8"/>
        <v>-3.263238400006685E-2</v>
      </c>
      <c r="L40" s="6">
        <f t="shared" ref="L40:L79" si="12">+H40-I40</f>
        <v>0.45464640000000145</v>
      </c>
      <c r="M40" s="299" t="s">
        <v>396</v>
      </c>
      <c r="N40" s="132">
        <f t="shared" ca="1" si="11"/>
        <v>-12</v>
      </c>
      <c r="O40" s="131">
        <f t="shared" si="9"/>
        <v>45784</v>
      </c>
      <c r="P40" s="131">
        <v>45796</v>
      </c>
      <c r="Q40" s="131">
        <f t="shared" ref="Q40:Q79" si="13">P40+2</f>
        <v>45798</v>
      </c>
      <c r="R40" s="132">
        <f t="shared" ref="R40:R79" ca="1" si="14">+IF(P40="",O40-TODAY(),O40-P40)</f>
        <v>-12</v>
      </c>
      <c r="S40" s="131">
        <f t="shared" si="10"/>
        <v>45796</v>
      </c>
      <c r="T40" s="133">
        <v>45826</v>
      </c>
      <c r="U40" s="132">
        <f t="shared" ref="U40:U79" ca="1" si="15">+IF(T40="",S40-TODAY(),S40-T40)</f>
        <v>-30</v>
      </c>
      <c r="V40" s="303">
        <f t="shared" si="7"/>
        <v>32</v>
      </c>
      <c r="W40" s="131">
        <v>45807</v>
      </c>
      <c r="X40" s="297"/>
      <c r="Y40" s="124"/>
    </row>
    <row r="41" spans="1:25" ht="14.5" hidden="1">
      <c r="A41" s="14">
        <v>72</v>
      </c>
      <c r="B41" s="290" t="s">
        <v>89</v>
      </c>
      <c r="C41" s="134"/>
      <c r="D41" s="137" t="s">
        <v>355</v>
      </c>
      <c r="E41" s="146" t="s">
        <v>300</v>
      </c>
      <c r="F41" s="146" t="s">
        <v>154</v>
      </c>
      <c r="G41" s="240">
        <v>45828</v>
      </c>
      <c r="H41" s="17">
        <v>1811.1335424000001</v>
      </c>
      <c r="I41" s="241">
        <v>1811</v>
      </c>
      <c r="J41" s="241">
        <v>1702</v>
      </c>
      <c r="K41" s="6">
        <f t="shared" si="8"/>
        <v>0.46552985600010288</v>
      </c>
      <c r="L41" s="6">
        <f t="shared" si="12"/>
        <v>0.13354240000012396</v>
      </c>
      <c r="M41" s="299" t="s">
        <v>396</v>
      </c>
      <c r="N41" s="132">
        <f t="shared" ca="1" si="11"/>
        <v>-12</v>
      </c>
      <c r="O41" s="131">
        <f t="shared" si="9"/>
        <v>45784</v>
      </c>
      <c r="P41" s="131">
        <v>45796</v>
      </c>
      <c r="Q41" s="131">
        <f t="shared" si="13"/>
        <v>45798</v>
      </c>
      <c r="R41" s="132">
        <f t="shared" ca="1" si="14"/>
        <v>-12</v>
      </c>
      <c r="S41" s="131">
        <f t="shared" si="10"/>
        <v>45796</v>
      </c>
      <c r="T41" s="133">
        <v>45826</v>
      </c>
      <c r="U41" s="132">
        <f t="shared" ca="1" si="15"/>
        <v>-30</v>
      </c>
      <c r="V41" s="303">
        <f t="shared" si="7"/>
        <v>32</v>
      </c>
      <c r="W41" s="131">
        <v>45807</v>
      </c>
      <c r="X41" s="297"/>
      <c r="Y41" s="124"/>
    </row>
    <row r="42" spans="1:25" ht="14.5" hidden="1">
      <c r="A42" s="14">
        <v>72</v>
      </c>
      <c r="B42" s="290" t="s">
        <v>89</v>
      </c>
      <c r="C42" s="134"/>
      <c r="D42" s="137" t="s">
        <v>354</v>
      </c>
      <c r="E42" s="146" t="s">
        <v>300</v>
      </c>
      <c r="F42" s="146" t="s">
        <v>348</v>
      </c>
      <c r="G42" s="240">
        <v>45828</v>
      </c>
      <c r="H42" s="17">
        <v>420</v>
      </c>
      <c r="I42" s="241">
        <v>420</v>
      </c>
      <c r="J42" s="241">
        <v>395</v>
      </c>
      <c r="K42" s="6">
        <f t="shared" si="8"/>
        <v>-0.20000000000004547</v>
      </c>
      <c r="L42" s="6">
        <f t="shared" si="12"/>
        <v>0</v>
      </c>
      <c r="M42" s="299" t="s">
        <v>396</v>
      </c>
      <c r="N42" s="132">
        <f t="shared" ca="1" si="11"/>
        <v>-12</v>
      </c>
      <c r="O42" s="131">
        <f t="shared" si="9"/>
        <v>45784</v>
      </c>
      <c r="P42" s="131">
        <v>45796</v>
      </c>
      <c r="Q42" s="131">
        <f t="shared" si="13"/>
        <v>45798</v>
      </c>
      <c r="R42" s="132">
        <f t="shared" ca="1" si="14"/>
        <v>-12</v>
      </c>
      <c r="S42" s="131">
        <f t="shared" si="10"/>
        <v>45796</v>
      </c>
      <c r="T42" s="133">
        <v>45826</v>
      </c>
      <c r="U42" s="132">
        <f t="shared" ca="1" si="15"/>
        <v>-30</v>
      </c>
      <c r="V42" s="303">
        <f t="shared" si="7"/>
        <v>32</v>
      </c>
      <c r="W42" s="131">
        <v>45807</v>
      </c>
      <c r="X42" s="297"/>
      <c r="Y42" s="124"/>
    </row>
    <row r="43" spans="1:25" ht="14.5" hidden="1">
      <c r="A43" s="14">
        <v>72</v>
      </c>
      <c r="B43" s="290" t="s">
        <v>89</v>
      </c>
      <c r="C43" s="134"/>
      <c r="D43" s="137" t="s">
        <v>353</v>
      </c>
      <c r="E43" s="146" t="s">
        <v>300</v>
      </c>
      <c r="F43" s="146" t="s">
        <v>154</v>
      </c>
      <c r="G43" s="240">
        <v>45828</v>
      </c>
      <c r="H43" s="17">
        <v>3297.9762816000002</v>
      </c>
      <c r="I43" s="241">
        <v>3298</v>
      </c>
      <c r="J43" s="241">
        <v>3100</v>
      </c>
      <c r="K43" s="6">
        <f t="shared" si="8"/>
        <v>9.7704704000079801E-2</v>
      </c>
      <c r="L43" s="6">
        <f t="shared" si="12"/>
        <v>-2.3718399999779649E-2</v>
      </c>
      <c r="M43" s="299" t="s">
        <v>396</v>
      </c>
      <c r="N43" s="132">
        <f t="shared" ca="1" si="11"/>
        <v>-12</v>
      </c>
      <c r="O43" s="131">
        <f t="shared" si="9"/>
        <v>45784</v>
      </c>
      <c r="P43" s="131">
        <v>45796</v>
      </c>
      <c r="Q43" s="131">
        <f t="shared" si="13"/>
        <v>45798</v>
      </c>
      <c r="R43" s="132">
        <f t="shared" ca="1" si="14"/>
        <v>-12</v>
      </c>
      <c r="S43" s="131">
        <f t="shared" si="10"/>
        <v>45796</v>
      </c>
      <c r="T43" s="133">
        <v>45826</v>
      </c>
      <c r="U43" s="132">
        <f t="shared" ca="1" si="15"/>
        <v>-30</v>
      </c>
      <c r="V43" s="303">
        <f t="shared" si="7"/>
        <v>32</v>
      </c>
      <c r="W43" s="131">
        <v>45807</v>
      </c>
      <c r="X43" s="297"/>
      <c r="Y43" s="124"/>
    </row>
    <row r="44" spans="1:25" ht="14.5" hidden="1">
      <c r="A44" s="14">
        <v>72</v>
      </c>
      <c r="B44" s="290" t="s">
        <v>89</v>
      </c>
      <c r="C44" s="134"/>
      <c r="D44" s="137" t="s">
        <v>352</v>
      </c>
      <c r="E44" s="146" t="s">
        <v>300</v>
      </c>
      <c r="F44" s="146" t="s">
        <v>348</v>
      </c>
      <c r="G44" s="240">
        <v>45828</v>
      </c>
      <c r="H44" s="17">
        <v>2023.7581728000002</v>
      </c>
      <c r="I44" s="241">
        <v>2024</v>
      </c>
      <c r="J44" s="241">
        <v>1902</v>
      </c>
      <c r="K44" s="6">
        <f t="shared" si="8"/>
        <v>0.33268243200018333</v>
      </c>
      <c r="L44" s="6">
        <f t="shared" si="12"/>
        <v>-0.24182719999976143</v>
      </c>
      <c r="M44" s="299" t="s">
        <v>396</v>
      </c>
      <c r="N44" s="132">
        <f t="shared" ca="1" si="11"/>
        <v>-12</v>
      </c>
      <c r="O44" s="131">
        <f t="shared" si="9"/>
        <v>45784</v>
      </c>
      <c r="P44" s="131">
        <v>45796</v>
      </c>
      <c r="Q44" s="131">
        <f t="shared" si="13"/>
        <v>45798</v>
      </c>
      <c r="R44" s="132">
        <f t="shared" ca="1" si="14"/>
        <v>-12</v>
      </c>
      <c r="S44" s="131">
        <f t="shared" si="10"/>
        <v>45796</v>
      </c>
      <c r="T44" s="133">
        <v>45826</v>
      </c>
      <c r="U44" s="132">
        <f t="shared" ca="1" si="15"/>
        <v>-30</v>
      </c>
      <c r="V44" s="303">
        <f t="shared" si="7"/>
        <v>32</v>
      </c>
      <c r="W44" s="131">
        <v>45807</v>
      </c>
      <c r="X44" s="297"/>
      <c r="Y44" s="124"/>
    </row>
    <row r="45" spans="1:25" ht="14.5" hidden="1">
      <c r="A45" s="14">
        <v>82</v>
      </c>
      <c r="B45" s="290" t="s">
        <v>59</v>
      </c>
      <c r="C45" s="15"/>
      <c r="D45" s="318" t="s">
        <v>189</v>
      </c>
      <c r="E45" s="146" t="s">
        <v>242</v>
      </c>
      <c r="F45" s="146" t="s">
        <v>90</v>
      </c>
      <c r="G45" s="240">
        <v>45836</v>
      </c>
      <c r="H45" s="18">
        <v>908</v>
      </c>
      <c r="I45" s="319">
        <v>908</v>
      </c>
      <c r="J45" s="241">
        <v>872</v>
      </c>
      <c r="K45" s="6">
        <f>+H45*96%-J45</f>
        <v>-0.32000000000005002</v>
      </c>
      <c r="L45" s="6">
        <f t="shared" si="12"/>
        <v>0</v>
      </c>
      <c r="M45" s="299" t="s">
        <v>389</v>
      </c>
      <c r="N45" s="132">
        <f t="shared" ca="1" si="11"/>
        <v>-4</v>
      </c>
      <c r="O45" s="131">
        <f>S45-P38370</f>
        <v>45804</v>
      </c>
      <c r="P45" s="131">
        <v>45804</v>
      </c>
      <c r="Q45" s="131">
        <f t="shared" si="13"/>
        <v>45806</v>
      </c>
      <c r="R45" s="132">
        <f t="shared" ca="1" si="14"/>
        <v>0</v>
      </c>
      <c r="S45" s="131">
        <f t="shared" ref="S45:S48" si="16">G45-32</f>
        <v>45804</v>
      </c>
      <c r="T45" s="131">
        <v>45808</v>
      </c>
      <c r="U45" s="132">
        <f t="shared" ca="1" si="15"/>
        <v>-4</v>
      </c>
      <c r="V45" s="303">
        <f t="shared" ref="V45:V83" si="17">G45-S45</f>
        <v>32</v>
      </c>
      <c r="W45" s="131"/>
      <c r="X45" s="297"/>
      <c r="Y45" s="124"/>
    </row>
    <row r="46" spans="1:25" ht="14.5" hidden="1">
      <c r="A46" s="14">
        <v>82</v>
      </c>
      <c r="B46" s="290" t="s">
        <v>59</v>
      </c>
      <c r="C46" s="15"/>
      <c r="D46" s="318" t="s">
        <v>390</v>
      </c>
      <c r="E46" s="146" t="s">
        <v>242</v>
      </c>
      <c r="F46" s="146" t="s">
        <v>162</v>
      </c>
      <c r="G46" s="240">
        <v>45836</v>
      </c>
      <c r="H46" s="17">
        <v>629</v>
      </c>
      <c r="I46" s="241">
        <v>629</v>
      </c>
      <c r="J46" s="241">
        <v>597</v>
      </c>
      <c r="K46" s="6">
        <f>+H46*95%-J46</f>
        <v>0.54999999999995453</v>
      </c>
      <c r="L46" s="6">
        <f t="shared" si="12"/>
        <v>0</v>
      </c>
      <c r="M46" s="299" t="s">
        <v>894</v>
      </c>
      <c r="N46" s="132">
        <f t="shared" ca="1" si="11"/>
        <v>-4</v>
      </c>
      <c r="O46" s="131">
        <f>S46-12</f>
        <v>45792</v>
      </c>
      <c r="P46" s="131">
        <v>45793</v>
      </c>
      <c r="Q46" s="131">
        <f t="shared" si="13"/>
        <v>45795</v>
      </c>
      <c r="R46" s="132">
        <f t="shared" ca="1" si="14"/>
        <v>-1</v>
      </c>
      <c r="S46" s="131">
        <f t="shared" si="16"/>
        <v>45804</v>
      </c>
      <c r="T46" s="133">
        <v>45810</v>
      </c>
      <c r="U46" s="132">
        <f t="shared" ca="1" si="15"/>
        <v>-6</v>
      </c>
      <c r="V46" s="303">
        <f t="shared" si="17"/>
        <v>32</v>
      </c>
      <c r="W46" s="131">
        <v>45806</v>
      </c>
      <c r="X46" s="297"/>
      <c r="Y46" s="124"/>
    </row>
    <row r="47" spans="1:25" ht="14.5" hidden="1">
      <c r="A47" s="14">
        <v>83</v>
      </c>
      <c r="B47" s="290" t="s">
        <v>59</v>
      </c>
      <c r="C47" s="15"/>
      <c r="D47" s="318" t="s">
        <v>189</v>
      </c>
      <c r="E47" s="146" t="s">
        <v>242</v>
      </c>
      <c r="F47" s="146" t="s">
        <v>90</v>
      </c>
      <c r="G47" s="240">
        <v>45850</v>
      </c>
      <c r="H47" s="17">
        <v>546</v>
      </c>
      <c r="I47" s="241">
        <v>546</v>
      </c>
      <c r="J47" s="241">
        <v>499</v>
      </c>
      <c r="K47" s="6">
        <f>+H47*96%-J47</f>
        <v>25.159999999999968</v>
      </c>
      <c r="L47" s="6">
        <f t="shared" si="12"/>
        <v>0</v>
      </c>
      <c r="M47" s="299" t="s">
        <v>389</v>
      </c>
      <c r="N47" s="132">
        <f t="shared" ca="1" si="11"/>
        <v>10</v>
      </c>
      <c r="O47" s="131">
        <f>S47-12</f>
        <v>45806</v>
      </c>
      <c r="P47" s="131">
        <v>45817</v>
      </c>
      <c r="Q47" s="131">
        <f t="shared" si="13"/>
        <v>45819</v>
      </c>
      <c r="R47" s="132">
        <f t="shared" ca="1" si="14"/>
        <v>-11</v>
      </c>
      <c r="S47" s="131">
        <f t="shared" si="16"/>
        <v>45818</v>
      </c>
      <c r="T47" s="133">
        <v>45822</v>
      </c>
      <c r="U47" s="132">
        <f t="shared" ca="1" si="15"/>
        <v>-4</v>
      </c>
      <c r="V47" s="303">
        <f t="shared" si="17"/>
        <v>32</v>
      </c>
      <c r="W47" s="131"/>
      <c r="X47" s="297"/>
      <c r="Y47" s="124"/>
    </row>
    <row r="48" spans="1:25" ht="14.5" hidden="1">
      <c r="A48" s="14">
        <v>83</v>
      </c>
      <c r="B48" s="290" t="s">
        <v>59</v>
      </c>
      <c r="C48" s="15">
        <v>76</v>
      </c>
      <c r="D48" s="137" t="s">
        <v>190</v>
      </c>
      <c r="E48" s="146" t="s">
        <v>242</v>
      </c>
      <c r="F48" s="146" t="s">
        <v>244</v>
      </c>
      <c r="G48" s="240">
        <v>45850</v>
      </c>
      <c r="H48" s="17">
        <v>452</v>
      </c>
      <c r="I48" s="241">
        <v>452</v>
      </c>
      <c r="J48" s="241">
        <v>425</v>
      </c>
      <c r="K48" s="6">
        <f>+H48*94%-J48</f>
        <v>-0.12000000000000455</v>
      </c>
      <c r="L48" s="6">
        <f t="shared" si="12"/>
        <v>0</v>
      </c>
      <c r="M48" s="130" t="s">
        <v>133</v>
      </c>
      <c r="N48" s="132">
        <f t="shared" ca="1" si="11"/>
        <v>10</v>
      </c>
      <c r="O48" s="131">
        <f>S48-12</f>
        <v>45806</v>
      </c>
      <c r="P48" s="131">
        <v>45806</v>
      </c>
      <c r="Q48" s="131">
        <f t="shared" si="13"/>
        <v>45808</v>
      </c>
      <c r="R48" s="132">
        <f t="shared" ca="1" si="14"/>
        <v>0</v>
      </c>
      <c r="S48" s="131">
        <f t="shared" si="16"/>
        <v>45818</v>
      </c>
      <c r="T48" s="133">
        <v>45793</v>
      </c>
      <c r="U48" s="132">
        <f t="shared" ca="1" si="15"/>
        <v>25</v>
      </c>
      <c r="V48" s="303">
        <f t="shared" si="17"/>
        <v>32</v>
      </c>
      <c r="W48" s="131"/>
      <c r="X48" s="297"/>
      <c r="Y48" s="124"/>
    </row>
    <row r="49" spans="1:25" ht="14.5">
      <c r="A49" s="14">
        <v>84</v>
      </c>
      <c r="B49" s="146" t="s">
        <v>59</v>
      </c>
      <c r="C49" s="15"/>
      <c r="D49" s="318" t="s">
        <v>201</v>
      </c>
      <c r="E49" s="146" t="s">
        <v>247</v>
      </c>
      <c r="F49" s="146" t="s">
        <v>155</v>
      </c>
      <c r="G49" s="240">
        <v>45865</v>
      </c>
      <c r="H49" s="17">
        <v>1131</v>
      </c>
      <c r="I49" s="241">
        <v>1131</v>
      </c>
      <c r="J49" s="241">
        <v>1063</v>
      </c>
      <c r="K49" s="6">
        <f>+H49*94%-J49</f>
        <v>0.13999999999987267</v>
      </c>
      <c r="L49" s="6">
        <f t="shared" si="12"/>
        <v>0</v>
      </c>
      <c r="M49" s="299" t="s">
        <v>386</v>
      </c>
      <c r="N49" s="132">
        <f t="shared" ca="1" si="11"/>
        <v>25</v>
      </c>
      <c r="O49" s="131">
        <f>S49-6</f>
        <v>45819</v>
      </c>
      <c r="P49" s="131">
        <v>45829</v>
      </c>
      <c r="Q49" s="131">
        <f t="shared" si="13"/>
        <v>45831</v>
      </c>
      <c r="R49" s="132">
        <f t="shared" ca="1" si="14"/>
        <v>-10</v>
      </c>
      <c r="S49" s="131">
        <f>G49-40</f>
        <v>45825</v>
      </c>
      <c r="T49" s="133">
        <v>45838</v>
      </c>
      <c r="U49" s="132">
        <f t="shared" ca="1" si="15"/>
        <v>-13</v>
      </c>
      <c r="V49" s="303">
        <f t="shared" si="17"/>
        <v>40</v>
      </c>
      <c r="W49" s="131"/>
      <c r="X49" s="297"/>
      <c r="Y49" s="124"/>
    </row>
    <row r="50" spans="1:25" ht="14.5" hidden="1">
      <c r="A50" s="14">
        <v>84</v>
      </c>
      <c r="B50" s="146" t="s">
        <v>59</v>
      </c>
      <c r="C50" s="15"/>
      <c r="D50" s="318" t="s">
        <v>288</v>
      </c>
      <c r="E50" s="146" t="s">
        <v>289</v>
      </c>
      <c r="F50" s="146" t="s">
        <v>155</v>
      </c>
      <c r="G50" s="240">
        <v>45865</v>
      </c>
      <c r="H50" s="17">
        <f>1763/2</f>
        <v>881.5</v>
      </c>
      <c r="I50" s="241">
        <v>882</v>
      </c>
      <c r="J50" s="241">
        <v>882</v>
      </c>
      <c r="K50" s="6">
        <f t="shared" ref="K50:K111" si="18">+H50-J50</f>
        <v>-0.5</v>
      </c>
      <c r="L50" s="6">
        <f t="shared" si="12"/>
        <v>-0.5</v>
      </c>
      <c r="M50" s="299" t="s">
        <v>853</v>
      </c>
      <c r="N50" s="132">
        <f t="shared" ca="1" si="11"/>
        <v>25</v>
      </c>
      <c r="O50" s="131">
        <f>S50-12</f>
        <v>45821</v>
      </c>
      <c r="P50" s="131">
        <v>45833</v>
      </c>
      <c r="Q50" s="131">
        <f t="shared" si="13"/>
        <v>45835</v>
      </c>
      <c r="R50" s="132">
        <f t="shared" ca="1" si="14"/>
        <v>-12</v>
      </c>
      <c r="S50" s="131">
        <f>G50-32</f>
        <v>45833</v>
      </c>
      <c r="T50" s="133">
        <v>45838</v>
      </c>
      <c r="U50" s="132">
        <f t="shared" ca="1" si="15"/>
        <v>-5</v>
      </c>
      <c r="V50" s="303">
        <f t="shared" si="17"/>
        <v>32</v>
      </c>
      <c r="W50" s="131"/>
      <c r="X50" s="297"/>
      <c r="Y50" s="124"/>
    </row>
    <row r="51" spans="1:25" ht="14.5" hidden="1">
      <c r="A51" s="14">
        <v>84</v>
      </c>
      <c r="B51" s="146" t="s">
        <v>59</v>
      </c>
      <c r="C51" s="15"/>
      <c r="D51" s="318" t="s">
        <v>288</v>
      </c>
      <c r="E51" s="146" t="s">
        <v>289</v>
      </c>
      <c r="F51" s="146" t="s">
        <v>154</v>
      </c>
      <c r="G51" s="240">
        <v>45865</v>
      </c>
      <c r="H51" s="17">
        <f>1469/2</f>
        <v>734.5</v>
      </c>
      <c r="I51" s="241">
        <v>735</v>
      </c>
      <c r="J51" s="241">
        <v>735</v>
      </c>
      <c r="K51" s="6">
        <f t="shared" si="18"/>
        <v>-0.5</v>
      </c>
      <c r="L51" s="6">
        <f t="shared" si="12"/>
        <v>-0.5</v>
      </c>
      <c r="M51" s="299" t="s">
        <v>853</v>
      </c>
      <c r="N51" s="132">
        <f t="shared" ca="1" si="11"/>
        <v>25</v>
      </c>
      <c r="O51" s="131">
        <f>S51-12</f>
        <v>45821</v>
      </c>
      <c r="P51" s="131">
        <v>45833</v>
      </c>
      <c r="Q51" s="131">
        <f t="shared" si="13"/>
        <v>45835</v>
      </c>
      <c r="R51" s="132">
        <f t="shared" ca="1" si="14"/>
        <v>-12</v>
      </c>
      <c r="S51" s="131">
        <f>G51-32</f>
        <v>45833</v>
      </c>
      <c r="T51" s="133">
        <v>45838</v>
      </c>
      <c r="U51" s="132">
        <f t="shared" ca="1" si="15"/>
        <v>-5</v>
      </c>
      <c r="V51" s="303">
        <f t="shared" si="17"/>
        <v>32</v>
      </c>
      <c r="W51" s="131"/>
      <c r="X51" s="297"/>
      <c r="Y51" s="124"/>
    </row>
    <row r="52" spans="1:25" ht="14.5" hidden="1">
      <c r="A52" s="14">
        <v>84</v>
      </c>
      <c r="B52" s="146" t="s">
        <v>59</v>
      </c>
      <c r="C52" s="15"/>
      <c r="D52" s="318" t="s">
        <v>288</v>
      </c>
      <c r="E52" s="146" t="s">
        <v>289</v>
      </c>
      <c r="F52" s="146" t="s">
        <v>156</v>
      </c>
      <c r="G52" s="240">
        <v>45865</v>
      </c>
      <c r="H52" s="17">
        <f>1176/2</f>
        <v>588</v>
      </c>
      <c r="I52" s="241">
        <v>588</v>
      </c>
      <c r="J52" s="241">
        <v>553</v>
      </c>
      <c r="K52" s="6">
        <f t="shared" si="18"/>
        <v>35</v>
      </c>
      <c r="L52" s="6">
        <f t="shared" si="12"/>
        <v>0</v>
      </c>
      <c r="M52" s="300" t="s">
        <v>853</v>
      </c>
      <c r="N52" s="132">
        <f t="shared" ca="1" si="11"/>
        <v>25</v>
      </c>
      <c r="O52" s="131">
        <f>S52-12</f>
        <v>45821</v>
      </c>
      <c r="P52" s="131">
        <v>45815</v>
      </c>
      <c r="Q52" s="131">
        <f t="shared" si="13"/>
        <v>45817</v>
      </c>
      <c r="R52" s="132">
        <f t="shared" ca="1" si="14"/>
        <v>6</v>
      </c>
      <c r="S52" s="131">
        <f>G52-32</f>
        <v>45833</v>
      </c>
      <c r="T52" s="133">
        <v>45820</v>
      </c>
      <c r="U52" s="132">
        <f t="shared" ca="1" si="15"/>
        <v>13</v>
      </c>
      <c r="V52" s="303">
        <f t="shared" si="17"/>
        <v>32</v>
      </c>
      <c r="W52" s="131"/>
      <c r="X52" s="297"/>
      <c r="Y52" s="124"/>
    </row>
    <row r="53" spans="1:25" ht="14.5" hidden="1">
      <c r="A53" s="14">
        <v>84</v>
      </c>
      <c r="B53" s="146" t="s">
        <v>59</v>
      </c>
      <c r="C53" s="15"/>
      <c r="D53" s="318" t="s">
        <v>189</v>
      </c>
      <c r="E53" s="146" t="s">
        <v>312</v>
      </c>
      <c r="F53" s="146" t="s">
        <v>90</v>
      </c>
      <c r="G53" s="240">
        <v>45865</v>
      </c>
      <c r="H53" s="17">
        <v>266</v>
      </c>
      <c r="I53" s="241">
        <v>266</v>
      </c>
      <c r="J53" s="241">
        <v>266</v>
      </c>
      <c r="K53" s="6">
        <f t="shared" si="18"/>
        <v>0</v>
      </c>
      <c r="L53" s="6">
        <f t="shared" si="12"/>
        <v>0</v>
      </c>
      <c r="M53" s="300" t="s">
        <v>389</v>
      </c>
      <c r="N53" s="132">
        <f t="shared" ca="1" si="11"/>
        <v>25</v>
      </c>
      <c r="O53" s="131">
        <f>S53-4</f>
        <v>45821</v>
      </c>
      <c r="P53" s="131">
        <v>45792</v>
      </c>
      <c r="Q53" s="131">
        <f t="shared" si="13"/>
        <v>45794</v>
      </c>
      <c r="R53" s="132">
        <f t="shared" ca="1" si="14"/>
        <v>29</v>
      </c>
      <c r="S53" s="131">
        <f>G53-40</f>
        <v>45825</v>
      </c>
      <c r="T53" s="133">
        <v>45813</v>
      </c>
      <c r="U53" s="132">
        <f t="shared" ca="1" si="15"/>
        <v>12</v>
      </c>
      <c r="V53" s="303">
        <f t="shared" si="17"/>
        <v>40</v>
      </c>
      <c r="W53" s="131"/>
      <c r="X53" s="297"/>
      <c r="Y53" s="124"/>
    </row>
    <row r="54" spans="1:25" ht="14.5" hidden="1">
      <c r="A54" s="14">
        <v>84</v>
      </c>
      <c r="B54" s="146" t="s">
        <v>59</v>
      </c>
      <c r="C54" s="15"/>
      <c r="D54" s="318" t="s">
        <v>391</v>
      </c>
      <c r="E54" s="146" t="s">
        <v>392</v>
      </c>
      <c r="F54" s="146" t="s">
        <v>393</v>
      </c>
      <c r="G54" s="240">
        <v>45865</v>
      </c>
      <c r="H54" s="17">
        <v>354</v>
      </c>
      <c r="I54" s="241">
        <v>354</v>
      </c>
      <c r="J54" s="241">
        <v>340</v>
      </c>
      <c r="K54" s="6">
        <f>+H54*96%-J54</f>
        <v>-0.16000000000002501</v>
      </c>
      <c r="L54" s="6">
        <f t="shared" si="12"/>
        <v>0</v>
      </c>
      <c r="M54" s="300" t="s">
        <v>853</v>
      </c>
      <c r="N54" s="132">
        <f t="shared" ca="1" si="11"/>
        <v>25</v>
      </c>
      <c r="O54" s="131">
        <v>45793</v>
      </c>
      <c r="P54" s="131">
        <v>45787</v>
      </c>
      <c r="Q54" s="131">
        <f t="shared" si="13"/>
        <v>45789</v>
      </c>
      <c r="R54" s="132">
        <f t="shared" ca="1" si="14"/>
        <v>6</v>
      </c>
      <c r="S54" s="131">
        <f>O54+12</f>
        <v>45805</v>
      </c>
      <c r="T54" s="133">
        <v>45819</v>
      </c>
      <c r="U54" s="132">
        <f t="shared" ca="1" si="15"/>
        <v>-14</v>
      </c>
      <c r="V54" s="303">
        <f t="shared" si="17"/>
        <v>60</v>
      </c>
      <c r="W54" s="131"/>
      <c r="X54" s="297"/>
      <c r="Y54" s="124"/>
    </row>
    <row r="55" spans="1:25" ht="14.5" hidden="1">
      <c r="A55" s="14">
        <v>84</v>
      </c>
      <c r="B55" s="146" t="s">
        <v>59</v>
      </c>
      <c r="C55" s="15"/>
      <c r="D55" s="318" t="s">
        <v>839</v>
      </c>
      <c r="E55" s="146" t="s">
        <v>242</v>
      </c>
      <c r="F55" s="146" t="s">
        <v>162</v>
      </c>
      <c r="G55" s="240">
        <v>45865</v>
      </c>
      <c r="H55" s="17">
        <v>292</v>
      </c>
      <c r="I55" s="241">
        <v>292</v>
      </c>
      <c r="J55" s="241">
        <v>292</v>
      </c>
      <c r="K55" s="6">
        <f t="shared" si="18"/>
        <v>0</v>
      </c>
      <c r="L55" s="6">
        <f t="shared" si="12"/>
        <v>0</v>
      </c>
      <c r="M55" s="299" t="s">
        <v>894</v>
      </c>
      <c r="N55" s="132">
        <f t="shared" ca="1" si="11"/>
        <v>25</v>
      </c>
      <c r="O55" s="131">
        <v>45793</v>
      </c>
      <c r="P55" s="131">
        <v>45793</v>
      </c>
      <c r="Q55" s="131">
        <f t="shared" si="13"/>
        <v>45795</v>
      </c>
      <c r="R55" s="132">
        <f t="shared" ca="1" si="14"/>
        <v>0</v>
      </c>
      <c r="S55" s="131">
        <f>O55+12</f>
        <v>45805</v>
      </c>
      <c r="T55" s="133">
        <v>45810</v>
      </c>
      <c r="U55" s="132">
        <f t="shared" ca="1" si="15"/>
        <v>-5</v>
      </c>
      <c r="V55" s="303">
        <f t="shared" si="17"/>
        <v>60</v>
      </c>
      <c r="W55" s="131">
        <v>45806</v>
      </c>
      <c r="X55" s="297"/>
      <c r="Y55" s="124"/>
    </row>
    <row r="56" spans="1:25" ht="14.5" hidden="1">
      <c r="A56" s="14">
        <v>84</v>
      </c>
      <c r="B56" s="146" t="s">
        <v>59</v>
      </c>
      <c r="C56" s="15"/>
      <c r="D56" s="137" t="s">
        <v>268</v>
      </c>
      <c r="E56" s="146" t="s">
        <v>269</v>
      </c>
      <c r="F56" s="146" t="s">
        <v>255</v>
      </c>
      <c r="G56" s="240">
        <v>45865</v>
      </c>
      <c r="H56" s="17">
        <v>5846</v>
      </c>
      <c r="I56" s="241">
        <v>5846</v>
      </c>
      <c r="J56" s="241">
        <v>5846</v>
      </c>
      <c r="K56" s="6">
        <f t="shared" si="18"/>
        <v>0</v>
      </c>
      <c r="L56" s="6">
        <f t="shared" si="12"/>
        <v>0</v>
      </c>
      <c r="M56" s="299" t="s">
        <v>133</v>
      </c>
      <c r="N56" s="132">
        <f t="shared" ca="1" si="11"/>
        <v>25</v>
      </c>
      <c r="O56" s="131">
        <f>S56-12</f>
        <v>45811</v>
      </c>
      <c r="P56" s="131">
        <v>45794</v>
      </c>
      <c r="Q56" s="131">
        <f t="shared" si="13"/>
        <v>45796</v>
      </c>
      <c r="R56" s="132">
        <f t="shared" ca="1" si="14"/>
        <v>17</v>
      </c>
      <c r="S56" s="131">
        <f>G56-42</f>
        <v>45823</v>
      </c>
      <c r="T56" s="133">
        <v>45799</v>
      </c>
      <c r="U56" s="132">
        <f t="shared" ca="1" si="15"/>
        <v>24</v>
      </c>
      <c r="V56" s="303">
        <f t="shared" si="17"/>
        <v>42</v>
      </c>
      <c r="W56" s="131"/>
      <c r="X56" s="297"/>
      <c r="Y56" s="124"/>
    </row>
    <row r="57" spans="1:25" ht="14.5" hidden="1">
      <c r="A57" s="14">
        <v>84</v>
      </c>
      <c r="B57" s="146" t="s">
        <v>59</v>
      </c>
      <c r="C57" s="15"/>
      <c r="D57" s="137" t="s">
        <v>268</v>
      </c>
      <c r="E57" s="146" t="s">
        <v>246</v>
      </c>
      <c r="F57" s="146" t="s">
        <v>255</v>
      </c>
      <c r="G57" s="240">
        <v>45865</v>
      </c>
      <c r="H57" s="17">
        <v>1108</v>
      </c>
      <c r="I57" s="241">
        <v>1108</v>
      </c>
      <c r="J57" s="241">
        <v>1108</v>
      </c>
      <c r="K57" s="6">
        <f t="shared" si="18"/>
        <v>0</v>
      </c>
      <c r="L57" s="6">
        <f t="shared" si="12"/>
        <v>0</v>
      </c>
      <c r="M57" s="299" t="s">
        <v>133</v>
      </c>
      <c r="N57" s="132">
        <f t="shared" ca="1" si="11"/>
        <v>25</v>
      </c>
      <c r="O57" s="131">
        <f>S57-12</f>
        <v>45811</v>
      </c>
      <c r="P57" s="131">
        <v>45794</v>
      </c>
      <c r="Q57" s="131">
        <f t="shared" si="13"/>
        <v>45796</v>
      </c>
      <c r="R57" s="132">
        <f t="shared" ca="1" si="14"/>
        <v>17</v>
      </c>
      <c r="S57" s="131">
        <f>G57-42</f>
        <v>45823</v>
      </c>
      <c r="T57" s="133">
        <v>45792</v>
      </c>
      <c r="U57" s="132">
        <f t="shared" ca="1" si="15"/>
        <v>31</v>
      </c>
      <c r="V57" s="303">
        <f t="shared" si="17"/>
        <v>42</v>
      </c>
      <c r="W57" s="131"/>
      <c r="X57" s="297"/>
      <c r="Y57" s="124"/>
    </row>
    <row r="58" spans="1:25" ht="14.5" hidden="1">
      <c r="A58" s="14">
        <v>84</v>
      </c>
      <c r="B58" s="146" t="s">
        <v>59</v>
      </c>
      <c r="C58" s="15"/>
      <c r="D58" s="137" t="s">
        <v>268</v>
      </c>
      <c r="E58" s="146" t="s">
        <v>530</v>
      </c>
      <c r="F58" s="147" t="s">
        <v>255</v>
      </c>
      <c r="G58" s="240">
        <v>45865</v>
      </c>
      <c r="H58" s="17">
        <v>1302</v>
      </c>
      <c r="I58" s="241">
        <v>1302</v>
      </c>
      <c r="J58" s="241">
        <v>1302</v>
      </c>
      <c r="K58" s="6">
        <f t="shared" si="18"/>
        <v>0</v>
      </c>
      <c r="L58" s="6">
        <f t="shared" si="12"/>
        <v>0</v>
      </c>
      <c r="M58" s="299" t="s">
        <v>133</v>
      </c>
      <c r="N58" s="132">
        <f t="shared" ca="1" si="11"/>
        <v>25</v>
      </c>
      <c r="O58" s="131">
        <f>S58-12</f>
        <v>45811</v>
      </c>
      <c r="P58" s="131">
        <v>45794</v>
      </c>
      <c r="Q58" s="131">
        <f t="shared" si="13"/>
        <v>45796</v>
      </c>
      <c r="R58" s="132">
        <f t="shared" ca="1" si="14"/>
        <v>17</v>
      </c>
      <c r="S58" s="131">
        <f>G58-42</f>
        <v>45823</v>
      </c>
      <c r="T58" s="133">
        <v>45792</v>
      </c>
      <c r="U58" s="132">
        <f t="shared" ca="1" si="15"/>
        <v>31</v>
      </c>
      <c r="V58" s="303">
        <f t="shared" si="17"/>
        <v>42</v>
      </c>
      <c r="W58" s="131"/>
      <c r="X58" s="297"/>
      <c r="Y58" s="124"/>
    </row>
    <row r="59" spans="1:25" ht="14.5" hidden="1">
      <c r="A59" s="14">
        <v>90</v>
      </c>
      <c r="B59" s="146" t="s">
        <v>59</v>
      </c>
      <c r="C59" s="15"/>
      <c r="D59" s="330" t="s">
        <v>250</v>
      </c>
      <c r="E59" s="146" t="s">
        <v>269</v>
      </c>
      <c r="F59" s="146" t="s">
        <v>162</v>
      </c>
      <c r="G59" s="240">
        <v>45842</v>
      </c>
      <c r="H59" s="17">
        <v>4480</v>
      </c>
      <c r="I59" s="241">
        <v>4480</v>
      </c>
      <c r="J59" s="241">
        <v>4041</v>
      </c>
      <c r="K59" s="6">
        <f>+H59*94%-J59</f>
        <v>170.19999999999982</v>
      </c>
      <c r="L59" s="6">
        <f t="shared" si="12"/>
        <v>0</v>
      </c>
      <c r="M59" s="299" t="s">
        <v>397</v>
      </c>
      <c r="N59" s="132">
        <f t="shared" ca="1" si="11"/>
        <v>2</v>
      </c>
      <c r="O59" s="131">
        <f>S59-6</f>
        <v>45796</v>
      </c>
      <c r="P59" s="131">
        <v>45806</v>
      </c>
      <c r="Q59" s="131">
        <f t="shared" si="13"/>
        <v>45808</v>
      </c>
      <c r="R59" s="132">
        <f t="shared" ca="1" si="14"/>
        <v>-10</v>
      </c>
      <c r="S59" s="131">
        <f>G59-40</f>
        <v>45802</v>
      </c>
      <c r="T59" s="133">
        <v>45812</v>
      </c>
      <c r="U59" s="132">
        <f t="shared" ca="1" si="15"/>
        <v>-10</v>
      </c>
      <c r="V59" s="303">
        <f t="shared" si="17"/>
        <v>40</v>
      </c>
      <c r="W59" s="131"/>
      <c r="X59" s="297"/>
      <c r="Y59" s="124"/>
    </row>
    <row r="60" spans="1:25" ht="14.5" hidden="1">
      <c r="A60" s="14">
        <v>90</v>
      </c>
      <c r="B60" s="146" t="s">
        <v>59</v>
      </c>
      <c r="C60" s="15"/>
      <c r="D60" s="318" t="s">
        <v>288</v>
      </c>
      <c r="E60" s="146" t="s">
        <v>289</v>
      </c>
      <c r="F60" s="146" t="s">
        <v>155</v>
      </c>
      <c r="G60" s="240">
        <v>45842</v>
      </c>
      <c r="H60" s="17">
        <f>1295/2</f>
        <v>647.5</v>
      </c>
      <c r="I60" s="241">
        <v>648</v>
      </c>
      <c r="J60" s="241">
        <v>648</v>
      </c>
      <c r="K60" s="6">
        <f t="shared" si="18"/>
        <v>-0.5</v>
      </c>
      <c r="L60" s="6">
        <f t="shared" si="12"/>
        <v>-0.5</v>
      </c>
      <c r="M60" s="300" t="s">
        <v>853</v>
      </c>
      <c r="N60" s="132">
        <f t="shared" ca="1" si="11"/>
        <v>2</v>
      </c>
      <c r="O60" s="131">
        <v>45825</v>
      </c>
      <c r="P60" s="131">
        <v>45822</v>
      </c>
      <c r="Q60" s="131">
        <f t="shared" si="13"/>
        <v>45824</v>
      </c>
      <c r="R60" s="132">
        <f t="shared" ca="1" si="14"/>
        <v>3</v>
      </c>
      <c r="S60" s="131">
        <f>O60+5</f>
        <v>45830</v>
      </c>
      <c r="T60" s="133">
        <v>45825</v>
      </c>
      <c r="U60" s="132">
        <f t="shared" ca="1" si="15"/>
        <v>5</v>
      </c>
      <c r="V60" s="303">
        <f t="shared" si="17"/>
        <v>12</v>
      </c>
      <c r="W60" s="131"/>
      <c r="X60" s="297"/>
      <c r="Y60" s="124"/>
    </row>
    <row r="61" spans="1:25" ht="14.5" hidden="1">
      <c r="A61" s="14">
        <v>90</v>
      </c>
      <c r="B61" s="146" t="s">
        <v>59</v>
      </c>
      <c r="C61" s="15"/>
      <c r="D61" s="318" t="s">
        <v>288</v>
      </c>
      <c r="E61" s="146" t="s">
        <v>289</v>
      </c>
      <c r="F61" s="146" t="s">
        <v>154</v>
      </c>
      <c r="G61" s="240">
        <v>45842</v>
      </c>
      <c r="H61" s="17">
        <f>1079/2</f>
        <v>539.5</v>
      </c>
      <c r="I61" s="241">
        <v>540</v>
      </c>
      <c r="J61" s="241">
        <v>540</v>
      </c>
      <c r="K61" s="6">
        <f t="shared" si="18"/>
        <v>-0.5</v>
      </c>
      <c r="L61" s="6">
        <f t="shared" si="12"/>
        <v>-0.5</v>
      </c>
      <c r="M61" s="300" t="s">
        <v>853</v>
      </c>
      <c r="N61" s="132">
        <f t="shared" ca="1" si="11"/>
        <v>2</v>
      </c>
      <c r="O61" s="131">
        <v>45825</v>
      </c>
      <c r="P61" s="131">
        <v>45820</v>
      </c>
      <c r="Q61" s="131">
        <f t="shared" si="13"/>
        <v>45822</v>
      </c>
      <c r="R61" s="132">
        <f t="shared" ca="1" si="14"/>
        <v>5</v>
      </c>
      <c r="S61" s="131">
        <f>O61+5</f>
        <v>45830</v>
      </c>
      <c r="T61" s="133">
        <v>45825</v>
      </c>
      <c r="U61" s="132">
        <f t="shared" ca="1" si="15"/>
        <v>5</v>
      </c>
      <c r="V61" s="303">
        <f t="shared" si="17"/>
        <v>12</v>
      </c>
      <c r="W61" s="131"/>
      <c r="X61" s="297"/>
      <c r="Y61" s="124"/>
    </row>
    <row r="62" spans="1:25" ht="14.5" hidden="1">
      <c r="A62" s="14">
        <v>90</v>
      </c>
      <c r="B62" s="146" t="s">
        <v>59</v>
      </c>
      <c r="C62" s="15"/>
      <c r="D62" s="318" t="s">
        <v>288</v>
      </c>
      <c r="E62" s="146" t="s">
        <v>289</v>
      </c>
      <c r="F62" s="146" t="s">
        <v>156</v>
      </c>
      <c r="G62" s="240">
        <v>45842</v>
      </c>
      <c r="H62" s="17">
        <f>863/2</f>
        <v>431.5</v>
      </c>
      <c r="I62" s="241">
        <v>432</v>
      </c>
      <c r="J62" s="241">
        <v>432</v>
      </c>
      <c r="K62" s="6">
        <f t="shared" si="18"/>
        <v>-0.5</v>
      </c>
      <c r="L62" s="6">
        <f t="shared" si="12"/>
        <v>-0.5</v>
      </c>
      <c r="M62" s="300" t="s">
        <v>853</v>
      </c>
      <c r="N62" s="132">
        <f t="shared" ca="1" si="11"/>
        <v>2</v>
      </c>
      <c r="O62" s="131">
        <v>45825</v>
      </c>
      <c r="P62" s="131">
        <v>45806</v>
      </c>
      <c r="Q62" s="131">
        <f t="shared" si="13"/>
        <v>45808</v>
      </c>
      <c r="R62" s="132">
        <f t="shared" ca="1" si="14"/>
        <v>19</v>
      </c>
      <c r="S62" s="131">
        <f>O62+5</f>
        <v>45830</v>
      </c>
      <c r="T62" s="133">
        <v>45813</v>
      </c>
      <c r="U62" s="132">
        <f t="shared" ca="1" si="15"/>
        <v>17</v>
      </c>
      <c r="V62" s="303">
        <f t="shared" si="17"/>
        <v>12</v>
      </c>
      <c r="W62" s="131"/>
      <c r="X62" s="297"/>
      <c r="Y62" s="124"/>
    </row>
    <row r="63" spans="1:25" ht="14.5" hidden="1">
      <c r="A63" s="14">
        <v>90</v>
      </c>
      <c r="B63" s="146" t="s">
        <v>59</v>
      </c>
      <c r="C63" s="15"/>
      <c r="D63" s="318" t="s">
        <v>190</v>
      </c>
      <c r="E63" s="146" t="s">
        <v>242</v>
      </c>
      <c r="F63" s="146" t="s">
        <v>244</v>
      </c>
      <c r="G63" s="240">
        <v>45842</v>
      </c>
      <c r="H63" s="17">
        <v>408</v>
      </c>
      <c r="I63" s="241">
        <v>408</v>
      </c>
      <c r="J63" s="241">
        <v>408</v>
      </c>
      <c r="K63" s="6">
        <f t="shared" si="18"/>
        <v>0</v>
      </c>
      <c r="L63" s="6">
        <f t="shared" si="12"/>
        <v>0</v>
      </c>
      <c r="M63" s="130" t="s">
        <v>133</v>
      </c>
      <c r="N63" s="132">
        <f t="shared" ref="N63:N125" ca="1" si="19">G63-TODAY()</f>
        <v>2</v>
      </c>
      <c r="O63" s="131">
        <f>S63-12</f>
        <v>45798</v>
      </c>
      <c r="P63" s="131">
        <v>45792</v>
      </c>
      <c r="Q63" s="131">
        <f t="shared" si="13"/>
        <v>45794</v>
      </c>
      <c r="R63" s="132">
        <f t="shared" ca="1" si="14"/>
        <v>6</v>
      </c>
      <c r="S63" s="131">
        <f>G63-32</f>
        <v>45810</v>
      </c>
      <c r="T63" s="133">
        <v>45813</v>
      </c>
      <c r="U63" s="132">
        <f t="shared" ca="1" si="15"/>
        <v>-3</v>
      </c>
      <c r="V63" s="303">
        <f t="shared" si="17"/>
        <v>32</v>
      </c>
      <c r="W63" s="131"/>
      <c r="X63" s="297"/>
      <c r="Y63" s="124"/>
    </row>
    <row r="64" spans="1:25" ht="14.5" hidden="1">
      <c r="A64" s="14">
        <v>90</v>
      </c>
      <c r="B64" s="146" t="s">
        <v>59</v>
      </c>
      <c r="C64" s="15"/>
      <c r="D64" s="318" t="s">
        <v>391</v>
      </c>
      <c r="E64" s="146" t="s">
        <v>392</v>
      </c>
      <c r="F64" s="146" t="s">
        <v>393</v>
      </c>
      <c r="G64" s="240">
        <v>45842</v>
      </c>
      <c r="H64" s="17">
        <v>628</v>
      </c>
      <c r="I64" s="241">
        <v>628</v>
      </c>
      <c r="J64" s="241">
        <v>603</v>
      </c>
      <c r="K64" s="6">
        <f>+H64*96%-J64</f>
        <v>-0.12000000000000455</v>
      </c>
      <c r="L64" s="6">
        <f t="shared" si="12"/>
        <v>0</v>
      </c>
      <c r="M64" s="299" t="s">
        <v>853</v>
      </c>
      <c r="N64" s="132">
        <f t="shared" ca="1" si="19"/>
        <v>2</v>
      </c>
      <c r="O64" s="131">
        <v>45793</v>
      </c>
      <c r="P64" s="131">
        <v>45787</v>
      </c>
      <c r="Q64" s="131">
        <f t="shared" si="13"/>
        <v>45789</v>
      </c>
      <c r="R64" s="132">
        <f t="shared" ca="1" si="14"/>
        <v>6</v>
      </c>
      <c r="S64" s="131">
        <f>O64+12</f>
        <v>45805</v>
      </c>
      <c r="T64" s="133">
        <v>45819</v>
      </c>
      <c r="U64" s="132">
        <f t="shared" ca="1" si="15"/>
        <v>-14</v>
      </c>
      <c r="V64" s="303">
        <f t="shared" si="17"/>
        <v>37</v>
      </c>
      <c r="W64" s="131"/>
      <c r="X64" s="297"/>
      <c r="Y64" s="124"/>
    </row>
    <row r="65" spans="1:25" ht="14.5" hidden="1">
      <c r="A65" s="14">
        <v>90</v>
      </c>
      <c r="B65" s="146" t="s">
        <v>59</v>
      </c>
      <c r="C65" s="15"/>
      <c r="D65" s="318" t="s">
        <v>839</v>
      </c>
      <c r="E65" s="146" t="s">
        <v>242</v>
      </c>
      <c r="F65" s="146" t="s">
        <v>162</v>
      </c>
      <c r="G65" s="240">
        <v>45842</v>
      </c>
      <c r="H65" s="17">
        <v>651</v>
      </c>
      <c r="I65" s="241">
        <v>651</v>
      </c>
      <c r="J65" s="241">
        <v>651</v>
      </c>
      <c r="K65" s="6">
        <f t="shared" si="18"/>
        <v>0</v>
      </c>
      <c r="L65" s="6">
        <f t="shared" si="12"/>
        <v>0</v>
      </c>
      <c r="M65" s="299" t="s">
        <v>894</v>
      </c>
      <c r="N65" s="132">
        <f t="shared" ca="1" si="19"/>
        <v>2</v>
      </c>
      <c r="O65" s="131">
        <v>45793</v>
      </c>
      <c r="P65" s="131">
        <v>45793</v>
      </c>
      <c r="Q65" s="131">
        <f t="shared" si="13"/>
        <v>45795</v>
      </c>
      <c r="R65" s="132">
        <f t="shared" ca="1" si="14"/>
        <v>0</v>
      </c>
      <c r="S65" s="131">
        <f>G65-32</f>
        <v>45810</v>
      </c>
      <c r="T65" s="133">
        <v>45810</v>
      </c>
      <c r="U65" s="132">
        <f t="shared" ca="1" si="15"/>
        <v>0</v>
      </c>
      <c r="V65" s="303">
        <f t="shared" si="17"/>
        <v>32</v>
      </c>
      <c r="W65" s="131">
        <v>45806</v>
      </c>
      <c r="X65" s="297"/>
      <c r="Y65" s="124"/>
    </row>
    <row r="66" spans="1:25" ht="14.5" hidden="1">
      <c r="A66" s="14">
        <v>91</v>
      </c>
      <c r="B66" s="146" t="s">
        <v>59</v>
      </c>
      <c r="C66" s="15"/>
      <c r="D66" s="301" t="s">
        <v>190</v>
      </c>
      <c r="E66" s="146" t="s">
        <v>242</v>
      </c>
      <c r="F66" s="146" t="s">
        <v>244</v>
      </c>
      <c r="G66" s="240">
        <v>45842</v>
      </c>
      <c r="H66" s="17">
        <v>493</v>
      </c>
      <c r="I66" s="241">
        <v>493</v>
      </c>
      <c r="J66" s="241">
        <v>493</v>
      </c>
      <c r="K66" s="6">
        <f t="shared" si="18"/>
        <v>0</v>
      </c>
      <c r="L66" s="6">
        <f t="shared" si="12"/>
        <v>0</v>
      </c>
      <c r="M66" s="130" t="s">
        <v>133</v>
      </c>
      <c r="N66" s="132">
        <f t="shared" ca="1" si="19"/>
        <v>2</v>
      </c>
      <c r="O66" s="131">
        <f>S66-12</f>
        <v>45798</v>
      </c>
      <c r="P66" s="131">
        <v>45792</v>
      </c>
      <c r="Q66" s="131">
        <f t="shared" si="13"/>
        <v>45794</v>
      </c>
      <c r="R66" s="132">
        <f t="shared" ca="1" si="14"/>
        <v>6</v>
      </c>
      <c r="S66" s="131">
        <f>G66-32</f>
        <v>45810</v>
      </c>
      <c r="T66" s="133">
        <v>45813</v>
      </c>
      <c r="U66" s="132">
        <f t="shared" ca="1" si="15"/>
        <v>-3</v>
      </c>
      <c r="V66" s="303">
        <f t="shared" si="17"/>
        <v>32</v>
      </c>
      <c r="W66" s="131"/>
      <c r="X66" s="297"/>
      <c r="Y66" s="124"/>
    </row>
    <row r="67" spans="1:25" ht="14.5" hidden="1">
      <c r="A67" s="14">
        <v>91</v>
      </c>
      <c r="B67" s="146" t="s">
        <v>59</v>
      </c>
      <c r="C67" s="15"/>
      <c r="D67" s="318" t="s">
        <v>189</v>
      </c>
      <c r="E67" s="146" t="s">
        <v>242</v>
      </c>
      <c r="F67" s="146" t="s">
        <v>90</v>
      </c>
      <c r="G67" s="240">
        <v>45842</v>
      </c>
      <c r="H67" s="17">
        <v>706</v>
      </c>
      <c r="I67" s="241">
        <v>706</v>
      </c>
      <c r="J67" s="241">
        <v>678</v>
      </c>
      <c r="K67" s="6">
        <f>+H67*96%-J67</f>
        <v>-0.24000000000000909</v>
      </c>
      <c r="L67" s="6">
        <f t="shared" si="12"/>
        <v>0</v>
      </c>
      <c r="M67" s="299" t="s">
        <v>389</v>
      </c>
      <c r="N67" s="132">
        <f t="shared" ca="1" si="19"/>
        <v>2</v>
      </c>
      <c r="O67" s="131">
        <f>S67-4</f>
        <v>45798</v>
      </c>
      <c r="P67" s="131">
        <v>45792</v>
      </c>
      <c r="Q67" s="131">
        <f t="shared" si="13"/>
        <v>45794</v>
      </c>
      <c r="R67" s="132">
        <f t="shared" ca="1" si="14"/>
        <v>6</v>
      </c>
      <c r="S67" s="131">
        <f>G67-40</f>
        <v>45802</v>
      </c>
      <c r="T67" s="131">
        <v>45808</v>
      </c>
      <c r="U67" s="132">
        <f t="shared" ca="1" si="15"/>
        <v>-6</v>
      </c>
      <c r="V67" s="303">
        <f t="shared" si="17"/>
        <v>40</v>
      </c>
      <c r="W67" s="131"/>
      <c r="X67" s="297"/>
      <c r="Y67" s="124"/>
    </row>
    <row r="68" spans="1:25" ht="14.5" hidden="1">
      <c r="A68" s="14">
        <v>91</v>
      </c>
      <c r="B68" s="146" t="s">
        <v>59</v>
      </c>
      <c r="C68" s="15"/>
      <c r="D68" s="318" t="s">
        <v>248</v>
      </c>
      <c r="E68" s="146" t="s">
        <v>270</v>
      </c>
      <c r="F68" s="146" t="s">
        <v>162</v>
      </c>
      <c r="G68" s="240">
        <v>45842</v>
      </c>
      <c r="H68" s="17">
        <v>3456</v>
      </c>
      <c r="I68" s="241">
        <v>3456</v>
      </c>
      <c r="J68" s="241">
        <v>3180</v>
      </c>
      <c r="K68" s="6">
        <f>+H68*92%-J68</f>
        <v>-0.48000000000001819</v>
      </c>
      <c r="L68" s="6">
        <f t="shared" si="12"/>
        <v>0</v>
      </c>
      <c r="M68" s="299" t="s">
        <v>133</v>
      </c>
      <c r="N68" s="132">
        <f t="shared" ca="1" si="19"/>
        <v>2</v>
      </c>
      <c r="O68" s="131">
        <v>45817</v>
      </c>
      <c r="P68" s="131">
        <v>45806</v>
      </c>
      <c r="Q68" s="131">
        <f t="shared" si="13"/>
        <v>45808</v>
      </c>
      <c r="R68" s="132">
        <f t="shared" ca="1" si="14"/>
        <v>11</v>
      </c>
      <c r="S68" s="131">
        <f>O68+12</f>
        <v>45829</v>
      </c>
      <c r="T68" s="133">
        <v>45819</v>
      </c>
      <c r="U68" s="132">
        <f t="shared" ca="1" si="15"/>
        <v>10</v>
      </c>
      <c r="V68" s="303">
        <f t="shared" si="17"/>
        <v>13</v>
      </c>
      <c r="W68" s="131"/>
      <c r="X68" s="297"/>
      <c r="Y68" s="124"/>
    </row>
    <row r="69" spans="1:25" ht="14.5" hidden="1">
      <c r="A69" s="14">
        <v>91</v>
      </c>
      <c r="B69" s="146" t="s">
        <v>59</v>
      </c>
      <c r="C69" s="15"/>
      <c r="D69" s="318" t="s">
        <v>839</v>
      </c>
      <c r="E69" s="146" t="s">
        <v>242</v>
      </c>
      <c r="F69" s="146" t="s">
        <v>162</v>
      </c>
      <c r="G69" s="240">
        <v>45842</v>
      </c>
      <c r="H69" s="17">
        <v>261</v>
      </c>
      <c r="I69" s="241">
        <v>261</v>
      </c>
      <c r="J69" s="241">
        <v>261</v>
      </c>
      <c r="K69" s="6">
        <f t="shared" si="18"/>
        <v>0</v>
      </c>
      <c r="L69" s="6">
        <f t="shared" si="12"/>
        <v>0</v>
      </c>
      <c r="M69" s="299" t="s">
        <v>894</v>
      </c>
      <c r="N69" s="132">
        <f t="shared" ca="1" si="19"/>
        <v>2</v>
      </c>
      <c r="O69" s="131">
        <v>45793</v>
      </c>
      <c r="P69" s="131">
        <v>45793</v>
      </c>
      <c r="Q69" s="131">
        <f t="shared" si="13"/>
        <v>45795</v>
      </c>
      <c r="R69" s="132">
        <f t="shared" ca="1" si="14"/>
        <v>0</v>
      </c>
      <c r="S69" s="131">
        <f>G69-32</f>
        <v>45810</v>
      </c>
      <c r="T69" s="133">
        <v>45810</v>
      </c>
      <c r="U69" s="132">
        <f t="shared" ca="1" si="15"/>
        <v>0</v>
      </c>
      <c r="V69" s="303">
        <f t="shared" si="17"/>
        <v>32</v>
      </c>
      <c r="W69" s="131">
        <v>45806</v>
      </c>
      <c r="X69" s="297"/>
      <c r="Y69" s="124"/>
    </row>
    <row r="70" spans="1:25" ht="14.5" hidden="1">
      <c r="A70" s="14">
        <v>92</v>
      </c>
      <c r="B70" s="146" t="s">
        <v>59</v>
      </c>
      <c r="C70" s="15"/>
      <c r="D70" s="301" t="s">
        <v>189</v>
      </c>
      <c r="E70" s="146" t="s">
        <v>242</v>
      </c>
      <c r="F70" s="146" t="s">
        <v>90</v>
      </c>
      <c r="G70" s="240">
        <v>45856</v>
      </c>
      <c r="H70" s="17">
        <v>706</v>
      </c>
      <c r="I70" s="241">
        <v>706</v>
      </c>
      <c r="J70" s="241">
        <v>678</v>
      </c>
      <c r="K70" s="6">
        <f>+H70*96%-J70</f>
        <v>-0.24000000000000909</v>
      </c>
      <c r="L70" s="6">
        <f t="shared" si="12"/>
        <v>0</v>
      </c>
      <c r="M70" s="299" t="s">
        <v>389</v>
      </c>
      <c r="N70" s="132">
        <f t="shared" ca="1" si="19"/>
        <v>16</v>
      </c>
      <c r="O70" s="131">
        <f>S70-4</f>
        <v>45812</v>
      </c>
      <c r="P70" s="131">
        <v>45792</v>
      </c>
      <c r="Q70" s="131">
        <f t="shared" si="13"/>
        <v>45794</v>
      </c>
      <c r="R70" s="132">
        <f t="shared" ca="1" si="14"/>
        <v>20</v>
      </c>
      <c r="S70" s="131">
        <f>G70-40</f>
        <v>45816</v>
      </c>
      <c r="T70" s="133">
        <v>45813</v>
      </c>
      <c r="U70" s="132">
        <f t="shared" ca="1" si="15"/>
        <v>3</v>
      </c>
      <c r="V70" s="303">
        <f t="shared" si="17"/>
        <v>40</v>
      </c>
      <c r="W70" s="131"/>
      <c r="X70" s="297"/>
      <c r="Y70" s="124"/>
    </row>
    <row r="71" spans="1:25" ht="14.5" hidden="1">
      <c r="A71" s="14">
        <v>92</v>
      </c>
      <c r="B71" s="146" t="s">
        <v>59</v>
      </c>
      <c r="C71" s="15"/>
      <c r="D71" s="318" t="s">
        <v>391</v>
      </c>
      <c r="E71" s="146" t="s">
        <v>392</v>
      </c>
      <c r="F71" s="146" t="s">
        <v>393</v>
      </c>
      <c r="G71" s="240">
        <v>45856</v>
      </c>
      <c r="H71" s="17">
        <v>127</v>
      </c>
      <c r="I71" s="241">
        <v>127</v>
      </c>
      <c r="J71" s="241">
        <v>122</v>
      </c>
      <c r="K71" s="6">
        <f>+H71*96%-J71</f>
        <v>-7.9999999999998295E-2</v>
      </c>
      <c r="L71" s="6">
        <f t="shared" si="12"/>
        <v>0</v>
      </c>
      <c r="M71" s="299" t="s">
        <v>853</v>
      </c>
      <c r="N71" s="132">
        <f t="shared" ca="1" si="19"/>
        <v>16</v>
      </c>
      <c r="O71" s="131">
        <v>45793</v>
      </c>
      <c r="P71" s="131">
        <v>45787</v>
      </c>
      <c r="Q71" s="131">
        <f t="shared" si="13"/>
        <v>45789</v>
      </c>
      <c r="R71" s="132">
        <f t="shared" ca="1" si="14"/>
        <v>6</v>
      </c>
      <c r="S71" s="131">
        <f>O71+12</f>
        <v>45805</v>
      </c>
      <c r="T71" s="133">
        <v>45819</v>
      </c>
      <c r="U71" s="132">
        <f t="shared" ca="1" si="15"/>
        <v>-14</v>
      </c>
      <c r="V71" s="303">
        <f t="shared" si="17"/>
        <v>51</v>
      </c>
      <c r="W71" s="131"/>
      <c r="X71" s="297"/>
      <c r="Y71" s="124"/>
    </row>
    <row r="72" spans="1:25" ht="14.5" hidden="1">
      <c r="A72" s="14">
        <v>92</v>
      </c>
      <c r="B72" s="146" t="s">
        <v>59</v>
      </c>
      <c r="C72" s="15"/>
      <c r="D72" s="318" t="s">
        <v>248</v>
      </c>
      <c r="E72" s="146" t="s">
        <v>270</v>
      </c>
      <c r="F72" s="146" t="s">
        <v>162</v>
      </c>
      <c r="G72" s="240">
        <v>45856</v>
      </c>
      <c r="H72" s="17">
        <v>2721</v>
      </c>
      <c r="I72" s="241">
        <v>2721</v>
      </c>
      <c r="J72" s="241">
        <v>2721</v>
      </c>
      <c r="K72" s="6">
        <f>+H72*92%-J72</f>
        <v>-217.67999999999984</v>
      </c>
      <c r="L72" s="6">
        <f t="shared" si="12"/>
        <v>0</v>
      </c>
      <c r="M72" s="299" t="s">
        <v>133</v>
      </c>
      <c r="N72" s="132">
        <f t="shared" ca="1" si="19"/>
        <v>16</v>
      </c>
      <c r="O72" s="131">
        <v>45817</v>
      </c>
      <c r="P72" s="131">
        <v>45819</v>
      </c>
      <c r="Q72" s="131">
        <f t="shared" si="13"/>
        <v>45821</v>
      </c>
      <c r="R72" s="132">
        <f t="shared" ca="1" si="14"/>
        <v>-2</v>
      </c>
      <c r="S72" s="131">
        <f>O72+12</f>
        <v>45829</v>
      </c>
      <c r="T72" s="133">
        <v>45827</v>
      </c>
      <c r="U72" s="132">
        <f t="shared" ca="1" si="15"/>
        <v>2</v>
      </c>
      <c r="V72" s="303">
        <f t="shared" si="17"/>
        <v>27</v>
      </c>
      <c r="W72" s="131"/>
      <c r="X72" s="297"/>
      <c r="Y72" s="124"/>
    </row>
    <row r="73" spans="1:25" ht="14.5" hidden="1">
      <c r="A73" s="14">
        <v>93</v>
      </c>
      <c r="B73" s="146" t="s">
        <v>59</v>
      </c>
      <c r="C73" s="15"/>
      <c r="D73" s="301" t="s">
        <v>250</v>
      </c>
      <c r="E73" s="146" t="s">
        <v>269</v>
      </c>
      <c r="F73" s="146" t="s">
        <v>162</v>
      </c>
      <c r="G73" s="240">
        <v>45849</v>
      </c>
      <c r="H73" s="17">
        <v>3640</v>
      </c>
      <c r="I73" s="241">
        <v>3640</v>
      </c>
      <c r="J73" s="241">
        <v>3317</v>
      </c>
      <c r="K73" s="6">
        <f>+H73*94%-J73</f>
        <v>104.59999999999991</v>
      </c>
      <c r="L73" s="6">
        <f t="shared" si="12"/>
        <v>0</v>
      </c>
      <c r="M73" s="299" t="s">
        <v>397</v>
      </c>
      <c r="N73" s="132">
        <f t="shared" ca="1" si="19"/>
        <v>9</v>
      </c>
      <c r="O73" s="131">
        <f>S73-6</f>
        <v>45803</v>
      </c>
      <c r="P73" s="131">
        <v>45818</v>
      </c>
      <c r="Q73" s="131">
        <f t="shared" si="13"/>
        <v>45820</v>
      </c>
      <c r="R73" s="132">
        <f t="shared" ca="1" si="14"/>
        <v>-15</v>
      </c>
      <c r="S73" s="131">
        <f>G73-40</f>
        <v>45809</v>
      </c>
      <c r="T73" s="133">
        <v>45812</v>
      </c>
      <c r="U73" s="132">
        <f t="shared" ca="1" si="15"/>
        <v>-3</v>
      </c>
      <c r="V73" s="303">
        <f t="shared" si="17"/>
        <v>40</v>
      </c>
      <c r="W73" s="131"/>
      <c r="X73" s="297"/>
      <c r="Y73" s="124"/>
    </row>
    <row r="74" spans="1:25" ht="14.5" hidden="1">
      <c r="A74" s="14">
        <v>93</v>
      </c>
      <c r="B74" s="146" t="s">
        <v>59</v>
      </c>
      <c r="C74" s="15"/>
      <c r="D74" s="318" t="s">
        <v>288</v>
      </c>
      <c r="E74" s="146" t="s">
        <v>289</v>
      </c>
      <c r="F74" s="146" t="s">
        <v>155</v>
      </c>
      <c r="G74" s="240">
        <v>45849</v>
      </c>
      <c r="H74" s="17">
        <f>1295/2</f>
        <v>647.5</v>
      </c>
      <c r="I74" s="241">
        <v>648</v>
      </c>
      <c r="J74" s="241">
        <v>648</v>
      </c>
      <c r="K74" s="6">
        <f t="shared" si="18"/>
        <v>-0.5</v>
      </c>
      <c r="L74" s="6">
        <f t="shared" si="12"/>
        <v>-0.5</v>
      </c>
      <c r="M74" s="299" t="s">
        <v>853</v>
      </c>
      <c r="N74" s="132">
        <f t="shared" ca="1" si="19"/>
        <v>9</v>
      </c>
      <c r="O74" s="131">
        <f>S74-12</f>
        <v>45805</v>
      </c>
      <c r="P74" s="131">
        <v>45826</v>
      </c>
      <c r="Q74" s="131">
        <f t="shared" si="13"/>
        <v>45828</v>
      </c>
      <c r="R74" s="132">
        <f t="shared" ca="1" si="14"/>
        <v>-21</v>
      </c>
      <c r="S74" s="131">
        <f>G74-32</f>
        <v>45817</v>
      </c>
      <c r="T74" s="133">
        <v>45833</v>
      </c>
      <c r="U74" s="132">
        <f t="shared" ca="1" si="15"/>
        <v>-16</v>
      </c>
      <c r="V74" s="303">
        <f t="shared" si="17"/>
        <v>32</v>
      </c>
      <c r="W74" s="131"/>
      <c r="X74" s="297"/>
      <c r="Y74" s="124"/>
    </row>
    <row r="75" spans="1:25" ht="14.5" hidden="1">
      <c r="A75" s="14">
        <v>93</v>
      </c>
      <c r="B75" s="146" t="s">
        <v>59</v>
      </c>
      <c r="C75" s="15"/>
      <c r="D75" s="318" t="s">
        <v>288</v>
      </c>
      <c r="E75" s="146" t="s">
        <v>289</v>
      </c>
      <c r="F75" s="146" t="s">
        <v>154</v>
      </c>
      <c r="G75" s="240">
        <v>45849</v>
      </c>
      <c r="H75" s="17">
        <f>1079/2</f>
        <v>539.5</v>
      </c>
      <c r="I75" s="241">
        <v>540</v>
      </c>
      <c r="J75" s="241">
        <v>540</v>
      </c>
      <c r="K75" s="6">
        <f t="shared" si="18"/>
        <v>-0.5</v>
      </c>
      <c r="L75" s="6">
        <f t="shared" si="12"/>
        <v>-0.5</v>
      </c>
      <c r="M75" s="299" t="s">
        <v>853</v>
      </c>
      <c r="N75" s="132">
        <f t="shared" ca="1" si="19"/>
        <v>9</v>
      </c>
      <c r="O75" s="131">
        <f>S75-12</f>
        <v>45805</v>
      </c>
      <c r="P75" s="131">
        <v>45826</v>
      </c>
      <c r="Q75" s="131">
        <f t="shared" si="13"/>
        <v>45828</v>
      </c>
      <c r="R75" s="132">
        <f t="shared" ca="1" si="14"/>
        <v>-21</v>
      </c>
      <c r="S75" s="131">
        <f>G75-32</f>
        <v>45817</v>
      </c>
      <c r="T75" s="133">
        <v>45833</v>
      </c>
      <c r="U75" s="132">
        <f t="shared" ca="1" si="15"/>
        <v>-16</v>
      </c>
      <c r="V75" s="303">
        <f t="shared" si="17"/>
        <v>32</v>
      </c>
      <c r="W75" s="131"/>
      <c r="X75" s="297"/>
      <c r="Y75" s="124"/>
    </row>
    <row r="76" spans="1:25" ht="14.5" hidden="1">
      <c r="A76" s="14">
        <v>93</v>
      </c>
      <c r="B76" s="146" t="s">
        <v>59</v>
      </c>
      <c r="C76" s="15"/>
      <c r="D76" s="318" t="s">
        <v>288</v>
      </c>
      <c r="E76" s="146" t="s">
        <v>289</v>
      </c>
      <c r="F76" s="146" t="s">
        <v>156</v>
      </c>
      <c r="G76" s="240">
        <v>45849</v>
      </c>
      <c r="H76" s="17">
        <f>863/2</f>
        <v>431.5</v>
      </c>
      <c r="I76" s="241">
        <v>400</v>
      </c>
      <c r="J76" s="241">
        <v>400</v>
      </c>
      <c r="K76" s="6">
        <f t="shared" si="18"/>
        <v>31.5</v>
      </c>
      <c r="L76" s="6">
        <f t="shared" si="12"/>
        <v>31.5</v>
      </c>
      <c r="M76" s="300" t="s">
        <v>853</v>
      </c>
      <c r="N76" s="132">
        <f t="shared" ca="1" si="19"/>
        <v>9</v>
      </c>
      <c r="O76" s="131">
        <f>S76-12</f>
        <v>45805</v>
      </c>
      <c r="P76" s="131">
        <v>45815</v>
      </c>
      <c r="Q76" s="131">
        <f t="shared" si="13"/>
        <v>45817</v>
      </c>
      <c r="R76" s="132">
        <f t="shared" ca="1" si="14"/>
        <v>-10</v>
      </c>
      <c r="S76" s="131">
        <f>G76-32</f>
        <v>45817</v>
      </c>
      <c r="T76" s="133">
        <v>45820</v>
      </c>
      <c r="U76" s="132">
        <f t="shared" ca="1" si="15"/>
        <v>-3</v>
      </c>
      <c r="V76" s="303">
        <f t="shared" si="17"/>
        <v>32</v>
      </c>
      <c r="W76" s="131"/>
      <c r="X76" s="297"/>
      <c r="Y76" s="124"/>
    </row>
    <row r="77" spans="1:25" ht="14.5" hidden="1">
      <c r="A77" s="14">
        <v>93</v>
      </c>
      <c r="B77" s="146" t="s">
        <v>59</v>
      </c>
      <c r="C77" s="15"/>
      <c r="D77" s="318" t="s">
        <v>189</v>
      </c>
      <c r="E77" s="146" t="s">
        <v>242</v>
      </c>
      <c r="F77" s="146" t="s">
        <v>90</v>
      </c>
      <c r="G77" s="240">
        <v>45849</v>
      </c>
      <c r="H77" s="17">
        <v>570</v>
      </c>
      <c r="I77" s="241">
        <v>556</v>
      </c>
      <c r="J77" s="241">
        <v>547</v>
      </c>
      <c r="K77" s="6">
        <f>+H77*96%-J77</f>
        <v>0.19999999999993179</v>
      </c>
      <c r="L77" s="6">
        <f t="shared" si="12"/>
        <v>14</v>
      </c>
      <c r="M77" s="300" t="s">
        <v>389</v>
      </c>
      <c r="N77" s="132">
        <f t="shared" ca="1" si="19"/>
        <v>9</v>
      </c>
      <c r="O77" s="131">
        <f>S77-4</f>
        <v>45805</v>
      </c>
      <c r="P77" s="131">
        <v>45792</v>
      </c>
      <c r="Q77" s="131">
        <f t="shared" si="13"/>
        <v>45794</v>
      </c>
      <c r="R77" s="132">
        <f t="shared" ca="1" si="14"/>
        <v>13</v>
      </c>
      <c r="S77" s="131">
        <f>G77-40</f>
        <v>45809</v>
      </c>
      <c r="T77" s="131">
        <v>45808</v>
      </c>
      <c r="U77" s="132">
        <f t="shared" ca="1" si="15"/>
        <v>1</v>
      </c>
      <c r="V77" s="303">
        <f t="shared" si="17"/>
        <v>40</v>
      </c>
      <c r="W77" s="131"/>
      <c r="X77" s="297"/>
      <c r="Y77" s="124"/>
    </row>
    <row r="78" spans="1:25" ht="14.5" hidden="1">
      <c r="A78" s="14">
        <v>93</v>
      </c>
      <c r="B78" s="146" t="s">
        <v>59</v>
      </c>
      <c r="C78" s="15"/>
      <c r="D78" s="318" t="s">
        <v>391</v>
      </c>
      <c r="E78" s="146" t="s">
        <v>392</v>
      </c>
      <c r="F78" s="146" t="s">
        <v>393</v>
      </c>
      <c r="G78" s="240">
        <v>45849</v>
      </c>
      <c r="H78" s="17">
        <v>628</v>
      </c>
      <c r="I78" s="241">
        <v>628</v>
      </c>
      <c r="J78" s="241">
        <v>603</v>
      </c>
      <c r="K78" s="6">
        <f>+H78*96%-J78</f>
        <v>-0.12000000000000455</v>
      </c>
      <c r="L78" s="6">
        <f t="shared" si="12"/>
        <v>0</v>
      </c>
      <c r="M78" s="300" t="s">
        <v>853</v>
      </c>
      <c r="N78" s="132">
        <f t="shared" ca="1" si="19"/>
        <v>9</v>
      </c>
      <c r="O78" s="131">
        <v>45793</v>
      </c>
      <c r="P78" s="131">
        <v>45787</v>
      </c>
      <c r="Q78" s="131">
        <f t="shared" si="13"/>
        <v>45789</v>
      </c>
      <c r="R78" s="132">
        <f t="shared" ca="1" si="14"/>
        <v>6</v>
      </c>
      <c r="S78" s="131">
        <f>O78+12</f>
        <v>45805</v>
      </c>
      <c r="T78" s="133">
        <v>45819</v>
      </c>
      <c r="U78" s="132">
        <f t="shared" ca="1" si="15"/>
        <v>-14</v>
      </c>
      <c r="V78" s="303">
        <f t="shared" si="17"/>
        <v>44</v>
      </c>
      <c r="W78" s="131"/>
      <c r="X78" s="297"/>
      <c r="Y78" s="124"/>
    </row>
    <row r="79" spans="1:25" ht="14.5" hidden="1">
      <c r="A79" s="14">
        <v>93</v>
      </c>
      <c r="B79" s="146" t="s">
        <v>59</v>
      </c>
      <c r="C79" s="15"/>
      <c r="D79" s="318" t="s">
        <v>248</v>
      </c>
      <c r="E79" s="146" t="s">
        <v>270</v>
      </c>
      <c r="F79" s="146" t="s">
        <v>162</v>
      </c>
      <c r="G79" s="240">
        <v>45849</v>
      </c>
      <c r="H79" s="17">
        <v>540</v>
      </c>
      <c r="I79" s="241">
        <v>540</v>
      </c>
      <c r="J79" s="241">
        <v>500</v>
      </c>
      <c r="K79" s="6">
        <f>+H79*92%-J79</f>
        <v>-3.1999999999999886</v>
      </c>
      <c r="L79" s="6">
        <f t="shared" si="12"/>
        <v>0</v>
      </c>
      <c r="M79" s="299" t="s">
        <v>133</v>
      </c>
      <c r="N79" s="132">
        <f t="shared" ca="1" si="19"/>
        <v>9</v>
      </c>
      <c r="O79" s="131">
        <v>45817</v>
      </c>
      <c r="P79" s="131">
        <v>45801</v>
      </c>
      <c r="Q79" s="131">
        <f t="shared" si="13"/>
        <v>45803</v>
      </c>
      <c r="R79" s="132">
        <f t="shared" ca="1" si="14"/>
        <v>16</v>
      </c>
      <c r="S79" s="131">
        <f>O79+12</f>
        <v>45829</v>
      </c>
      <c r="T79" s="133">
        <v>45827</v>
      </c>
      <c r="U79" s="132">
        <f t="shared" ca="1" si="15"/>
        <v>2</v>
      </c>
      <c r="V79" s="303">
        <f t="shared" si="17"/>
        <v>20</v>
      </c>
      <c r="W79" s="131"/>
      <c r="X79" s="297"/>
      <c r="Y79" s="124"/>
    </row>
    <row r="80" spans="1:25" ht="14.5" hidden="1">
      <c r="A80" s="14">
        <v>93</v>
      </c>
      <c r="B80" s="146" t="s">
        <v>59</v>
      </c>
      <c r="C80" s="15"/>
      <c r="D80" s="318" t="s">
        <v>193</v>
      </c>
      <c r="E80" s="146" t="s">
        <v>246</v>
      </c>
      <c r="F80" s="146" t="s">
        <v>162</v>
      </c>
      <c r="G80" s="240">
        <v>45849</v>
      </c>
      <c r="H80" s="17">
        <v>1013</v>
      </c>
      <c r="I80" s="241">
        <v>1013</v>
      </c>
      <c r="J80" s="241">
        <v>952</v>
      </c>
      <c r="K80" s="6">
        <f>+H80*94%-J80</f>
        <v>0.2199999999999136</v>
      </c>
      <c r="L80" s="6">
        <f t="shared" ref="L80:L142" si="20">+H80-I80</f>
        <v>0</v>
      </c>
      <c r="M80" s="299" t="s">
        <v>133</v>
      </c>
      <c r="N80" s="132">
        <f t="shared" ca="1" si="19"/>
        <v>9</v>
      </c>
      <c r="O80" s="131">
        <v>45817</v>
      </c>
      <c r="P80" s="131">
        <v>45801</v>
      </c>
      <c r="Q80" s="131">
        <f t="shared" ref="Q80:Q142" si="21">P80+2</f>
        <v>45803</v>
      </c>
      <c r="R80" s="132">
        <f t="shared" ref="R80:R142" ca="1" si="22">+IF(P80="",O80-TODAY(),O80-P80)</f>
        <v>16</v>
      </c>
      <c r="S80" s="131">
        <f>O80+12</f>
        <v>45829</v>
      </c>
      <c r="T80" s="133">
        <v>45819</v>
      </c>
      <c r="U80" s="132">
        <f t="shared" ref="U80:U142" ca="1" si="23">+IF(T80="",S80-TODAY(),S80-T80)</f>
        <v>10</v>
      </c>
      <c r="V80" s="303">
        <f t="shared" si="17"/>
        <v>20</v>
      </c>
      <c r="W80" s="131"/>
      <c r="X80" s="297"/>
      <c r="Y80" s="124"/>
    </row>
    <row r="81" spans="1:25" ht="14.5" hidden="1">
      <c r="A81" s="14">
        <v>93</v>
      </c>
      <c r="B81" s="146" t="s">
        <v>59</v>
      </c>
      <c r="C81" s="15"/>
      <c r="D81" s="318" t="s">
        <v>839</v>
      </c>
      <c r="E81" s="146" t="s">
        <v>242</v>
      </c>
      <c r="F81" s="146" t="s">
        <v>162</v>
      </c>
      <c r="G81" s="240">
        <v>45849</v>
      </c>
      <c r="H81" s="17">
        <v>657</v>
      </c>
      <c r="I81" s="241">
        <v>657</v>
      </c>
      <c r="J81" s="241">
        <v>657</v>
      </c>
      <c r="K81" s="6">
        <f t="shared" si="18"/>
        <v>0</v>
      </c>
      <c r="L81" s="6">
        <f t="shared" si="20"/>
        <v>0</v>
      </c>
      <c r="M81" s="299" t="s">
        <v>894</v>
      </c>
      <c r="N81" s="132">
        <f t="shared" ca="1" si="19"/>
        <v>9</v>
      </c>
      <c r="O81" s="131">
        <v>45793</v>
      </c>
      <c r="P81" s="131">
        <v>45793</v>
      </c>
      <c r="Q81" s="131">
        <f t="shared" si="21"/>
        <v>45795</v>
      </c>
      <c r="R81" s="132">
        <f t="shared" ca="1" si="22"/>
        <v>0</v>
      </c>
      <c r="S81" s="131">
        <f>G81-32</f>
        <v>45817</v>
      </c>
      <c r="T81" s="133">
        <v>45810</v>
      </c>
      <c r="U81" s="132">
        <f t="shared" ca="1" si="23"/>
        <v>7</v>
      </c>
      <c r="V81" s="303">
        <f t="shared" si="17"/>
        <v>32</v>
      </c>
      <c r="W81" s="131">
        <v>45806</v>
      </c>
      <c r="X81" s="297"/>
      <c r="Y81" s="124"/>
    </row>
    <row r="82" spans="1:25" ht="14.5" hidden="1">
      <c r="A82" s="14">
        <v>98</v>
      </c>
      <c r="B82" s="146" t="s">
        <v>59</v>
      </c>
      <c r="C82" s="15"/>
      <c r="D82" s="318" t="s">
        <v>189</v>
      </c>
      <c r="E82" s="146" t="s">
        <v>242</v>
      </c>
      <c r="F82" s="146" t="s">
        <v>90</v>
      </c>
      <c r="G82" s="240">
        <v>45835</v>
      </c>
      <c r="H82" s="17">
        <v>706</v>
      </c>
      <c r="I82" s="241">
        <v>706</v>
      </c>
      <c r="J82" s="241">
        <v>678</v>
      </c>
      <c r="K82" s="6">
        <f>+H82*96%-J82</f>
        <v>-0.24000000000000909</v>
      </c>
      <c r="L82" s="6">
        <f t="shared" si="20"/>
        <v>0</v>
      </c>
      <c r="M82" s="299" t="s">
        <v>389</v>
      </c>
      <c r="N82" s="132">
        <f t="shared" ca="1" si="19"/>
        <v>-5</v>
      </c>
      <c r="O82" s="131">
        <f>S82-4</f>
        <v>45791</v>
      </c>
      <c r="P82" s="131">
        <v>45792</v>
      </c>
      <c r="Q82" s="131">
        <f t="shared" si="21"/>
        <v>45794</v>
      </c>
      <c r="R82" s="132">
        <f t="shared" ca="1" si="22"/>
        <v>-1</v>
      </c>
      <c r="S82" s="131">
        <f>G82-40</f>
        <v>45795</v>
      </c>
      <c r="T82" s="131">
        <v>45808</v>
      </c>
      <c r="U82" s="132">
        <f t="shared" ca="1" si="23"/>
        <v>-13</v>
      </c>
      <c r="V82" s="303">
        <f t="shared" si="17"/>
        <v>40</v>
      </c>
      <c r="W82" s="131"/>
      <c r="X82" s="297"/>
      <c r="Y82" s="124"/>
    </row>
    <row r="83" spans="1:25" ht="14.5" hidden="1">
      <c r="A83" s="14">
        <v>98</v>
      </c>
      <c r="B83" s="146" t="s">
        <v>59</v>
      </c>
      <c r="C83" s="15"/>
      <c r="D83" s="318" t="s">
        <v>193</v>
      </c>
      <c r="E83" s="146" t="s">
        <v>249</v>
      </c>
      <c r="F83" s="146" t="s">
        <v>162</v>
      </c>
      <c r="G83" s="240">
        <v>45835</v>
      </c>
      <c r="H83" s="17">
        <v>5824</v>
      </c>
      <c r="I83" s="241">
        <v>3517</v>
      </c>
      <c r="J83" s="241">
        <v>3453</v>
      </c>
      <c r="K83" s="6">
        <f t="shared" si="18"/>
        <v>2371</v>
      </c>
      <c r="L83" s="6">
        <f t="shared" si="20"/>
        <v>2307</v>
      </c>
      <c r="M83" s="299" t="s">
        <v>133</v>
      </c>
      <c r="N83" s="132">
        <f t="shared" ca="1" si="19"/>
        <v>-5</v>
      </c>
      <c r="O83" s="131">
        <v>45817</v>
      </c>
      <c r="P83" s="131">
        <v>45801</v>
      </c>
      <c r="Q83" s="131">
        <f t="shared" si="21"/>
        <v>45803</v>
      </c>
      <c r="R83" s="132">
        <f t="shared" ca="1" si="22"/>
        <v>16</v>
      </c>
      <c r="S83" s="131">
        <f>O83+12</f>
        <v>45829</v>
      </c>
      <c r="T83" s="133">
        <v>45815</v>
      </c>
      <c r="U83" s="132">
        <f t="shared" ca="1" si="23"/>
        <v>14</v>
      </c>
      <c r="V83" s="303">
        <f t="shared" si="17"/>
        <v>6</v>
      </c>
      <c r="W83" s="131"/>
      <c r="X83" s="297" t="s">
        <v>949</v>
      </c>
      <c r="Y83" s="124"/>
    </row>
    <row r="84" spans="1:25" ht="14.5" hidden="1">
      <c r="A84" s="14">
        <v>99</v>
      </c>
      <c r="B84" s="146" t="s">
        <v>59</v>
      </c>
      <c r="C84" s="15"/>
      <c r="D84" s="318" t="s">
        <v>201</v>
      </c>
      <c r="E84" s="146" t="s">
        <v>247</v>
      </c>
      <c r="F84" s="146" t="s">
        <v>155</v>
      </c>
      <c r="G84" s="240">
        <v>45835</v>
      </c>
      <c r="H84" s="17">
        <v>4314</v>
      </c>
      <c r="I84" s="241">
        <v>4314</v>
      </c>
      <c r="J84" s="241">
        <v>4200</v>
      </c>
      <c r="K84" s="6">
        <f t="shared" si="18"/>
        <v>114</v>
      </c>
      <c r="L84" s="6">
        <f t="shared" si="20"/>
        <v>0</v>
      </c>
      <c r="M84" s="299" t="s">
        <v>386</v>
      </c>
      <c r="N84" s="132">
        <f t="shared" ca="1" si="19"/>
        <v>-5</v>
      </c>
      <c r="O84" s="131">
        <v>45812</v>
      </c>
      <c r="P84" s="131">
        <v>45818</v>
      </c>
      <c r="Q84" s="131">
        <f t="shared" si="21"/>
        <v>45820</v>
      </c>
      <c r="R84" s="132">
        <f t="shared" ca="1" si="22"/>
        <v>-6</v>
      </c>
      <c r="S84" s="131">
        <f>O84+4</f>
        <v>45816</v>
      </c>
      <c r="T84" s="133">
        <v>45827</v>
      </c>
      <c r="U84" s="132">
        <f t="shared" ca="1" si="23"/>
        <v>-11</v>
      </c>
      <c r="V84" s="303">
        <f t="shared" ref="V84:V147" si="24">G84-S84</f>
        <v>19</v>
      </c>
      <c r="W84" s="131"/>
      <c r="X84" s="297"/>
      <c r="Y84" s="124"/>
    </row>
    <row r="85" spans="1:25" ht="14.5" hidden="1">
      <c r="A85" s="14">
        <v>99</v>
      </c>
      <c r="B85" s="146" t="s">
        <v>59</v>
      </c>
      <c r="C85" s="15"/>
      <c r="D85" s="330" t="s">
        <v>839</v>
      </c>
      <c r="E85" s="146" t="s">
        <v>242</v>
      </c>
      <c r="F85" s="146" t="s">
        <v>162</v>
      </c>
      <c r="G85" s="240">
        <v>45835</v>
      </c>
      <c r="H85" s="17">
        <v>1255</v>
      </c>
      <c r="I85" s="241">
        <v>1255</v>
      </c>
      <c r="J85" s="241">
        <v>1255</v>
      </c>
      <c r="K85" s="6">
        <f t="shared" si="18"/>
        <v>0</v>
      </c>
      <c r="L85" s="6">
        <f t="shared" si="20"/>
        <v>0</v>
      </c>
      <c r="M85" s="299" t="s">
        <v>894</v>
      </c>
      <c r="N85" s="132">
        <f t="shared" ca="1" si="19"/>
        <v>-5</v>
      </c>
      <c r="O85" s="131">
        <v>45793</v>
      </c>
      <c r="P85" s="131">
        <v>45793</v>
      </c>
      <c r="Q85" s="131">
        <f t="shared" si="21"/>
        <v>45795</v>
      </c>
      <c r="R85" s="132">
        <f t="shared" ca="1" si="22"/>
        <v>0</v>
      </c>
      <c r="S85" s="131">
        <f>G85-32</f>
        <v>45803</v>
      </c>
      <c r="T85" s="133">
        <v>45810</v>
      </c>
      <c r="U85" s="132">
        <f t="shared" ca="1" si="23"/>
        <v>-7</v>
      </c>
      <c r="V85" s="303">
        <f t="shared" si="24"/>
        <v>32</v>
      </c>
      <c r="W85" s="131">
        <v>45806</v>
      </c>
      <c r="X85" s="297"/>
      <c r="Y85" s="124"/>
    </row>
    <row r="86" spans="1:25" ht="14.5" hidden="1">
      <c r="A86" s="14">
        <v>99</v>
      </c>
      <c r="B86" s="146" t="s">
        <v>59</v>
      </c>
      <c r="C86" s="15"/>
      <c r="D86" s="137" t="s">
        <v>189</v>
      </c>
      <c r="E86" s="146" t="s">
        <v>242</v>
      </c>
      <c r="F86" s="146" t="s">
        <v>90</v>
      </c>
      <c r="G86" s="240">
        <v>45835</v>
      </c>
      <c r="H86" s="17">
        <v>484</v>
      </c>
      <c r="I86" s="241">
        <v>484</v>
      </c>
      <c r="J86" s="241">
        <v>465</v>
      </c>
      <c r="K86" s="6">
        <f>+H86*96%-J86</f>
        <v>-0.36000000000001364</v>
      </c>
      <c r="L86" s="6">
        <f t="shared" si="20"/>
        <v>0</v>
      </c>
      <c r="M86" s="300" t="s">
        <v>389</v>
      </c>
      <c r="N86" s="132">
        <f t="shared" ca="1" si="19"/>
        <v>-5</v>
      </c>
      <c r="O86" s="131">
        <f>S86-4</f>
        <v>45791</v>
      </c>
      <c r="P86" s="131">
        <v>45792</v>
      </c>
      <c r="Q86" s="131">
        <f t="shared" si="21"/>
        <v>45794</v>
      </c>
      <c r="R86" s="132">
        <f t="shared" ca="1" si="22"/>
        <v>-1</v>
      </c>
      <c r="S86" s="131">
        <f>G86-40</f>
        <v>45795</v>
      </c>
      <c r="T86" s="133">
        <v>45799</v>
      </c>
      <c r="U86" s="132">
        <f t="shared" ca="1" si="23"/>
        <v>-4</v>
      </c>
      <c r="V86" s="303">
        <f t="shared" si="24"/>
        <v>40</v>
      </c>
      <c r="W86" s="131"/>
      <c r="X86" s="297"/>
      <c r="Y86" s="124"/>
    </row>
    <row r="87" spans="1:25" ht="14.5" hidden="1">
      <c r="A87" s="14">
        <v>100</v>
      </c>
      <c r="B87" s="146" t="s">
        <v>59</v>
      </c>
      <c r="C87" s="15"/>
      <c r="D87" s="137" t="s">
        <v>189</v>
      </c>
      <c r="E87" s="146" t="s">
        <v>242</v>
      </c>
      <c r="F87" s="146" t="s">
        <v>90</v>
      </c>
      <c r="G87" s="240">
        <v>45835</v>
      </c>
      <c r="H87" s="17">
        <v>706</v>
      </c>
      <c r="I87" s="241">
        <v>706</v>
      </c>
      <c r="J87" s="241">
        <v>678</v>
      </c>
      <c r="K87" s="6">
        <f>+H87*96%-J87</f>
        <v>-0.24000000000000909</v>
      </c>
      <c r="L87" s="6">
        <f t="shared" si="20"/>
        <v>0</v>
      </c>
      <c r="M87" s="300" t="s">
        <v>389</v>
      </c>
      <c r="N87" s="132">
        <f t="shared" ca="1" si="19"/>
        <v>-5</v>
      </c>
      <c r="O87" s="131">
        <f>S87-4</f>
        <v>45791</v>
      </c>
      <c r="P87" s="131">
        <v>45792</v>
      </c>
      <c r="Q87" s="131">
        <f t="shared" si="21"/>
        <v>45794</v>
      </c>
      <c r="R87" s="132">
        <f t="shared" ca="1" si="22"/>
        <v>-1</v>
      </c>
      <c r="S87" s="131">
        <f>G87-40</f>
        <v>45795</v>
      </c>
      <c r="T87" s="133">
        <v>45799</v>
      </c>
      <c r="U87" s="132">
        <f t="shared" ca="1" si="23"/>
        <v>-4</v>
      </c>
      <c r="V87" s="303">
        <f t="shared" si="24"/>
        <v>40</v>
      </c>
      <c r="W87" s="131"/>
      <c r="X87" s="297"/>
      <c r="Y87" s="124"/>
    </row>
    <row r="88" spans="1:25" ht="14.5" hidden="1">
      <c r="A88" s="14">
        <v>101</v>
      </c>
      <c r="B88" s="146" t="s">
        <v>59</v>
      </c>
      <c r="C88" s="15"/>
      <c r="D88" s="318" t="s">
        <v>288</v>
      </c>
      <c r="E88" s="146" t="s">
        <v>289</v>
      </c>
      <c r="F88" s="146" t="s">
        <v>155</v>
      </c>
      <c r="G88" s="240">
        <v>45842</v>
      </c>
      <c r="H88" s="17">
        <f>1317/2</f>
        <v>658.5</v>
      </c>
      <c r="I88" s="241">
        <v>659</v>
      </c>
      <c r="J88" s="241">
        <v>659</v>
      </c>
      <c r="K88" s="6">
        <f t="shared" si="18"/>
        <v>-0.5</v>
      </c>
      <c r="L88" s="6">
        <f t="shared" si="20"/>
        <v>-0.5</v>
      </c>
      <c r="M88" s="300" t="s">
        <v>853</v>
      </c>
      <c r="N88" s="132">
        <f t="shared" ca="1" si="19"/>
        <v>2</v>
      </c>
      <c r="O88" s="131">
        <v>45825</v>
      </c>
      <c r="P88" s="131">
        <v>45826</v>
      </c>
      <c r="Q88" s="131">
        <f t="shared" si="21"/>
        <v>45828</v>
      </c>
      <c r="R88" s="132">
        <f t="shared" ca="1" si="22"/>
        <v>-1</v>
      </c>
      <c r="S88" s="131">
        <f>O88+5</f>
        <v>45830</v>
      </c>
      <c r="T88" s="133">
        <v>45833</v>
      </c>
      <c r="U88" s="132">
        <f t="shared" ca="1" si="23"/>
        <v>-3</v>
      </c>
      <c r="V88" s="303">
        <f t="shared" si="24"/>
        <v>12</v>
      </c>
      <c r="W88" s="131"/>
      <c r="X88" s="297"/>
      <c r="Y88" s="124"/>
    </row>
    <row r="89" spans="1:25" ht="14.5" hidden="1">
      <c r="A89" s="14">
        <v>101</v>
      </c>
      <c r="B89" s="146" t="s">
        <v>59</v>
      </c>
      <c r="C89" s="15"/>
      <c r="D89" s="318" t="s">
        <v>288</v>
      </c>
      <c r="E89" s="146" t="s">
        <v>289</v>
      </c>
      <c r="F89" s="146" t="s">
        <v>154</v>
      </c>
      <c r="G89" s="240">
        <v>45842</v>
      </c>
      <c r="H89" s="17">
        <f>1097/2</f>
        <v>548.5</v>
      </c>
      <c r="I89" s="241">
        <v>549</v>
      </c>
      <c r="J89" s="241">
        <v>549</v>
      </c>
      <c r="K89" s="6">
        <f t="shared" si="18"/>
        <v>-0.5</v>
      </c>
      <c r="L89" s="6">
        <f t="shared" si="20"/>
        <v>-0.5</v>
      </c>
      <c r="M89" s="299" t="s">
        <v>853</v>
      </c>
      <c r="N89" s="132">
        <f t="shared" ca="1" si="19"/>
        <v>2</v>
      </c>
      <c r="O89" s="131">
        <v>45825</v>
      </c>
      <c r="P89" s="131">
        <v>45826</v>
      </c>
      <c r="Q89" s="131">
        <f t="shared" si="21"/>
        <v>45828</v>
      </c>
      <c r="R89" s="132">
        <f t="shared" ca="1" si="22"/>
        <v>-1</v>
      </c>
      <c r="S89" s="131">
        <f>O89+5</f>
        <v>45830</v>
      </c>
      <c r="T89" s="133">
        <v>45833</v>
      </c>
      <c r="U89" s="132">
        <f t="shared" ca="1" si="23"/>
        <v>-3</v>
      </c>
      <c r="V89" s="303">
        <f t="shared" si="24"/>
        <v>12</v>
      </c>
      <c r="W89" s="131"/>
      <c r="X89" s="297"/>
      <c r="Y89" s="124"/>
    </row>
    <row r="90" spans="1:25" ht="14.5" hidden="1">
      <c r="A90" s="14">
        <v>101</v>
      </c>
      <c r="B90" s="146" t="s">
        <v>59</v>
      </c>
      <c r="C90" s="15"/>
      <c r="D90" s="318" t="s">
        <v>288</v>
      </c>
      <c r="E90" s="146" t="s">
        <v>289</v>
      </c>
      <c r="F90" s="146" t="s">
        <v>156</v>
      </c>
      <c r="G90" s="240">
        <v>45842</v>
      </c>
      <c r="H90" s="17">
        <f>878/2</f>
        <v>439</v>
      </c>
      <c r="I90" s="241">
        <v>432</v>
      </c>
      <c r="J90" s="241">
        <v>100</v>
      </c>
      <c r="K90" s="6">
        <f t="shared" si="18"/>
        <v>339</v>
      </c>
      <c r="L90" s="6">
        <f t="shared" si="20"/>
        <v>7</v>
      </c>
      <c r="M90" s="299" t="s">
        <v>853</v>
      </c>
      <c r="N90" s="132">
        <f t="shared" ca="1" si="19"/>
        <v>2</v>
      </c>
      <c r="O90" s="131">
        <v>45825</v>
      </c>
      <c r="P90" s="131">
        <v>45806</v>
      </c>
      <c r="Q90" s="131">
        <f t="shared" si="21"/>
        <v>45808</v>
      </c>
      <c r="R90" s="132">
        <f t="shared" ca="1" si="22"/>
        <v>19</v>
      </c>
      <c r="S90" s="131">
        <f>O90+5</f>
        <v>45830</v>
      </c>
      <c r="T90" s="133">
        <v>45813</v>
      </c>
      <c r="U90" s="132">
        <f t="shared" ca="1" si="23"/>
        <v>17</v>
      </c>
      <c r="V90" s="303">
        <f t="shared" si="24"/>
        <v>12</v>
      </c>
      <c r="W90" s="131"/>
      <c r="X90" s="297"/>
      <c r="Y90" s="124"/>
    </row>
    <row r="91" spans="1:25" ht="14.5" hidden="1">
      <c r="A91" s="14">
        <v>101</v>
      </c>
      <c r="B91" s="146" t="s">
        <v>59</v>
      </c>
      <c r="C91" s="15"/>
      <c r="D91" s="318" t="s">
        <v>839</v>
      </c>
      <c r="E91" s="146" t="s">
        <v>242</v>
      </c>
      <c r="F91" s="146" t="s">
        <v>162</v>
      </c>
      <c r="G91" s="240">
        <v>45842</v>
      </c>
      <c r="H91" s="17">
        <v>1254</v>
      </c>
      <c r="I91" s="241">
        <v>1254</v>
      </c>
      <c r="J91" s="241">
        <v>1254</v>
      </c>
      <c r="K91" s="6">
        <f t="shared" si="18"/>
        <v>0</v>
      </c>
      <c r="L91" s="6">
        <f t="shared" si="20"/>
        <v>0</v>
      </c>
      <c r="M91" s="299" t="s">
        <v>894</v>
      </c>
      <c r="N91" s="132">
        <f t="shared" ca="1" si="19"/>
        <v>2</v>
      </c>
      <c r="O91" s="131">
        <v>45793</v>
      </c>
      <c r="P91" s="131">
        <v>45793</v>
      </c>
      <c r="Q91" s="131">
        <f t="shared" si="21"/>
        <v>45795</v>
      </c>
      <c r="R91" s="132">
        <f t="shared" ca="1" si="22"/>
        <v>0</v>
      </c>
      <c r="S91" s="131">
        <f>G91-32</f>
        <v>45810</v>
      </c>
      <c r="T91" s="133">
        <v>45810</v>
      </c>
      <c r="U91" s="132">
        <f t="shared" ca="1" si="23"/>
        <v>0</v>
      </c>
      <c r="V91" s="303">
        <f t="shared" si="24"/>
        <v>32</v>
      </c>
      <c r="W91" s="131">
        <v>45806</v>
      </c>
      <c r="X91" s="297"/>
      <c r="Y91" s="124"/>
    </row>
    <row r="92" spans="1:25" ht="14.5" hidden="1">
      <c r="A92" s="14">
        <v>101</v>
      </c>
      <c r="B92" s="146" t="s">
        <v>59</v>
      </c>
      <c r="C92" s="15"/>
      <c r="D92" s="137" t="s">
        <v>189</v>
      </c>
      <c r="E92" s="146" t="s">
        <v>242</v>
      </c>
      <c r="F92" s="146" t="s">
        <v>90</v>
      </c>
      <c r="G92" s="240">
        <v>45842</v>
      </c>
      <c r="H92" s="17">
        <v>706</v>
      </c>
      <c r="I92" s="241">
        <v>706</v>
      </c>
      <c r="J92" s="241">
        <v>678</v>
      </c>
      <c r="K92" s="6">
        <f>+H92*96%-J92</f>
        <v>-0.24000000000000909</v>
      </c>
      <c r="L92" s="6">
        <f t="shared" si="20"/>
        <v>0</v>
      </c>
      <c r="M92" s="299" t="s">
        <v>389</v>
      </c>
      <c r="N92" s="132">
        <f t="shared" ca="1" si="19"/>
        <v>2</v>
      </c>
      <c r="O92" s="131">
        <f>S92-4</f>
        <v>45798</v>
      </c>
      <c r="P92" s="131">
        <v>45792</v>
      </c>
      <c r="Q92" s="131">
        <f t="shared" si="21"/>
        <v>45794</v>
      </c>
      <c r="R92" s="132">
        <f t="shared" ca="1" si="22"/>
        <v>6</v>
      </c>
      <c r="S92" s="131">
        <f>G92-40</f>
        <v>45802</v>
      </c>
      <c r="T92" s="133">
        <v>45799</v>
      </c>
      <c r="U92" s="132">
        <f t="shared" ca="1" si="23"/>
        <v>3</v>
      </c>
      <c r="V92" s="303">
        <f t="shared" si="24"/>
        <v>40</v>
      </c>
      <c r="W92" s="131"/>
      <c r="X92" s="297"/>
      <c r="Y92" s="124"/>
    </row>
    <row r="93" spans="1:25" ht="14.5" hidden="1">
      <c r="A93" s="14">
        <v>102</v>
      </c>
      <c r="B93" s="146" t="s">
        <v>59</v>
      </c>
      <c r="C93" s="15"/>
      <c r="D93" s="318" t="s">
        <v>190</v>
      </c>
      <c r="E93" s="146" t="s">
        <v>242</v>
      </c>
      <c r="F93" s="146" t="s">
        <v>244</v>
      </c>
      <c r="G93" s="240">
        <v>45842</v>
      </c>
      <c r="H93" s="17">
        <v>407</v>
      </c>
      <c r="I93" s="241">
        <v>407</v>
      </c>
      <c r="J93" s="241"/>
      <c r="K93" s="6">
        <f t="shared" si="18"/>
        <v>407</v>
      </c>
      <c r="L93" s="6">
        <f t="shared" si="20"/>
        <v>0</v>
      </c>
      <c r="M93" s="130" t="s">
        <v>133</v>
      </c>
      <c r="N93" s="132">
        <f t="shared" ca="1" si="19"/>
        <v>2</v>
      </c>
      <c r="O93" s="131">
        <f>S93-12</f>
        <v>45798</v>
      </c>
      <c r="P93" s="131">
        <v>45806</v>
      </c>
      <c r="Q93" s="131">
        <f t="shared" si="21"/>
        <v>45808</v>
      </c>
      <c r="R93" s="132">
        <f t="shared" ca="1" si="22"/>
        <v>-8</v>
      </c>
      <c r="S93" s="131">
        <f>G93-32</f>
        <v>45810</v>
      </c>
      <c r="T93" s="133">
        <v>45813</v>
      </c>
      <c r="U93" s="132">
        <f t="shared" ca="1" si="23"/>
        <v>-3</v>
      </c>
      <c r="V93" s="303">
        <f t="shared" si="24"/>
        <v>32</v>
      </c>
      <c r="W93" s="131"/>
      <c r="X93" s="297"/>
      <c r="Y93" s="124"/>
    </row>
    <row r="94" spans="1:25" ht="14.5" hidden="1">
      <c r="A94" s="14">
        <v>102</v>
      </c>
      <c r="B94" s="146" t="s">
        <v>59</v>
      </c>
      <c r="C94" s="15"/>
      <c r="D94" s="318" t="s">
        <v>839</v>
      </c>
      <c r="E94" s="146" t="s">
        <v>242</v>
      </c>
      <c r="F94" s="147" t="s">
        <v>162</v>
      </c>
      <c r="G94" s="240">
        <v>45842</v>
      </c>
      <c r="H94" s="17">
        <v>490</v>
      </c>
      <c r="I94" s="241">
        <v>490</v>
      </c>
      <c r="J94" s="241">
        <v>490</v>
      </c>
      <c r="K94" s="6">
        <f t="shared" si="18"/>
        <v>0</v>
      </c>
      <c r="L94" s="6">
        <f t="shared" si="20"/>
        <v>0</v>
      </c>
      <c r="M94" s="299" t="s">
        <v>894</v>
      </c>
      <c r="N94" s="132">
        <f t="shared" ca="1" si="19"/>
        <v>2</v>
      </c>
      <c r="O94" s="131">
        <v>45793</v>
      </c>
      <c r="P94" s="131">
        <v>45793</v>
      </c>
      <c r="Q94" s="131">
        <f t="shared" si="21"/>
        <v>45795</v>
      </c>
      <c r="R94" s="132">
        <f t="shared" ca="1" si="22"/>
        <v>0</v>
      </c>
      <c r="S94" s="131">
        <f>G94-32</f>
        <v>45810</v>
      </c>
      <c r="T94" s="133">
        <v>45810</v>
      </c>
      <c r="U94" s="132">
        <f t="shared" ca="1" si="23"/>
        <v>0</v>
      </c>
      <c r="V94" s="303">
        <f t="shared" si="24"/>
        <v>32</v>
      </c>
      <c r="W94" s="131">
        <v>45806</v>
      </c>
      <c r="X94" s="297"/>
      <c r="Y94" s="124"/>
    </row>
    <row r="95" spans="1:25" ht="14.5" hidden="1">
      <c r="A95" s="14">
        <v>103</v>
      </c>
      <c r="B95" s="146" t="s">
        <v>59</v>
      </c>
      <c r="C95" s="15"/>
      <c r="D95" s="318" t="s">
        <v>189</v>
      </c>
      <c r="E95" s="146" t="s">
        <v>242</v>
      </c>
      <c r="F95" s="146" t="s">
        <v>90</v>
      </c>
      <c r="G95" s="240">
        <v>45842</v>
      </c>
      <c r="H95" s="17">
        <v>816</v>
      </c>
      <c r="I95" s="241">
        <v>816</v>
      </c>
      <c r="J95" s="241">
        <v>783</v>
      </c>
      <c r="K95" s="6">
        <f>+H95*96%-J95</f>
        <v>0.36000000000001364</v>
      </c>
      <c r="L95" s="6">
        <f t="shared" si="20"/>
        <v>0</v>
      </c>
      <c r="M95" s="299" t="s">
        <v>389</v>
      </c>
      <c r="N95" s="132">
        <f t="shared" ca="1" si="19"/>
        <v>2</v>
      </c>
      <c r="O95" s="131">
        <f>S95-4</f>
        <v>45798</v>
      </c>
      <c r="P95" s="131">
        <v>45792</v>
      </c>
      <c r="Q95" s="131">
        <f t="shared" si="21"/>
        <v>45794</v>
      </c>
      <c r="R95" s="132">
        <f t="shared" ca="1" si="22"/>
        <v>6</v>
      </c>
      <c r="S95" s="131">
        <f>G95-40</f>
        <v>45802</v>
      </c>
      <c r="T95" s="131">
        <v>45808</v>
      </c>
      <c r="U95" s="132">
        <f t="shared" ca="1" si="23"/>
        <v>-6</v>
      </c>
      <c r="V95" s="303">
        <f t="shared" si="24"/>
        <v>40</v>
      </c>
      <c r="W95" s="131"/>
      <c r="X95" s="297"/>
      <c r="Y95" s="124"/>
    </row>
    <row r="96" spans="1:25" ht="14.5" hidden="1">
      <c r="A96" s="14">
        <v>103</v>
      </c>
      <c r="B96" s="146" t="s">
        <v>59</v>
      </c>
      <c r="C96" s="15"/>
      <c r="D96" s="318" t="s">
        <v>391</v>
      </c>
      <c r="E96" s="146" t="s">
        <v>392</v>
      </c>
      <c r="F96" s="146" t="s">
        <v>393</v>
      </c>
      <c r="G96" s="240">
        <v>45842</v>
      </c>
      <c r="H96" s="17">
        <v>628</v>
      </c>
      <c r="I96" s="241">
        <v>628</v>
      </c>
      <c r="J96" s="241">
        <v>603</v>
      </c>
      <c r="K96" s="6">
        <f>+H96*96%-J96</f>
        <v>-0.12000000000000455</v>
      </c>
      <c r="L96" s="6">
        <f t="shared" si="20"/>
        <v>0</v>
      </c>
      <c r="M96" s="299" t="s">
        <v>853</v>
      </c>
      <c r="N96" s="132">
        <f t="shared" ca="1" si="19"/>
        <v>2</v>
      </c>
      <c r="O96" s="131">
        <v>45793</v>
      </c>
      <c r="P96" s="131">
        <v>45787</v>
      </c>
      <c r="Q96" s="131">
        <f t="shared" si="21"/>
        <v>45789</v>
      </c>
      <c r="R96" s="132">
        <f t="shared" ca="1" si="22"/>
        <v>6</v>
      </c>
      <c r="S96" s="131">
        <f>O96+12</f>
        <v>45805</v>
      </c>
      <c r="T96" s="133">
        <v>45819</v>
      </c>
      <c r="U96" s="132">
        <f t="shared" ca="1" si="23"/>
        <v>-14</v>
      </c>
      <c r="V96" s="303">
        <f t="shared" si="24"/>
        <v>37</v>
      </c>
      <c r="W96" s="131"/>
      <c r="X96" s="297"/>
      <c r="Y96" s="124"/>
    </row>
    <row r="97" spans="1:25" ht="14.5" hidden="1">
      <c r="A97" s="14">
        <v>103</v>
      </c>
      <c r="B97" s="146" t="s">
        <v>59</v>
      </c>
      <c r="C97" s="15"/>
      <c r="D97" s="318" t="s">
        <v>839</v>
      </c>
      <c r="E97" s="146" t="s">
        <v>242</v>
      </c>
      <c r="F97" s="146" t="s">
        <v>162</v>
      </c>
      <c r="G97" s="240">
        <v>45842</v>
      </c>
      <c r="H97" s="17">
        <v>688</v>
      </c>
      <c r="I97" s="241">
        <v>688</v>
      </c>
      <c r="J97" s="241">
        <v>688</v>
      </c>
      <c r="K97" s="6">
        <f t="shared" si="18"/>
        <v>0</v>
      </c>
      <c r="L97" s="6">
        <f t="shared" si="20"/>
        <v>0</v>
      </c>
      <c r="M97" s="299" t="s">
        <v>894</v>
      </c>
      <c r="N97" s="132">
        <f t="shared" ca="1" si="19"/>
        <v>2</v>
      </c>
      <c r="O97" s="131">
        <v>45793</v>
      </c>
      <c r="P97" s="131">
        <v>45793</v>
      </c>
      <c r="Q97" s="131">
        <f t="shared" si="21"/>
        <v>45795</v>
      </c>
      <c r="R97" s="132">
        <f t="shared" ca="1" si="22"/>
        <v>0</v>
      </c>
      <c r="S97" s="131">
        <f>G97-32</f>
        <v>45810</v>
      </c>
      <c r="T97" s="133">
        <v>45810</v>
      </c>
      <c r="U97" s="132">
        <f t="shared" ca="1" si="23"/>
        <v>0</v>
      </c>
      <c r="V97" s="303">
        <f t="shared" si="24"/>
        <v>32</v>
      </c>
      <c r="W97" s="131">
        <v>45806</v>
      </c>
      <c r="X97" s="297"/>
      <c r="Y97" s="124"/>
    </row>
    <row r="98" spans="1:25" ht="14.5" hidden="1">
      <c r="A98" s="14">
        <v>104</v>
      </c>
      <c r="B98" s="146" t="s">
        <v>59</v>
      </c>
      <c r="C98" s="15"/>
      <c r="D98" s="318" t="s">
        <v>189</v>
      </c>
      <c r="E98" s="146" t="s">
        <v>242</v>
      </c>
      <c r="F98" s="146" t="s">
        <v>90</v>
      </c>
      <c r="G98" s="240">
        <v>45849</v>
      </c>
      <c r="H98" s="17">
        <v>206</v>
      </c>
      <c r="I98" s="241">
        <v>206</v>
      </c>
      <c r="J98" s="241">
        <v>198</v>
      </c>
      <c r="K98" s="6">
        <f>+H98*96%-J98</f>
        <v>-0.24000000000000909</v>
      </c>
      <c r="L98" s="6">
        <f t="shared" si="20"/>
        <v>0</v>
      </c>
      <c r="M98" s="300" t="s">
        <v>389</v>
      </c>
      <c r="N98" s="132">
        <f t="shared" ca="1" si="19"/>
        <v>9</v>
      </c>
      <c r="O98" s="131">
        <f>S98-4</f>
        <v>45805</v>
      </c>
      <c r="P98" s="131">
        <v>45792</v>
      </c>
      <c r="Q98" s="131">
        <f t="shared" si="21"/>
        <v>45794</v>
      </c>
      <c r="R98" s="132">
        <f t="shared" ca="1" si="22"/>
        <v>13</v>
      </c>
      <c r="S98" s="131">
        <f>G98-40</f>
        <v>45809</v>
      </c>
      <c r="T98" s="133">
        <v>45813</v>
      </c>
      <c r="U98" s="132">
        <f t="shared" ca="1" si="23"/>
        <v>-4</v>
      </c>
      <c r="V98" s="303">
        <f t="shared" si="24"/>
        <v>40</v>
      </c>
      <c r="W98" s="131"/>
      <c r="X98" s="297"/>
      <c r="Y98" s="124"/>
    </row>
    <row r="99" spans="1:25" ht="14.5" hidden="1">
      <c r="A99" s="14">
        <v>104</v>
      </c>
      <c r="B99" s="146" t="s">
        <v>59</v>
      </c>
      <c r="C99" s="15"/>
      <c r="D99" s="318" t="s">
        <v>248</v>
      </c>
      <c r="E99" s="146" t="s">
        <v>270</v>
      </c>
      <c r="F99" s="146" t="s">
        <v>162</v>
      </c>
      <c r="G99" s="240">
        <v>45849</v>
      </c>
      <c r="H99" s="17">
        <v>3456</v>
      </c>
      <c r="I99" s="241">
        <v>3456</v>
      </c>
      <c r="J99" s="241">
        <v>3380</v>
      </c>
      <c r="K99" s="6">
        <f>+H99*92%-J99</f>
        <v>-200.48000000000002</v>
      </c>
      <c r="L99" s="6">
        <f t="shared" si="20"/>
        <v>0</v>
      </c>
      <c r="M99" s="300" t="s">
        <v>133</v>
      </c>
      <c r="N99" s="132">
        <f t="shared" ca="1" si="19"/>
        <v>9</v>
      </c>
      <c r="O99" s="131">
        <v>45817</v>
      </c>
      <c r="P99" s="131">
        <v>45819</v>
      </c>
      <c r="Q99" s="131">
        <f t="shared" si="21"/>
        <v>45821</v>
      </c>
      <c r="R99" s="132">
        <f t="shared" ca="1" si="22"/>
        <v>-2</v>
      </c>
      <c r="S99" s="131">
        <f>O99+12</f>
        <v>45829</v>
      </c>
      <c r="T99" s="133">
        <v>45819</v>
      </c>
      <c r="U99" s="132">
        <f t="shared" ca="1" si="23"/>
        <v>10</v>
      </c>
      <c r="V99" s="303">
        <f t="shared" si="24"/>
        <v>20</v>
      </c>
      <c r="W99" s="131"/>
      <c r="X99" s="297"/>
      <c r="Y99" s="124"/>
    </row>
    <row r="100" spans="1:25" ht="14.5" hidden="1">
      <c r="A100" s="14">
        <v>104</v>
      </c>
      <c r="B100" s="146" t="s">
        <v>59</v>
      </c>
      <c r="C100" s="15"/>
      <c r="D100" s="318" t="s">
        <v>193</v>
      </c>
      <c r="E100" s="146" t="s">
        <v>246</v>
      </c>
      <c r="F100" s="146" t="s">
        <v>162</v>
      </c>
      <c r="G100" s="240">
        <v>45849</v>
      </c>
      <c r="H100" s="17">
        <v>950</v>
      </c>
      <c r="I100" s="241">
        <v>950</v>
      </c>
      <c r="J100" s="241">
        <v>893</v>
      </c>
      <c r="K100" s="6">
        <f>+H100*94%-J100</f>
        <v>0</v>
      </c>
      <c r="L100" s="6">
        <f t="shared" si="20"/>
        <v>0</v>
      </c>
      <c r="M100" s="300" t="s">
        <v>133</v>
      </c>
      <c r="N100" s="132">
        <f t="shared" ca="1" si="19"/>
        <v>9</v>
      </c>
      <c r="O100" s="131">
        <v>45817</v>
      </c>
      <c r="P100" s="131">
        <v>45801</v>
      </c>
      <c r="Q100" s="131">
        <f t="shared" si="21"/>
        <v>45803</v>
      </c>
      <c r="R100" s="132">
        <f t="shared" ca="1" si="22"/>
        <v>16</v>
      </c>
      <c r="S100" s="131">
        <f>O100+12</f>
        <v>45829</v>
      </c>
      <c r="T100" s="133">
        <v>45819</v>
      </c>
      <c r="U100" s="132">
        <f t="shared" ca="1" si="23"/>
        <v>10</v>
      </c>
      <c r="V100" s="303">
        <f t="shared" si="24"/>
        <v>20</v>
      </c>
      <c r="W100" s="131"/>
      <c r="X100" s="297"/>
      <c r="Y100" s="124"/>
    </row>
    <row r="101" spans="1:25" ht="14.5" hidden="1">
      <c r="A101" s="14">
        <v>105</v>
      </c>
      <c r="B101" s="146" t="s">
        <v>59</v>
      </c>
      <c r="C101" s="15"/>
      <c r="D101" s="318" t="s">
        <v>189</v>
      </c>
      <c r="E101" s="146" t="s">
        <v>242</v>
      </c>
      <c r="F101" s="146" t="s">
        <v>90</v>
      </c>
      <c r="G101" s="240">
        <v>45849</v>
      </c>
      <c r="H101" s="17">
        <v>706</v>
      </c>
      <c r="I101" s="241">
        <v>706</v>
      </c>
      <c r="J101" s="241">
        <v>616</v>
      </c>
      <c r="K101" s="6">
        <f>+H101*96%-J101</f>
        <v>61.759999999999991</v>
      </c>
      <c r="L101" s="6">
        <f t="shared" si="20"/>
        <v>0</v>
      </c>
      <c r="M101" s="299" t="s">
        <v>389</v>
      </c>
      <c r="N101" s="132">
        <f t="shared" ca="1" si="19"/>
        <v>9</v>
      </c>
      <c r="O101" s="131">
        <f>S101-4</f>
        <v>45805</v>
      </c>
      <c r="P101" s="131">
        <v>45792</v>
      </c>
      <c r="Q101" s="131">
        <f t="shared" si="21"/>
        <v>45794</v>
      </c>
      <c r="R101" s="132">
        <f t="shared" ca="1" si="22"/>
        <v>13</v>
      </c>
      <c r="S101" s="131">
        <f>G101-40</f>
        <v>45809</v>
      </c>
      <c r="T101" s="133">
        <v>45813</v>
      </c>
      <c r="U101" s="132">
        <f t="shared" ca="1" si="23"/>
        <v>-4</v>
      </c>
      <c r="V101" s="303">
        <f t="shared" si="24"/>
        <v>40</v>
      </c>
      <c r="W101" s="131"/>
      <c r="X101" s="297"/>
      <c r="Y101" s="124"/>
    </row>
    <row r="102" spans="1:25" ht="14.5" hidden="1">
      <c r="A102" s="14">
        <v>105</v>
      </c>
      <c r="B102" s="146" t="s">
        <v>59</v>
      </c>
      <c r="C102" s="15"/>
      <c r="D102" s="318" t="s">
        <v>391</v>
      </c>
      <c r="E102" s="146" t="s">
        <v>392</v>
      </c>
      <c r="F102" s="146" t="s">
        <v>393</v>
      </c>
      <c r="G102" s="240">
        <v>45849</v>
      </c>
      <c r="H102" s="17">
        <v>628</v>
      </c>
      <c r="I102" s="241">
        <v>628</v>
      </c>
      <c r="J102" s="241">
        <v>603</v>
      </c>
      <c r="K102" s="6">
        <f>+H102*96%-J102</f>
        <v>-0.12000000000000455</v>
      </c>
      <c r="L102" s="6">
        <f t="shared" si="20"/>
        <v>0</v>
      </c>
      <c r="M102" s="299" t="s">
        <v>853</v>
      </c>
      <c r="N102" s="132">
        <f t="shared" ca="1" si="19"/>
        <v>9</v>
      </c>
      <c r="O102" s="131">
        <v>45793</v>
      </c>
      <c r="P102" s="131">
        <v>45787</v>
      </c>
      <c r="Q102" s="131">
        <f t="shared" si="21"/>
        <v>45789</v>
      </c>
      <c r="R102" s="132">
        <f t="shared" ca="1" si="22"/>
        <v>6</v>
      </c>
      <c r="S102" s="131">
        <f>O102+12</f>
        <v>45805</v>
      </c>
      <c r="T102" s="133">
        <v>45819</v>
      </c>
      <c r="U102" s="132">
        <f t="shared" ca="1" si="23"/>
        <v>-14</v>
      </c>
      <c r="V102" s="303">
        <f t="shared" si="24"/>
        <v>44</v>
      </c>
      <c r="W102" s="131"/>
      <c r="X102" s="297"/>
      <c r="Y102" s="124"/>
    </row>
    <row r="103" spans="1:25" ht="14.5" hidden="1">
      <c r="A103" s="14">
        <v>106</v>
      </c>
      <c r="B103" s="146" t="s">
        <v>59</v>
      </c>
      <c r="C103" s="15"/>
      <c r="D103" s="318" t="s">
        <v>288</v>
      </c>
      <c r="E103" s="146" t="s">
        <v>289</v>
      </c>
      <c r="F103" s="146" t="s">
        <v>155</v>
      </c>
      <c r="G103" s="240">
        <v>45870</v>
      </c>
      <c r="H103" s="17">
        <f>1339/2</f>
        <v>669.5</v>
      </c>
      <c r="I103" s="241"/>
      <c r="J103" s="241"/>
      <c r="K103" s="6">
        <f t="shared" si="18"/>
        <v>669.5</v>
      </c>
      <c r="L103" s="6">
        <f t="shared" si="20"/>
        <v>669.5</v>
      </c>
      <c r="M103" s="299" t="s">
        <v>853</v>
      </c>
      <c r="N103" s="132">
        <f t="shared" ca="1" si="19"/>
        <v>30</v>
      </c>
      <c r="O103" s="131">
        <f>S103-12</f>
        <v>45826</v>
      </c>
      <c r="P103" s="131"/>
      <c r="Q103" s="131">
        <f t="shared" si="21"/>
        <v>2</v>
      </c>
      <c r="R103" s="132">
        <f t="shared" ca="1" si="22"/>
        <v>-14</v>
      </c>
      <c r="S103" s="131">
        <f>G103-32</f>
        <v>45838</v>
      </c>
      <c r="T103" s="133"/>
      <c r="U103" s="132">
        <f t="shared" ca="1" si="23"/>
        <v>-2</v>
      </c>
      <c r="V103" s="303">
        <f t="shared" si="24"/>
        <v>32</v>
      </c>
      <c r="W103" s="131"/>
      <c r="X103" s="297"/>
      <c r="Y103" s="124"/>
    </row>
    <row r="104" spans="1:25" ht="14.5" hidden="1">
      <c r="A104" s="14">
        <v>106</v>
      </c>
      <c r="B104" s="146" t="s">
        <v>59</v>
      </c>
      <c r="C104" s="15"/>
      <c r="D104" s="318" t="s">
        <v>288</v>
      </c>
      <c r="E104" s="146" t="s">
        <v>289</v>
      </c>
      <c r="F104" s="146" t="s">
        <v>154</v>
      </c>
      <c r="G104" s="240">
        <v>45870</v>
      </c>
      <c r="H104" s="17">
        <f>1116/2</f>
        <v>558</v>
      </c>
      <c r="I104" s="241"/>
      <c r="J104" s="241"/>
      <c r="K104" s="6">
        <f t="shared" si="18"/>
        <v>558</v>
      </c>
      <c r="L104" s="6">
        <f t="shared" si="20"/>
        <v>558</v>
      </c>
      <c r="M104" s="299" t="s">
        <v>853</v>
      </c>
      <c r="N104" s="132">
        <f t="shared" ca="1" si="19"/>
        <v>30</v>
      </c>
      <c r="O104" s="131">
        <f>S104-12</f>
        <v>45826</v>
      </c>
      <c r="P104" s="131"/>
      <c r="Q104" s="131">
        <f t="shared" si="21"/>
        <v>2</v>
      </c>
      <c r="R104" s="132">
        <f t="shared" ca="1" si="22"/>
        <v>-14</v>
      </c>
      <c r="S104" s="131">
        <f>G104-32</f>
        <v>45838</v>
      </c>
      <c r="T104" s="133"/>
      <c r="U104" s="132">
        <f t="shared" ca="1" si="23"/>
        <v>-2</v>
      </c>
      <c r="V104" s="303">
        <f t="shared" si="24"/>
        <v>32</v>
      </c>
      <c r="W104" s="131"/>
      <c r="X104" s="297"/>
      <c r="Y104" s="124"/>
    </row>
    <row r="105" spans="1:25" ht="14.5" hidden="1">
      <c r="A105" s="14">
        <v>106</v>
      </c>
      <c r="B105" s="146" t="s">
        <v>59</v>
      </c>
      <c r="C105" s="15"/>
      <c r="D105" s="318" t="s">
        <v>288</v>
      </c>
      <c r="E105" s="146" t="s">
        <v>289</v>
      </c>
      <c r="F105" s="146" t="s">
        <v>156</v>
      </c>
      <c r="G105" s="240">
        <v>45870</v>
      </c>
      <c r="H105" s="17">
        <f>893/2</f>
        <v>446.5</v>
      </c>
      <c r="I105" s="241">
        <v>447</v>
      </c>
      <c r="J105" s="241">
        <v>441</v>
      </c>
      <c r="K105" s="6">
        <f t="shared" si="18"/>
        <v>5.5</v>
      </c>
      <c r="L105" s="6">
        <f t="shared" si="20"/>
        <v>-0.5</v>
      </c>
      <c r="M105" s="299" t="s">
        <v>853</v>
      </c>
      <c r="N105" s="132">
        <f t="shared" ca="1" si="19"/>
        <v>30</v>
      </c>
      <c r="O105" s="131">
        <f>S105-12</f>
        <v>45826</v>
      </c>
      <c r="P105" s="131">
        <v>45833</v>
      </c>
      <c r="Q105" s="131">
        <f t="shared" si="21"/>
        <v>45835</v>
      </c>
      <c r="R105" s="132">
        <f t="shared" ca="1" si="22"/>
        <v>-7</v>
      </c>
      <c r="S105" s="131">
        <f>G105-32</f>
        <v>45838</v>
      </c>
      <c r="T105" s="133">
        <v>45838</v>
      </c>
      <c r="U105" s="132">
        <f t="shared" ca="1" si="23"/>
        <v>0</v>
      </c>
      <c r="V105" s="303">
        <f t="shared" si="24"/>
        <v>32</v>
      </c>
      <c r="W105" s="131"/>
      <c r="X105" s="297"/>
      <c r="Y105" s="124"/>
    </row>
    <row r="106" spans="1:25" ht="14.5" hidden="1">
      <c r="A106" s="14">
        <v>106</v>
      </c>
      <c r="B106" s="146" t="s">
        <v>59</v>
      </c>
      <c r="C106" s="15"/>
      <c r="D106" s="318" t="s">
        <v>189</v>
      </c>
      <c r="E106" s="146" t="s">
        <v>312</v>
      </c>
      <c r="F106" s="146" t="s">
        <v>90</v>
      </c>
      <c r="G106" s="240">
        <v>45870</v>
      </c>
      <c r="H106" s="17">
        <v>666</v>
      </c>
      <c r="I106" s="241">
        <v>666</v>
      </c>
      <c r="J106" s="241">
        <v>587</v>
      </c>
      <c r="K106" s="6">
        <f t="shared" si="18"/>
        <v>79</v>
      </c>
      <c r="L106" s="6">
        <f t="shared" si="20"/>
        <v>0</v>
      </c>
      <c r="M106" s="299" t="s">
        <v>389</v>
      </c>
      <c r="N106" s="132">
        <f t="shared" ca="1" si="19"/>
        <v>30</v>
      </c>
      <c r="O106" s="131">
        <f>S106-4</f>
        <v>45826</v>
      </c>
      <c r="P106" s="131">
        <v>45792</v>
      </c>
      <c r="Q106" s="131">
        <f t="shared" si="21"/>
        <v>45794</v>
      </c>
      <c r="R106" s="132">
        <f t="shared" ca="1" si="22"/>
        <v>34</v>
      </c>
      <c r="S106" s="131">
        <f>G106-40</f>
        <v>45830</v>
      </c>
      <c r="T106" s="133">
        <v>45822</v>
      </c>
      <c r="U106" s="132">
        <f t="shared" ca="1" si="23"/>
        <v>8</v>
      </c>
      <c r="V106" s="303">
        <f t="shared" si="24"/>
        <v>40</v>
      </c>
      <c r="W106" s="131"/>
      <c r="X106" s="297"/>
      <c r="Y106" s="124"/>
    </row>
    <row r="107" spans="1:25" ht="14.5" hidden="1">
      <c r="A107" s="14">
        <v>106</v>
      </c>
      <c r="B107" s="146" t="s">
        <v>59</v>
      </c>
      <c r="C107" s="15"/>
      <c r="D107" s="318" t="s">
        <v>391</v>
      </c>
      <c r="E107" s="146" t="s">
        <v>392</v>
      </c>
      <c r="F107" s="146" t="s">
        <v>393</v>
      </c>
      <c r="G107" s="240">
        <v>45870</v>
      </c>
      <c r="H107" s="17">
        <v>628</v>
      </c>
      <c r="I107" s="241">
        <v>628</v>
      </c>
      <c r="J107" s="241">
        <v>603</v>
      </c>
      <c r="K107" s="6">
        <f>+H107*96%-J107</f>
        <v>-0.12000000000000455</v>
      </c>
      <c r="L107" s="6">
        <f t="shared" si="20"/>
        <v>0</v>
      </c>
      <c r="M107" s="299" t="s">
        <v>853</v>
      </c>
      <c r="N107" s="132">
        <f t="shared" ca="1" si="19"/>
        <v>30</v>
      </c>
      <c r="O107" s="131">
        <v>45793</v>
      </c>
      <c r="P107" s="131">
        <v>45787</v>
      </c>
      <c r="Q107" s="131">
        <f t="shared" si="21"/>
        <v>45789</v>
      </c>
      <c r="R107" s="132">
        <f t="shared" ca="1" si="22"/>
        <v>6</v>
      </c>
      <c r="S107" s="131">
        <f>O107+12</f>
        <v>45805</v>
      </c>
      <c r="T107" s="133">
        <v>45819</v>
      </c>
      <c r="U107" s="132">
        <f t="shared" ca="1" si="23"/>
        <v>-14</v>
      </c>
      <c r="V107" s="303">
        <f t="shared" si="24"/>
        <v>65</v>
      </c>
      <c r="W107" s="131"/>
      <c r="X107" s="297"/>
      <c r="Y107" s="124"/>
    </row>
    <row r="108" spans="1:25" ht="14.5" hidden="1">
      <c r="A108" s="14">
        <v>107</v>
      </c>
      <c r="B108" s="15" t="s">
        <v>74</v>
      </c>
      <c r="C108" s="15"/>
      <c r="D108" s="135" t="s">
        <v>298</v>
      </c>
      <c r="E108" s="12" t="s">
        <v>256</v>
      </c>
      <c r="F108" s="329" t="s">
        <v>155</v>
      </c>
      <c r="G108" s="240">
        <v>45874</v>
      </c>
      <c r="H108" s="17">
        <v>823</v>
      </c>
      <c r="I108" s="241">
        <v>823</v>
      </c>
      <c r="J108" s="241"/>
      <c r="K108" s="6">
        <f t="shared" si="18"/>
        <v>823</v>
      </c>
      <c r="L108" s="6">
        <f t="shared" si="20"/>
        <v>0</v>
      </c>
      <c r="M108" s="299" t="s">
        <v>837</v>
      </c>
      <c r="N108" s="132">
        <f t="shared" ca="1" si="19"/>
        <v>34</v>
      </c>
      <c r="O108" s="85">
        <f t="shared" ref="O108:O117" si="25">S108-12</f>
        <v>45828</v>
      </c>
      <c r="P108" s="131">
        <v>45836</v>
      </c>
      <c r="Q108" s="131">
        <f t="shared" si="21"/>
        <v>45838</v>
      </c>
      <c r="R108" s="132">
        <f t="shared" ca="1" si="22"/>
        <v>-8</v>
      </c>
      <c r="S108" s="131">
        <f t="shared" ref="S108:S117" si="26">G108-34</f>
        <v>45840</v>
      </c>
      <c r="T108" s="133"/>
      <c r="U108" s="132">
        <f t="shared" ca="1" si="23"/>
        <v>0</v>
      </c>
      <c r="V108" s="303">
        <f t="shared" si="24"/>
        <v>34</v>
      </c>
      <c r="W108" s="328"/>
      <c r="X108" s="328"/>
    </row>
    <row r="109" spans="1:25" ht="14.5" hidden="1">
      <c r="A109" s="14">
        <v>107</v>
      </c>
      <c r="B109" s="15" t="s">
        <v>74</v>
      </c>
      <c r="C109" s="15"/>
      <c r="D109" s="135" t="s">
        <v>298</v>
      </c>
      <c r="E109" s="12" t="s">
        <v>58</v>
      </c>
      <c r="F109" s="12" t="s">
        <v>155</v>
      </c>
      <c r="G109" s="240">
        <v>45874</v>
      </c>
      <c r="H109" s="17">
        <v>494</v>
      </c>
      <c r="I109" s="241">
        <v>494</v>
      </c>
      <c r="J109" s="241"/>
      <c r="K109" s="6">
        <f t="shared" si="18"/>
        <v>494</v>
      </c>
      <c r="L109" s="6">
        <f t="shared" si="20"/>
        <v>0</v>
      </c>
      <c r="M109" s="299" t="s">
        <v>836</v>
      </c>
      <c r="N109" s="132">
        <f t="shared" ca="1" si="19"/>
        <v>34</v>
      </c>
      <c r="O109" s="85">
        <f t="shared" si="25"/>
        <v>45828</v>
      </c>
      <c r="P109" s="131">
        <v>45836</v>
      </c>
      <c r="Q109" s="131">
        <f t="shared" si="21"/>
        <v>45838</v>
      </c>
      <c r="R109" s="132">
        <f t="shared" ca="1" si="22"/>
        <v>-8</v>
      </c>
      <c r="S109" s="131">
        <f t="shared" si="26"/>
        <v>45840</v>
      </c>
      <c r="T109" s="133"/>
      <c r="U109" s="132">
        <f t="shared" ca="1" si="23"/>
        <v>0</v>
      </c>
      <c r="V109" s="303">
        <f t="shared" si="24"/>
        <v>34</v>
      </c>
      <c r="W109" s="328"/>
      <c r="X109" s="328"/>
    </row>
    <row r="110" spans="1:25" ht="14.5" hidden="1">
      <c r="A110" s="14">
        <v>107</v>
      </c>
      <c r="B110" s="15" t="s">
        <v>74</v>
      </c>
      <c r="C110" s="15"/>
      <c r="D110" s="135" t="s">
        <v>298</v>
      </c>
      <c r="E110" s="12" t="s">
        <v>246</v>
      </c>
      <c r="F110" s="12" t="s">
        <v>155</v>
      </c>
      <c r="G110" s="240">
        <v>45874</v>
      </c>
      <c r="H110" s="17">
        <v>757</v>
      </c>
      <c r="I110" s="241">
        <v>757</v>
      </c>
      <c r="J110" s="241"/>
      <c r="K110" s="6">
        <f t="shared" si="18"/>
        <v>757</v>
      </c>
      <c r="L110" s="6">
        <f t="shared" si="20"/>
        <v>0</v>
      </c>
      <c r="M110" s="299" t="s">
        <v>837</v>
      </c>
      <c r="N110" s="132">
        <f t="shared" ca="1" si="19"/>
        <v>34</v>
      </c>
      <c r="O110" s="85">
        <f t="shared" si="25"/>
        <v>45828</v>
      </c>
      <c r="P110" s="131">
        <v>45836</v>
      </c>
      <c r="Q110" s="131">
        <f t="shared" si="21"/>
        <v>45838</v>
      </c>
      <c r="R110" s="132">
        <f t="shared" ca="1" si="22"/>
        <v>-8</v>
      </c>
      <c r="S110" s="131">
        <f t="shared" si="26"/>
        <v>45840</v>
      </c>
      <c r="T110" s="133"/>
      <c r="U110" s="132">
        <f t="shared" ca="1" si="23"/>
        <v>0</v>
      </c>
      <c r="V110" s="303">
        <f t="shared" si="24"/>
        <v>34</v>
      </c>
      <c r="W110" s="328"/>
      <c r="X110" s="328"/>
    </row>
    <row r="111" spans="1:25" ht="14.5" hidden="1">
      <c r="A111" s="14">
        <v>107</v>
      </c>
      <c r="B111" s="15" t="s">
        <v>74</v>
      </c>
      <c r="C111" s="15"/>
      <c r="D111" s="135" t="s">
        <v>298</v>
      </c>
      <c r="E111" s="12" t="s">
        <v>300</v>
      </c>
      <c r="F111" s="12" t="s">
        <v>155</v>
      </c>
      <c r="G111" s="240">
        <v>45874</v>
      </c>
      <c r="H111" s="17">
        <v>300</v>
      </c>
      <c r="I111" s="241"/>
      <c r="J111" s="241"/>
      <c r="K111" s="6">
        <f t="shared" si="18"/>
        <v>300</v>
      </c>
      <c r="L111" s="6">
        <f t="shared" si="20"/>
        <v>300</v>
      </c>
      <c r="M111" s="299" t="s">
        <v>836</v>
      </c>
      <c r="N111" s="132">
        <f t="shared" ca="1" si="19"/>
        <v>34</v>
      </c>
      <c r="O111" s="85">
        <f t="shared" si="25"/>
        <v>45828</v>
      </c>
      <c r="P111" s="131"/>
      <c r="Q111" s="131">
        <f t="shared" si="21"/>
        <v>2</v>
      </c>
      <c r="R111" s="132">
        <f t="shared" ca="1" si="22"/>
        <v>-12</v>
      </c>
      <c r="S111" s="131">
        <f t="shared" si="26"/>
        <v>45840</v>
      </c>
      <c r="T111" s="133"/>
      <c r="U111" s="132">
        <f t="shared" ca="1" si="23"/>
        <v>0</v>
      </c>
      <c r="V111" s="303">
        <f t="shared" si="24"/>
        <v>34</v>
      </c>
      <c r="W111" s="328"/>
      <c r="X111" s="328"/>
    </row>
    <row r="112" spans="1:25" ht="14.5" hidden="1">
      <c r="A112" s="14">
        <v>107</v>
      </c>
      <c r="B112" s="15" t="s">
        <v>74</v>
      </c>
      <c r="C112" s="15"/>
      <c r="D112" s="135" t="s">
        <v>298</v>
      </c>
      <c r="E112" s="12" t="s">
        <v>300</v>
      </c>
      <c r="F112" s="12" t="s">
        <v>155</v>
      </c>
      <c r="G112" s="240">
        <v>45874</v>
      </c>
      <c r="H112" s="17">
        <v>400</v>
      </c>
      <c r="I112" s="241"/>
      <c r="J112" s="241"/>
      <c r="K112" s="6">
        <f t="shared" ref="K112:K170" si="27">+H112-J112</f>
        <v>400</v>
      </c>
      <c r="L112" s="6">
        <f t="shared" si="20"/>
        <v>400</v>
      </c>
      <c r="M112" s="299" t="s">
        <v>836</v>
      </c>
      <c r="N112" s="132">
        <f t="shared" ca="1" si="19"/>
        <v>34</v>
      </c>
      <c r="O112" s="85">
        <f t="shared" si="25"/>
        <v>45828</v>
      </c>
      <c r="P112" s="131"/>
      <c r="Q112" s="131">
        <f t="shared" si="21"/>
        <v>2</v>
      </c>
      <c r="R112" s="132">
        <f t="shared" ca="1" si="22"/>
        <v>-12</v>
      </c>
      <c r="S112" s="131">
        <f t="shared" si="26"/>
        <v>45840</v>
      </c>
      <c r="T112" s="133"/>
      <c r="U112" s="132">
        <f t="shared" ca="1" si="23"/>
        <v>0</v>
      </c>
      <c r="V112" s="303">
        <f t="shared" si="24"/>
        <v>34</v>
      </c>
      <c r="W112" s="328"/>
      <c r="X112" s="328"/>
    </row>
    <row r="113" spans="1:25" ht="14.5" hidden="1">
      <c r="A113" s="14">
        <v>108</v>
      </c>
      <c r="B113" s="15" t="s">
        <v>74</v>
      </c>
      <c r="C113" s="15"/>
      <c r="D113" s="135" t="s">
        <v>298</v>
      </c>
      <c r="E113" s="12" t="s">
        <v>256</v>
      </c>
      <c r="F113" s="12" t="s">
        <v>155</v>
      </c>
      <c r="G113" s="240">
        <v>45909</v>
      </c>
      <c r="H113" s="17">
        <v>1035</v>
      </c>
      <c r="I113" s="241">
        <v>1035</v>
      </c>
      <c r="J113" s="241"/>
      <c r="K113" s="6">
        <f t="shared" si="27"/>
        <v>1035</v>
      </c>
      <c r="L113" s="6">
        <f t="shared" si="20"/>
        <v>0</v>
      </c>
      <c r="M113" s="299" t="s">
        <v>837</v>
      </c>
      <c r="N113" s="132">
        <f t="shared" ca="1" si="19"/>
        <v>69</v>
      </c>
      <c r="O113" s="85">
        <f t="shared" si="25"/>
        <v>45863</v>
      </c>
      <c r="P113" s="131">
        <v>45836</v>
      </c>
      <c r="Q113" s="131">
        <f t="shared" si="21"/>
        <v>45838</v>
      </c>
      <c r="R113" s="132">
        <f t="shared" ca="1" si="22"/>
        <v>27</v>
      </c>
      <c r="S113" s="131">
        <f t="shared" si="26"/>
        <v>45875</v>
      </c>
      <c r="T113" s="133"/>
      <c r="U113" s="132">
        <f t="shared" ca="1" si="23"/>
        <v>35</v>
      </c>
      <c r="V113" s="303">
        <f t="shared" si="24"/>
        <v>34</v>
      </c>
      <c r="W113" s="328"/>
      <c r="X113" s="328"/>
    </row>
    <row r="114" spans="1:25" ht="14.5" hidden="1">
      <c r="A114" s="14">
        <v>108</v>
      </c>
      <c r="B114" s="15" t="s">
        <v>74</v>
      </c>
      <c r="C114" s="15"/>
      <c r="D114" s="135" t="s">
        <v>298</v>
      </c>
      <c r="E114" s="12" t="s">
        <v>58</v>
      </c>
      <c r="F114" s="12" t="s">
        <v>155</v>
      </c>
      <c r="G114" s="240">
        <v>45909</v>
      </c>
      <c r="H114" s="17">
        <v>539</v>
      </c>
      <c r="I114" s="241">
        <v>539</v>
      </c>
      <c r="J114" s="241"/>
      <c r="K114" s="6">
        <f t="shared" si="27"/>
        <v>539</v>
      </c>
      <c r="L114" s="6">
        <f t="shared" si="20"/>
        <v>0</v>
      </c>
      <c r="M114" s="299" t="s">
        <v>836</v>
      </c>
      <c r="N114" s="132">
        <f t="shared" ca="1" si="19"/>
        <v>69</v>
      </c>
      <c r="O114" s="85">
        <f t="shared" si="25"/>
        <v>45863</v>
      </c>
      <c r="P114" s="131">
        <v>45836</v>
      </c>
      <c r="Q114" s="131">
        <f t="shared" si="21"/>
        <v>45838</v>
      </c>
      <c r="R114" s="132">
        <f t="shared" ca="1" si="22"/>
        <v>27</v>
      </c>
      <c r="S114" s="131">
        <f t="shared" si="26"/>
        <v>45875</v>
      </c>
      <c r="T114" s="133"/>
      <c r="U114" s="132">
        <f t="shared" ca="1" si="23"/>
        <v>35</v>
      </c>
      <c r="V114" s="303">
        <f t="shared" si="24"/>
        <v>34</v>
      </c>
      <c r="W114" s="328"/>
      <c r="X114" s="328"/>
    </row>
    <row r="115" spans="1:25" ht="14.5" hidden="1">
      <c r="A115" s="14">
        <v>108</v>
      </c>
      <c r="B115" s="15" t="s">
        <v>74</v>
      </c>
      <c r="C115" s="15"/>
      <c r="D115" s="135" t="s">
        <v>298</v>
      </c>
      <c r="E115" s="12" t="s">
        <v>246</v>
      </c>
      <c r="F115" s="12" t="s">
        <v>155</v>
      </c>
      <c r="G115" s="240">
        <v>45909</v>
      </c>
      <c r="H115" s="17">
        <v>1250</v>
      </c>
      <c r="I115" s="241">
        <v>1250</v>
      </c>
      <c r="J115" s="241"/>
      <c r="K115" s="6">
        <f t="shared" si="27"/>
        <v>1250</v>
      </c>
      <c r="L115" s="6">
        <f t="shared" si="20"/>
        <v>0</v>
      </c>
      <c r="M115" s="299" t="s">
        <v>837</v>
      </c>
      <c r="N115" s="132">
        <f t="shared" ca="1" si="19"/>
        <v>69</v>
      </c>
      <c r="O115" s="85">
        <f t="shared" si="25"/>
        <v>45863</v>
      </c>
      <c r="P115" s="131"/>
      <c r="Q115" s="131">
        <f t="shared" si="21"/>
        <v>2</v>
      </c>
      <c r="R115" s="132">
        <f t="shared" ca="1" si="22"/>
        <v>23</v>
      </c>
      <c r="S115" s="131">
        <f t="shared" si="26"/>
        <v>45875</v>
      </c>
      <c r="T115" s="133"/>
      <c r="U115" s="132">
        <f t="shared" ca="1" si="23"/>
        <v>35</v>
      </c>
      <c r="V115" s="303">
        <f t="shared" si="24"/>
        <v>34</v>
      </c>
      <c r="W115" s="328"/>
      <c r="X115" s="328"/>
    </row>
    <row r="116" spans="1:25" ht="14.5" hidden="1">
      <c r="A116" s="14">
        <v>108</v>
      </c>
      <c r="B116" s="15" t="s">
        <v>74</v>
      </c>
      <c r="C116" s="15"/>
      <c r="D116" s="135" t="s">
        <v>298</v>
      </c>
      <c r="E116" s="12" t="s">
        <v>300</v>
      </c>
      <c r="F116" s="12" t="s">
        <v>155</v>
      </c>
      <c r="G116" s="240">
        <v>45909</v>
      </c>
      <c r="H116" s="17">
        <v>410</v>
      </c>
      <c r="I116" s="241"/>
      <c r="J116" s="241"/>
      <c r="K116" s="6">
        <f t="shared" si="27"/>
        <v>410</v>
      </c>
      <c r="L116" s="6">
        <f t="shared" si="20"/>
        <v>410</v>
      </c>
      <c r="M116" s="299" t="s">
        <v>836</v>
      </c>
      <c r="N116" s="132">
        <f t="shared" ca="1" si="19"/>
        <v>69</v>
      </c>
      <c r="O116" s="85">
        <f t="shared" si="25"/>
        <v>45863</v>
      </c>
      <c r="P116" s="131"/>
      <c r="Q116" s="131">
        <f t="shared" si="21"/>
        <v>2</v>
      </c>
      <c r="R116" s="132">
        <f t="shared" ca="1" si="22"/>
        <v>23</v>
      </c>
      <c r="S116" s="131">
        <f t="shared" si="26"/>
        <v>45875</v>
      </c>
      <c r="T116" s="133"/>
      <c r="U116" s="132">
        <f t="shared" ca="1" si="23"/>
        <v>35</v>
      </c>
      <c r="V116" s="303">
        <f t="shared" si="24"/>
        <v>34</v>
      </c>
      <c r="W116" s="328"/>
      <c r="X116" s="328"/>
    </row>
    <row r="117" spans="1:25" ht="14.5" hidden="1">
      <c r="A117" s="14">
        <v>108</v>
      </c>
      <c r="B117" s="15" t="s">
        <v>74</v>
      </c>
      <c r="C117" s="15"/>
      <c r="D117" s="135" t="s">
        <v>298</v>
      </c>
      <c r="E117" s="12" t="s">
        <v>300</v>
      </c>
      <c r="F117" s="12" t="s">
        <v>155</v>
      </c>
      <c r="G117" s="240">
        <v>45909</v>
      </c>
      <c r="H117" s="17">
        <v>366</v>
      </c>
      <c r="I117" s="241"/>
      <c r="J117" s="241"/>
      <c r="K117" s="6">
        <f t="shared" si="27"/>
        <v>366</v>
      </c>
      <c r="L117" s="6">
        <f t="shared" si="20"/>
        <v>366</v>
      </c>
      <c r="M117" s="299" t="s">
        <v>836</v>
      </c>
      <c r="N117" s="132">
        <f t="shared" ca="1" si="19"/>
        <v>69</v>
      </c>
      <c r="O117" s="85">
        <f t="shared" si="25"/>
        <v>45863</v>
      </c>
      <c r="P117" s="131"/>
      <c r="Q117" s="131">
        <f t="shared" si="21"/>
        <v>2</v>
      </c>
      <c r="R117" s="132">
        <f t="shared" ca="1" si="22"/>
        <v>23</v>
      </c>
      <c r="S117" s="131">
        <f t="shared" si="26"/>
        <v>45875</v>
      </c>
      <c r="T117" s="133"/>
      <c r="U117" s="132">
        <f t="shared" ca="1" si="23"/>
        <v>35</v>
      </c>
      <c r="V117" s="303">
        <f t="shared" si="24"/>
        <v>34</v>
      </c>
      <c r="W117" s="328"/>
      <c r="X117" s="328"/>
    </row>
    <row r="118" spans="1:25" ht="14.5">
      <c r="A118" s="14">
        <v>109</v>
      </c>
      <c r="B118" s="146" t="s">
        <v>59</v>
      </c>
      <c r="C118" s="15"/>
      <c r="D118" s="318" t="s">
        <v>201</v>
      </c>
      <c r="E118" s="146" t="s">
        <v>247</v>
      </c>
      <c r="F118" s="146" t="s">
        <v>155</v>
      </c>
      <c r="G118" s="240">
        <v>45842</v>
      </c>
      <c r="H118" s="17">
        <v>4596</v>
      </c>
      <c r="I118" s="241">
        <v>4596</v>
      </c>
      <c r="J118" s="241">
        <v>4320</v>
      </c>
      <c r="K118" s="6">
        <f>+H118*94%-J118</f>
        <v>0.23999999999978172</v>
      </c>
      <c r="L118" s="6">
        <f t="shared" si="20"/>
        <v>0</v>
      </c>
      <c r="M118" s="299" t="s">
        <v>386</v>
      </c>
      <c r="N118" s="132">
        <f t="shared" ca="1" si="19"/>
        <v>2</v>
      </c>
      <c r="O118" s="131">
        <v>45812</v>
      </c>
      <c r="P118" s="131">
        <v>45827</v>
      </c>
      <c r="Q118" s="131">
        <f t="shared" si="21"/>
        <v>45829</v>
      </c>
      <c r="R118" s="132">
        <f t="shared" ca="1" si="22"/>
        <v>-15</v>
      </c>
      <c r="S118" s="131">
        <f>O118+4</f>
        <v>45816</v>
      </c>
      <c r="T118" s="133">
        <v>45838</v>
      </c>
      <c r="U118" s="132">
        <f t="shared" ca="1" si="23"/>
        <v>-22</v>
      </c>
      <c r="V118" s="303">
        <f t="shared" si="24"/>
        <v>26</v>
      </c>
      <c r="W118" s="131"/>
      <c r="X118" s="297"/>
      <c r="Y118" s="124"/>
    </row>
    <row r="119" spans="1:25" ht="14.5" hidden="1">
      <c r="A119" s="14">
        <v>109</v>
      </c>
      <c r="B119" s="146" t="s">
        <v>59</v>
      </c>
      <c r="C119" s="15"/>
      <c r="D119" s="318" t="s">
        <v>189</v>
      </c>
      <c r="E119" s="146" t="s">
        <v>242</v>
      </c>
      <c r="F119" s="146" t="s">
        <v>90</v>
      </c>
      <c r="G119" s="240">
        <v>45842</v>
      </c>
      <c r="H119" s="17">
        <v>966</v>
      </c>
      <c r="I119" s="241">
        <v>966</v>
      </c>
      <c r="J119" s="241">
        <v>846</v>
      </c>
      <c r="K119" s="6">
        <f>+H119*96%-J119</f>
        <v>81.360000000000014</v>
      </c>
      <c r="L119" s="6">
        <f t="shared" si="20"/>
        <v>0</v>
      </c>
      <c r="M119" s="299" t="s">
        <v>389</v>
      </c>
      <c r="N119" s="132">
        <f t="shared" ca="1" si="19"/>
        <v>2</v>
      </c>
      <c r="O119" s="131">
        <f>S119-4</f>
        <v>45798</v>
      </c>
      <c r="P119" s="131">
        <v>45792</v>
      </c>
      <c r="Q119" s="131">
        <f t="shared" si="21"/>
        <v>45794</v>
      </c>
      <c r="R119" s="132">
        <f t="shared" ca="1" si="22"/>
        <v>6</v>
      </c>
      <c r="S119" s="131">
        <f>G119-40</f>
        <v>45802</v>
      </c>
      <c r="T119" s="133">
        <v>45813</v>
      </c>
      <c r="U119" s="132">
        <f t="shared" ca="1" si="23"/>
        <v>-11</v>
      </c>
      <c r="V119" s="303">
        <f t="shared" si="24"/>
        <v>40</v>
      </c>
      <c r="W119" s="131"/>
      <c r="X119" s="297"/>
      <c r="Y119" s="124"/>
    </row>
    <row r="120" spans="1:25" ht="14.5" hidden="1">
      <c r="A120" s="14">
        <v>110</v>
      </c>
      <c r="B120" s="146" t="s">
        <v>59</v>
      </c>
      <c r="C120" s="15"/>
      <c r="D120" s="318" t="s">
        <v>839</v>
      </c>
      <c r="E120" s="146" t="s">
        <v>242</v>
      </c>
      <c r="F120" s="146" t="s">
        <v>162</v>
      </c>
      <c r="G120" s="240">
        <v>45842</v>
      </c>
      <c r="H120" s="17">
        <v>714</v>
      </c>
      <c r="I120" s="241">
        <v>714</v>
      </c>
      <c r="J120" s="241">
        <v>714</v>
      </c>
      <c r="K120" s="6">
        <f t="shared" si="27"/>
        <v>0</v>
      </c>
      <c r="L120" s="6">
        <f t="shared" si="20"/>
        <v>0</v>
      </c>
      <c r="M120" s="299" t="s">
        <v>894</v>
      </c>
      <c r="N120" s="132">
        <f t="shared" ca="1" si="19"/>
        <v>2</v>
      </c>
      <c r="O120" s="131">
        <v>45793</v>
      </c>
      <c r="P120" s="131">
        <v>45793</v>
      </c>
      <c r="Q120" s="131">
        <f t="shared" si="21"/>
        <v>45795</v>
      </c>
      <c r="R120" s="132">
        <f t="shared" ca="1" si="22"/>
        <v>0</v>
      </c>
      <c r="S120" s="131">
        <f>G120-32</f>
        <v>45810</v>
      </c>
      <c r="T120" s="133">
        <v>45810</v>
      </c>
      <c r="U120" s="132">
        <f t="shared" ca="1" si="23"/>
        <v>0</v>
      </c>
      <c r="V120" s="303">
        <f t="shared" si="24"/>
        <v>32</v>
      </c>
      <c r="W120" s="131">
        <v>45806</v>
      </c>
      <c r="X120" s="297"/>
      <c r="Y120" s="124"/>
    </row>
    <row r="121" spans="1:25" ht="14.5" hidden="1">
      <c r="A121" s="14">
        <v>111</v>
      </c>
      <c r="B121" s="146" t="s">
        <v>59</v>
      </c>
      <c r="C121" s="15"/>
      <c r="D121" s="318" t="s">
        <v>189</v>
      </c>
      <c r="E121" s="146" t="s">
        <v>242</v>
      </c>
      <c r="F121" s="146" t="s">
        <v>90</v>
      </c>
      <c r="G121" s="240">
        <v>45849</v>
      </c>
      <c r="H121" s="17">
        <v>706</v>
      </c>
      <c r="I121" s="241">
        <v>706</v>
      </c>
      <c r="J121" s="241">
        <v>621</v>
      </c>
      <c r="K121" s="6">
        <f>+H121*96%-J121</f>
        <v>56.759999999999991</v>
      </c>
      <c r="L121" s="6">
        <f t="shared" si="20"/>
        <v>0</v>
      </c>
      <c r="M121" s="299" t="s">
        <v>389</v>
      </c>
      <c r="N121" s="132">
        <f t="shared" ca="1" si="19"/>
        <v>9</v>
      </c>
      <c r="O121" s="131">
        <f>S121-4</f>
        <v>45805</v>
      </c>
      <c r="P121" s="131">
        <v>45797</v>
      </c>
      <c r="Q121" s="131">
        <f t="shared" si="21"/>
        <v>45799</v>
      </c>
      <c r="R121" s="132">
        <f t="shared" ca="1" si="22"/>
        <v>8</v>
      </c>
      <c r="S121" s="131">
        <f>G121-40</f>
        <v>45809</v>
      </c>
      <c r="T121" s="133">
        <v>45813</v>
      </c>
      <c r="U121" s="132">
        <f t="shared" ca="1" si="23"/>
        <v>-4</v>
      </c>
      <c r="V121" s="303">
        <f t="shared" si="24"/>
        <v>40</v>
      </c>
      <c r="W121" s="131"/>
      <c r="X121" s="297"/>
      <c r="Y121" s="124"/>
    </row>
    <row r="122" spans="1:25" ht="14.5" hidden="1">
      <c r="A122" s="14">
        <v>111</v>
      </c>
      <c r="B122" s="146" t="s">
        <v>59</v>
      </c>
      <c r="C122" s="15"/>
      <c r="D122" s="318" t="s">
        <v>839</v>
      </c>
      <c r="E122" s="146" t="s">
        <v>242</v>
      </c>
      <c r="F122" s="146" t="s">
        <v>162</v>
      </c>
      <c r="G122" s="240">
        <v>45849</v>
      </c>
      <c r="H122" s="17">
        <v>1038</v>
      </c>
      <c r="I122" s="241">
        <v>1038</v>
      </c>
      <c r="J122" s="241">
        <v>1038</v>
      </c>
      <c r="K122" s="6">
        <f t="shared" si="27"/>
        <v>0</v>
      </c>
      <c r="L122" s="6">
        <f t="shared" si="20"/>
        <v>0</v>
      </c>
      <c r="M122" s="300" t="s">
        <v>894</v>
      </c>
      <c r="N122" s="132">
        <f t="shared" ca="1" si="19"/>
        <v>9</v>
      </c>
      <c r="O122" s="131">
        <v>45793</v>
      </c>
      <c r="P122" s="131">
        <v>45793</v>
      </c>
      <c r="Q122" s="131">
        <f t="shared" si="21"/>
        <v>45795</v>
      </c>
      <c r="R122" s="132">
        <f t="shared" ca="1" si="22"/>
        <v>0</v>
      </c>
      <c r="S122" s="131">
        <f>G122-32</f>
        <v>45817</v>
      </c>
      <c r="T122" s="133">
        <v>45810</v>
      </c>
      <c r="U122" s="132">
        <f t="shared" ca="1" si="23"/>
        <v>7</v>
      </c>
      <c r="V122" s="303">
        <f t="shared" si="24"/>
        <v>32</v>
      </c>
      <c r="W122" s="131">
        <v>45806</v>
      </c>
      <c r="X122" s="297"/>
      <c r="Y122" s="124"/>
    </row>
    <row r="123" spans="1:25" ht="14.5" hidden="1">
      <c r="A123" s="14">
        <v>112</v>
      </c>
      <c r="B123" s="146" t="s">
        <v>59</v>
      </c>
      <c r="C123" s="15"/>
      <c r="D123" s="318" t="s">
        <v>189</v>
      </c>
      <c r="E123" s="146" t="s">
        <v>242</v>
      </c>
      <c r="F123" s="146" t="s">
        <v>90</v>
      </c>
      <c r="G123" s="240">
        <v>45856</v>
      </c>
      <c r="H123" s="17">
        <v>545</v>
      </c>
      <c r="I123" s="241">
        <v>545</v>
      </c>
      <c r="J123" s="241">
        <v>500</v>
      </c>
      <c r="K123" s="6">
        <f>+H123*96%-J123</f>
        <v>23.199999999999932</v>
      </c>
      <c r="L123" s="6">
        <f t="shared" si="20"/>
        <v>0</v>
      </c>
      <c r="M123" s="300" t="s">
        <v>389</v>
      </c>
      <c r="N123" s="132">
        <f t="shared" ca="1" si="19"/>
        <v>16</v>
      </c>
      <c r="O123" s="131">
        <f>S123-4</f>
        <v>45812</v>
      </c>
      <c r="P123" s="131">
        <v>45797</v>
      </c>
      <c r="Q123" s="131">
        <f t="shared" si="21"/>
        <v>45799</v>
      </c>
      <c r="R123" s="132">
        <f t="shared" ca="1" si="22"/>
        <v>15</v>
      </c>
      <c r="S123" s="131">
        <f>G123-40</f>
        <v>45816</v>
      </c>
      <c r="T123" s="133">
        <v>45813</v>
      </c>
      <c r="U123" s="132">
        <f t="shared" ca="1" si="23"/>
        <v>3</v>
      </c>
      <c r="V123" s="303">
        <f t="shared" si="24"/>
        <v>40</v>
      </c>
      <c r="W123" s="131"/>
      <c r="X123" s="297"/>
      <c r="Y123" s="124"/>
    </row>
    <row r="124" spans="1:25" ht="14.5" hidden="1">
      <c r="A124" s="14">
        <v>112</v>
      </c>
      <c r="B124" s="146" t="s">
        <v>59</v>
      </c>
      <c r="C124" s="15"/>
      <c r="D124" s="318" t="s">
        <v>391</v>
      </c>
      <c r="E124" s="146" t="s">
        <v>392</v>
      </c>
      <c r="F124" s="146" t="s">
        <v>393</v>
      </c>
      <c r="G124" s="240">
        <v>45856</v>
      </c>
      <c r="H124" s="17">
        <v>628</v>
      </c>
      <c r="I124" s="241">
        <v>628</v>
      </c>
      <c r="J124" s="241">
        <v>603</v>
      </c>
      <c r="K124" s="6">
        <f>+H124*96%-J124</f>
        <v>-0.12000000000000455</v>
      </c>
      <c r="L124" s="6">
        <f t="shared" si="20"/>
        <v>0</v>
      </c>
      <c r="M124" s="300" t="s">
        <v>853</v>
      </c>
      <c r="N124" s="132">
        <f t="shared" ca="1" si="19"/>
        <v>16</v>
      </c>
      <c r="O124" s="131">
        <v>45793</v>
      </c>
      <c r="P124" s="131">
        <v>45787</v>
      </c>
      <c r="Q124" s="131">
        <f t="shared" si="21"/>
        <v>45789</v>
      </c>
      <c r="R124" s="132">
        <f t="shared" ca="1" si="22"/>
        <v>6</v>
      </c>
      <c r="S124" s="131">
        <f>O124+12</f>
        <v>45805</v>
      </c>
      <c r="T124" s="133">
        <v>45819</v>
      </c>
      <c r="U124" s="132">
        <f t="shared" ca="1" si="23"/>
        <v>-14</v>
      </c>
      <c r="V124" s="335">
        <f t="shared" si="24"/>
        <v>51</v>
      </c>
      <c r="W124" s="131"/>
      <c r="X124" s="297"/>
      <c r="Y124" s="124"/>
    </row>
    <row r="125" spans="1:25" ht="14.5" hidden="1">
      <c r="A125" s="14">
        <v>112</v>
      </c>
      <c r="B125" s="146" t="s">
        <v>59</v>
      </c>
      <c r="C125" s="15"/>
      <c r="D125" s="318" t="s">
        <v>193</v>
      </c>
      <c r="E125" s="146" t="s">
        <v>246</v>
      </c>
      <c r="F125" s="146" t="s">
        <v>162</v>
      </c>
      <c r="G125" s="240">
        <v>45856</v>
      </c>
      <c r="H125" s="17">
        <v>960</v>
      </c>
      <c r="I125" s="241">
        <v>960</v>
      </c>
      <c r="J125" s="241">
        <v>914</v>
      </c>
      <c r="K125" s="6">
        <f>+H125*94%-J125</f>
        <v>-11.600000000000023</v>
      </c>
      <c r="L125" s="6">
        <f t="shared" si="20"/>
        <v>0</v>
      </c>
      <c r="M125" s="299" t="s">
        <v>133</v>
      </c>
      <c r="N125" s="132">
        <f t="shared" ca="1" si="19"/>
        <v>16</v>
      </c>
      <c r="O125" s="131">
        <v>45817</v>
      </c>
      <c r="P125" s="131">
        <v>45827</v>
      </c>
      <c r="Q125" s="131">
        <f t="shared" si="21"/>
        <v>45829</v>
      </c>
      <c r="R125" s="132">
        <f t="shared" ca="1" si="22"/>
        <v>-10</v>
      </c>
      <c r="S125" s="131">
        <f>O125+12</f>
        <v>45829</v>
      </c>
      <c r="T125" s="133">
        <v>45834</v>
      </c>
      <c r="U125" s="132">
        <f t="shared" ca="1" si="23"/>
        <v>-5</v>
      </c>
      <c r="V125" s="335">
        <f t="shared" si="24"/>
        <v>27</v>
      </c>
      <c r="W125" s="131"/>
      <c r="X125" s="297"/>
      <c r="Y125" s="124"/>
    </row>
    <row r="126" spans="1:25" ht="14.5" hidden="1">
      <c r="A126" s="14">
        <v>113</v>
      </c>
      <c r="B126" s="146" t="s">
        <v>59</v>
      </c>
      <c r="C126" s="15"/>
      <c r="D126" s="318" t="s">
        <v>250</v>
      </c>
      <c r="E126" s="146" t="s">
        <v>269</v>
      </c>
      <c r="F126" s="146" t="s">
        <v>162</v>
      </c>
      <c r="G126" s="240">
        <v>45856</v>
      </c>
      <c r="H126" s="17">
        <v>4298</v>
      </c>
      <c r="I126" s="241">
        <v>4298</v>
      </c>
      <c r="J126" s="241">
        <v>3942</v>
      </c>
      <c r="K126" s="6">
        <f>+H126*94%-J126</f>
        <v>98.119999999999891</v>
      </c>
      <c r="L126" s="6">
        <f t="shared" si="20"/>
        <v>0</v>
      </c>
      <c r="M126" s="299" t="s">
        <v>397</v>
      </c>
      <c r="N126" s="132">
        <f t="shared" ref="N126:N189" ca="1" si="28">G126-TODAY()</f>
        <v>16</v>
      </c>
      <c r="O126" s="85">
        <f>S126-12</f>
        <v>45810</v>
      </c>
      <c r="P126" s="131">
        <v>45818</v>
      </c>
      <c r="Q126" s="131">
        <f t="shared" si="21"/>
        <v>45820</v>
      </c>
      <c r="R126" s="132">
        <f t="shared" ca="1" si="22"/>
        <v>-8</v>
      </c>
      <c r="S126" s="131">
        <f>G126-34</f>
        <v>45822</v>
      </c>
      <c r="T126" s="133">
        <v>45822</v>
      </c>
      <c r="U126" s="132">
        <f t="shared" ca="1" si="23"/>
        <v>0</v>
      </c>
      <c r="V126" s="335">
        <f t="shared" si="24"/>
        <v>34</v>
      </c>
      <c r="W126" s="131"/>
      <c r="X126" s="297"/>
      <c r="Y126" s="124"/>
    </row>
    <row r="127" spans="1:25" ht="14.5" hidden="1">
      <c r="A127" s="14">
        <v>113</v>
      </c>
      <c r="B127" s="146" t="s">
        <v>59</v>
      </c>
      <c r="C127" s="15"/>
      <c r="D127" s="318" t="s">
        <v>391</v>
      </c>
      <c r="E127" s="146" t="s">
        <v>392</v>
      </c>
      <c r="F127" s="146" t="s">
        <v>393</v>
      </c>
      <c r="G127" s="240">
        <v>45856</v>
      </c>
      <c r="H127" s="17">
        <v>633</v>
      </c>
      <c r="I127" s="241">
        <v>633</v>
      </c>
      <c r="J127" s="241">
        <v>608</v>
      </c>
      <c r="K127" s="6">
        <f>+H127*96%-J127</f>
        <v>-0.32000000000005002</v>
      </c>
      <c r="L127" s="6">
        <f t="shared" si="20"/>
        <v>0</v>
      </c>
      <c r="M127" s="299" t="s">
        <v>853</v>
      </c>
      <c r="N127" s="132">
        <f t="shared" ca="1" si="28"/>
        <v>16</v>
      </c>
      <c r="O127" s="131">
        <v>45793</v>
      </c>
      <c r="P127" s="131">
        <v>45787</v>
      </c>
      <c r="Q127" s="131">
        <f t="shared" si="21"/>
        <v>45789</v>
      </c>
      <c r="R127" s="132">
        <f t="shared" ca="1" si="22"/>
        <v>6</v>
      </c>
      <c r="S127" s="131">
        <f>O127+12</f>
        <v>45805</v>
      </c>
      <c r="T127" s="133">
        <v>45819</v>
      </c>
      <c r="U127" s="132">
        <f t="shared" ca="1" si="23"/>
        <v>-14</v>
      </c>
      <c r="V127" s="335">
        <f t="shared" si="24"/>
        <v>51</v>
      </c>
      <c r="W127" s="131"/>
      <c r="X127" s="297"/>
      <c r="Y127" s="124"/>
    </row>
    <row r="128" spans="1:25" ht="14.5" hidden="1">
      <c r="A128" s="14">
        <v>113</v>
      </c>
      <c r="B128" s="146" t="s">
        <v>59</v>
      </c>
      <c r="C128" s="15"/>
      <c r="D128" s="318" t="s">
        <v>839</v>
      </c>
      <c r="E128" s="146" t="s">
        <v>242</v>
      </c>
      <c r="F128" s="146" t="s">
        <v>162</v>
      </c>
      <c r="G128" s="240">
        <v>45856</v>
      </c>
      <c r="H128" s="17">
        <v>714</v>
      </c>
      <c r="I128" s="241">
        <v>714</v>
      </c>
      <c r="J128" s="241">
        <v>714</v>
      </c>
      <c r="K128" s="6">
        <f t="shared" si="27"/>
        <v>0</v>
      </c>
      <c r="L128" s="6">
        <f t="shared" si="20"/>
        <v>0</v>
      </c>
      <c r="M128" s="299" t="s">
        <v>894</v>
      </c>
      <c r="N128" s="132">
        <f t="shared" ca="1" si="28"/>
        <v>16</v>
      </c>
      <c r="O128" s="131">
        <v>45793</v>
      </c>
      <c r="P128" s="131">
        <v>45793</v>
      </c>
      <c r="Q128" s="131">
        <f t="shared" si="21"/>
        <v>45795</v>
      </c>
      <c r="R128" s="132">
        <f t="shared" ca="1" si="22"/>
        <v>0</v>
      </c>
      <c r="S128" s="131">
        <f>G128-32</f>
        <v>45824</v>
      </c>
      <c r="T128" s="133">
        <v>45810</v>
      </c>
      <c r="U128" s="132">
        <f t="shared" ca="1" si="23"/>
        <v>14</v>
      </c>
      <c r="V128" s="335">
        <f t="shared" si="24"/>
        <v>32</v>
      </c>
      <c r="W128" s="131">
        <v>45806</v>
      </c>
      <c r="X128" s="297"/>
      <c r="Y128" s="124"/>
    </row>
    <row r="129" spans="1:25" ht="14.5" hidden="1">
      <c r="A129" s="14">
        <v>114</v>
      </c>
      <c r="B129" s="146" t="s">
        <v>59</v>
      </c>
      <c r="C129" s="15"/>
      <c r="D129" s="318" t="s">
        <v>250</v>
      </c>
      <c r="E129" s="146" t="s">
        <v>269</v>
      </c>
      <c r="F129" s="146" t="s">
        <v>162</v>
      </c>
      <c r="G129" s="240">
        <v>45863</v>
      </c>
      <c r="H129" s="17">
        <v>952</v>
      </c>
      <c r="I129" s="241">
        <v>952</v>
      </c>
      <c r="J129" s="241">
        <v>845</v>
      </c>
      <c r="K129" s="6">
        <f>+H129*94%-J129</f>
        <v>49.879999999999995</v>
      </c>
      <c r="L129" s="6">
        <f t="shared" si="20"/>
        <v>0</v>
      </c>
      <c r="M129" s="299" t="s">
        <v>397</v>
      </c>
      <c r="N129" s="132">
        <f t="shared" ca="1" si="28"/>
        <v>23</v>
      </c>
      <c r="O129" s="85">
        <f>S129-12</f>
        <v>45817</v>
      </c>
      <c r="P129" s="131">
        <v>45818</v>
      </c>
      <c r="Q129" s="131">
        <f t="shared" si="21"/>
        <v>45820</v>
      </c>
      <c r="R129" s="132">
        <f t="shared" ca="1" si="22"/>
        <v>-1</v>
      </c>
      <c r="S129" s="131">
        <f>G129-34</f>
        <v>45829</v>
      </c>
      <c r="T129" s="133">
        <v>45822</v>
      </c>
      <c r="U129" s="132">
        <f t="shared" ca="1" si="23"/>
        <v>7</v>
      </c>
      <c r="V129" s="335">
        <f t="shared" si="24"/>
        <v>34</v>
      </c>
      <c r="W129" s="131"/>
      <c r="X129" s="297"/>
      <c r="Y129" s="124"/>
    </row>
    <row r="130" spans="1:25" ht="14.5" hidden="1">
      <c r="A130" s="14">
        <v>114</v>
      </c>
      <c r="B130" s="146" t="s">
        <v>59</v>
      </c>
      <c r="C130" s="15"/>
      <c r="D130" s="301" t="s">
        <v>288</v>
      </c>
      <c r="E130" s="146" t="s">
        <v>289</v>
      </c>
      <c r="F130" s="146" t="s">
        <v>155</v>
      </c>
      <c r="G130" s="240">
        <v>45863</v>
      </c>
      <c r="H130" s="17">
        <f>1257/2</f>
        <v>628.5</v>
      </c>
      <c r="I130" s="241">
        <v>629</v>
      </c>
      <c r="J130" s="241">
        <v>629</v>
      </c>
      <c r="K130" s="6">
        <f t="shared" si="27"/>
        <v>-0.5</v>
      </c>
      <c r="L130" s="6">
        <f t="shared" si="20"/>
        <v>-0.5</v>
      </c>
      <c r="M130" s="299" t="s">
        <v>853</v>
      </c>
      <c r="N130" s="132">
        <f t="shared" ca="1" si="28"/>
        <v>23</v>
      </c>
      <c r="O130" s="131">
        <f>S130-12</f>
        <v>45819</v>
      </c>
      <c r="P130" s="131">
        <v>45826</v>
      </c>
      <c r="Q130" s="131">
        <f t="shared" si="21"/>
        <v>45828</v>
      </c>
      <c r="R130" s="132">
        <f t="shared" ca="1" si="22"/>
        <v>-7</v>
      </c>
      <c r="S130" s="131">
        <f>G130-32</f>
        <v>45831</v>
      </c>
      <c r="T130" s="133">
        <v>45838</v>
      </c>
      <c r="U130" s="132">
        <f t="shared" ca="1" si="23"/>
        <v>-7</v>
      </c>
      <c r="V130" s="335">
        <f t="shared" si="24"/>
        <v>32</v>
      </c>
      <c r="W130" s="131"/>
      <c r="X130" s="297"/>
      <c r="Y130" s="124"/>
    </row>
    <row r="131" spans="1:25" ht="14.5" hidden="1">
      <c r="A131" s="14">
        <v>114</v>
      </c>
      <c r="B131" s="146" t="s">
        <v>59</v>
      </c>
      <c r="C131" s="15"/>
      <c r="D131" s="318" t="s">
        <v>288</v>
      </c>
      <c r="E131" s="146" t="s">
        <v>289</v>
      </c>
      <c r="F131" s="146" t="s">
        <v>154</v>
      </c>
      <c r="G131" s="240">
        <v>45863</v>
      </c>
      <c r="H131" s="17">
        <f>1048/2</f>
        <v>524</v>
      </c>
      <c r="I131" s="241">
        <v>524</v>
      </c>
      <c r="J131" s="241">
        <v>524</v>
      </c>
      <c r="K131" s="6">
        <f t="shared" si="27"/>
        <v>0</v>
      </c>
      <c r="L131" s="6">
        <f t="shared" si="20"/>
        <v>0</v>
      </c>
      <c r="M131" s="300" t="s">
        <v>853</v>
      </c>
      <c r="N131" s="132">
        <f t="shared" ca="1" si="28"/>
        <v>23</v>
      </c>
      <c r="O131" s="131">
        <f>S131-12</f>
        <v>45819</v>
      </c>
      <c r="P131" s="131">
        <v>45833</v>
      </c>
      <c r="Q131" s="131">
        <f t="shared" si="21"/>
        <v>45835</v>
      </c>
      <c r="R131" s="132">
        <f t="shared" ca="1" si="22"/>
        <v>-14</v>
      </c>
      <c r="S131" s="131">
        <f>G131-32</f>
        <v>45831</v>
      </c>
      <c r="T131" s="133">
        <v>45838</v>
      </c>
      <c r="U131" s="132">
        <f t="shared" ca="1" si="23"/>
        <v>-7</v>
      </c>
      <c r="V131" s="335">
        <f t="shared" si="24"/>
        <v>32</v>
      </c>
      <c r="W131" s="131"/>
      <c r="X131" s="297"/>
      <c r="Y131" s="124"/>
    </row>
    <row r="132" spans="1:25" ht="14.5" hidden="1">
      <c r="A132" s="14">
        <v>114</v>
      </c>
      <c r="B132" s="146" t="s">
        <v>59</v>
      </c>
      <c r="C132" s="15"/>
      <c r="D132" s="318" t="s">
        <v>288</v>
      </c>
      <c r="E132" s="146" t="s">
        <v>289</v>
      </c>
      <c r="F132" s="146" t="s">
        <v>156</v>
      </c>
      <c r="G132" s="240">
        <v>45863</v>
      </c>
      <c r="H132" s="17">
        <v>396</v>
      </c>
      <c r="I132" s="241">
        <v>396</v>
      </c>
      <c r="J132" s="241">
        <v>396</v>
      </c>
      <c r="K132" s="6">
        <f t="shared" si="27"/>
        <v>0</v>
      </c>
      <c r="L132" s="6">
        <f t="shared" si="20"/>
        <v>0</v>
      </c>
      <c r="M132" s="300" t="s">
        <v>853</v>
      </c>
      <c r="N132" s="132">
        <f t="shared" ca="1" si="28"/>
        <v>23</v>
      </c>
      <c r="O132" s="131">
        <f>S132-12</f>
        <v>45819</v>
      </c>
      <c r="P132" s="131">
        <v>45820</v>
      </c>
      <c r="Q132" s="131">
        <f t="shared" si="21"/>
        <v>45822</v>
      </c>
      <c r="R132" s="132">
        <f t="shared" ca="1" si="22"/>
        <v>-1</v>
      </c>
      <c r="S132" s="131">
        <f>G132-32</f>
        <v>45831</v>
      </c>
      <c r="T132" s="133">
        <v>45829</v>
      </c>
      <c r="U132" s="132">
        <f t="shared" ca="1" si="23"/>
        <v>2</v>
      </c>
      <c r="V132" s="335">
        <f t="shared" si="24"/>
        <v>32</v>
      </c>
      <c r="W132" s="131"/>
      <c r="X132" s="297"/>
      <c r="Y132" s="124"/>
    </row>
    <row r="133" spans="1:25" ht="14.5" hidden="1">
      <c r="A133" s="14">
        <v>114</v>
      </c>
      <c r="B133" s="146" t="s">
        <v>59</v>
      </c>
      <c r="C133" s="15"/>
      <c r="D133" s="318" t="s">
        <v>391</v>
      </c>
      <c r="E133" s="146" t="s">
        <v>392</v>
      </c>
      <c r="F133" s="146" t="s">
        <v>393</v>
      </c>
      <c r="G133" s="240">
        <v>45863</v>
      </c>
      <c r="H133" s="17">
        <v>177</v>
      </c>
      <c r="I133" s="241">
        <v>177</v>
      </c>
      <c r="J133" s="241">
        <v>170</v>
      </c>
      <c r="K133" s="6">
        <f>+H133*96%-J133</f>
        <v>-8.0000000000012506E-2</v>
      </c>
      <c r="L133" s="6">
        <f t="shared" si="20"/>
        <v>0</v>
      </c>
      <c r="M133" s="300" t="s">
        <v>853</v>
      </c>
      <c r="N133" s="132">
        <f t="shared" ca="1" si="28"/>
        <v>23</v>
      </c>
      <c r="O133" s="131">
        <v>45793</v>
      </c>
      <c r="P133" s="131">
        <v>45787</v>
      </c>
      <c r="Q133" s="131">
        <f t="shared" si="21"/>
        <v>45789</v>
      </c>
      <c r="R133" s="132">
        <f t="shared" ca="1" si="22"/>
        <v>6</v>
      </c>
      <c r="S133" s="131">
        <f t="shared" ref="S133:S139" si="29">O133+12</f>
        <v>45805</v>
      </c>
      <c r="T133" s="133">
        <v>45819</v>
      </c>
      <c r="U133" s="132">
        <f t="shared" ca="1" si="23"/>
        <v>-14</v>
      </c>
      <c r="V133" s="335">
        <f t="shared" si="24"/>
        <v>58</v>
      </c>
      <c r="W133" s="131"/>
      <c r="X133" s="297"/>
      <c r="Y133" s="124"/>
    </row>
    <row r="134" spans="1:25" ht="14.5" hidden="1">
      <c r="A134" s="14">
        <v>114</v>
      </c>
      <c r="B134" s="146" t="s">
        <v>59</v>
      </c>
      <c r="C134" s="15"/>
      <c r="D134" s="318" t="s">
        <v>248</v>
      </c>
      <c r="E134" s="146" t="s">
        <v>270</v>
      </c>
      <c r="F134" s="146" t="s">
        <v>162</v>
      </c>
      <c r="G134" s="240">
        <v>45863</v>
      </c>
      <c r="H134" s="17">
        <v>3585</v>
      </c>
      <c r="I134" s="241">
        <v>3585</v>
      </c>
      <c r="J134" s="241">
        <v>3519</v>
      </c>
      <c r="K134" s="6">
        <f>+H134*94%-J134</f>
        <v>-149.10000000000036</v>
      </c>
      <c r="L134" s="6">
        <f t="shared" si="20"/>
        <v>0</v>
      </c>
      <c r="M134" s="299" t="s">
        <v>133</v>
      </c>
      <c r="N134" s="132">
        <f t="shared" ca="1" si="28"/>
        <v>23</v>
      </c>
      <c r="O134" s="131">
        <v>45817</v>
      </c>
      <c r="P134" s="131">
        <v>45824</v>
      </c>
      <c r="Q134" s="131">
        <f t="shared" si="21"/>
        <v>45826</v>
      </c>
      <c r="R134" s="132">
        <f t="shared" ca="1" si="22"/>
        <v>-7</v>
      </c>
      <c r="S134" s="131">
        <f t="shared" si="29"/>
        <v>45829</v>
      </c>
      <c r="T134" s="133">
        <v>45838</v>
      </c>
      <c r="U134" s="132">
        <f t="shared" ca="1" si="23"/>
        <v>-9</v>
      </c>
      <c r="V134" s="335">
        <f t="shared" si="24"/>
        <v>34</v>
      </c>
      <c r="W134" s="131"/>
      <c r="X134" s="297"/>
      <c r="Y134" s="124"/>
    </row>
    <row r="135" spans="1:25" ht="14.5" hidden="1">
      <c r="A135" s="14">
        <v>114</v>
      </c>
      <c r="B135" s="146" t="s">
        <v>59</v>
      </c>
      <c r="C135" s="15"/>
      <c r="D135" s="318" t="s">
        <v>193</v>
      </c>
      <c r="E135" s="146" t="s">
        <v>246</v>
      </c>
      <c r="F135" s="146" t="s">
        <v>162</v>
      </c>
      <c r="G135" s="240">
        <v>45863</v>
      </c>
      <c r="H135" s="17">
        <v>984</v>
      </c>
      <c r="I135" s="241">
        <v>984</v>
      </c>
      <c r="J135" s="241">
        <v>935</v>
      </c>
      <c r="K135" s="6">
        <f>+H135*94%-J135</f>
        <v>-10.040000000000077</v>
      </c>
      <c r="L135" s="6">
        <f t="shared" si="20"/>
        <v>0</v>
      </c>
      <c r="M135" s="299" t="s">
        <v>133</v>
      </c>
      <c r="N135" s="132">
        <f t="shared" ca="1" si="28"/>
        <v>23</v>
      </c>
      <c r="O135" s="85">
        <f>S135-12</f>
        <v>45819</v>
      </c>
      <c r="P135" s="131">
        <v>45827</v>
      </c>
      <c r="Q135" s="131">
        <f t="shared" si="21"/>
        <v>45829</v>
      </c>
      <c r="R135" s="132">
        <f t="shared" ca="1" si="22"/>
        <v>-8</v>
      </c>
      <c r="S135" s="131">
        <f>G135-32</f>
        <v>45831</v>
      </c>
      <c r="T135" s="133">
        <v>45834</v>
      </c>
      <c r="U135" s="132">
        <f t="shared" ca="1" si="23"/>
        <v>-3</v>
      </c>
      <c r="V135" s="335">
        <f t="shared" si="24"/>
        <v>32</v>
      </c>
      <c r="W135" s="131"/>
      <c r="X135" s="297"/>
      <c r="Y135" s="124"/>
    </row>
    <row r="136" spans="1:25" ht="14.5" hidden="1">
      <c r="A136" s="14">
        <v>119</v>
      </c>
      <c r="B136" s="15" t="s">
        <v>59</v>
      </c>
      <c r="C136" s="15"/>
      <c r="D136" s="318" t="s">
        <v>189</v>
      </c>
      <c r="E136" s="146" t="s">
        <v>854</v>
      </c>
      <c r="F136" s="146" t="s">
        <v>855</v>
      </c>
      <c r="G136" s="240">
        <v>45849</v>
      </c>
      <c r="H136" s="17">
        <v>675</v>
      </c>
      <c r="I136" s="241">
        <v>675</v>
      </c>
      <c r="J136" s="241">
        <v>632</v>
      </c>
      <c r="K136" s="6">
        <f>+H136*96%-J136</f>
        <v>16</v>
      </c>
      <c r="L136" s="6">
        <f t="shared" si="20"/>
        <v>0</v>
      </c>
      <c r="M136" s="300" t="s">
        <v>389</v>
      </c>
      <c r="N136" s="132">
        <f t="shared" ca="1" si="28"/>
        <v>9</v>
      </c>
      <c r="O136" s="85">
        <v>45801</v>
      </c>
      <c r="P136" s="131">
        <v>45817</v>
      </c>
      <c r="Q136" s="131">
        <f t="shared" si="21"/>
        <v>45819</v>
      </c>
      <c r="R136" s="132">
        <f t="shared" ca="1" si="22"/>
        <v>-16</v>
      </c>
      <c r="S136" s="131">
        <f t="shared" si="29"/>
        <v>45813</v>
      </c>
      <c r="T136" s="133">
        <v>45822</v>
      </c>
      <c r="U136" s="132">
        <f t="shared" ca="1" si="23"/>
        <v>-9</v>
      </c>
      <c r="V136" s="335">
        <f t="shared" si="24"/>
        <v>36</v>
      </c>
      <c r="W136" s="131"/>
      <c r="X136" s="297"/>
      <c r="Y136" s="124"/>
    </row>
    <row r="137" spans="1:25" ht="14.5" hidden="1">
      <c r="A137" s="14">
        <v>120</v>
      </c>
      <c r="B137" s="15" t="s">
        <v>59</v>
      </c>
      <c r="C137" s="15"/>
      <c r="D137" s="318" t="s">
        <v>189</v>
      </c>
      <c r="E137" s="146" t="s">
        <v>242</v>
      </c>
      <c r="F137" s="146" t="s">
        <v>855</v>
      </c>
      <c r="G137" s="240">
        <v>45849</v>
      </c>
      <c r="H137" s="17">
        <v>769.37868800000012</v>
      </c>
      <c r="I137" s="241">
        <v>769</v>
      </c>
      <c r="J137" s="241">
        <v>642</v>
      </c>
      <c r="K137" s="6">
        <f>+H137*96%-J137</f>
        <v>96.603540480000106</v>
      </c>
      <c r="L137" s="6">
        <f t="shared" si="20"/>
        <v>0.3786880000001247</v>
      </c>
      <c r="M137" s="299" t="s">
        <v>389</v>
      </c>
      <c r="N137" s="132">
        <f t="shared" ca="1" si="28"/>
        <v>9</v>
      </c>
      <c r="O137" s="85">
        <v>45801</v>
      </c>
      <c r="P137" s="131">
        <v>45817</v>
      </c>
      <c r="Q137" s="131">
        <f t="shared" si="21"/>
        <v>45819</v>
      </c>
      <c r="R137" s="132">
        <f t="shared" ca="1" si="22"/>
        <v>-16</v>
      </c>
      <c r="S137" s="131">
        <f t="shared" si="29"/>
        <v>45813</v>
      </c>
      <c r="T137" s="133">
        <v>45822</v>
      </c>
      <c r="U137" s="132">
        <f t="shared" ca="1" si="23"/>
        <v>-9</v>
      </c>
      <c r="V137" s="335">
        <f t="shared" si="24"/>
        <v>36</v>
      </c>
      <c r="W137" s="131"/>
      <c r="X137" s="297"/>
      <c r="Y137" s="124"/>
    </row>
    <row r="138" spans="1:25" ht="14.5" hidden="1">
      <c r="A138" s="14">
        <v>120</v>
      </c>
      <c r="B138" s="15" t="s">
        <v>59</v>
      </c>
      <c r="C138" s="15"/>
      <c r="D138" s="318" t="s">
        <v>391</v>
      </c>
      <c r="E138" s="146" t="s">
        <v>392</v>
      </c>
      <c r="F138" s="146" t="s">
        <v>393</v>
      </c>
      <c r="G138" s="240">
        <v>45849</v>
      </c>
      <c r="H138" s="17">
        <v>626.95193600000005</v>
      </c>
      <c r="I138" s="241">
        <v>627</v>
      </c>
      <c r="J138" s="241">
        <v>602</v>
      </c>
      <c r="K138" s="6">
        <f>+H138*96%-J138</f>
        <v>-0.12614143999996941</v>
      </c>
      <c r="L138" s="6">
        <f t="shared" si="20"/>
        <v>-4.8063999999953921E-2</v>
      </c>
      <c r="M138" s="299" t="s">
        <v>853</v>
      </c>
      <c r="N138" s="132">
        <f t="shared" ca="1" si="28"/>
        <v>9</v>
      </c>
      <c r="O138" s="85">
        <v>45793</v>
      </c>
      <c r="P138" s="131">
        <v>45787</v>
      </c>
      <c r="Q138" s="131">
        <f t="shared" si="21"/>
        <v>45789</v>
      </c>
      <c r="R138" s="132">
        <f t="shared" ca="1" si="22"/>
        <v>6</v>
      </c>
      <c r="S138" s="131">
        <f t="shared" si="29"/>
        <v>45805</v>
      </c>
      <c r="T138" s="133">
        <v>45819</v>
      </c>
      <c r="U138" s="132">
        <f t="shared" ca="1" si="23"/>
        <v>-14</v>
      </c>
      <c r="V138" s="335">
        <f t="shared" si="24"/>
        <v>44</v>
      </c>
      <c r="W138" s="131"/>
      <c r="X138" s="297"/>
      <c r="Y138" s="124"/>
    </row>
    <row r="139" spans="1:25" ht="14.5" hidden="1">
      <c r="A139" s="14">
        <v>120</v>
      </c>
      <c r="B139" s="15" t="s">
        <v>59</v>
      </c>
      <c r="C139" s="15"/>
      <c r="D139" s="318" t="s">
        <v>839</v>
      </c>
      <c r="E139" s="146" t="s">
        <v>242</v>
      </c>
      <c r="F139" s="146" t="s">
        <v>162</v>
      </c>
      <c r="G139" s="240">
        <v>45849</v>
      </c>
      <c r="H139" s="17">
        <v>673.9755724800001</v>
      </c>
      <c r="I139" s="241">
        <v>674</v>
      </c>
      <c r="J139" s="241">
        <v>674</v>
      </c>
      <c r="K139" s="6">
        <f t="shared" si="27"/>
        <v>-2.442751999990378E-2</v>
      </c>
      <c r="L139" s="6">
        <f t="shared" si="20"/>
        <v>-2.442751999990378E-2</v>
      </c>
      <c r="M139" s="299" t="s">
        <v>894</v>
      </c>
      <c r="N139" s="132">
        <f t="shared" ca="1" si="28"/>
        <v>9</v>
      </c>
      <c r="O139" s="85">
        <v>45793</v>
      </c>
      <c r="P139" s="131">
        <v>45793</v>
      </c>
      <c r="Q139" s="131">
        <f t="shared" si="21"/>
        <v>45795</v>
      </c>
      <c r="R139" s="132">
        <f t="shared" ca="1" si="22"/>
        <v>0</v>
      </c>
      <c r="S139" s="131">
        <f t="shared" si="29"/>
        <v>45805</v>
      </c>
      <c r="T139" s="133">
        <v>45810</v>
      </c>
      <c r="U139" s="132">
        <f t="shared" ca="1" si="23"/>
        <v>-5</v>
      </c>
      <c r="V139" s="335">
        <f t="shared" si="24"/>
        <v>44</v>
      </c>
      <c r="W139" s="131">
        <v>45806</v>
      </c>
      <c r="X139" s="297"/>
      <c r="Y139" s="124"/>
    </row>
    <row r="140" spans="1:25" ht="14.5" hidden="1">
      <c r="A140" s="14">
        <v>121</v>
      </c>
      <c r="B140" s="15" t="s">
        <v>59</v>
      </c>
      <c r="C140" s="15"/>
      <c r="D140" s="318" t="s">
        <v>288</v>
      </c>
      <c r="E140" s="146" t="s">
        <v>289</v>
      </c>
      <c r="F140" s="146" t="s">
        <v>155</v>
      </c>
      <c r="G140" s="240">
        <v>45849</v>
      </c>
      <c r="H140" s="17">
        <f>1663/2</f>
        <v>831.5</v>
      </c>
      <c r="I140" s="241">
        <v>832</v>
      </c>
      <c r="J140" s="241">
        <v>832</v>
      </c>
      <c r="K140" s="6">
        <f t="shared" si="27"/>
        <v>-0.5</v>
      </c>
      <c r="L140" s="6">
        <f t="shared" si="20"/>
        <v>-0.5</v>
      </c>
      <c r="M140" s="299" t="s">
        <v>853</v>
      </c>
      <c r="N140" s="132">
        <f t="shared" ca="1" si="28"/>
        <v>9</v>
      </c>
      <c r="O140" s="85">
        <v>45826</v>
      </c>
      <c r="P140" s="131">
        <v>45833</v>
      </c>
      <c r="Q140" s="131">
        <f t="shared" si="21"/>
        <v>45835</v>
      </c>
      <c r="R140" s="132">
        <f t="shared" ca="1" si="22"/>
        <v>-7</v>
      </c>
      <c r="S140" s="131">
        <f>O140+8</f>
        <v>45834</v>
      </c>
      <c r="T140" s="133">
        <v>45833</v>
      </c>
      <c r="U140" s="132">
        <f t="shared" ca="1" si="23"/>
        <v>1</v>
      </c>
      <c r="V140" s="335">
        <f t="shared" si="24"/>
        <v>15</v>
      </c>
      <c r="W140" s="131"/>
      <c r="X140" s="297"/>
      <c r="Y140" s="124"/>
    </row>
    <row r="141" spans="1:25" ht="14.5" hidden="1">
      <c r="A141" s="14">
        <v>121</v>
      </c>
      <c r="B141" s="15" t="s">
        <v>59</v>
      </c>
      <c r="C141" s="15"/>
      <c r="D141" s="318" t="s">
        <v>288</v>
      </c>
      <c r="E141" s="146" t="s">
        <v>289</v>
      </c>
      <c r="F141" s="146" t="s">
        <v>154</v>
      </c>
      <c r="G141" s="240">
        <v>45849</v>
      </c>
      <c r="H141" s="17">
        <f>1375/2</f>
        <v>687.5</v>
      </c>
      <c r="I141" s="241">
        <v>688</v>
      </c>
      <c r="J141" s="241">
        <v>688</v>
      </c>
      <c r="K141" s="6">
        <f t="shared" si="27"/>
        <v>-0.5</v>
      </c>
      <c r="L141" s="6">
        <f t="shared" si="20"/>
        <v>-0.5</v>
      </c>
      <c r="M141" s="300" t="s">
        <v>853</v>
      </c>
      <c r="N141" s="132">
        <f t="shared" ca="1" si="28"/>
        <v>9</v>
      </c>
      <c r="O141" s="85">
        <v>45826</v>
      </c>
      <c r="P141" s="131">
        <v>45833</v>
      </c>
      <c r="Q141" s="131">
        <f t="shared" si="21"/>
        <v>45835</v>
      </c>
      <c r="R141" s="132">
        <f t="shared" ca="1" si="22"/>
        <v>-7</v>
      </c>
      <c r="S141" s="131">
        <f>O141+8</f>
        <v>45834</v>
      </c>
      <c r="T141" s="133">
        <v>45833</v>
      </c>
      <c r="U141" s="132">
        <f t="shared" ca="1" si="23"/>
        <v>1</v>
      </c>
      <c r="V141" s="335">
        <f t="shared" si="24"/>
        <v>15</v>
      </c>
      <c r="W141" s="131"/>
      <c r="X141" s="297"/>
      <c r="Y141" s="124"/>
    </row>
    <row r="142" spans="1:25" ht="14.5" hidden="1">
      <c r="A142" s="14">
        <v>121</v>
      </c>
      <c r="B142" s="15" t="s">
        <v>59</v>
      </c>
      <c r="C142" s="15"/>
      <c r="D142" s="318" t="s">
        <v>288</v>
      </c>
      <c r="E142" s="146" t="s">
        <v>289</v>
      </c>
      <c r="F142" s="146" t="s">
        <v>156</v>
      </c>
      <c r="G142" s="240">
        <v>45849</v>
      </c>
      <c r="H142" s="17">
        <v>395</v>
      </c>
      <c r="I142" s="241">
        <v>395</v>
      </c>
      <c r="J142" s="241">
        <v>410</v>
      </c>
      <c r="K142" s="6">
        <f t="shared" si="27"/>
        <v>-15</v>
      </c>
      <c r="L142" s="6">
        <f t="shared" si="20"/>
        <v>0</v>
      </c>
      <c r="M142" s="300" t="s">
        <v>853</v>
      </c>
      <c r="N142" s="132">
        <f t="shared" ca="1" si="28"/>
        <v>9</v>
      </c>
      <c r="O142" s="85">
        <v>45826</v>
      </c>
      <c r="P142" s="131">
        <v>45820</v>
      </c>
      <c r="Q142" s="131">
        <f t="shared" si="21"/>
        <v>45822</v>
      </c>
      <c r="R142" s="132">
        <f t="shared" ca="1" si="22"/>
        <v>6</v>
      </c>
      <c r="S142" s="131">
        <f>O142+8</f>
        <v>45834</v>
      </c>
      <c r="T142" s="133">
        <v>45829</v>
      </c>
      <c r="U142" s="132">
        <f t="shared" ca="1" si="23"/>
        <v>5</v>
      </c>
      <c r="V142" s="335">
        <f t="shared" si="24"/>
        <v>15</v>
      </c>
      <c r="W142" s="131"/>
      <c r="X142" s="297"/>
      <c r="Y142" s="124"/>
    </row>
    <row r="143" spans="1:25" ht="14.5" hidden="1">
      <c r="A143" s="14">
        <v>121</v>
      </c>
      <c r="B143" s="15" t="s">
        <v>59</v>
      </c>
      <c r="C143" s="15"/>
      <c r="D143" s="318" t="s">
        <v>391</v>
      </c>
      <c r="E143" s="146" t="s">
        <v>392</v>
      </c>
      <c r="F143" s="146" t="s">
        <v>393</v>
      </c>
      <c r="G143" s="240">
        <v>45849</v>
      </c>
      <c r="H143" s="17">
        <v>611.78374400000007</v>
      </c>
      <c r="I143" s="241">
        <v>612</v>
      </c>
      <c r="J143" s="241">
        <v>587</v>
      </c>
      <c r="K143" s="6">
        <f>+H143*96%-J143</f>
        <v>0.31239424000000326</v>
      </c>
      <c r="L143" s="6">
        <f t="shared" ref="L143:L202" si="30">+H143-I143</f>
        <v>-0.21625599999993028</v>
      </c>
      <c r="M143" s="300" t="s">
        <v>853</v>
      </c>
      <c r="N143" s="132">
        <f t="shared" ca="1" si="28"/>
        <v>9</v>
      </c>
      <c r="O143" s="85">
        <v>45793</v>
      </c>
      <c r="P143" s="131">
        <v>45787</v>
      </c>
      <c r="Q143" s="131">
        <f t="shared" ref="Q143:Q202" si="31">P143+2</f>
        <v>45789</v>
      </c>
      <c r="R143" s="132">
        <f t="shared" ref="R143:R202" ca="1" si="32">+IF(P143="",O143-TODAY(),O143-P143)</f>
        <v>6</v>
      </c>
      <c r="S143" s="131">
        <f>O143+12</f>
        <v>45805</v>
      </c>
      <c r="T143" s="133">
        <v>45819</v>
      </c>
      <c r="U143" s="132">
        <f t="shared" ref="U143:U202" ca="1" si="33">+IF(T143="",S143-TODAY(),S143-T143)</f>
        <v>-14</v>
      </c>
      <c r="V143" s="335">
        <f t="shared" si="24"/>
        <v>44</v>
      </c>
      <c r="W143" s="131"/>
      <c r="X143" s="297"/>
      <c r="Y143" s="124"/>
    </row>
    <row r="144" spans="1:25" ht="14.5" hidden="1">
      <c r="A144" s="14">
        <v>121</v>
      </c>
      <c r="B144" s="15" t="s">
        <v>59</v>
      </c>
      <c r="C144" s="15"/>
      <c r="D144" s="318" t="s">
        <v>248</v>
      </c>
      <c r="E144" s="146" t="s">
        <v>270</v>
      </c>
      <c r="F144" s="146" t="s">
        <v>162</v>
      </c>
      <c r="G144" s="240">
        <v>45849</v>
      </c>
      <c r="H144" s="17">
        <v>2260</v>
      </c>
      <c r="I144" s="17">
        <v>2260</v>
      </c>
      <c r="J144" s="241">
        <v>2079</v>
      </c>
      <c r="K144" s="6">
        <f>+H144*92%-J144</f>
        <v>0.20000000000027285</v>
      </c>
      <c r="L144" s="6">
        <f t="shared" si="30"/>
        <v>0</v>
      </c>
      <c r="M144" s="299" t="s">
        <v>133</v>
      </c>
      <c r="N144" s="132">
        <f t="shared" ca="1" si="28"/>
        <v>9</v>
      </c>
      <c r="O144" s="85">
        <v>45814</v>
      </c>
      <c r="P144" s="131">
        <v>45819</v>
      </c>
      <c r="Q144" s="131">
        <f t="shared" si="31"/>
        <v>45821</v>
      </c>
      <c r="R144" s="132">
        <f t="shared" ca="1" si="32"/>
        <v>-5</v>
      </c>
      <c r="S144" s="131">
        <f t="shared" ref="S144" si="34">O144+12</f>
        <v>45826</v>
      </c>
      <c r="T144" s="133">
        <v>45822</v>
      </c>
      <c r="U144" s="132">
        <f t="shared" ca="1" si="33"/>
        <v>4</v>
      </c>
      <c r="V144" s="335">
        <f t="shared" si="24"/>
        <v>23</v>
      </c>
      <c r="W144" s="131"/>
      <c r="X144" s="297"/>
      <c r="Y144" s="124"/>
    </row>
    <row r="145" spans="1:25" ht="14.5" hidden="1">
      <c r="A145" s="14">
        <v>122</v>
      </c>
      <c r="B145" s="15" t="s">
        <v>59</v>
      </c>
      <c r="C145" s="15"/>
      <c r="D145" s="318" t="s">
        <v>193</v>
      </c>
      <c r="E145" s="146" t="s">
        <v>249</v>
      </c>
      <c r="F145" s="146" t="s">
        <v>162</v>
      </c>
      <c r="G145" s="240">
        <v>45863</v>
      </c>
      <c r="H145" s="17">
        <v>5691.92832</v>
      </c>
      <c r="I145" s="241">
        <v>5692</v>
      </c>
      <c r="J145" s="241">
        <v>5502</v>
      </c>
      <c r="K145" s="6">
        <f>+H145*94%-J145</f>
        <v>-151.58737920000021</v>
      </c>
      <c r="L145" s="6">
        <f t="shared" si="30"/>
        <v>-7.1680000000014843E-2</v>
      </c>
      <c r="M145" s="299" t="s">
        <v>133</v>
      </c>
      <c r="N145" s="132">
        <f t="shared" ca="1" si="28"/>
        <v>23</v>
      </c>
      <c r="O145" s="85">
        <f>S145-12</f>
        <v>45819</v>
      </c>
      <c r="P145" s="131">
        <v>45824</v>
      </c>
      <c r="Q145" s="131">
        <f t="shared" si="31"/>
        <v>45826</v>
      </c>
      <c r="R145" s="132">
        <f t="shared" ca="1" si="32"/>
        <v>-5</v>
      </c>
      <c r="S145" s="131">
        <f>G145-32</f>
        <v>45831</v>
      </c>
      <c r="T145" s="133">
        <v>45833</v>
      </c>
      <c r="U145" s="132">
        <f t="shared" ca="1" si="33"/>
        <v>-2</v>
      </c>
      <c r="V145" s="335">
        <f t="shared" si="24"/>
        <v>32</v>
      </c>
      <c r="W145" s="131"/>
      <c r="X145" s="297"/>
      <c r="Y145" s="124"/>
    </row>
    <row r="146" spans="1:25" ht="14.5" hidden="1">
      <c r="A146" s="14">
        <v>122</v>
      </c>
      <c r="B146" s="15" t="s">
        <v>59</v>
      </c>
      <c r="C146" s="15"/>
      <c r="D146" s="318" t="s">
        <v>839</v>
      </c>
      <c r="E146" s="146" t="s">
        <v>242</v>
      </c>
      <c r="F146" s="146" t="s">
        <v>404</v>
      </c>
      <c r="G146" s="240">
        <v>45863</v>
      </c>
      <c r="H146" s="17">
        <v>654.09120000000007</v>
      </c>
      <c r="I146" s="241">
        <v>654</v>
      </c>
      <c r="J146" s="241">
        <v>654</v>
      </c>
      <c r="K146" s="6">
        <f t="shared" si="27"/>
        <v>9.1200000000071668E-2</v>
      </c>
      <c r="L146" s="6">
        <f t="shared" si="30"/>
        <v>9.1200000000071668E-2</v>
      </c>
      <c r="M146" s="299" t="s">
        <v>894</v>
      </c>
      <c r="N146" s="132">
        <f t="shared" ca="1" si="28"/>
        <v>23</v>
      </c>
      <c r="O146" s="85">
        <v>45793</v>
      </c>
      <c r="P146" s="131">
        <v>45793</v>
      </c>
      <c r="Q146" s="131">
        <f t="shared" si="31"/>
        <v>45795</v>
      </c>
      <c r="R146" s="132">
        <f t="shared" ca="1" si="32"/>
        <v>0</v>
      </c>
      <c r="S146" s="131">
        <f t="shared" ref="S146:S149" si="35">O146+12</f>
        <v>45805</v>
      </c>
      <c r="T146" s="133">
        <v>45810</v>
      </c>
      <c r="U146" s="132">
        <f t="shared" ca="1" si="33"/>
        <v>-5</v>
      </c>
      <c r="V146" s="335">
        <f t="shared" si="24"/>
        <v>58</v>
      </c>
      <c r="W146" s="131">
        <v>45806</v>
      </c>
      <c r="X146" s="297"/>
      <c r="Y146" s="124"/>
    </row>
    <row r="147" spans="1:25" ht="14.5" hidden="1">
      <c r="A147" s="14">
        <v>123</v>
      </c>
      <c r="B147" s="15" t="s">
        <v>59</v>
      </c>
      <c r="C147" s="15"/>
      <c r="D147" s="318" t="s">
        <v>391</v>
      </c>
      <c r="E147" s="146" t="s">
        <v>392</v>
      </c>
      <c r="F147" s="146" t="s">
        <v>393</v>
      </c>
      <c r="G147" s="240">
        <v>45870</v>
      </c>
      <c r="H147" s="17">
        <v>626.95193600000005</v>
      </c>
      <c r="I147" s="241">
        <v>627</v>
      </c>
      <c r="J147" s="241">
        <v>602</v>
      </c>
      <c r="K147" s="6">
        <f>+H147*96%-J147</f>
        <v>-0.12614143999996941</v>
      </c>
      <c r="L147" s="6">
        <f t="shared" si="30"/>
        <v>-4.8063999999953921E-2</v>
      </c>
      <c r="M147" s="299" t="s">
        <v>853</v>
      </c>
      <c r="N147" s="132">
        <f t="shared" ca="1" si="28"/>
        <v>30</v>
      </c>
      <c r="O147" s="85">
        <v>45793</v>
      </c>
      <c r="P147" s="131">
        <v>45787</v>
      </c>
      <c r="Q147" s="131">
        <f t="shared" si="31"/>
        <v>45789</v>
      </c>
      <c r="R147" s="132">
        <f t="shared" ca="1" si="32"/>
        <v>6</v>
      </c>
      <c r="S147" s="131">
        <f t="shared" si="35"/>
        <v>45805</v>
      </c>
      <c r="T147" s="133">
        <v>45819</v>
      </c>
      <c r="U147" s="132">
        <f t="shared" ca="1" si="33"/>
        <v>-14</v>
      </c>
      <c r="V147" s="335">
        <f t="shared" si="24"/>
        <v>65</v>
      </c>
      <c r="W147" s="131"/>
      <c r="X147" s="297"/>
      <c r="Y147" s="124"/>
    </row>
    <row r="148" spans="1:25" ht="14.5" hidden="1">
      <c r="A148" s="14">
        <v>123</v>
      </c>
      <c r="B148" s="15" t="s">
        <v>59</v>
      </c>
      <c r="C148" s="15"/>
      <c r="D148" s="318" t="s">
        <v>193</v>
      </c>
      <c r="E148" s="146" t="s">
        <v>249</v>
      </c>
      <c r="F148" s="146" t="s">
        <v>404</v>
      </c>
      <c r="G148" s="240">
        <v>45870</v>
      </c>
      <c r="H148" s="17">
        <v>3078.567</v>
      </c>
      <c r="I148" s="241">
        <v>3079</v>
      </c>
      <c r="J148" s="241"/>
      <c r="K148" s="6">
        <f t="shared" si="27"/>
        <v>3078.567</v>
      </c>
      <c r="L148" s="6">
        <f t="shared" si="30"/>
        <v>-0.43299999999999272</v>
      </c>
      <c r="M148" s="299" t="s">
        <v>133</v>
      </c>
      <c r="N148" s="132">
        <f t="shared" ca="1" si="28"/>
        <v>30</v>
      </c>
      <c r="O148" s="85">
        <f>S148-12</f>
        <v>45826</v>
      </c>
      <c r="P148" s="131">
        <v>45828</v>
      </c>
      <c r="Q148" s="131">
        <f t="shared" ref="Q148" si="36">P148+2</f>
        <v>45830</v>
      </c>
      <c r="R148" s="132">
        <f t="shared" ref="R148" ca="1" si="37">+IF(P148="",O148-TODAY(),O148-P148)</f>
        <v>-2</v>
      </c>
      <c r="S148" s="131">
        <f>G148-32</f>
        <v>45838</v>
      </c>
      <c r="T148" s="133"/>
      <c r="U148" s="132">
        <f t="shared" ca="1" si="33"/>
        <v>-2</v>
      </c>
      <c r="V148" s="335">
        <f t="shared" ref="V148:V211" si="38">G148-S148</f>
        <v>32</v>
      </c>
      <c r="W148" s="131"/>
      <c r="X148" s="297"/>
      <c r="Y148" s="124"/>
    </row>
    <row r="149" spans="1:25" ht="14.5" hidden="1">
      <c r="A149" s="14">
        <v>123</v>
      </c>
      <c r="B149" s="15" t="s">
        <v>59</v>
      </c>
      <c r="C149" s="15"/>
      <c r="D149" s="318" t="s">
        <v>839</v>
      </c>
      <c r="E149" s="146" t="s">
        <v>242</v>
      </c>
      <c r="F149" s="146" t="s">
        <v>162</v>
      </c>
      <c r="G149" s="240">
        <v>45870</v>
      </c>
      <c r="H149" s="17">
        <v>682.43515200000013</v>
      </c>
      <c r="I149" s="241">
        <v>682</v>
      </c>
      <c r="J149" s="241">
        <v>682</v>
      </c>
      <c r="K149" s="6">
        <f t="shared" si="27"/>
        <v>0.4351520000001301</v>
      </c>
      <c r="L149" s="6">
        <f t="shared" si="30"/>
        <v>0.4351520000001301</v>
      </c>
      <c r="M149" s="299" t="s">
        <v>894</v>
      </c>
      <c r="N149" s="132">
        <f t="shared" ca="1" si="28"/>
        <v>30</v>
      </c>
      <c r="O149" s="85">
        <v>45793</v>
      </c>
      <c r="P149" s="131">
        <v>45793</v>
      </c>
      <c r="Q149" s="131">
        <f t="shared" si="31"/>
        <v>45795</v>
      </c>
      <c r="R149" s="132">
        <f t="shared" ca="1" si="32"/>
        <v>0</v>
      </c>
      <c r="S149" s="131">
        <f t="shared" si="35"/>
        <v>45805</v>
      </c>
      <c r="T149" s="133">
        <v>45810</v>
      </c>
      <c r="U149" s="132">
        <f t="shared" ca="1" si="33"/>
        <v>-5</v>
      </c>
      <c r="V149" s="335">
        <f t="shared" si="38"/>
        <v>65</v>
      </c>
      <c r="W149" s="131">
        <v>45806</v>
      </c>
      <c r="X149" s="297"/>
      <c r="Y149" s="124"/>
    </row>
    <row r="150" spans="1:25" ht="14.5" hidden="1">
      <c r="A150" s="14">
        <v>124</v>
      </c>
      <c r="B150" s="15" t="s">
        <v>59</v>
      </c>
      <c r="C150" s="15"/>
      <c r="D150" s="318" t="s">
        <v>250</v>
      </c>
      <c r="E150" s="146" t="s">
        <v>249</v>
      </c>
      <c r="F150" s="146" t="s">
        <v>162</v>
      </c>
      <c r="G150" s="240">
        <v>45877</v>
      </c>
      <c r="H150" s="17">
        <v>4809</v>
      </c>
      <c r="I150" s="241">
        <v>4809</v>
      </c>
      <c r="J150" s="241"/>
      <c r="K150" s="6">
        <f t="shared" si="27"/>
        <v>4809</v>
      </c>
      <c r="L150" s="6">
        <f t="shared" si="30"/>
        <v>0</v>
      </c>
      <c r="M150" s="299" t="s">
        <v>397</v>
      </c>
      <c r="N150" s="132">
        <f t="shared" ca="1" si="28"/>
        <v>37</v>
      </c>
      <c r="O150" s="85">
        <f>S150-12</f>
        <v>45831</v>
      </c>
      <c r="P150" s="131">
        <v>45838</v>
      </c>
      <c r="Q150" s="131">
        <f t="shared" si="31"/>
        <v>45840</v>
      </c>
      <c r="R150" s="132">
        <f t="shared" ca="1" si="32"/>
        <v>-7</v>
      </c>
      <c r="S150" s="131">
        <f>G150-34</f>
        <v>45843</v>
      </c>
      <c r="T150" s="133"/>
      <c r="U150" s="132">
        <f t="shared" ca="1" si="33"/>
        <v>3</v>
      </c>
      <c r="V150" s="335">
        <f t="shared" si="38"/>
        <v>34</v>
      </c>
      <c r="W150" s="131"/>
      <c r="X150" s="297"/>
      <c r="Y150" s="124"/>
    </row>
    <row r="151" spans="1:25" ht="14.5" hidden="1">
      <c r="A151" s="14">
        <v>124</v>
      </c>
      <c r="B151" s="15" t="s">
        <v>59</v>
      </c>
      <c r="C151" s="15"/>
      <c r="D151" s="318" t="s">
        <v>288</v>
      </c>
      <c r="E151" s="146" t="s">
        <v>289</v>
      </c>
      <c r="F151" s="146" t="s">
        <v>155</v>
      </c>
      <c r="G151" s="240">
        <v>45877</v>
      </c>
      <c r="H151" s="17">
        <f>1673/2</f>
        <v>836.5</v>
      </c>
      <c r="I151" s="241"/>
      <c r="J151" s="241"/>
      <c r="K151" s="6">
        <f t="shared" si="27"/>
        <v>836.5</v>
      </c>
      <c r="L151" s="6">
        <f t="shared" si="30"/>
        <v>836.5</v>
      </c>
      <c r="M151" s="299" t="s">
        <v>853</v>
      </c>
      <c r="N151" s="132">
        <f t="shared" ca="1" si="28"/>
        <v>37</v>
      </c>
      <c r="O151" s="85">
        <v>45830</v>
      </c>
      <c r="P151" s="131"/>
      <c r="Q151" s="131">
        <f t="shared" si="31"/>
        <v>2</v>
      </c>
      <c r="R151" s="132">
        <f t="shared" ca="1" si="32"/>
        <v>-10</v>
      </c>
      <c r="S151" s="131">
        <f>O151+8</f>
        <v>45838</v>
      </c>
      <c r="T151" s="133"/>
      <c r="U151" s="132">
        <f t="shared" ca="1" si="33"/>
        <v>-2</v>
      </c>
      <c r="V151" s="335">
        <f t="shared" si="38"/>
        <v>39</v>
      </c>
      <c r="W151" s="131"/>
      <c r="X151" s="297"/>
      <c r="Y151" s="124"/>
    </row>
    <row r="152" spans="1:25" ht="14.5" hidden="1">
      <c r="A152" s="14">
        <v>124</v>
      </c>
      <c r="B152" s="15" t="s">
        <v>59</v>
      </c>
      <c r="C152" s="15"/>
      <c r="D152" s="301" t="s">
        <v>288</v>
      </c>
      <c r="E152" s="146" t="s">
        <v>289</v>
      </c>
      <c r="F152" s="146" t="s">
        <v>154</v>
      </c>
      <c r="G152" s="240">
        <v>45877</v>
      </c>
      <c r="H152" s="17">
        <f>1383/2</f>
        <v>691.5</v>
      </c>
      <c r="I152" s="241"/>
      <c r="J152" s="241"/>
      <c r="K152" s="6">
        <f t="shared" si="27"/>
        <v>691.5</v>
      </c>
      <c r="L152" s="6">
        <f t="shared" si="30"/>
        <v>691.5</v>
      </c>
      <c r="M152" s="299" t="s">
        <v>853</v>
      </c>
      <c r="N152" s="132">
        <f t="shared" ca="1" si="28"/>
        <v>37</v>
      </c>
      <c r="O152" s="85">
        <v>45830</v>
      </c>
      <c r="P152" s="131"/>
      <c r="Q152" s="131">
        <f t="shared" si="31"/>
        <v>2</v>
      </c>
      <c r="R152" s="132">
        <f t="shared" ca="1" si="32"/>
        <v>-10</v>
      </c>
      <c r="S152" s="131">
        <f>O152+8</f>
        <v>45838</v>
      </c>
      <c r="T152" s="133"/>
      <c r="U152" s="132">
        <f t="shared" ca="1" si="33"/>
        <v>-2</v>
      </c>
      <c r="V152" s="335">
        <f t="shared" si="38"/>
        <v>39</v>
      </c>
      <c r="W152" s="131"/>
      <c r="X152" s="297"/>
      <c r="Y152" s="124"/>
    </row>
    <row r="153" spans="1:25" ht="14.5" hidden="1">
      <c r="A153" s="14">
        <v>124</v>
      </c>
      <c r="B153" s="15" t="s">
        <v>59</v>
      </c>
      <c r="C153" s="15"/>
      <c r="D153" s="318" t="s">
        <v>288</v>
      </c>
      <c r="E153" s="146" t="s">
        <v>289</v>
      </c>
      <c r="F153" s="146" t="s">
        <v>156</v>
      </c>
      <c r="G153" s="240">
        <v>45877</v>
      </c>
      <c r="H153" s="17">
        <f>1089/2</f>
        <v>544.5</v>
      </c>
      <c r="I153" s="241"/>
      <c r="J153" s="241"/>
      <c r="K153" s="6">
        <f t="shared" si="27"/>
        <v>544.5</v>
      </c>
      <c r="L153" s="6">
        <f t="shared" si="30"/>
        <v>544.5</v>
      </c>
      <c r="M153" s="299" t="s">
        <v>853</v>
      </c>
      <c r="N153" s="132">
        <f t="shared" ca="1" si="28"/>
        <v>37</v>
      </c>
      <c r="O153" s="85">
        <v>45830</v>
      </c>
      <c r="P153" s="131"/>
      <c r="Q153" s="131">
        <f t="shared" si="31"/>
        <v>2</v>
      </c>
      <c r="R153" s="132">
        <f t="shared" ca="1" si="32"/>
        <v>-10</v>
      </c>
      <c r="S153" s="131">
        <f>O153+8</f>
        <v>45838</v>
      </c>
      <c r="T153" s="133"/>
      <c r="U153" s="132">
        <f t="shared" ca="1" si="33"/>
        <v>-2</v>
      </c>
      <c r="V153" s="335">
        <f t="shared" si="38"/>
        <v>39</v>
      </c>
      <c r="W153" s="131"/>
      <c r="X153" s="297"/>
      <c r="Y153" s="124"/>
    </row>
    <row r="154" spans="1:25" ht="14.5" hidden="1">
      <c r="A154" s="14">
        <v>124</v>
      </c>
      <c r="B154" s="15" t="s">
        <v>59</v>
      </c>
      <c r="C154" s="15"/>
      <c r="D154" s="318" t="s">
        <v>391</v>
      </c>
      <c r="E154" s="146" t="s">
        <v>392</v>
      </c>
      <c r="F154" s="146" t="s">
        <v>393</v>
      </c>
      <c r="G154" s="240">
        <v>45877</v>
      </c>
      <c r="H154" s="17">
        <v>859</v>
      </c>
      <c r="I154" s="241">
        <v>859</v>
      </c>
      <c r="J154" s="241">
        <v>825</v>
      </c>
      <c r="K154" s="6">
        <f>+H154*96%-J154</f>
        <v>-0.36000000000001364</v>
      </c>
      <c r="L154" s="6">
        <f t="shared" si="30"/>
        <v>0</v>
      </c>
      <c r="M154" s="299" t="s">
        <v>853</v>
      </c>
      <c r="N154" s="132">
        <f t="shared" ca="1" si="28"/>
        <v>37</v>
      </c>
      <c r="O154" s="85">
        <v>45793</v>
      </c>
      <c r="P154" s="131">
        <v>45787</v>
      </c>
      <c r="Q154" s="131">
        <f t="shared" si="31"/>
        <v>45789</v>
      </c>
      <c r="R154" s="132">
        <f t="shared" ca="1" si="32"/>
        <v>6</v>
      </c>
      <c r="S154" s="131">
        <f>O154+12</f>
        <v>45805</v>
      </c>
      <c r="T154" s="133">
        <v>45819</v>
      </c>
      <c r="U154" s="132">
        <f t="shared" ca="1" si="33"/>
        <v>-14</v>
      </c>
      <c r="V154" s="335">
        <f t="shared" si="38"/>
        <v>72</v>
      </c>
      <c r="W154" s="131"/>
      <c r="X154" s="297"/>
      <c r="Y154" s="124"/>
    </row>
    <row r="155" spans="1:25" ht="14.5" hidden="1">
      <c r="A155" s="14">
        <v>124</v>
      </c>
      <c r="B155" s="15" t="s">
        <v>59</v>
      </c>
      <c r="C155" s="15"/>
      <c r="D155" s="318" t="s">
        <v>839</v>
      </c>
      <c r="E155" s="146" t="s">
        <v>242</v>
      </c>
      <c r="F155" s="146" t="s">
        <v>162</v>
      </c>
      <c r="G155" s="240">
        <v>45877</v>
      </c>
      <c r="H155" s="17">
        <v>109</v>
      </c>
      <c r="I155" s="241">
        <v>109</v>
      </c>
      <c r="J155" s="241">
        <v>109</v>
      </c>
      <c r="K155" s="6">
        <f t="shared" si="27"/>
        <v>0</v>
      </c>
      <c r="L155" s="6">
        <f t="shared" si="30"/>
        <v>0</v>
      </c>
      <c r="M155" s="300" t="s">
        <v>894</v>
      </c>
      <c r="N155" s="132">
        <f t="shared" ca="1" si="28"/>
        <v>37</v>
      </c>
      <c r="O155" s="85">
        <v>45793</v>
      </c>
      <c r="P155" s="131">
        <v>45793</v>
      </c>
      <c r="Q155" s="131">
        <f t="shared" si="31"/>
        <v>45795</v>
      </c>
      <c r="R155" s="132">
        <f t="shared" ca="1" si="32"/>
        <v>0</v>
      </c>
      <c r="S155" s="131">
        <f>O155+12</f>
        <v>45805</v>
      </c>
      <c r="T155" s="133">
        <v>45810</v>
      </c>
      <c r="U155" s="132">
        <f t="shared" ca="1" si="33"/>
        <v>-5</v>
      </c>
      <c r="V155" s="335">
        <f t="shared" si="38"/>
        <v>72</v>
      </c>
      <c r="W155" s="131">
        <v>45806</v>
      </c>
      <c r="X155" s="297"/>
      <c r="Y155" s="124"/>
    </row>
    <row r="156" spans="1:25" ht="14.5" hidden="1">
      <c r="A156" s="14">
        <v>130</v>
      </c>
      <c r="B156" s="15" t="s">
        <v>59</v>
      </c>
      <c r="C156" s="15"/>
      <c r="D156" s="318" t="s">
        <v>189</v>
      </c>
      <c r="E156" s="146" t="s">
        <v>242</v>
      </c>
      <c r="F156" s="146" t="s">
        <v>90</v>
      </c>
      <c r="G156" s="240">
        <v>45835</v>
      </c>
      <c r="H156" s="17">
        <v>400</v>
      </c>
      <c r="I156" s="241">
        <v>400</v>
      </c>
      <c r="J156" s="241">
        <v>384</v>
      </c>
      <c r="K156" s="6">
        <f>+H156*96%-J156</f>
        <v>0</v>
      </c>
      <c r="L156" s="6">
        <f t="shared" si="30"/>
        <v>0</v>
      </c>
      <c r="M156" s="130" t="s">
        <v>389</v>
      </c>
      <c r="N156" s="132">
        <f t="shared" ca="1" si="28"/>
        <v>-5</v>
      </c>
      <c r="O156" s="85">
        <v>45801</v>
      </c>
      <c r="P156" s="131">
        <v>45803</v>
      </c>
      <c r="Q156" s="131">
        <f t="shared" si="31"/>
        <v>45805</v>
      </c>
      <c r="R156" s="132">
        <f t="shared" ca="1" si="32"/>
        <v>-2</v>
      </c>
      <c r="S156" s="131">
        <f>O156+12</f>
        <v>45813</v>
      </c>
      <c r="T156" s="133">
        <v>45808</v>
      </c>
      <c r="U156" s="132">
        <f t="shared" ca="1" si="33"/>
        <v>5</v>
      </c>
      <c r="V156" s="335">
        <f t="shared" si="38"/>
        <v>22</v>
      </c>
      <c r="W156" s="131"/>
      <c r="X156" s="297"/>
      <c r="Y156" s="124"/>
    </row>
    <row r="157" spans="1:25" ht="14.5" hidden="1">
      <c r="A157" s="14">
        <v>130</v>
      </c>
      <c r="B157" s="15" t="s">
        <v>59</v>
      </c>
      <c r="C157" s="15"/>
      <c r="D157" s="318" t="s">
        <v>189</v>
      </c>
      <c r="E157" s="146" t="s">
        <v>242</v>
      </c>
      <c r="F157" s="146" t="s">
        <v>855</v>
      </c>
      <c r="G157" s="240">
        <v>45835</v>
      </c>
      <c r="H157" s="17">
        <v>1450</v>
      </c>
      <c r="I157" s="241">
        <v>1450</v>
      </c>
      <c r="J157" s="241">
        <v>1392</v>
      </c>
      <c r="K157" s="6">
        <f>+H157*96%-J157</f>
        <v>0</v>
      </c>
      <c r="L157" s="6">
        <f t="shared" si="30"/>
        <v>0</v>
      </c>
      <c r="M157" s="299" t="s">
        <v>389</v>
      </c>
      <c r="N157" s="132">
        <f t="shared" ca="1" si="28"/>
        <v>-5</v>
      </c>
      <c r="O157" s="85">
        <v>45801</v>
      </c>
      <c r="P157" s="131">
        <v>45803</v>
      </c>
      <c r="Q157" s="131">
        <f t="shared" si="31"/>
        <v>45805</v>
      </c>
      <c r="R157" s="132">
        <f t="shared" ca="1" si="32"/>
        <v>-2</v>
      </c>
      <c r="S157" s="131">
        <v>45804</v>
      </c>
      <c r="T157" s="133">
        <v>45808</v>
      </c>
      <c r="U157" s="132">
        <f t="shared" ca="1" si="33"/>
        <v>-4</v>
      </c>
      <c r="V157" s="335">
        <f t="shared" si="38"/>
        <v>31</v>
      </c>
      <c r="W157" s="131"/>
      <c r="X157" s="297"/>
      <c r="Y157" s="124"/>
    </row>
    <row r="158" spans="1:25" ht="14.5" hidden="1">
      <c r="A158" s="14">
        <v>131</v>
      </c>
      <c r="B158" s="15" t="s">
        <v>59</v>
      </c>
      <c r="C158" s="15"/>
      <c r="D158" s="318" t="s">
        <v>248</v>
      </c>
      <c r="E158" s="146" t="s">
        <v>270</v>
      </c>
      <c r="F158" s="146" t="s">
        <v>162</v>
      </c>
      <c r="G158" s="240">
        <v>45856</v>
      </c>
      <c r="H158" s="17">
        <v>3556.5207839999998</v>
      </c>
      <c r="I158" s="241">
        <v>3557</v>
      </c>
      <c r="J158" s="241">
        <v>3524</v>
      </c>
      <c r="K158" s="6">
        <f>+H158*92%-J158</f>
        <v>-252.00087871999995</v>
      </c>
      <c r="L158" s="6">
        <f t="shared" si="30"/>
        <v>-0.47921600000017861</v>
      </c>
      <c r="M158" s="299" t="s">
        <v>133</v>
      </c>
      <c r="N158" s="132">
        <f t="shared" ca="1" si="28"/>
        <v>16</v>
      </c>
      <c r="O158" s="85">
        <f>S158-12</f>
        <v>45810</v>
      </c>
      <c r="P158" s="131">
        <v>45819</v>
      </c>
      <c r="Q158" s="131">
        <f t="shared" si="31"/>
        <v>45821</v>
      </c>
      <c r="R158" s="132">
        <f t="shared" ca="1" si="32"/>
        <v>-9</v>
      </c>
      <c r="S158" s="131">
        <f>G158-34</f>
        <v>45822</v>
      </c>
      <c r="T158" s="133">
        <v>45827</v>
      </c>
      <c r="U158" s="132">
        <f t="shared" ca="1" si="33"/>
        <v>-5</v>
      </c>
      <c r="V158" s="335">
        <f t="shared" si="38"/>
        <v>34</v>
      </c>
      <c r="W158" s="131"/>
      <c r="X158" s="297"/>
      <c r="Y158" s="124"/>
    </row>
    <row r="159" spans="1:25" ht="14.5" hidden="1">
      <c r="A159" s="14">
        <v>131</v>
      </c>
      <c r="B159" s="15" t="s">
        <v>59</v>
      </c>
      <c r="C159" s="15"/>
      <c r="D159" s="318" t="s">
        <v>839</v>
      </c>
      <c r="E159" s="146" t="s">
        <v>242</v>
      </c>
      <c r="F159" s="146" t="s">
        <v>162</v>
      </c>
      <c r="G159" s="240">
        <v>45856</v>
      </c>
      <c r="H159" s="17">
        <v>662.8124160000001</v>
      </c>
      <c r="I159" s="241">
        <v>663</v>
      </c>
      <c r="J159" s="241">
        <v>663</v>
      </c>
      <c r="K159" s="6">
        <f t="shared" si="27"/>
        <v>-0.18758399999990161</v>
      </c>
      <c r="L159" s="6">
        <f t="shared" si="30"/>
        <v>-0.18758399999990161</v>
      </c>
      <c r="M159" s="299" t="s">
        <v>894</v>
      </c>
      <c r="N159" s="132">
        <f t="shared" ca="1" si="28"/>
        <v>16</v>
      </c>
      <c r="O159" s="85">
        <v>45793</v>
      </c>
      <c r="P159" s="131">
        <v>45793</v>
      </c>
      <c r="Q159" s="131">
        <f t="shared" si="31"/>
        <v>45795</v>
      </c>
      <c r="R159" s="132">
        <f t="shared" ca="1" si="32"/>
        <v>0</v>
      </c>
      <c r="S159" s="131">
        <f>O159+12</f>
        <v>45805</v>
      </c>
      <c r="T159" s="133">
        <v>45810</v>
      </c>
      <c r="U159" s="132">
        <f t="shared" ca="1" si="33"/>
        <v>-5</v>
      </c>
      <c r="V159" s="335">
        <f t="shared" si="38"/>
        <v>51</v>
      </c>
      <c r="W159" s="131">
        <v>45806</v>
      </c>
      <c r="X159" s="297"/>
      <c r="Y159" s="124"/>
    </row>
    <row r="160" spans="1:25" ht="14.5" hidden="1">
      <c r="A160" s="14">
        <v>133</v>
      </c>
      <c r="B160" s="15" t="s">
        <v>59</v>
      </c>
      <c r="C160" s="15"/>
      <c r="D160" s="318" t="s">
        <v>288</v>
      </c>
      <c r="E160" s="146" t="s">
        <v>289</v>
      </c>
      <c r="F160" s="146" t="s">
        <v>155</v>
      </c>
      <c r="G160" s="240">
        <v>45863</v>
      </c>
      <c r="H160" s="17">
        <f>212/2</f>
        <v>106</v>
      </c>
      <c r="I160" s="241">
        <v>106</v>
      </c>
      <c r="J160" s="241">
        <v>106</v>
      </c>
      <c r="K160" s="6">
        <f t="shared" si="27"/>
        <v>0</v>
      </c>
      <c r="L160" s="6">
        <f t="shared" si="30"/>
        <v>0</v>
      </c>
      <c r="M160" s="299" t="s">
        <v>853</v>
      </c>
      <c r="N160" s="132">
        <f t="shared" ca="1" si="28"/>
        <v>23</v>
      </c>
      <c r="O160" s="85">
        <v>45826</v>
      </c>
      <c r="P160" s="131">
        <v>45833</v>
      </c>
      <c r="Q160" s="131">
        <f t="shared" si="31"/>
        <v>45835</v>
      </c>
      <c r="R160" s="132">
        <f t="shared" ca="1" si="32"/>
        <v>-7</v>
      </c>
      <c r="S160" s="131">
        <f>O160+8</f>
        <v>45834</v>
      </c>
      <c r="T160" s="133">
        <v>45838</v>
      </c>
      <c r="U160" s="132">
        <f t="shared" ca="1" si="33"/>
        <v>-4</v>
      </c>
      <c r="V160" s="335">
        <f t="shared" si="38"/>
        <v>29</v>
      </c>
      <c r="W160" s="131"/>
      <c r="X160" s="297"/>
      <c r="Y160" s="124"/>
    </row>
    <row r="161" spans="1:25" ht="14.5" hidden="1">
      <c r="A161" s="14">
        <v>133</v>
      </c>
      <c r="B161" s="15" t="s">
        <v>59</v>
      </c>
      <c r="C161" s="15"/>
      <c r="D161" s="318" t="s">
        <v>288</v>
      </c>
      <c r="E161" s="146" t="s">
        <v>289</v>
      </c>
      <c r="F161" s="146" t="s">
        <v>154</v>
      </c>
      <c r="G161" s="240">
        <v>45863</v>
      </c>
      <c r="H161" s="17">
        <f>175.587533333333/2</f>
        <v>87.7937666666665</v>
      </c>
      <c r="I161" s="241">
        <v>88</v>
      </c>
      <c r="J161" s="241">
        <v>88</v>
      </c>
      <c r="K161" s="6">
        <f t="shared" si="27"/>
        <v>-0.20623333333350047</v>
      </c>
      <c r="L161" s="6">
        <f t="shared" si="30"/>
        <v>-0.20623333333350047</v>
      </c>
      <c r="M161" s="299" t="s">
        <v>853</v>
      </c>
      <c r="N161" s="132">
        <f t="shared" ca="1" si="28"/>
        <v>23</v>
      </c>
      <c r="O161" s="85">
        <v>45826</v>
      </c>
      <c r="P161" s="131">
        <v>45833</v>
      </c>
      <c r="Q161" s="131">
        <f t="shared" si="31"/>
        <v>45835</v>
      </c>
      <c r="R161" s="132">
        <f t="shared" ca="1" si="32"/>
        <v>-7</v>
      </c>
      <c r="S161" s="131">
        <f>O161+8</f>
        <v>45834</v>
      </c>
      <c r="T161" s="133">
        <v>45838</v>
      </c>
      <c r="U161" s="132">
        <f t="shared" ca="1" si="33"/>
        <v>-4</v>
      </c>
      <c r="V161" s="335">
        <f t="shared" si="38"/>
        <v>29</v>
      </c>
      <c r="W161" s="131"/>
      <c r="X161" s="297"/>
      <c r="Y161" s="124"/>
    </row>
    <row r="162" spans="1:25" ht="14.5" hidden="1">
      <c r="A162" s="14">
        <v>133</v>
      </c>
      <c r="B162" s="15" t="s">
        <v>59</v>
      </c>
      <c r="C162" s="15"/>
      <c r="D162" s="318" t="s">
        <v>288</v>
      </c>
      <c r="E162" s="146" t="s">
        <v>289</v>
      </c>
      <c r="F162" s="146" t="s">
        <v>156</v>
      </c>
      <c r="G162" s="240">
        <v>45863</v>
      </c>
      <c r="H162" s="17">
        <f>140.470026666667/2</f>
        <v>70.235013333333498</v>
      </c>
      <c r="I162" s="241">
        <v>70</v>
      </c>
      <c r="J162" s="241">
        <v>72</v>
      </c>
      <c r="K162" s="6">
        <f t="shared" si="27"/>
        <v>-1.7649866666665019</v>
      </c>
      <c r="L162" s="6">
        <f t="shared" si="30"/>
        <v>0.23501333333349805</v>
      </c>
      <c r="M162" s="299" t="s">
        <v>853</v>
      </c>
      <c r="N162" s="132">
        <f t="shared" ca="1" si="28"/>
        <v>23</v>
      </c>
      <c r="O162" s="85">
        <v>45826</v>
      </c>
      <c r="P162" s="131">
        <v>45820</v>
      </c>
      <c r="Q162" s="131">
        <f t="shared" si="31"/>
        <v>45822</v>
      </c>
      <c r="R162" s="132">
        <f t="shared" ca="1" si="32"/>
        <v>6</v>
      </c>
      <c r="S162" s="131">
        <f>O162+8</f>
        <v>45834</v>
      </c>
      <c r="T162" s="133">
        <v>45829</v>
      </c>
      <c r="U162" s="132">
        <f t="shared" ca="1" si="33"/>
        <v>5</v>
      </c>
      <c r="V162" s="335">
        <f t="shared" si="38"/>
        <v>29</v>
      </c>
      <c r="W162" s="131"/>
      <c r="X162" s="297"/>
      <c r="Y162" s="124"/>
    </row>
    <row r="163" spans="1:25" ht="14.5" hidden="1">
      <c r="A163" s="14">
        <v>133</v>
      </c>
      <c r="B163" s="15" t="s">
        <v>59</v>
      </c>
      <c r="C163" s="15"/>
      <c r="D163" s="318" t="s">
        <v>189</v>
      </c>
      <c r="E163" s="146" t="s">
        <v>242</v>
      </c>
      <c r="F163" s="146" t="s">
        <v>855</v>
      </c>
      <c r="G163" s="240">
        <v>45863</v>
      </c>
      <c r="H163" s="17">
        <v>1106.2210986666669</v>
      </c>
      <c r="I163" s="241">
        <v>1106</v>
      </c>
      <c r="J163" s="241">
        <v>994</v>
      </c>
      <c r="K163" s="6">
        <f t="shared" si="27"/>
        <v>112.22109866666688</v>
      </c>
      <c r="L163" s="6">
        <f t="shared" si="30"/>
        <v>0.22109866666687594</v>
      </c>
      <c r="M163" s="299" t="s">
        <v>389</v>
      </c>
      <c r="N163" s="132">
        <f t="shared" ca="1" si="28"/>
        <v>23</v>
      </c>
      <c r="O163" s="85">
        <f>S163-12</f>
        <v>45817</v>
      </c>
      <c r="P163" s="131">
        <v>45817</v>
      </c>
      <c r="Q163" s="131">
        <f t="shared" si="31"/>
        <v>45819</v>
      </c>
      <c r="R163" s="132">
        <f t="shared" ca="1" si="32"/>
        <v>0</v>
      </c>
      <c r="S163" s="131">
        <f>G163-34</f>
        <v>45829</v>
      </c>
      <c r="T163" s="133">
        <v>45827</v>
      </c>
      <c r="U163" s="132">
        <f t="shared" ca="1" si="33"/>
        <v>2</v>
      </c>
      <c r="V163" s="335">
        <f t="shared" si="38"/>
        <v>34</v>
      </c>
      <c r="W163" s="131"/>
      <c r="X163" s="297"/>
      <c r="Y163" s="124"/>
    </row>
    <row r="164" spans="1:25" ht="14.5" hidden="1">
      <c r="A164" s="14">
        <v>133</v>
      </c>
      <c r="B164" s="15" t="s">
        <v>59</v>
      </c>
      <c r="C164" s="15"/>
      <c r="D164" s="318" t="s">
        <v>193</v>
      </c>
      <c r="E164" s="146" t="s">
        <v>246</v>
      </c>
      <c r="F164" s="146" t="s">
        <v>162</v>
      </c>
      <c r="G164" s="240">
        <v>45863</v>
      </c>
      <c r="H164" s="17">
        <v>1243.6632000000002</v>
      </c>
      <c r="I164" s="241">
        <v>1244</v>
      </c>
      <c r="J164" s="241">
        <v>1214</v>
      </c>
      <c r="K164" s="6">
        <f>+H164*94%-J164</f>
        <v>-44.956592000000001</v>
      </c>
      <c r="L164" s="6">
        <f t="shared" si="30"/>
        <v>-0.33679999999981192</v>
      </c>
      <c r="M164" s="300" t="s">
        <v>133</v>
      </c>
      <c r="N164" s="132">
        <f t="shared" ca="1" si="28"/>
        <v>23</v>
      </c>
      <c r="O164" s="85">
        <f>S164-12</f>
        <v>45819</v>
      </c>
      <c r="P164" s="131">
        <v>45827</v>
      </c>
      <c r="Q164" s="131">
        <f t="shared" ref="Q164:Q165" si="39">P164+2</f>
        <v>45829</v>
      </c>
      <c r="R164" s="132">
        <f t="shared" ref="R164:R165" ca="1" si="40">+IF(P164="",O164-TODAY(),O164-P164)</f>
        <v>-8</v>
      </c>
      <c r="S164" s="131">
        <f>G164-32</f>
        <v>45831</v>
      </c>
      <c r="T164" s="133">
        <v>45834</v>
      </c>
      <c r="U164" s="132">
        <f t="shared" ca="1" si="33"/>
        <v>-3</v>
      </c>
      <c r="V164" s="335">
        <f t="shared" si="38"/>
        <v>32</v>
      </c>
      <c r="W164" s="131"/>
      <c r="X164" s="297"/>
      <c r="Y164" s="124"/>
    </row>
    <row r="165" spans="1:25" ht="14.5">
      <c r="A165" s="14">
        <v>135</v>
      </c>
      <c r="B165" s="15" t="s">
        <v>59</v>
      </c>
      <c r="C165" s="15"/>
      <c r="D165" s="318" t="s">
        <v>201</v>
      </c>
      <c r="E165" s="146" t="s">
        <v>247</v>
      </c>
      <c r="F165" s="146" t="s">
        <v>155</v>
      </c>
      <c r="G165" s="240">
        <v>45863</v>
      </c>
      <c r="H165" s="17">
        <v>3997.9549209599991</v>
      </c>
      <c r="I165" s="241">
        <v>3998</v>
      </c>
      <c r="J165" s="241">
        <v>3758</v>
      </c>
      <c r="K165" s="6">
        <f>+H165*94%-J165</f>
        <v>7.7625702399018337E-2</v>
      </c>
      <c r="L165" s="6">
        <f t="shared" si="30"/>
        <v>-4.5079040000928217E-2</v>
      </c>
      <c r="M165" s="300" t="s">
        <v>386</v>
      </c>
      <c r="N165" s="132">
        <f t="shared" ca="1" si="28"/>
        <v>23</v>
      </c>
      <c r="O165" s="85">
        <f>S165-12</f>
        <v>45817</v>
      </c>
      <c r="P165" s="131">
        <v>45829</v>
      </c>
      <c r="Q165" s="131">
        <f t="shared" si="39"/>
        <v>45831</v>
      </c>
      <c r="R165" s="132">
        <f t="shared" ca="1" si="40"/>
        <v>-12</v>
      </c>
      <c r="S165" s="131">
        <f>G165-34</f>
        <v>45829</v>
      </c>
      <c r="T165" s="133">
        <v>45838</v>
      </c>
      <c r="U165" s="132">
        <f t="shared" ca="1" si="33"/>
        <v>-9</v>
      </c>
      <c r="V165" s="335">
        <f t="shared" si="38"/>
        <v>34</v>
      </c>
      <c r="W165" s="131"/>
      <c r="X165" s="297"/>
      <c r="Y165" s="124"/>
    </row>
    <row r="166" spans="1:25" ht="14.5" hidden="1">
      <c r="A166" s="14">
        <v>135</v>
      </c>
      <c r="B166" s="15" t="s">
        <v>59</v>
      </c>
      <c r="C166" s="15"/>
      <c r="D166" s="318" t="s">
        <v>250</v>
      </c>
      <c r="E166" s="146" t="s">
        <v>249</v>
      </c>
      <c r="F166" s="146" t="s">
        <v>162</v>
      </c>
      <c r="G166" s="240">
        <v>45863</v>
      </c>
      <c r="H166" s="17">
        <v>5435.0010000000002</v>
      </c>
      <c r="I166" s="241">
        <v>5435</v>
      </c>
      <c r="J166" s="241">
        <v>4933</v>
      </c>
      <c r="K166" s="6">
        <f>+H166*94%-J166</f>
        <v>175.90093999999954</v>
      </c>
      <c r="L166" s="6">
        <f t="shared" si="30"/>
        <v>1.0000000002037268E-3</v>
      </c>
      <c r="M166" s="299" t="s">
        <v>397</v>
      </c>
      <c r="N166" s="132">
        <f t="shared" ca="1" si="28"/>
        <v>23</v>
      </c>
      <c r="O166" s="85">
        <f>S166-12</f>
        <v>45817</v>
      </c>
      <c r="P166" s="131">
        <v>45818</v>
      </c>
      <c r="Q166" s="131">
        <f t="shared" si="31"/>
        <v>45820</v>
      </c>
      <c r="R166" s="132">
        <f t="shared" ca="1" si="32"/>
        <v>-1</v>
      </c>
      <c r="S166" s="131">
        <f>G166-34</f>
        <v>45829</v>
      </c>
      <c r="T166" s="133">
        <v>45827</v>
      </c>
      <c r="U166" s="132">
        <f t="shared" ca="1" si="33"/>
        <v>2</v>
      </c>
      <c r="V166" s="335">
        <f t="shared" si="38"/>
        <v>34</v>
      </c>
      <c r="W166" s="131"/>
      <c r="X166" s="297"/>
      <c r="Y166" s="124"/>
    </row>
    <row r="167" spans="1:25" ht="14.5" hidden="1">
      <c r="A167" s="14">
        <v>135</v>
      </c>
      <c r="B167" s="15" t="s">
        <v>59</v>
      </c>
      <c r="C167" s="15"/>
      <c r="D167" s="318" t="s">
        <v>193</v>
      </c>
      <c r="E167" s="146" t="s">
        <v>249</v>
      </c>
      <c r="F167" s="146" t="s">
        <v>162</v>
      </c>
      <c r="G167" s="240">
        <v>45863</v>
      </c>
      <c r="H167" s="17">
        <v>5582.4681600000004</v>
      </c>
      <c r="I167" s="241">
        <v>5582</v>
      </c>
      <c r="J167" s="241">
        <v>832</v>
      </c>
      <c r="K167" s="6">
        <f>+H167*94%-J167</f>
        <v>4415.5200703999999</v>
      </c>
      <c r="L167" s="6">
        <f t="shared" si="30"/>
        <v>0.46816000000035274</v>
      </c>
      <c r="M167" s="299" t="s">
        <v>133</v>
      </c>
      <c r="N167" s="132">
        <f t="shared" ca="1" si="28"/>
        <v>23</v>
      </c>
      <c r="O167" s="85">
        <f>S167-12</f>
        <v>45819</v>
      </c>
      <c r="P167" s="131">
        <v>45829</v>
      </c>
      <c r="Q167" s="131">
        <f t="shared" ref="Q167" si="41">P167+2</f>
        <v>45831</v>
      </c>
      <c r="R167" s="132">
        <f t="shared" ref="R167" ca="1" si="42">+IF(P167="",O167-TODAY(),O167-P167)</f>
        <v>-10</v>
      </c>
      <c r="S167" s="131">
        <f>G167-32</f>
        <v>45831</v>
      </c>
      <c r="T167" s="133"/>
      <c r="U167" s="132">
        <f t="shared" ca="1" si="33"/>
        <v>-9</v>
      </c>
      <c r="V167" s="335">
        <f t="shared" si="38"/>
        <v>32</v>
      </c>
      <c r="W167" s="131"/>
      <c r="X167" s="297"/>
      <c r="Y167" s="124"/>
    </row>
    <row r="168" spans="1:25" ht="14.5" hidden="1">
      <c r="A168" s="14">
        <v>135</v>
      </c>
      <c r="B168" s="15" t="s">
        <v>59</v>
      </c>
      <c r="C168" s="15"/>
      <c r="D168" s="318" t="s">
        <v>390</v>
      </c>
      <c r="E168" s="146" t="s">
        <v>242</v>
      </c>
      <c r="F168" s="146" t="s">
        <v>162</v>
      </c>
      <c r="G168" s="240">
        <v>45863</v>
      </c>
      <c r="H168" s="17">
        <v>168</v>
      </c>
      <c r="I168" s="241">
        <v>168</v>
      </c>
      <c r="J168" s="241">
        <v>168</v>
      </c>
      <c r="K168" s="6">
        <f t="shared" si="27"/>
        <v>0</v>
      </c>
      <c r="L168" s="6">
        <f t="shared" si="30"/>
        <v>0</v>
      </c>
      <c r="M168" s="299" t="s">
        <v>894</v>
      </c>
      <c r="N168" s="132">
        <f t="shared" ca="1" si="28"/>
        <v>23</v>
      </c>
      <c r="O168" s="85">
        <v>45793</v>
      </c>
      <c r="P168" s="131">
        <v>45787</v>
      </c>
      <c r="Q168" s="131">
        <f t="shared" si="31"/>
        <v>45789</v>
      </c>
      <c r="R168" s="132">
        <f t="shared" ca="1" si="32"/>
        <v>6</v>
      </c>
      <c r="S168" s="131">
        <f t="shared" ref="S168:S173" si="43">O168+12</f>
        <v>45805</v>
      </c>
      <c r="T168" s="133">
        <v>45810</v>
      </c>
      <c r="U168" s="132">
        <f t="shared" ca="1" si="33"/>
        <v>-5</v>
      </c>
      <c r="V168" s="335">
        <f t="shared" si="38"/>
        <v>58</v>
      </c>
      <c r="W168" s="131"/>
      <c r="X168" s="297"/>
      <c r="Y168" s="124"/>
    </row>
    <row r="169" spans="1:25" ht="14.5" hidden="1">
      <c r="A169" s="14">
        <v>135</v>
      </c>
      <c r="B169" s="15" t="s">
        <v>59</v>
      </c>
      <c r="C169" s="15"/>
      <c r="D169" s="318" t="s">
        <v>839</v>
      </c>
      <c r="E169" s="146" t="s">
        <v>242</v>
      </c>
      <c r="F169" s="146" t="s">
        <v>162</v>
      </c>
      <c r="G169" s="240">
        <v>45863</v>
      </c>
      <c r="H169" s="17">
        <v>865</v>
      </c>
      <c r="I169" s="17">
        <v>865</v>
      </c>
      <c r="J169" s="241">
        <v>831</v>
      </c>
      <c r="K169" s="6">
        <f>+H169*94%-J169</f>
        <v>-17.900000000000091</v>
      </c>
      <c r="L169" s="6">
        <f t="shared" si="30"/>
        <v>0</v>
      </c>
      <c r="M169" s="299" t="s">
        <v>894</v>
      </c>
      <c r="N169" s="132">
        <f t="shared" ca="1" si="28"/>
        <v>23</v>
      </c>
      <c r="O169" s="85">
        <v>45805</v>
      </c>
      <c r="P169" s="131">
        <v>45806</v>
      </c>
      <c r="Q169" s="131">
        <f t="shared" si="31"/>
        <v>45808</v>
      </c>
      <c r="R169" s="132">
        <f t="shared" ca="1" si="32"/>
        <v>-1</v>
      </c>
      <c r="S169" s="131">
        <f t="shared" si="43"/>
        <v>45817</v>
      </c>
      <c r="T169" s="133">
        <v>45836</v>
      </c>
      <c r="U169" s="132">
        <f t="shared" ca="1" si="33"/>
        <v>-19</v>
      </c>
      <c r="V169" s="335">
        <f t="shared" si="38"/>
        <v>46</v>
      </c>
      <c r="W169" s="131">
        <v>45834</v>
      </c>
      <c r="X169" s="297"/>
      <c r="Y169" s="124"/>
    </row>
    <row r="170" spans="1:25" ht="14.5" hidden="1">
      <c r="A170" s="14">
        <v>136</v>
      </c>
      <c r="B170" s="15" t="s">
        <v>59</v>
      </c>
      <c r="C170" s="15"/>
      <c r="D170" s="318" t="s">
        <v>189</v>
      </c>
      <c r="E170" s="146" t="s">
        <v>838</v>
      </c>
      <c r="F170" s="146" t="s">
        <v>855</v>
      </c>
      <c r="G170" s="240">
        <v>45863</v>
      </c>
      <c r="H170" s="17">
        <v>1850.7193813333336</v>
      </c>
      <c r="I170" s="241">
        <v>1851</v>
      </c>
      <c r="J170" s="241">
        <v>1767</v>
      </c>
      <c r="K170" s="6">
        <f t="shared" si="27"/>
        <v>83.719381333333558</v>
      </c>
      <c r="L170" s="6">
        <f t="shared" si="30"/>
        <v>-0.28061866666644164</v>
      </c>
      <c r="M170" s="299" t="s">
        <v>389</v>
      </c>
      <c r="N170" s="132">
        <f t="shared" ca="1" si="28"/>
        <v>23</v>
      </c>
      <c r="O170" s="85">
        <f>S170-12</f>
        <v>45817</v>
      </c>
      <c r="P170" s="131">
        <v>45817</v>
      </c>
      <c r="Q170" s="131">
        <f t="shared" si="31"/>
        <v>45819</v>
      </c>
      <c r="R170" s="132">
        <f t="shared" ca="1" si="32"/>
        <v>0</v>
      </c>
      <c r="S170" s="131">
        <f>G170-34</f>
        <v>45829</v>
      </c>
      <c r="T170" s="133">
        <v>45827</v>
      </c>
      <c r="U170" s="132">
        <f t="shared" ca="1" si="33"/>
        <v>2</v>
      </c>
      <c r="V170" s="335">
        <f t="shared" si="38"/>
        <v>34</v>
      </c>
      <c r="W170" s="131"/>
      <c r="X170" s="297"/>
      <c r="Y170" s="124"/>
    </row>
    <row r="171" spans="1:25" ht="14.5" hidden="1">
      <c r="A171" s="14">
        <v>137</v>
      </c>
      <c r="B171" s="15" t="s">
        <v>59</v>
      </c>
      <c r="C171" s="15"/>
      <c r="D171" s="318" t="s">
        <v>250</v>
      </c>
      <c r="E171" s="146" t="s">
        <v>249</v>
      </c>
      <c r="F171" s="146" t="s">
        <v>162</v>
      </c>
      <c r="G171" s="240">
        <v>45863</v>
      </c>
      <c r="H171" s="17">
        <v>2675.6928000000003</v>
      </c>
      <c r="I171" s="241">
        <v>2676</v>
      </c>
      <c r="J171" s="241">
        <v>2506</v>
      </c>
      <c r="K171" s="6">
        <f>+H171*94%-J171</f>
        <v>9.1512320000001637</v>
      </c>
      <c r="L171" s="6">
        <f t="shared" si="30"/>
        <v>-0.30719999999973879</v>
      </c>
      <c r="M171" s="299" t="s">
        <v>397</v>
      </c>
      <c r="N171" s="132">
        <f t="shared" ca="1" si="28"/>
        <v>23</v>
      </c>
      <c r="O171" s="85">
        <f>S171-12</f>
        <v>45817</v>
      </c>
      <c r="P171" s="131">
        <v>45818</v>
      </c>
      <c r="Q171" s="131">
        <f t="shared" si="31"/>
        <v>45820</v>
      </c>
      <c r="R171" s="132">
        <f t="shared" ca="1" si="32"/>
        <v>-1</v>
      </c>
      <c r="S171" s="131">
        <f>G171-34</f>
        <v>45829</v>
      </c>
      <c r="T171" s="133">
        <v>45827</v>
      </c>
      <c r="U171" s="132">
        <f t="shared" ca="1" si="33"/>
        <v>2</v>
      </c>
      <c r="V171" s="335">
        <f t="shared" si="38"/>
        <v>34</v>
      </c>
      <c r="W171" s="131"/>
      <c r="X171" s="297"/>
      <c r="Y171" s="124"/>
    </row>
    <row r="172" spans="1:25" ht="14.5" hidden="1">
      <c r="A172" s="14">
        <v>137</v>
      </c>
      <c r="B172" s="15" t="s">
        <v>59</v>
      </c>
      <c r="C172" s="15"/>
      <c r="D172" s="318" t="s">
        <v>391</v>
      </c>
      <c r="E172" s="146" t="s">
        <v>392</v>
      </c>
      <c r="F172" s="146" t="s">
        <v>393</v>
      </c>
      <c r="G172" s="240">
        <v>45863</v>
      </c>
      <c r="H172" s="17">
        <v>619.36784</v>
      </c>
      <c r="I172" s="241">
        <v>619</v>
      </c>
      <c r="J172" s="241">
        <v>595</v>
      </c>
      <c r="K172" s="6">
        <f>+H172*96%-J172</f>
        <v>-0.40687360000003991</v>
      </c>
      <c r="L172" s="6">
        <f t="shared" si="30"/>
        <v>0.36784000000000106</v>
      </c>
      <c r="M172" s="299" t="s">
        <v>853</v>
      </c>
      <c r="N172" s="132">
        <f t="shared" ca="1" si="28"/>
        <v>23</v>
      </c>
      <c r="O172" s="85">
        <v>45793</v>
      </c>
      <c r="P172" s="131">
        <v>45787</v>
      </c>
      <c r="Q172" s="131">
        <f t="shared" si="31"/>
        <v>45789</v>
      </c>
      <c r="R172" s="132">
        <f t="shared" ca="1" si="32"/>
        <v>6</v>
      </c>
      <c r="S172" s="131">
        <f t="shared" si="43"/>
        <v>45805</v>
      </c>
      <c r="T172" s="133">
        <v>45819</v>
      </c>
      <c r="U172" s="132">
        <f t="shared" ca="1" si="33"/>
        <v>-14</v>
      </c>
      <c r="V172" s="335">
        <f t="shared" si="38"/>
        <v>58</v>
      </c>
      <c r="W172" s="131"/>
      <c r="X172" s="297"/>
      <c r="Y172" s="124"/>
    </row>
    <row r="173" spans="1:25" ht="14.5" hidden="1">
      <c r="A173" s="14">
        <v>137</v>
      </c>
      <c r="B173" s="15" t="s">
        <v>59</v>
      </c>
      <c r="C173" s="15"/>
      <c r="D173" s="318" t="s">
        <v>839</v>
      </c>
      <c r="E173" s="146" t="s">
        <v>242</v>
      </c>
      <c r="F173" s="146" t="s">
        <v>162</v>
      </c>
      <c r="G173" s="240">
        <v>45863</v>
      </c>
      <c r="H173" s="17">
        <v>726.04123200000004</v>
      </c>
      <c r="I173" s="241">
        <v>726</v>
      </c>
      <c r="J173" s="241">
        <v>694</v>
      </c>
      <c r="K173" s="6">
        <f>+H173*94%-J173</f>
        <v>-11.521241919999966</v>
      </c>
      <c r="L173" s="6">
        <f t="shared" si="30"/>
        <v>4.1232000000036351E-2</v>
      </c>
      <c r="M173" s="300" t="s">
        <v>894</v>
      </c>
      <c r="N173" s="132">
        <f t="shared" ca="1" si="28"/>
        <v>23</v>
      </c>
      <c r="O173" s="85">
        <v>45805</v>
      </c>
      <c r="P173" s="131">
        <v>45806</v>
      </c>
      <c r="Q173" s="131">
        <f t="shared" si="31"/>
        <v>45808</v>
      </c>
      <c r="R173" s="132">
        <f t="shared" ca="1" si="32"/>
        <v>-1</v>
      </c>
      <c r="S173" s="131">
        <f t="shared" si="43"/>
        <v>45817</v>
      </c>
      <c r="T173" s="133">
        <v>45836</v>
      </c>
      <c r="U173" s="132">
        <f t="shared" ca="1" si="33"/>
        <v>-19</v>
      </c>
      <c r="V173" s="335">
        <f t="shared" si="38"/>
        <v>46</v>
      </c>
      <c r="W173" s="131">
        <v>45834</v>
      </c>
      <c r="X173" s="297"/>
      <c r="Y173" s="124"/>
    </row>
    <row r="174" spans="1:25" ht="14.5" hidden="1">
      <c r="A174" s="14">
        <v>138</v>
      </c>
      <c r="B174" s="15" t="s">
        <v>59</v>
      </c>
      <c r="C174" s="15"/>
      <c r="D174" s="318" t="s">
        <v>288</v>
      </c>
      <c r="E174" s="146" t="s">
        <v>289</v>
      </c>
      <c r="F174" s="146" t="s">
        <v>155</v>
      </c>
      <c r="G174" s="240">
        <v>45863</v>
      </c>
      <c r="H174" s="17">
        <f>1536.37092658824/2</f>
        <v>768.18546329412004</v>
      </c>
      <c r="I174" s="241">
        <v>768</v>
      </c>
      <c r="J174" s="241">
        <v>768</v>
      </c>
      <c r="K174" s="6">
        <f t="shared" ref="K174:K234" si="44">+H174-J174</f>
        <v>0.1854632941200407</v>
      </c>
      <c r="L174" s="6">
        <f t="shared" si="30"/>
        <v>0.1854632941200407</v>
      </c>
      <c r="M174" s="300" t="s">
        <v>853</v>
      </c>
      <c r="N174" s="132">
        <f t="shared" ca="1" si="28"/>
        <v>23</v>
      </c>
      <c r="O174" s="85">
        <v>45826</v>
      </c>
      <c r="P174" s="131">
        <v>45833</v>
      </c>
      <c r="Q174" s="131">
        <f t="shared" si="31"/>
        <v>45835</v>
      </c>
      <c r="R174" s="132">
        <f t="shared" ca="1" si="32"/>
        <v>-7</v>
      </c>
      <c r="S174" s="131">
        <f>O174+8</f>
        <v>45834</v>
      </c>
      <c r="T174" s="133">
        <v>45838</v>
      </c>
      <c r="U174" s="132">
        <f t="shared" ca="1" si="33"/>
        <v>-4</v>
      </c>
      <c r="V174" s="335">
        <f t="shared" si="38"/>
        <v>29</v>
      </c>
      <c r="W174" s="131"/>
      <c r="X174" s="297"/>
      <c r="Y174" s="124"/>
    </row>
    <row r="175" spans="1:25" ht="14.5" hidden="1">
      <c r="A175" s="14">
        <v>138</v>
      </c>
      <c r="B175" s="15" t="s">
        <v>59</v>
      </c>
      <c r="C175" s="15"/>
      <c r="D175" s="318" t="s">
        <v>288</v>
      </c>
      <c r="E175" s="146" t="s">
        <v>289</v>
      </c>
      <c r="F175" s="146" t="s">
        <v>154</v>
      </c>
      <c r="G175" s="240">
        <v>45863</v>
      </c>
      <c r="H175" s="17">
        <f>1270.08315777778/2</f>
        <v>635.04157888888994</v>
      </c>
      <c r="I175" s="241">
        <v>635</v>
      </c>
      <c r="J175" s="241">
        <v>635</v>
      </c>
      <c r="K175" s="6">
        <f t="shared" si="44"/>
        <v>4.157888888994421E-2</v>
      </c>
      <c r="L175" s="6">
        <f t="shared" si="30"/>
        <v>4.157888888994421E-2</v>
      </c>
      <c r="M175" s="300" t="s">
        <v>853</v>
      </c>
      <c r="N175" s="132">
        <f t="shared" ca="1" si="28"/>
        <v>23</v>
      </c>
      <c r="O175" s="85">
        <v>45826</v>
      </c>
      <c r="P175" s="131">
        <v>45833</v>
      </c>
      <c r="Q175" s="131">
        <f t="shared" si="31"/>
        <v>45835</v>
      </c>
      <c r="R175" s="132">
        <f t="shared" ca="1" si="32"/>
        <v>-7</v>
      </c>
      <c r="S175" s="131">
        <f>O175+8</f>
        <v>45834</v>
      </c>
      <c r="T175" s="133">
        <v>45838</v>
      </c>
      <c r="U175" s="132">
        <f t="shared" ca="1" si="33"/>
        <v>-4</v>
      </c>
      <c r="V175" s="335">
        <f t="shared" si="38"/>
        <v>29</v>
      </c>
      <c r="W175" s="131"/>
      <c r="X175" s="297"/>
      <c r="Y175" s="124"/>
    </row>
    <row r="176" spans="1:25" ht="14.5" hidden="1">
      <c r="A176" s="14">
        <v>138</v>
      </c>
      <c r="B176" s="15" t="s">
        <v>59</v>
      </c>
      <c r="C176" s="15"/>
      <c r="D176" s="318" t="s">
        <v>288</v>
      </c>
      <c r="E176" s="146" t="s">
        <v>289</v>
      </c>
      <c r="F176" s="146" t="s">
        <v>156</v>
      </c>
      <c r="G176" s="240">
        <v>45863</v>
      </c>
      <c r="H176" s="17">
        <f>1016.06652622222/2</f>
        <v>508.03326311110999</v>
      </c>
      <c r="I176" s="241">
        <v>508</v>
      </c>
      <c r="J176" s="241">
        <v>528</v>
      </c>
      <c r="K176" s="6">
        <f t="shared" si="44"/>
        <v>-19.966736888890011</v>
      </c>
      <c r="L176" s="6">
        <f t="shared" si="30"/>
        <v>3.3263111109988586E-2</v>
      </c>
      <c r="M176" s="299" t="s">
        <v>853</v>
      </c>
      <c r="N176" s="132">
        <f t="shared" ca="1" si="28"/>
        <v>23</v>
      </c>
      <c r="O176" s="85">
        <v>45826</v>
      </c>
      <c r="P176" s="131">
        <v>45820</v>
      </c>
      <c r="Q176" s="131">
        <f t="shared" si="31"/>
        <v>45822</v>
      </c>
      <c r="R176" s="132">
        <f t="shared" ca="1" si="32"/>
        <v>6</v>
      </c>
      <c r="S176" s="131">
        <f>O176+8</f>
        <v>45834</v>
      </c>
      <c r="T176" s="133">
        <v>45829</v>
      </c>
      <c r="U176" s="132">
        <f t="shared" ca="1" si="33"/>
        <v>5</v>
      </c>
      <c r="V176" s="335">
        <f t="shared" si="38"/>
        <v>29</v>
      </c>
      <c r="W176" s="131"/>
      <c r="X176" s="297"/>
      <c r="Y176" s="124"/>
    </row>
    <row r="177" spans="1:25" ht="14.5" hidden="1">
      <c r="A177" s="14">
        <v>138</v>
      </c>
      <c r="B177" s="15" t="s">
        <v>59</v>
      </c>
      <c r="C177" s="15"/>
      <c r="D177" s="318" t="s">
        <v>190</v>
      </c>
      <c r="E177" s="146" t="s">
        <v>242</v>
      </c>
      <c r="F177" s="146" t="s">
        <v>244</v>
      </c>
      <c r="G177" s="240">
        <v>45863</v>
      </c>
      <c r="H177" s="17">
        <v>145.340416</v>
      </c>
      <c r="I177" s="241">
        <v>145</v>
      </c>
      <c r="J177" s="241">
        <v>144</v>
      </c>
      <c r="K177" s="6">
        <f>+H177-94%-J177</f>
        <v>0.40041600000000699</v>
      </c>
      <c r="L177" s="6">
        <f t="shared" si="30"/>
        <v>0.34041600000000471</v>
      </c>
      <c r="M177" s="130" t="s">
        <v>133</v>
      </c>
      <c r="N177" s="132">
        <f t="shared" ca="1" si="28"/>
        <v>23</v>
      </c>
      <c r="O177" s="85">
        <v>45809</v>
      </c>
      <c r="P177" s="131">
        <v>45806</v>
      </c>
      <c r="Q177" s="131">
        <f t="shared" si="31"/>
        <v>45808</v>
      </c>
      <c r="R177" s="132">
        <f t="shared" ca="1" si="32"/>
        <v>3</v>
      </c>
      <c r="S177" s="131">
        <f>O177+12</f>
        <v>45821</v>
      </c>
      <c r="T177" s="133">
        <v>45819</v>
      </c>
      <c r="U177" s="132">
        <f t="shared" ca="1" si="33"/>
        <v>2</v>
      </c>
      <c r="V177" s="335">
        <f t="shared" si="38"/>
        <v>42</v>
      </c>
      <c r="W177" s="131"/>
      <c r="X177" s="297"/>
      <c r="Y177" s="124"/>
    </row>
    <row r="178" spans="1:25" ht="14.5" hidden="1">
      <c r="A178" s="14">
        <v>138</v>
      </c>
      <c r="B178" s="15" t="s">
        <v>59</v>
      </c>
      <c r="C178" s="15"/>
      <c r="D178" s="318" t="s">
        <v>189</v>
      </c>
      <c r="E178" s="146" t="s">
        <v>242</v>
      </c>
      <c r="F178" s="146" t="s">
        <v>855</v>
      </c>
      <c r="G178" s="240">
        <v>45863</v>
      </c>
      <c r="H178" s="17">
        <v>675.59869866666679</v>
      </c>
      <c r="I178" s="241">
        <v>676</v>
      </c>
      <c r="J178" s="241">
        <v>617</v>
      </c>
      <c r="K178" s="6">
        <f t="shared" si="44"/>
        <v>58.598698666666792</v>
      </c>
      <c r="L178" s="6">
        <f t="shared" si="30"/>
        <v>-0.40130133333320828</v>
      </c>
      <c r="M178" s="299" t="s">
        <v>389</v>
      </c>
      <c r="N178" s="132">
        <f t="shared" ca="1" si="28"/>
        <v>23</v>
      </c>
      <c r="O178" s="85">
        <f>S178-12</f>
        <v>45817</v>
      </c>
      <c r="P178" s="131">
        <v>45817</v>
      </c>
      <c r="Q178" s="131">
        <f t="shared" si="31"/>
        <v>45819</v>
      </c>
      <c r="R178" s="132">
        <f t="shared" ca="1" si="32"/>
        <v>0</v>
      </c>
      <c r="S178" s="131">
        <f>G178-34</f>
        <v>45829</v>
      </c>
      <c r="T178" s="133">
        <v>45827</v>
      </c>
      <c r="U178" s="132">
        <f t="shared" ca="1" si="33"/>
        <v>2</v>
      </c>
      <c r="V178" s="335">
        <f t="shared" si="38"/>
        <v>34</v>
      </c>
      <c r="W178" s="131"/>
      <c r="X178" s="297"/>
      <c r="Y178" s="124"/>
    </row>
    <row r="179" spans="1:25" ht="14.5" hidden="1">
      <c r="A179" s="14">
        <v>138</v>
      </c>
      <c r="B179" s="15" t="s">
        <v>59</v>
      </c>
      <c r="C179" s="15"/>
      <c r="D179" s="318" t="s">
        <v>839</v>
      </c>
      <c r="E179" s="146" t="s">
        <v>242</v>
      </c>
      <c r="F179" s="146" t="s">
        <v>162</v>
      </c>
      <c r="G179" s="240">
        <v>45863</v>
      </c>
      <c r="H179" s="17">
        <v>795.81096000000014</v>
      </c>
      <c r="I179" s="241">
        <v>796</v>
      </c>
      <c r="J179" s="241">
        <v>763</v>
      </c>
      <c r="K179" s="6">
        <f>+H179*94%-J179</f>
        <v>-14.937697599999865</v>
      </c>
      <c r="L179" s="6">
        <f t="shared" si="30"/>
        <v>-0.18903999999986354</v>
      </c>
      <c r="M179" s="299" t="s">
        <v>894</v>
      </c>
      <c r="N179" s="132">
        <f t="shared" ca="1" si="28"/>
        <v>23</v>
      </c>
      <c r="O179" s="85">
        <v>45805</v>
      </c>
      <c r="P179" s="131">
        <v>45806</v>
      </c>
      <c r="Q179" s="131">
        <f t="shared" si="31"/>
        <v>45808</v>
      </c>
      <c r="R179" s="132">
        <f t="shared" ca="1" si="32"/>
        <v>-1</v>
      </c>
      <c r="S179" s="131">
        <f>O179+12</f>
        <v>45817</v>
      </c>
      <c r="T179" s="133">
        <v>45836</v>
      </c>
      <c r="U179" s="132">
        <f t="shared" ca="1" si="33"/>
        <v>-19</v>
      </c>
      <c r="V179" s="335">
        <f t="shared" si="38"/>
        <v>46</v>
      </c>
      <c r="W179" s="131">
        <v>45834</v>
      </c>
      <c r="X179" s="297"/>
      <c r="Y179" s="124"/>
    </row>
    <row r="180" spans="1:25" ht="14.5">
      <c r="A180" s="14">
        <v>139</v>
      </c>
      <c r="B180" s="15" t="s">
        <v>59</v>
      </c>
      <c r="C180" s="15"/>
      <c r="D180" s="318" t="s">
        <v>201</v>
      </c>
      <c r="E180" s="146" t="s">
        <v>247</v>
      </c>
      <c r="F180" s="146" t="s">
        <v>155</v>
      </c>
      <c r="G180" s="240">
        <v>45870</v>
      </c>
      <c r="H180" s="17">
        <v>3997.9549209599991</v>
      </c>
      <c r="I180" s="241">
        <v>3133</v>
      </c>
      <c r="J180" s="241"/>
      <c r="K180" s="6">
        <f>+H180*94%-J180</f>
        <v>3758.077625702399</v>
      </c>
      <c r="L180" s="6">
        <f t="shared" si="30"/>
        <v>864.95492095999907</v>
      </c>
      <c r="M180" s="300" t="s">
        <v>386</v>
      </c>
      <c r="N180" s="132">
        <f t="shared" ca="1" si="28"/>
        <v>30</v>
      </c>
      <c r="O180" s="85">
        <f>S180-12</f>
        <v>45824</v>
      </c>
      <c r="P180" s="131">
        <v>45834</v>
      </c>
      <c r="Q180" s="131">
        <f t="shared" si="31"/>
        <v>45836</v>
      </c>
      <c r="R180" s="132">
        <f t="shared" ca="1" si="32"/>
        <v>-10</v>
      </c>
      <c r="S180" s="131">
        <f>G180-34</f>
        <v>45836</v>
      </c>
      <c r="T180" s="133"/>
      <c r="U180" s="132">
        <f t="shared" ca="1" si="33"/>
        <v>-4</v>
      </c>
      <c r="V180" s="335">
        <f t="shared" si="38"/>
        <v>34</v>
      </c>
      <c r="W180" s="131"/>
      <c r="X180" s="297"/>
      <c r="Y180" s="124"/>
    </row>
    <row r="181" spans="1:25" ht="14.5" hidden="1">
      <c r="A181" s="14">
        <v>139</v>
      </c>
      <c r="B181" s="15" t="s">
        <v>59</v>
      </c>
      <c r="C181" s="15"/>
      <c r="D181" s="318" t="s">
        <v>288</v>
      </c>
      <c r="E181" s="146" t="s">
        <v>289</v>
      </c>
      <c r="F181" s="146" t="s">
        <v>155</v>
      </c>
      <c r="G181" s="240">
        <v>45870</v>
      </c>
      <c r="H181" s="17">
        <f>1182.36840894118/2</f>
        <v>591.18420447058998</v>
      </c>
      <c r="I181" s="241"/>
      <c r="J181" s="241"/>
      <c r="K181" s="6">
        <f t="shared" si="44"/>
        <v>591.18420447058998</v>
      </c>
      <c r="L181" s="6">
        <f t="shared" si="30"/>
        <v>591.18420447058998</v>
      </c>
      <c r="M181" s="300" t="s">
        <v>853</v>
      </c>
      <c r="N181" s="132">
        <f t="shared" ca="1" si="28"/>
        <v>30</v>
      </c>
      <c r="O181" s="85">
        <v>45830</v>
      </c>
      <c r="P181" s="131"/>
      <c r="Q181" s="131">
        <f t="shared" si="31"/>
        <v>2</v>
      </c>
      <c r="R181" s="132">
        <f t="shared" ca="1" si="32"/>
        <v>-10</v>
      </c>
      <c r="S181" s="131">
        <f>O181+8</f>
        <v>45838</v>
      </c>
      <c r="T181" s="133"/>
      <c r="U181" s="132">
        <f t="shared" ca="1" si="33"/>
        <v>-2</v>
      </c>
      <c r="V181" s="335">
        <f t="shared" si="38"/>
        <v>32</v>
      </c>
      <c r="W181" s="131"/>
      <c r="X181" s="297"/>
      <c r="Y181" s="124"/>
    </row>
    <row r="182" spans="1:25" ht="14.5" hidden="1">
      <c r="A182" s="14">
        <v>139</v>
      </c>
      <c r="B182" s="15" t="s">
        <v>59</v>
      </c>
      <c r="C182" s="15"/>
      <c r="D182" s="318" t="s">
        <v>288</v>
      </c>
      <c r="E182" s="146" t="s">
        <v>289</v>
      </c>
      <c r="F182" s="146" t="s">
        <v>154</v>
      </c>
      <c r="G182" s="240">
        <v>45870</v>
      </c>
      <c r="H182" s="17">
        <f>977.437268888889/2</f>
        <v>488.71863444444449</v>
      </c>
      <c r="I182" s="241"/>
      <c r="J182" s="241"/>
      <c r="K182" s="6">
        <f t="shared" si="44"/>
        <v>488.71863444444449</v>
      </c>
      <c r="L182" s="6">
        <f t="shared" si="30"/>
        <v>488.71863444444449</v>
      </c>
      <c r="M182" s="300" t="s">
        <v>853</v>
      </c>
      <c r="N182" s="132">
        <f t="shared" ca="1" si="28"/>
        <v>30</v>
      </c>
      <c r="O182" s="85">
        <v>45830</v>
      </c>
      <c r="P182" s="131"/>
      <c r="Q182" s="131">
        <f t="shared" si="31"/>
        <v>2</v>
      </c>
      <c r="R182" s="132">
        <f t="shared" ca="1" si="32"/>
        <v>-10</v>
      </c>
      <c r="S182" s="131">
        <f>O182+8</f>
        <v>45838</v>
      </c>
      <c r="T182" s="133"/>
      <c r="U182" s="132">
        <f t="shared" ca="1" si="33"/>
        <v>-2</v>
      </c>
      <c r="V182" s="335">
        <f t="shared" si="38"/>
        <v>32</v>
      </c>
      <c r="W182" s="131"/>
      <c r="X182" s="297"/>
      <c r="Y182" s="124"/>
    </row>
    <row r="183" spans="1:25" ht="14.5" hidden="1">
      <c r="A183" s="14">
        <v>139</v>
      </c>
      <c r="B183" s="15" t="s">
        <v>59</v>
      </c>
      <c r="C183" s="15"/>
      <c r="D183" s="318" t="s">
        <v>288</v>
      </c>
      <c r="E183" s="146" t="s">
        <v>289</v>
      </c>
      <c r="F183" s="146" t="s">
        <v>156</v>
      </c>
      <c r="G183" s="240">
        <v>45870</v>
      </c>
      <c r="H183" s="17">
        <f>781.949815111111/2</f>
        <v>390.97490755555549</v>
      </c>
      <c r="I183" s="241">
        <v>391</v>
      </c>
      <c r="J183" s="241">
        <v>407</v>
      </c>
      <c r="K183" s="6">
        <f t="shared" si="44"/>
        <v>-16.02509244444451</v>
      </c>
      <c r="L183" s="6">
        <f t="shared" si="30"/>
        <v>-2.509244444451042E-2</v>
      </c>
      <c r="M183" s="299" t="s">
        <v>853</v>
      </c>
      <c r="N183" s="132">
        <f t="shared" ca="1" si="28"/>
        <v>30</v>
      </c>
      <c r="O183" s="85">
        <v>45830</v>
      </c>
      <c r="P183" s="131">
        <v>45833</v>
      </c>
      <c r="Q183" s="131">
        <f t="shared" si="31"/>
        <v>45835</v>
      </c>
      <c r="R183" s="132">
        <f t="shared" ca="1" si="32"/>
        <v>-3</v>
      </c>
      <c r="S183" s="131">
        <f>O183+8</f>
        <v>45838</v>
      </c>
      <c r="T183" s="133">
        <v>45838</v>
      </c>
      <c r="U183" s="132">
        <f t="shared" ca="1" si="33"/>
        <v>0</v>
      </c>
      <c r="V183" s="335">
        <f t="shared" si="38"/>
        <v>32</v>
      </c>
      <c r="W183" s="131"/>
      <c r="X183" s="297"/>
      <c r="Y183" s="124"/>
    </row>
    <row r="184" spans="1:25" ht="14.5" hidden="1">
      <c r="A184" s="14">
        <v>139</v>
      </c>
      <c r="B184" s="15" t="s">
        <v>59</v>
      </c>
      <c r="C184" s="15"/>
      <c r="D184" s="318" t="s">
        <v>189</v>
      </c>
      <c r="E184" s="146" t="s">
        <v>242</v>
      </c>
      <c r="F184" s="146" t="s">
        <v>855</v>
      </c>
      <c r="G184" s="240">
        <v>45870</v>
      </c>
      <c r="H184" s="17">
        <v>611</v>
      </c>
      <c r="I184" s="241">
        <v>611</v>
      </c>
      <c r="J184" s="241">
        <v>583</v>
      </c>
      <c r="K184" s="6">
        <f t="shared" si="44"/>
        <v>28</v>
      </c>
      <c r="L184" s="6">
        <f t="shared" si="30"/>
        <v>0</v>
      </c>
      <c r="M184" s="299" t="s">
        <v>389</v>
      </c>
      <c r="N184" s="132">
        <f t="shared" ca="1" si="28"/>
        <v>30</v>
      </c>
      <c r="O184" s="85">
        <f>S184-12</f>
        <v>45824</v>
      </c>
      <c r="P184" s="131">
        <v>45831</v>
      </c>
      <c r="Q184" s="131">
        <f t="shared" si="31"/>
        <v>45833</v>
      </c>
      <c r="R184" s="132">
        <f t="shared" ca="1" si="32"/>
        <v>-7</v>
      </c>
      <c r="S184" s="131">
        <f>G184-34</f>
        <v>45836</v>
      </c>
      <c r="T184" s="133">
        <v>45838</v>
      </c>
      <c r="U184" s="132">
        <f t="shared" ca="1" si="33"/>
        <v>-2</v>
      </c>
      <c r="V184" s="335">
        <f t="shared" si="38"/>
        <v>34</v>
      </c>
      <c r="W184" s="131"/>
      <c r="X184" s="297"/>
      <c r="Y184" s="124"/>
    </row>
    <row r="185" spans="1:25" ht="14.5" hidden="1">
      <c r="A185" s="14">
        <v>139</v>
      </c>
      <c r="B185" s="15" t="s">
        <v>59</v>
      </c>
      <c r="C185" s="15"/>
      <c r="D185" s="318" t="s">
        <v>391</v>
      </c>
      <c r="E185" s="146" t="s">
        <v>392</v>
      </c>
      <c r="F185" s="146" t="s">
        <v>393</v>
      </c>
      <c r="G185" s="240">
        <v>45870</v>
      </c>
      <c r="H185" s="17">
        <v>626.95193600000005</v>
      </c>
      <c r="I185" s="241">
        <v>627</v>
      </c>
      <c r="J185" s="241">
        <v>602</v>
      </c>
      <c r="K185" s="6">
        <f>+H185*96%-J185</f>
        <v>-0.12614143999996941</v>
      </c>
      <c r="L185" s="6">
        <f t="shared" si="30"/>
        <v>-4.8063999999953921E-2</v>
      </c>
      <c r="M185" s="299" t="s">
        <v>853</v>
      </c>
      <c r="N185" s="132">
        <f t="shared" ca="1" si="28"/>
        <v>30</v>
      </c>
      <c r="O185" s="85">
        <v>45793</v>
      </c>
      <c r="P185" s="131">
        <v>45787</v>
      </c>
      <c r="Q185" s="131">
        <f t="shared" si="31"/>
        <v>45789</v>
      </c>
      <c r="R185" s="132">
        <f t="shared" ca="1" si="32"/>
        <v>6</v>
      </c>
      <c r="S185" s="131">
        <f t="shared" ref="S185:S188" si="45">O185+12</f>
        <v>45805</v>
      </c>
      <c r="T185" s="133">
        <v>45819</v>
      </c>
      <c r="U185" s="132">
        <f t="shared" ca="1" si="33"/>
        <v>-14</v>
      </c>
      <c r="V185" s="335">
        <f t="shared" si="38"/>
        <v>65</v>
      </c>
      <c r="W185" s="131"/>
      <c r="X185" s="297"/>
      <c r="Y185" s="124"/>
    </row>
    <row r="186" spans="1:25" ht="14.5" hidden="1">
      <c r="A186" s="14">
        <v>139</v>
      </c>
      <c r="B186" s="15" t="s">
        <v>59</v>
      </c>
      <c r="C186" s="15"/>
      <c r="D186" s="318" t="s">
        <v>193</v>
      </c>
      <c r="E186" s="146" t="s">
        <v>249</v>
      </c>
      <c r="F186" s="146" t="s">
        <v>162</v>
      </c>
      <c r="G186" s="240">
        <v>45870</v>
      </c>
      <c r="H186" s="17">
        <v>5254.0876800000005</v>
      </c>
      <c r="I186" s="241">
        <v>5254</v>
      </c>
      <c r="J186" s="241"/>
      <c r="K186" s="6">
        <f t="shared" si="44"/>
        <v>5254.0876800000005</v>
      </c>
      <c r="L186" s="6">
        <f t="shared" si="30"/>
        <v>8.7680000000545988E-2</v>
      </c>
      <c r="M186" s="299" t="s">
        <v>133</v>
      </c>
      <c r="N186" s="132">
        <f t="shared" ca="1" si="28"/>
        <v>30</v>
      </c>
      <c r="O186" s="85">
        <f>S186-12</f>
        <v>45826</v>
      </c>
      <c r="P186" s="131">
        <v>45833</v>
      </c>
      <c r="Q186" s="131">
        <f t="shared" ref="Q186:Q187" si="46">P186+2</f>
        <v>45835</v>
      </c>
      <c r="R186" s="132">
        <f t="shared" ref="R186:R187" ca="1" si="47">+IF(P186="",O186-TODAY(),O186-P186)</f>
        <v>-7</v>
      </c>
      <c r="S186" s="131">
        <f>G186-32</f>
        <v>45838</v>
      </c>
      <c r="T186" s="133"/>
      <c r="U186" s="132">
        <f t="shared" ca="1" si="33"/>
        <v>-2</v>
      </c>
      <c r="V186" s="335">
        <f t="shared" si="38"/>
        <v>32</v>
      </c>
      <c r="W186" s="131"/>
      <c r="X186" s="297"/>
      <c r="Y186" s="124"/>
    </row>
    <row r="187" spans="1:25" ht="14.5" hidden="1">
      <c r="A187" s="14">
        <v>139</v>
      </c>
      <c r="B187" s="15" t="s">
        <v>59</v>
      </c>
      <c r="C187" s="15"/>
      <c r="D187" s="318" t="s">
        <v>193</v>
      </c>
      <c r="E187" s="146" t="s">
        <v>246</v>
      </c>
      <c r="F187" s="146" t="s">
        <v>162</v>
      </c>
      <c r="G187" s="240">
        <v>45870</v>
      </c>
      <c r="H187" s="17">
        <v>1928.1600000000003</v>
      </c>
      <c r="I187" s="241">
        <v>1928</v>
      </c>
      <c r="J187" s="241"/>
      <c r="K187" s="6">
        <f>+H187*94%-J187</f>
        <v>1812.4704000000002</v>
      </c>
      <c r="L187" s="6">
        <f t="shared" si="30"/>
        <v>0.16000000000030923</v>
      </c>
      <c r="M187" s="299" t="s">
        <v>133</v>
      </c>
      <c r="N187" s="132">
        <f t="shared" ca="1" si="28"/>
        <v>30</v>
      </c>
      <c r="O187" s="85">
        <f>S187-12</f>
        <v>45826</v>
      </c>
      <c r="P187" s="131">
        <v>45833</v>
      </c>
      <c r="Q187" s="131">
        <f t="shared" si="46"/>
        <v>45835</v>
      </c>
      <c r="R187" s="132">
        <f t="shared" ca="1" si="47"/>
        <v>-7</v>
      </c>
      <c r="S187" s="131">
        <f>G187-32</f>
        <v>45838</v>
      </c>
      <c r="T187" s="133"/>
      <c r="U187" s="132">
        <f t="shared" ca="1" si="33"/>
        <v>-2</v>
      </c>
      <c r="V187" s="335">
        <f t="shared" si="38"/>
        <v>32</v>
      </c>
      <c r="W187" s="131"/>
      <c r="X187" s="297"/>
      <c r="Y187" s="124"/>
    </row>
    <row r="188" spans="1:25" ht="14.5" hidden="1">
      <c r="A188" s="14">
        <v>140</v>
      </c>
      <c r="B188" s="15" t="s">
        <v>59</v>
      </c>
      <c r="C188" s="15"/>
      <c r="D188" s="318" t="s">
        <v>391</v>
      </c>
      <c r="E188" s="146" t="s">
        <v>392</v>
      </c>
      <c r="F188" s="146" t="s">
        <v>393</v>
      </c>
      <c r="G188" s="240">
        <v>45870</v>
      </c>
      <c r="H188" s="17">
        <v>606.72768000000008</v>
      </c>
      <c r="I188" s="241">
        <v>607</v>
      </c>
      <c r="J188" s="241">
        <v>582</v>
      </c>
      <c r="K188" s="6">
        <f>+H188*96%-J188</f>
        <v>0.45857280000006995</v>
      </c>
      <c r="L188" s="6">
        <f t="shared" si="30"/>
        <v>-0.2723199999999224</v>
      </c>
      <c r="M188" s="299" t="s">
        <v>853</v>
      </c>
      <c r="N188" s="132">
        <f t="shared" ca="1" si="28"/>
        <v>30</v>
      </c>
      <c r="O188" s="85">
        <v>45793</v>
      </c>
      <c r="P188" s="131">
        <v>45787</v>
      </c>
      <c r="Q188" s="131">
        <f t="shared" si="31"/>
        <v>45789</v>
      </c>
      <c r="R188" s="132">
        <f t="shared" ca="1" si="32"/>
        <v>6</v>
      </c>
      <c r="S188" s="131">
        <f t="shared" si="45"/>
        <v>45805</v>
      </c>
      <c r="T188" s="133">
        <v>45819</v>
      </c>
      <c r="U188" s="132">
        <f t="shared" ca="1" si="33"/>
        <v>-14</v>
      </c>
      <c r="V188" s="335">
        <f t="shared" si="38"/>
        <v>65</v>
      </c>
      <c r="W188" s="131"/>
      <c r="X188" s="297"/>
      <c r="Y188" s="124"/>
    </row>
    <row r="189" spans="1:25" ht="14.5" hidden="1">
      <c r="A189" s="14">
        <v>140</v>
      </c>
      <c r="B189" s="15" t="s">
        <v>59</v>
      </c>
      <c r="C189" s="15"/>
      <c r="D189" s="318" t="s">
        <v>193</v>
      </c>
      <c r="E189" s="146" t="s">
        <v>246</v>
      </c>
      <c r="F189" s="146" t="s">
        <v>162</v>
      </c>
      <c r="G189" s="240">
        <v>45870</v>
      </c>
      <c r="H189" s="17">
        <v>1214.7408</v>
      </c>
      <c r="I189" s="241">
        <v>1215</v>
      </c>
      <c r="J189" s="241"/>
      <c r="K189" s="6">
        <f>+H189*94%-J189</f>
        <v>1141.856352</v>
      </c>
      <c r="L189" s="6">
        <f t="shared" si="30"/>
        <v>-0.25919999999996435</v>
      </c>
      <c r="M189" s="299" t="s">
        <v>133</v>
      </c>
      <c r="N189" s="132">
        <f t="shared" ca="1" si="28"/>
        <v>30</v>
      </c>
      <c r="O189" s="85">
        <f>S189-12</f>
        <v>45826</v>
      </c>
      <c r="P189" s="131">
        <v>45833</v>
      </c>
      <c r="Q189" s="131">
        <f t="shared" ref="Q189" si="48">P189+2</f>
        <v>45835</v>
      </c>
      <c r="R189" s="132">
        <f t="shared" ref="R189" ca="1" si="49">+IF(P189="",O189-TODAY(),O189-P189)</f>
        <v>-7</v>
      </c>
      <c r="S189" s="131">
        <f>G189-32</f>
        <v>45838</v>
      </c>
      <c r="T189" s="133"/>
      <c r="U189" s="132">
        <f t="shared" ca="1" si="33"/>
        <v>-2</v>
      </c>
      <c r="V189" s="335">
        <f t="shared" si="38"/>
        <v>32</v>
      </c>
      <c r="W189" s="131"/>
      <c r="X189" s="297"/>
      <c r="Y189" s="124"/>
    </row>
    <row r="190" spans="1:25" ht="14.5" hidden="1">
      <c r="A190" s="14">
        <v>141</v>
      </c>
      <c r="B190" s="15" t="s">
        <v>59</v>
      </c>
      <c r="C190" s="15"/>
      <c r="D190" s="318" t="s">
        <v>288</v>
      </c>
      <c r="E190" s="146" t="s">
        <v>289</v>
      </c>
      <c r="F190" s="146" t="s">
        <v>155</v>
      </c>
      <c r="G190" s="240">
        <v>45870</v>
      </c>
      <c r="H190" s="17">
        <f>339.842416941176/2</f>
        <v>169.921208470588</v>
      </c>
      <c r="I190" s="241"/>
      <c r="J190" s="241"/>
      <c r="K190" s="6">
        <f t="shared" si="44"/>
        <v>169.921208470588</v>
      </c>
      <c r="L190" s="6">
        <f t="shared" si="30"/>
        <v>169.921208470588</v>
      </c>
      <c r="M190" s="299" t="s">
        <v>853</v>
      </c>
      <c r="N190" s="132">
        <f t="shared" ref="N190:N253" ca="1" si="50">G190-TODAY()</f>
        <v>30</v>
      </c>
      <c r="O190" s="85">
        <v>45830</v>
      </c>
      <c r="P190" s="131"/>
      <c r="Q190" s="131">
        <f t="shared" si="31"/>
        <v>2</v>
      </c>
      <c r="R190" s="132">
        <f t="shared" ca="1" si="32"/>
        <v>-10</v>
      </c>
      <c r="S190" s="131">
        <f>O190+8</f>
        <v>45838</v>
      </c>
      <c r="T190" s="133"/>
      <c r="U190" s="132">
        <f t="shared" ca="1" si="33"/>
        <v>-2</v>
      </c>
      <c r="V190" s="335">
        <f t="shared" si="38"/>
        <v>32</v>
      </c>
      <c r="W190" s="131"/>
      <c r="X190" s="297"/>
      <c r="Y190" s="124"/>
    </row>
    <row r="191" spans="1:25" ht="14.5" hidden="1">
      <c r="A191" s="14">
        <v>141</v>
      </c>
      <c r="B191" s="15" t="s">
        <v>59</v>
      </c>
      <c r="C191" s="15"/>
      <c r="D191" s="318" t="s">
        <v>288</v>
      </c>
      <c r="E191" s="146" t="s">
        <v>289</v>
      </c>
      <c r="F191" s="146" t="s">
        <v>154</v>
      </c>
      <c r="G191" s="240">
        <v>45870</v>
      </c>
      <c r="H191" s="17">
        <f>280.940053333333/2</f>
        <v>140.47002666666651</v>
      </c>
      <c r="I191" s="241"/>
      <c r="J191" s="241"/>
      <c r="K191" s="6">
        <f t="shared" si="44"/>
        <v>140.47002666666651</v>
      </c>
      <c r="L191" s="6">
        <f t="shared" si="30"/>
        <v>140.47002666666651</v>
      </c>
      <c r="M191" s="299" t="s">
        <v>853</v>
      </c>
      <c r="N191" s="132">
        <f t="shared" ca="1" si="50"/>
        <v>30</v>
      </c>
      <c r="O191" s="85">
        <v>45830</v>
      </c>
      <c r="P191" s="131"/>
      <c r="Q191" s="131">
        <f t="shared" si="31"/>
        <v>2</v>
      </c>
      <c r="R191" s="132">
        <f t="shared" ca="1" si="32"/>
        <v>-10</v>
      </c>
      <c r="S191" s="131">
        <f>O191+8</f>
        <v>45838</v>
      </c>
      <c r="T191" s="133"/>
      <c r="U191" s="132">
        <f t="shared" ca="1" si="33"/>
        <v>-2</v>
      </c>
      <c r="V191" s="335">
        <f t="shared" si="38"/>
        <v>32</v>
      </c>
      <c r="W191" s="131"/>
      <c r="X191" s="297"/>
      <c r="Y191" s="124"/>
    </row>
    <row r="192" spans="1:25" ht="14.5" hidden="1">
      <c r="A192" s="14">
        <v>141</v>
      </c>
      <c r="B192" s="15" t="s">
        <v>59</v>
      </c>
      <c r="C192" s="15"/>
      <c r="D192" s="318" t="s">
        <v>288</v>
      </c>
      <c r="E192" s="146" t="s">
        <v>289</v>
      </c>
      <c r="F192" s="146" t="s">
        <v>156</v>
      </c>
      <c r="G192" s="240">
        <v>45870</v>
      </c>
      <c r="H192" s="17">
        <f>224.752042666667/2</f>
        <v>112.3760213333335</v>
      </c>
      <c r="I192" s="241"/>
      <c r="J192" s="241"/>
      <c r="K192" s="6">
        <f t="shared" si="44"/>
        <v>112.3760213333335</v>
      </c>
      <c r="L192" s="6">
        <f t="shared" si="30"/>
        <v>112.3760213333335</v>
      </c>
      <c r="M192" s="299" t="s">
        <v>853</v>
      </c>
      <c r="N192" s="132">
        <f t="shared" ca="1" si="50"/>
        <v>30</v>
      </c>
      <c r="O192" s="85">
        <v>45830</v>
      </c>
      <c r="P192" s="131"/>
      <c r="Q192" s="131">
        <f t="shared" si="31"/>
        <v>2</v>
      </c>
      <c r="R192" s="132">
        <f t="shared" ca="1" si="32"/>
        <v>-10</v>
      </c>
      <c r="S192" s="131">
        <f>O192+8</f>
        <v>45838</v>
      </c>
      <c r="T192" s="133"/>
      <c r="U192" s="132">
        <f t="shared" ca="1" si="33"/>
        <v>-2</v>
      </c>
      <c r="V192" s="335">
        <f t="shared" si="38"/>
        <v>32</v>
      </c>
      <c r="W192" s="131"/>
      <c r="X192" s="297"/>
      <c r="Y192" s="124"/>
    </row>
    <row r="193" spans="1:25" ht="14.5" hidden="1">
      <c r="A193" s="14">
        <v>141</v>
      </c>
      <c r="B193" s="15" t="s">
        <v>59</v>
      </c>
      <c r="C193" s="15"/>
      <c r="D193" s="318" t="s">
        <v>190</v>
      </c>
      <c r="E193" s="146" t="s">
        <v>242</v>
      </c>
      <c r="F193" s="146" t="s">
        <v>244</v>
      </c>
      <c r="G193" s="240">
        <v>45870</v>
      </c>
      <c r="H193" s="17">
        <v>345.52627200000001</v>
      </c>
      <c r="I193" s="241">
        <v>346</v>
      </c>
      <c r="J193" s="241">
        <v>345</v>
      </c>
      <c r="K193" s="6">
        <f>+H193-94%-J193</f>
        <v>-0.41372799999999188</v>
      </c>
      <c r="L193" s="6">
        <f t="shared" si="30"/>
        <v>-0.47372799999999415</v>
      </c>
      <c r="M193" s="136" t="s">
        <v>133</v>
      </c>
      <c r="N193" s="132">
        <f t="shared" ca="1" si="50"/>
        <v>30</v>
      </c>
      <c r="O193" s="85">
        <v>45809</v>
      </c>
      <c r="P193" s="131">
        <v>45806</v>
      </c>
      <c r="Q193" s="131">
        <f t="shared" si="31"/>
        <v>45808</v>
      </c>
      <c r="R193" s="132">
        <f t="shared" ca="1" si="32"/>
        <v>3</v>
      </c>
      <c r="S193" s="131">
        <f t="shared" ref="S193:S201" si="51">O193+12</f>
        <v>45821</v>
      </c>
      <c r="T193" s="133">
        <v>45819</v>
      </c>
      <c r="U193" s="132">
        <f t="shared" ca="1" si="33"/>
        <v>2</v>
      </c>
      <c r="V193" s="335">
        <f t="shared" si="38"/>
        <v>49</v>
      </c>
      <c r="W193" s="131"/>
      <c r="X193" s="297"/>
      <c r="Y193" s="124"/>
    </row>
    <row r="194" spans="1:25" ht="14.5" hidden="1">
      <c r="A194" s="14">
        <v>141</v>
      </c>
      <c r="B194" s="15" t="s">
        <v>59</v>
      </c>
      <c r="C194" s="15"/>
      <c r="D194" s="318" t="s">
        <v>391</v>
      </c>
      <c r="E194" s="146" t="s">
        <v>392</v>
      </c>
      <c r="F194" s="146" t="s">
        <v>393</v>
      </c>
      <c r="G194" s="240">
        <v>45870</v>
      </c>
      <c r="H194" s="17">
        <v>626.95193600000005</v>
      </c>
      <c r="I194" s="241">
        <v>627</v>
      </c>
      <c r="J194" s="241">
        <v>602</v>
      </c>
      <c r="K194" s="6">
        <f>+H194*96%-J194</f>
        <v>-0.12614143999996941</v>
      </c>
      <c r="L194" s="6">
        <f t="shared" si="30"/>
        <v>-4.8063999999953921E-2</v>
      </c>
      <c r="M194" s="300" t="s">
        <v>853</v>
      </c>
      <c r="N194" s="132">
        <f t="shared" ca="1" si="50"/>
        <v>30</v>
      </c>
      <c r="O194" s="85">
        <v>45793</v>
      </c>
      <c r="P194" s="131">
        <v>45787</v>
      </c>
      <c r="Q194" s="131">
        <f t="shared" si="31"/>
        <v>45789</v>
      </c>
      <c r="R194" s="132">
        <f t="shared" ca="1" si="32"/>
        <v>6</v>
      </c>
      <c r="S194" s="131">
        <f t="shared" si="51"/>
        <v>45805</v>
      </c>
      <c r="T194" s="133">
        <v>45819</v>
      </c>
      <c r="U194" s="132">
        <f t="shared" ca="1" si="33"/>
        <v>-14</v>
      </c>
      <c r="V194" s="335">
        <f t="shared" si="38"/>
        <v>65</v>
      </c>
      <c r="W194" s="131"/>
      <c r="X194" s="297"/>
      <c r="Y194" s="124"/>
    </row>
    <row r="195" spans="1:25" ht="14.5" hidden="1">
      <c r="A195" s="14">
        <v>141</v>
      </c>
      <c r="B195" s="15" t="s">
        <v>59</v>
      </c>
      <c r="C195" s="15"/>
      <c r="D195" s="318" t="s">
        <v>839</v>
      </c>
      <c r="E195" s="146" t="s">
        <v>242</v>
      </c>
      <c r="F195" s="146" t="s">
        <v>162</v>
      </c>
      <c r="G195" s="240">
        <v>45870</v>
      </c>
      <c r="H195" s="17">
        <v>422.97897600000005</v>
      </c>
      <c r="I195" s="241">
        <v>423</v>
      </c>
      <c r="J195" s="241">
        <v>403</v>
      </c>
      <c r="K195" s="6">
        <f>+H195*94%-J195</f>
        <v>-5.3997625599999992</v>
      </c>
      <c r="L195" s="6">
        <f t="shared" si="30"/>
        <v>-2.1023999999954412E-2</v>
      </c>
      <c r="M195" s="300" t="s">
        <v>894</v>
      </c>
      <c r="N195" s="132">
        <f t="shared" ca="1" si="50"/>
        <v>30</v>
      </c>
      <c r="O195" s="85">
        <v>45805</v>
      </c>
      <c r="P195" s="131">
        <v>45806</v>
      </c>
      <c r="Q195" s="131">
        <f t="shared" si="31"/>
        <v>45808</v>
      </c>
      <c r="R195" s="132">
        <f t="shared" ca="1" si="32"/>
        <v>-1</v>
      </c>
      <c r="S195" s="131">
        <f t="shared" si="51"/>
        <v>45817</v>
      </c>
      <c r="T195" s="133">
        <v>45836</v>
      </c>
      <c r="U195" s="132">
        <f t="shared" ca="1" si="33"/>
        <v>-19</v>
      </c>
      <c r="V195" s="335">
        <f t="shared" si="38"/>
        <v>53</v>
      </c>
      <c r="W195" s="131">
        <v>45834</v>
      </c>
      <c r="X195" s="297"/>
      <c r="Y195" s="124"/>
    </row>
    <row r="196" spans="1:25" ht="14.5">
      <c r="A196" s="14">
        <v>142</v>
      </c>
      <c r="B196" s="15" t="s">
        <v>59</v>
      </c>
      <c r="C196" s="15"/>
      <c r="D196" s="318" t="s">
        <v>201</v>
      </c>
      <c r="E196" s="146" t="s">
        <v>247</v>
      </c>
      <c r="F196" s="146" t="s">
        <v>155</v>
      </c>
      <c r="G196" s="240">
        <v>45877</v>
      </c>
      <c r="H196" s="17">
        <v>4765.239198719999</v>
      </c>
      <c r="I196" s="241">
        <v>1759</v>
      </c>
      <c r="J196" s="241"/>
      <c r="K196" s="6">
        <f>+H196*94%-J196</f>
        <v>4479.3248467967987</v>
      </c>
      <c r="L196" s="6">
        <f t="shared" si="30"/>
        <v>3006.239198719999</v>
      </c>
      <c r="M196" s="299" t="s">
        <v>386</v>
      </c>
      <c r="N196" s="132">
        <f t="shared" ca="1" si="50"/>
        <v>37</v>
      </c>
      <c r="O196" s="85">
        <f>S196-12</f>
        <v>45831</v>
      </c>
      <c r="P196" s="131"/>
      <c r="Q196" s="131">
        <f t="shared" si="31"/>
        <v>2</v>
      </c>
      <c r="R196" s="132">
        <f t="shared" ca="1" si="32"/>
        <v>-9</v>
      </c>
      <c r="S196" s="131">
        <f>G196-34</f>
        <v>45843</v>
      </c>
      <c r="T196" s="133"/>
      <c r="U196" s="132">
        <f t="shared" ca="1" si="33"/>
        <v>3</v>
      </c>
      <c r="V196" s="335">
        <f t="shared" si="38"/>
        <v>34</v>
      </c>
      <c r="W196" s="131"/>
      <c r="X196" s="297"/>
      <c r="Y196" s="124"/>
    </row>
    <row r="197" spans="1:25" ht="14.5" hidden="1">
      <c r="A197" s="14">
        <v>142</v>
      </c>
      <c r="B197" s="15" t="s">
        <v>59</v>
      </c>
      <c r="C197" s="15"/>
      <c r="D197" s="318" t="s">
        <v>189</v>
      </c>
      <c r="E197" s="146" t="s">
        <v>242</v>
      </c>
      <c r="F197" s="146" t="s">
        <v>855</v>
      </c>
      <c r="G197" s="240">
        <v>45877</v>
      </c>
      <c r="H197" s="17">
        <v>675.59869866666679</v>
      </c>
      <c r="I197" s="241">
        <v>676</v>
      </c>
      <c r="J197" s="241">
        <v>658</v>
      </c>
      <c r="K197" s="6">
        <f t="shared" si="44"/>
        <v>17.598698666666792</v>
      </c>
      <c r="L197" s="6">
        <f t="shared" si="30"/>
        <v>-0.40130133333320828</v>
      </c>
      <c r="M197" s="299" t="s">
        <v>389</v>
      </c>
      <c r="N197" s="132">
        <f t="shared" ca="1" si="50"/>
        <v>37</v>
      </c>
      <c r="O197" s="85">
        <f>S197-12</f>
        <v>45831</v>
      </c>
      <c r="P197" s="131">
        <v>45831</v>
      </c>
      <c r="Q197" s="131">
        <f t="shared" si="31"/>
        <v>45833</v>
      </c>
      <c r="R197" s="132">
        <f t="shared" ca="1" si="32"/>
        <v>0</v>
      </c>
      <c r="S197" s="131">
        <f>G197-34</f>
        <v>45843</v>
      </c>
      <c r="T197" s="133">
        <v>45838</v>
      </c>
      <c r="U197" s="132">
        <f t="shared" ca="1" si="33"/>
        <v>5</v>
      </c>
      <c r="V197" s="335">
        <f t="shared" si="38"/>
        <v>34</v>
      </c>
      <c r="W197" s="131"/>
      <c r="X197" s="297"/>
      <c r="Y197" s="124"/>
    </row>
    <row r="198" spans="1:25" ht="14.5" hidden="1">
      <c r="A198" s="14">
        <v>142</v>
      </c>
      <c r="B198" s="15" t="s">
        <v>59</v>
      </c>
      <c r="C198" s="15"/>
      <c r="D198" s="318" t="s">
        <v>193</v>
      </c>
      <c r="E198" s="146" t="s">
        <v>246</v>
      </c>
      <c r="F198" s="146" t="s">
        <v>162</v>
      </c>
      <c r="G198" s="240">
        <v>45877</v>
      </c>
      <c r="H198" s="17">
        <v>1205.1000000000001</v>
      </c>
      <c r="I198" s="241">
        <v>1205</v>
      </c>
      <c r="J198" s="241"/>
      <c r="K198" s="6">
        <f>+H198*94%-J198</f>
        <v>1132.7940000000001</v>
      </c>
      <c r="L198" s="6">
        <f t="shared" si="30"/>
        <v>0.10000000000013642</v>
      </c>
      <c r="M198" s="299" t="s">
        <v>133</v>
      </c>
      <c r="N198" s="132">
        <f t="shared" ca="1" si="50"/>
        <v>37</v>
      </c>
      <c r="O198" s="85">
        <f>S198-12</f>
        <v>45833</v>
      </c>
      <c r="P198" s="131">
        <v>45836</v>
      </c>
      <c r="Q198" s="131">
        <f t="shared" ref="Q198:Q199" si="52">P198+2</f>
        <v>45838</v>
      </c>
      <c r="R198" s="132">
        <f t="shared" ref="R198:R199" ca="1" si="53">+IF(P198="",O198-TODAY(),O198-P198)</f>
        <v>-3</v>
      </c>
      <c r="S198" s="131">
        <f>G198-32</f>
        <v>45845</v>
      </c>
      <c r="T198" s="133"/>
      <c r="U198" s="132">
        <f t="shared" ca="1" si="33"/>
        <v>5</v>
      </c>
      <c r="V198" s="335">
        <f t="shared" si="38"/>
        <v>32</v>
      </c>
      <c r="W198" s="131"/>
      <c r="X198" s="297"/>
      <c r="Y198" s="124"/>
    </row>
    <row r="199" spans="1:25" ht="14.5" hidden="1">
      <c r="A199" s="14">
        <v>143</v>
      </c>
      <c r="B199" s="15" t="s">
        <v>59</v>
      </c>
      <c r="C199" s="15"/>
      <c r="D199" s="318" t="s">
        <v>189</v>
      </c>
      <c r="E199" s="146" t="s">
        <v>242</v>
      </c>
      <c r="F199" s="146" t="s">
        <v>855</v>
      </c>
      <c r="G199" s="240">
        <v>45877</v>
      </c>
      <c r="H199" s="17">
        <v>675.59869866666679</v>
      </c>
      <c r="I199" s="241">
        <v>676</v>
      </c>
      <c r="J199" s="241">
        <v>664</v>
      </c>
      <c r="K199" s="6">
        <f t="shared" si="44"/>
        <v>11.598698666666792</v>
      </c>
      <c r="L199" s="6">
        <f t="shared" si="30"/>
        <v>-0.40130133333320828</v>
      </c>
      <c r="M199" s="300" t="s">
        <v>389</v>
      </c>
      <c r="N199" s="132">
        <f t="shared" ca="1" si="50"/>
        <v>37</v>
      </c>
      <c r="O199" s="85">
        <f>S199-12</f>
        <v>45831</v>
      </c>
      <c r="P199" s="131">
        <v>45831</v>
      </c>
      <c r="Q199" s="131">
        <f t="shared" si="52"/>
        <v>45833</v>
      </c>
      <c r="R199" s="132">
        <f t="shared" ca="1" si="53"/>
        <v>0</v>
      </c>
      <c r="S199" s="131">
        <f>G199-34</f>
        <v>45843</v>
      </c>
      <c r="T199" s="133">
        <v>45838</v>
      </c>
      <c r="U199" s="132">
        <f t="shared" ca="1" si="33"/>
        <v>5</v>
      </c>
      <c r="V199" s="335">
        <f t="shared" si="38"/>
        <v>34</v>
      </c>
      <c r="W199" s="131"/>
      <c r="X199" s="297"/>
      <c r="Y199" s="124"/>
    </row>
    <row r="200" spans="1:25" ht="14.5" hidden="1">
      <c r="A200" s="14">
        <v>143</v>
      </c>
      <c r="B200" s="15" t="s">
        <v>59</v>
      </c>
      <c r="C200" s="15"/>
      <c r="D200" s="318" t="s">
        <v>193</v>
      </c>
      <c r="E200" s="146" t="s">
        <v>246</v>
      </c>
      <c r="F200" s="146" t="s">
        <v>162</v>
      </c>
      <c r="G200" s="240">
        <v>45877</v>
      </c>
      <c r="H200" s="17">
        <v>1205.1000000000001</v>
      </c>
      <c r="I200" s="241">
        <v>1205</v>
      </c>
      <c r="J200" s="241"/>
      <c r="K200" s="6">
        <f>+H200*94%-J200</f>
        <v>1132.7940000000001</v>
      </c>
      <c r="L200" s="6">
        <f t="shared" si="30"/>
        <v>0.10000000000013642</v>
      </c>
      <c r="M200" s="300" t="s">
        <v>133</v>
      </c>
      <c r="N200" s="132">
        <f t="shared" ca="1" si="50"/>
        <v>37</v>
      </c>
      <c r="O200" s="85">
        <f>S200-12</f>
        <v>45833</v>
      </c>
      <c r="P200" s="131">
        <v>45836</v>
      </c>
      <c r="Q200" s="131">
        <f t="shared" ref="Q200" si="54">P200+2</f>
        <v>45838</v>
      </c>
      <c r="R200" s="132">
        <f t="shared" ref="R200" ca="1" si="55">+IF(P200="",O200-TODAY(),O200-P200)</f>
        <v>-3</v>
      </c>
      <c r="S200" s="131">
        <f>G200-32</f>
        <v>45845</v>
      </c>
      <c r="T200" s="133"/>
      <c r="U200" s="132">
        <f t="shared" ca="1" si="33"/>
        <v>5</v>
      </c>
      <c r="V200" s="335">
        <f t="shared" si="38"/>
        <v>32</v>
      </c>
      <c r="W200" s="131"/>
      <c r="X200" s="297"/>
      <c r="Y200" s="124"/>
    </row>
    <row r="201" spans="1:25" ht="14.5" hidden="1">
      <c r="A201" s="14">
        <v>143</v>
      </c>
      <c r="B201" s="15" t="s">
        <v>59</v>
      </c>
      <c r="C201" s="15"/>
      <c r="D201" s="318" t="s">
        <v>839</v>
      </c>
      <c r="E201" s="146" t="s">
        <v>242</v>
      </c>
      <c r="F201" s="146" t="s">
        <v>162</v>
      </c>
      <c r="G201" s="240">
        <v>45877</v>
      </c>
      <c r="H201" s="17">
        <v>139.53945600000003</v>
      </c>
      <c r="I201" s="241">
        <v>140</v>
      </c>
      <c r="J201" s="241">
        <v>133</v>
      </c>
      <c r="K201" s="6">
        <f>+H201*94%-J201</f>
        <v>-1.8329113599999687</v>
      </c>
      <c r="L201" s="6">
        <f t="shared" si="30"/>
        <v>-0.46054399999997031</v>
      </c>
      <c r="M201" s="300" t="s">
        <v>894</v>
      </c>
      <c r="N201" s="132">
        <f t="shared" ca="1" si="50"/>
        <v>37</v>
      </c>
      <c r="O201" s="85">
        <v>45805</v>
      </c>
      <c r="P201" s="131">
        <v>45806</v>
      </c>
      <c r="Q201" s="131">
        <f t="shared" si="31"/>
        <v>45808</v>
      </c>
      <c r="R201" s="132">
        <f t="shared" ca="1" si="32"/>
        <v>-1</v>
      </c>
      <c r="S201" s="131">
        <f t="shared" si="51"/>
        <v>45817</v>
      </c>
      <c r="T201" s="133">
        <v>45836</v>
      </c>
      <c r="U201" s="132">
        <f t="shared" ca="1" si="33"/>
        <v>-19</v>
      </c>
      <c r="V201" s="335">
        <f t="shared" si="38"/>
        <v>60</v>
      </c>
      <c r="W201" s="131">
        <v>45834</v>
      </c>
      <c r="X201" s="297"/>
      <c r="Y201" s="124"/>
    </row>
    <row r="202" spans="1:25" ht="14.5" hidden="1">
      <c r="A202" s="14">
        <v>144</v>
      </c>
      <c r="B202" s="15" t="s">
        <v>59</v>
      </c>
      <c r="C202" s="15"/>
      <c r="D202" s="318" t="s">
        <v>250</v>
      </c>
      <c r="E202" s="146" t="s">
        <v>249</v>
      </c>
      <c r="F202" s="146" t="s">
        <v>162</v>
      </c>
      <c r="G202" s="240">
        <v>45877</v>
      </c>
      <c r="H202" s="17">
        <v>4515.2316000000001</v>
      </c>
      <c r="I202" s="241">
        <v>4515</v>
      </c>
      <c r="J202" s="241"/>
      <c r="K202" s="6">
        <f t="shared" si="44"/>
        <v>4515.2316000000001</v>
      </c>
      <c r="L202" s="6">
        <f t="shared" si="30"/>
        <v>0.2316000000000713</v>
      </c>
      <c r="M202" s="299" t="s">
        <v>397</v>
      </c>
      <c r="N202" s="132">
        <f t="shared" ca="1" si="50"/>
        <v>37</v>
      </c>
      <c r="O202" s="85">
        <f>S202-12</f>
        <v>45831</v>
      </c>
      <c r="P202" s="131">
        <v>45829</v>
      </c>
      <c r="Q202" s="131">
        <f t="shared" si="31"/>
        <v>45831</v>
      </c>
      <c r="R202" s="132">
        <f t="shared" ca="1" si="32"/>
        <v>2</v>
      </c>
      <c r="S202" s="131">
        <f>G202-34</f>
        <v>45843</v>
      </c>
      <c r="T202" s="133"/>
      <c r="U202" s="132">
        <f t="shared" ca="1" si="33"/>
        <v>3</v>
      </c>
      <c r="V202" s="335">
        <f t="shared" si="38"/>
        <v>34</v>
      </c>
      <c r="W202" s="131"/>
      <c r="X202" s="297"/>
      <c r="Y202" s="124"/>
    </row>
    <row r="203" spans="1:25" ht="14.5" hidden="1">
      <c r="A203" s="14">
        <v>144</v>
      </c>
      <c r="B203" s="15" t="s">
        <v>59</v>
      </c>
      <c r="C203" s="15"/>
      <c r="D203" s="318" t="s">
        <v>288</v>
      </c>
      <c r="E203" s="146" t="s">
        <v>289</v>
      </c>
      <c r="F203" s="146" t="s">
        <v>155</v>
      </c>
      <c r="G203" s="240">
        <v>45877</v>
      </c>
      <c r="H203" s="17">
        <f>991.207049411765/2</f>
        <v>495.60352470588248</v>
      </c>
      <c r="I203" s="241"/>
      <c r="J203" s="241"/>
      <c r="K203" s="6">
        <f t="shared" si="44"/>
        <v>495.60352470588248</v>
      </c>
      <c r="L203" s="6">
        <f t="shared" ref="L203:L266" si="56">+H203-I203</f>
        <v>495.60352470588248</v>
      </c>
      <c r="M203" s="299" t="s">
        <v>853</v>
      </c>
      <c r="N203" s="132">
        <f t="shared" ca="1" si="50"/>
        <v>37</v>
      </c>
      <c r="O203" s="85">
        <v>45830</v>
      </c>
      <c r="P203" s="131"/>
      <c r="Q203" s="131">
        <f t="shared" ref="Q203:Q266" si="57">P203+2</f>
        <v>2</v>
      </c>
      <c r="R203" s="132">
        <f t="shared" ref="R203:R266" ca="1" si="58">+IF(P203="",O203-TODAY(),O203-P203)</f>
        <v>-10</v>
      </c>
      <c r="S203" s="131">
        <f>O203+8</f>
        <v>45838</v>
      </c>
      <c r="T203" s="133"/>
      <c r="U203" s="132">
        <f t="shared" ref="U203:U266" ca="1" si="59">+IF(T203="",S203-TODAY(),S203-T203)</f>
        <v>-2</v>
      </c>
      <c r="V203" s="335">
        <f t="shared" si="38"/>
        <v>39</v>
      </c>
      <c r="W203" s="131"/>
      <c r="X203" s="297"/>
      <c r="Y203" s="124"/>
    </row>
    <row r="204" spans="1:25" ht="14.5" hidden="1">
      <c r="A204" s="14">
        <v>144</v>
      </c>
      <c r="B204" s="15" t="s">
        <v>59</v>
      </c>
      <c r="C204" s="15"/>
      <c r="D204" s="318" t="s">
        <v>288</v>
      </c>
      <c r="E204" s="146" t="s">
        <v>289</v>
      </c>
      <c r="F204" s="146" t="s">
        <v>154</v>
      </c>
      <c r="G204" s="240">
        <v>45877</v>
      </c>
      <c r="H204" s="17">
        <f>819.408488888889/2</f>
        <v>409.7042444444445</v>
      </c>
      <c r="I204" s="241"/>
      <c r="J204" s="241"/>
      <c r="K204" s="6">
        <f t="shared" si="44"/>
        <v>409.7042444444445</v>
      </c>
      <c r="L204" s="6">
        <f t="shared" si="56"/>
        <v>409.7042444444445</v>
      </c>
      <c r="M204" s="299" t="s">
        <v>853</v>
      </c>
      <c r="N204" s="132">
        <f t="shared" ca="1" si="50"/>
        <v>37</v>
      </c>
      <c r="O204" s="85">
        <v>45830</v>
      </c>
      <c r="P204" s="131"/>
      <c r="Q204" s="131">
        <f t="shared" si="57"/>
        <v>2</v>
      </c>
      <c r="R204" s="132">
        <f t="shared" ca="1" si="58"/>
        <v>-10</v>
      </c>
      <c r="S204" s="131">
        <f>O204+8</f>
        <v>45838</v>
      </c>
      <c r="T204" s="133"/>
      <c r="U204" s="132">
        <f t="shared" ca="1" si="59"/>
        <v>-2</v>
      </c>
      <c r="V204" s="335">
        <f t="shared" si="38"/>
        <v>39</v>
      </c>
      <c r="W204" s="131"/>
      <c r="X204" s="297"/>
      <c r="Y204" s="124"/>
    </row>
    <row r="205" spans="1:25" ht="14.5" hidden="1">
      <c r="A205" s="14">
        <v>144</v>
      </c>
      <c r="B205" s="15" t="s">
        <v>59</v>
      </c>
      <c r="C205" s="15"/>
      <c r="D205" s="318" t="s">
        <v>288</v>
      </c>
      <c r="E205" s="146" t="s">
        <v>289</v>
      </c>
      <c r="F205" s="146" t="s">
        <v>156</v>
      </c>
      <c r="G205" s="240">
        <v>45877</v>
      </c>
      <c r="H205" s="17">
        <f>655.526791111111/2</f>
        <v>327.76339555555552</v>
      </c>
      <c r="I205" s="241"/>
      <c r="J205" s="241"/>
      <c r="K205" s="6">
        <f t="shared" si="44"/>
        <v>327.76339555555552</v>
      </c>
      <c r="L205" s="6">
        <f t="shared" si="56"/>
        <v>327.76339555555552</v>
      </c>
      <c r="M205" s="300" t="s">
        <v>853</v>
      </c>
      <c r="N205" s="132">
        <f t="shared" ca="1" si="50"/>
        <v>37</v>
      </c>
      <c r="O205" s="85">
        <v>45830</v>
      </c>
      <c r="P205" s="131"/>
      <c r="Q205" s="131">
        <f t="shared" si="57"/>
        <v>2</v>
      </c>
      <c r="R205" s="132">
        <f t="shared" ca="1" si="58"/>
        <v>-10</v>
      </c>
      <c r="S205" s="131">
        <f>O205+8</f>
        <v>45838</v>
      </c>
      <c r="T205" s="133"/>
      <c r="U205" s="132">
        <f t="shared" ca="1" si="59"/>
        <v>-2</v>
      </c>
      <c r="V205" s="335">
        <f t="shared" si="38"/>
        <v>39</v>
      </c>
      <c r="W205" s="131"/>
      <c r="X205" s="297"/>
      <c r="Y205" s="124"/>
    </row>
    <row r="206" spans="1:25" ht="14.5" hidden="1">
      <c r="A206" s="14">
        <v>144</v>
      </c>
      <c r="B206" s="15" t="s">
        <v>59</v>
      </c>
      <c r="C206" s="15"/>
      <c r="D206" s="318" t="s">
        <v>189</v>
      </c>
      <c r="E206" s="146" t="s">
        <v>242</v>
      </c>
      <c r="F206" s="146" t="s">
        <v>855</v>
      </c>
      <c r="G206" s="240">
        <v>45877</v>
      </c>
      <c r="H206" s="17">
        <v>497.60810666666674</v>
      </c>
      <c r="I206" s="241">
        <v>498</v>
      </c>
      <c r="J206" s="241">
        <v>483</v>
      </c>
      <c r="K206" s="6">
        <f t="shared" si="44"/>
        <v>14.608106666666743</v>
      </c>
      <c r="L206" s="6">
        <f t="shared" si="56"/>
        <v>-0.39189333333325749</v>
      </c>
      <c r="M206" s="300" t="s">
        <v>389</v>
      </c>
      <c r="N206" s="132">
        <f t="shared" ca="1" si="50"/>
        <v>37</v>
      </c>
      <c r="O206" s="85">
        <f>S206-12</f>
        <v>45831</v>
      </c>
      <c r="P206" s="131">
        <v>45831</v>
      </c>
      <c r="Q206" s="131">
        <f t="shared" ref="Q206" si="60">P206+2</f>
        <v>45833</v>
      </c>
      <c r="R206" s="132">
        <f t="shared" ref="R206" ca="1" si="61">+IF(P206="",O206-TODAY(),O206-P206)</f>
        <v>0</v>
      </c>
      <c r="S206" s="131">
        <f>G206-34</f>
        <v>45843</v>
      </c>
      <c r="T206" s="133">
        <v>45838</v>
      </c>
      <c r="U206" s="132">
        <f t="shared" ca="1" si="59"/>
        <v>5</v>
      </c>
      <c r="V206" s="335">
        <f t="shared" si="38"/>
        <v>34</v>
      </c>
      <c r="W206" s="131"/>
      <c r="X206" s="297"/>
      <c r="Y206" s="124"/>
    </row>
    <row r="207" spans="1:25" ht="14.5" hidden="1">
      <c r="A207" s="14">
        <v>144</v>
      </c>
      <c r="B207" s="15" t="s">
        <v>59</v>
      </c>
      <c r="C207" s="15"/>
      <c r="D207" s="318" t="s">
        <v>391</v>
      </c>
      <c r="E207" s="146" t="s">
        <v>392</v>
      </c>
      <c r="F207" s="146" t="s">
        <v>393</v>
      </c>
      <c r="G207" s="240">
        <v>45877</v>
      </c>
      <c r="H207" s="17">
        <v>621.89587200000005</v>
      </c>
      <c r="I207" s="241">
        <v>622</v>
      </c>
      <c r="J207" s="241">
        <v>597</v>
      </c>
      <c r="K207" s="6">
        <f>+H207*96%-J207</f>
        <v>2.0037119999983588E-2</v>
      </c>
      <c r="L207" s="6">
        <f t="shared" si="56"/>
        <v>-0.10412799999994604</v>
      </c>
      <c r="M207" s="300" t="s">
        <v>853</v>
      </c>
      <c r="N207" s="132">
        <f t="shared" ca="1" si="50"/>
        <v>37</v>
      </c>
      <c r="O207" s="85">
        <v>45793</v>
      </c>
      <c r="P207" s="131">
        <v>45787</v>
      </c>
      <c r="Q207" s="131">
        <f t="shared" si="57"/>
        <v>45789</v>
      </c>
      <c r="R207" s="132">
        <f t="shared" ca="1" si="58"/>
        <v>6</v>
      </c>
      <c r="S207" s="131">
        <f>O207+12</f>
        <v>45805</v>
      </c>
      <c r="T207" s="133">
        <v>45819</v>
      </c>
      <c r="U207" s="132">
        <f t="shared" ca="1" si="59"/>
        <v>-14</v>
      </c>
      <c r="V207" s="335">
        <f t="shared" si="38"/>
        <v>72</v>
      </c>
      <c r="W207" s="131"/>
      <c r="X207" s="297"/>
      <c r="Y207" s="124"/>
    </row>
    <row r="208" spans="1:25" ht="14.5" hidden="1">
      <c r="A208" s="14">
        <v>145</v>
      </c>
      <c r="B208" s="15" t="s">
        <v>59</v>
      </c>
      <c r="C208" s="15"/>
      <c r="D208" s="318" t="s">
        <v>288</v>
      </c>
      <c r="E208" s="146" t="s">
        <v>289</v>
      </c>
      <c r="F208" s="146" t="s">
        <v>155</v>
      </c>
      <c r="G208" s="240">
        <v>45877</v>
      </c>
      <c r="H208" s="17">
        <f>637.204531764706/2</f>
        <v>318.60226588235298</v>
      </c>
      <c r="I208" s="241"/>
      <c r="J208" s="241"/>
      <c r="K208" s="6">
        <f t="shared" si="44"/>
        <v>318.60226588235298</v>
      </c>
      <c r="L208" s="6">
        <f t="shared" si="56"/>
        <v>318.60226588235298</v>
      </c>
      <c r="M208" s="299" t="s">
        <v>853</v>
      </c>
      <c r="N208" s="132">
        <f t="shared" ca="1" si="50"/>
        <v>37</v>
      </c>
      <c r="O208" s="85">
        <v>45830</v>
      </c>
      <c r="P208" s="131"/>
      <c r="Q208" s="131">
        <f t="shared" si="57"/>
        <v>2</v>
      </c>
      <c r="R208" s="132">
        <f t="shared" ca="1" si="58"/>
        <v>-10</v>
      </c>
      <c r="S208" s="131">
        <f>O208+8</f>
        <v>45838</v>
      </c>
      <c r="T208" s="133"/>
      <c r="U208" s="132">
        <f t="shared" ca="1" si="59"/>
        <v>-2</v>
      </c>
      <c r="V208" s="335">
        <f t="shared" si="38"/>
        <v>39</v>
      </c>
      <c r="W208" s="131"/>
      <c r="X208" s="297"/>
      <c r="Y208" s="124"/>
    </row>
    <row r="209" spans="1:25" ht="14.5" hidden="1">
      <c r="A209" s="14">
        <v>145</v>
      </c>
      <c r="B209" s="15" t="s">
        <v>59</v>
      </c>
      <c r="C209" s="15"/>
      <c r="D209" s="318" t="s">
        <v>288</v>
      </c>
      <c r="E209" s="146" t="s">
        <v>289</v>
      </c>
      <c r="F209" s="146" t="s">
        <v>154</v>
      </c>
      <c r="G209" s="240">
        <v>45877</v>
      </c>
      <c r="H209" s="17">
        <f>526.7626/2</f>
        <v>263.38130000000001</v>
      </c>
      <c r="I209" s="241"/>
      <c r="J209" s="241"/>
      <c r="K209" s="6">
        <f t="shared" si="44"/>
        <v>263.38130000000001</v>
      </c>
      <c r="L209" s="6">
        <f t="shared" si="56"/>
        <v>263.38130000000001</v>
      </c>
      <c r="M209" s="299" t="s">
        <v>853</v>
      </c>
      <c r="N209" s="132">
        <f t="shared" ca="1" si="50"/>
        <v>37</v>
      </c>
      <c r="O209" s="85">
        <v>45830</v>
      </c>
      <c r="P209" s="131"/>
      <c r="Q209" s="131">
        <f t="shared" si="57"/>
        <v>2</v>
      </c>
      <c r="R209" s="132">
        <f t="shared" ca="1" si="58"/>
        <v>-10</v>
      </c>
      <c r="S209" s="131">
        <f>O209+8</f>
        <v>45838</v>
      </c>
      <c r="T209" s="133"/>
      <c r="U209" s="132">
        <f t="shared" ca="1" si="59"/>
        <v>-2</v>
      </c>
      <c r="V209" s="335">
        <f t="shared" si="38"/>
        <v>39</v>
      </c>
      <c r="W209" s="131"/>
      <c r="X209" s="297"/>
      <c r="Y209" s="124"/>
    </row>
    <row r="210" spans="1:25" ht="14.5" hidden="1">
      <c r="A210" s="14">
        <v>145</v>
      </c>
      <c r="B210" s="15" t="s">
        <v>59</v>
      </c>
      <c r="C210" s="15"/>
      <c r="D210" s="301" t="s">
        <v>288</v>
      </c>
      <c r="E210" s="146" t="s">
        <v>289</v>
      </c>
      <c r="F210" s="146" t="s">
        <v>156</v>
      </c>
      <c r="G210" s="240">
        <v>45877</v>
      </c>
      <c r="H210" s="17">
        <f>421.41008/2</f>
        <v>210.70504</v>
      </c>
      <c r="I210" s="241"/>
      <c r="J210" s="241"/>
      <c r="K210" s="6">
        <f t="shared" si="44"/>
        <v>210.70504</v>
      </c>
      <c r="L210" s="6">
        <f t="shared" si="56"/>
        <v>210.70504</v>
      </c>
      <c r="M210" s="299" t="s">
        <v>853</v>
      </c>
      <c r="N210" s="132">
        <f t="shared" ca="1" si="50"/>
        <v>37</v>
      </c>
      <c r="O210" s="85">
        <v>45830</v>
      </c>
      <c r="P210" s="131"/>
      <c r="Q210" s="131">
        <f t="shared" si="57"/>
        <v>2</v>
      </c>
      <c r="R210" s="132">
        <f t="shared" ca="1" si="58"/>
        <v>-10</v>
      </c>
      <c r="S210" s="131">
        <f>O210+8</f>
        <v>45838</v>
      </c>
      <c r="T210" s="133"/>
      <c r="U210" s="132">
        <f t="shared" ca="1" si="59"/>
        <v>-2</v>
      </c>
      <c r="V210" s="335">
        <f t="shared" si="38"/>
        <v>39</v>
      </c>
      <c r="W210" s="131"/>
      <c r="X210" s="297"/>
      <c r="Y210" s="124"/>
    </row>
    <row r="211" spans="1:25" ht="14.5" hidden="1">
      <c r="A211" s="14">
        <v>145</v>
      </c>
      <c r="B211" s="15" t="s">
        <v>59</v>
      </c>
      <c r="C211" s="15"/>
      <c r="D211" s="318" t="s">
        <v>190</v>
      </c>
      <c r="E211" s="146" t="s">
        <v>242</v>
      </c>
      <c r="F211" s="146" t="s">
        <v>244</v>
      </c>
      <c r="G211" s="240">
        <v>45877</v>
      </c>
      <c r="H211" s="17">
        <v>490</v>
      </c>
      <c r="I211" s="241">
        <v>490</v>
      </c>
      <c r="J211" s="241">
        <v>466</v>
      </c>
      <c r="K211" s="6">
        <f>+H211-94%-J211</f>
        <v>23.060000000000002</v>
      </c>
      <c r="L211" s="6">
        <f t="shared" si="56"/>
        <v>0</v>
      </c>
      <c r="M211" s="130" t="s">
        <v>133</v>
      </c>
      <c r="N211" s="132">
        <f t="shared" ca="1" si="50"/>
        <v>37</v>
      </c>
      <c r="O211" s="85">
        <v>45809</v>
      </c>
      <c r="P211" s="131">
        <v>45806</v>
      </c>
      <c r="Q211" s="131">
        <f t="shared" si="57"/>
        <v>45808</v>
      </c>
      <c r="R211" s="132">
        <f t="shared" ca="1" si="58"/>
        <v>3</v>
      </c>
      <c r="S211" s="131">
        <f>O211+12</f>
        <v>45821</v>
      </c>
      <c r="T211" s="133">
        <v>45819</v>
      </c>
      <c r="U211" s="132">
        <f t="shared" ca="1" si="59"/>
        <v>2</v>
      </c>
      <c r="V211" s="335">
        <f t="shared" si="38"/>
        <v>56</v>
      </c>
      <c r="W211" s="131"/>
      <c r="X211" s="297"/>
      <c r="Y211" s="124"/>
    </row>
    <row r="212" spans="1:25" ht="14.5" hidden="1">
      <c r="A212" s="14">
        <v>145</v>
      </c>
      <c r="B212" s="15" t="s">
        <v>59</v>
      </c>
      <c r="C212" s="15"/>
      <c r="D212" s="318" t="s">
        <v>193</v>
      </c>
      <c r="E212" s="146" t="s">
        <v>246</v>
      </c>
      <c r="F212" s="146" t="s">
        <v>162</v>
      </c>
      <c r="G212" s="240">
        <v>45877</v>
      </c>
      <c r="H212" s="17">
        <v>477.21960000000007</v>
      </c>
      <c r="I212" s="241"/>
      <c r="J212" s="241"/>
      <c r="K212" s="6">
        <f>+H212*94%-J212</f>
        <v>448.58642400000002</v>
      </c>
      <c r="L212" s="6">
        <f t="shared" si="56"/>
        <v>477.21960000000007</v>
      </c>
      <c r="M212" s="299" t="s">
        <v>133</v>
      </c>
      <c r="N212" s="132">
        <f t="shared" ca="1" si="50"/>
        <v>37</v>
      </c>
      <c r="O212" s="85">
        <f>S212-12</f>
        <v>45833</v>
      </c>
      <c r="P212" s="131"/>
      <c r="Q212" s="131">
        <f t="shared" si="57"/>
        <v>2</v>
      </c>
      <c r="R212" s="132">
        <f t="shared" ca="1" si="58"/>
        <v>-7</v>
      </c>
      <c r="S212" s="131">
        <f>G212-32</f>
        <v>45845</v>
      </c>
      <c r="T212" s="133"/>
      <c r="U212" s="132">
        <f t="shared" ca="1" si="59"/>
        <v>5</v>
      </c>
      <c r="V212" s="335">
        <f t="shared" ref="V212:V275" si="62">G212-S212</f>
        <v>32</v>
      </c>
      <c r="W212" s="131"/>
      <c r="X212" s="297"/>
      <c r="Y212" s="124"/>
    </row>
    <row r="213" spans="1:25" ht="14.5" hidden="1">
      <c r="A213" s="14">
        <v>145</v>
      </c>
      <c r="B213" s="15" t="s">
        <v>59</v>
      </c>
      <c r="C213" s="15"/>
      <c r="D213" s="318" t="s">
        <v>839</v>
      </c>
      <c r="E213" s="146" t="s">
        <v>242</v>
      </c>
      <c r="F213" s="146" t="s">
        <v>162</v>
      </c>
      <c r="G213" s="240">
        <v>45877</v>
      </c>
      <c r="H213" s="17">
        <v>865</v>
      </c>
      <c r="I213" s="17">
        <v>865</v>
      </c>
      <c r="J213" s="241">
        <v>829</v>
      </c>
      <c r="K213" s="6">
        <f>+H213*94%-J213</f>
        <v>-15.900000000000091</v>
      </c>
      <c r="L213" s="6">
        <f t="shared" si="56"/>
        <v>0</v>
      </c>
      <c r="M213" s="299" t="s">
        <v>894</v>
      </c>
      <c r="N213" s="132">
        <f t="shared" ca="1" si="50"/>
        <v>37</v>
      </c>
      <c r="O213" s="85">
        <v>45805</v>
      </c>
      <c r="P213" s="131">
        <v>45806</v>
      </c>
      <c r="Q213" s="131">
        <f t="shared" si="57"/>
        <v>45808</v>
      </c>
      <c r="R213" s="132">
        <f t="shared" ca="1" si="58"/>
        <v>-1</v>
      </c>
      <c r="S213" s="131">
        <f>O213+12</f>
        <v>45817</v>
      </c>
      <c r="T213" s="133">
        <v>45836</v>
      </c>
      <c r="U213" s="132">
        <f t="shared" ca="1" si="59"/>
        <v>-19</v>
      </c>
      <c r="V213" s="335">
        <f t="shared" si="62"/>
        <v>60</v>
      </c>
      <c r="W213" s="131">
        <v>45834</v>
      </c>
      <c r="X213" s="297"/>
      <c r="Y213" s="124"/>
    </row>
    <row r="214" spans="1:25" ht="14.5" hidden="1">
      <c r="A214" s="14">
        <v>146</v>
      </c>
      <c r="B214" s="15" t="s">
        <v>59</v>
      </c>
      <c r="C214" s="15"/>
      <c r="D214" s="318" t="s">
        <v>288</v>
      </c>
      <c r="E214" s="146" t="s">
        <v>289</v>
      </c>
      <c r="F214" s="146" t="s">
        <v>155</v>
      </c>
      <c r="G214" s="240">
        <v>45877</v>
      </c>
      <c r="H214" s="17">
        <f>637.204531764706/2</f>
        <v>318.60226588235298</v>
      </c>
      <c r="I214" s="241"/>
      <c r="J214" s="241"/>
      <c r="K214" s="6">
        <f t="shared" si="44"/>
        <v>318.60226588235298</v>
      </c>
      <c r="L214" s="6">
        <f t="shared" si="56"/>
        <v>318.60226588235298</v>
      </c>
      <c r="M214" s="299" t="s">
        <v>853</v>
      </c>
      <c r="N214" s="132">
        <f t="shared" ca="1" si="50"/>
        <v>37</v>
      </c>
      <c r="O214" s="85">
        <v>45830</v>
      </c>
      <c r="P214" s="131"/>
      <c r="Q214" s="131">
        <f t="shared" si="57"/>
        <v>2</v>
      </c>
      <c r="R214" s="132">
        <f t="shared" ca="1" si="58"/>
        <v>-10</v>
      </c>
      <c r="S214" s="131">
        <f>O214+8</f>
        <v>45838</v>
      </c>
      <c r="T214" s="133"/>
      <c r="U214" s="132">
        <f t="shared" ca="1" si="59"/>
        <v>-2</v>
      </c>
      <c r="V214" s="335">
        <f t="shared" si="62"/>
        <v>39</v>
      </c>
      <c r="W214" s="131"/>
      <c r="X214" s="297"/>
      <c r="Y214" s="124"/>
    </row>
    <row r="215" spans="1:25" ht="14.5" hidden="1">
      <c r="A215" s="14">
        <v>146</v>
      </c>
      <c r="B215" s="15" t="s">
        <v>59</v>
      </c>
      <c r="C215" s="15"/>
      <c r="D215" s="318" t="s">
        <v>288</v>
      </c>
      <c r="E215" s="146" t="s">
        <v>289</v>
      </c>
      <c r="F215" s="146" t="s">
        <v>154</v>
      </c>
      <c r="G215" s="240">
        <v>45877</v>
      </c>
      <c r="H215" s="17">
        <f>526.7626/2</f>
        <v>263.38130000000001</v>
      </c>
      <c r="I215" s="241"/>
      <c r="J215" s="241"/>
      <c r="K215" s="6">
        <f t="shared" si="44"/>
        <v>263.38130000000001</v>
      </c>
      <c r="L215" s="6">
        <f t="shared" si="56"/>
        <v>263.38130000000001</v>
      </c>
      <c r="M215" s="299" t="s">
        <v>853</v>
      </c>
      <c r="N215" s="132">
        <f t="shared" ca="1" si="50"/>
        <v>37</v>
      </c>
      <c r="O215" s="85">
        <v>45830</v>
      </c>
      <c r="P215" s="131"/>
      <c r="Q215" s="131">
        <f t="shared" si="57"/>
        <v>2</v>
      </c>
      <c r="R215" s="132">
        <f t="shared" ca="1" si="58"/>
        <v>-10</v>
      </c>
      <c r="S215" s="131">
        <f>O215+8</f>
        <v>45838</v>
      </c>
      <c r="T215" s="133"/>
      <c r="U215" s="132">
        <f t="shared" ca="1" si="59"/>
        <v>-2</v>
      </c>
      <c r="V215" s="335">
        <f t="shared" si="62"/>
        <v>39</v>
      </c>
      <c r="W215" s="131"/>
      <c r="X215" s="297"/>
      <c r="Y215" s="124"/>
    </row>
    <row r="216" spans="1:25" ht="14.5" hidden="1">
      <c r="A216" s="14">
        <v>146</v>
      </c>
      <c r="B216" s="15" t="s">
        <v>59</v>
      </c>
      <c r="C216" s="15"/>
      <c r="D216" s="318" t="s">
        <v>288</v>
      </c>
      <c r="E216" s="146" t="s">
        <v>289</v>
      </c>
      <c r="F216" s="146" t="s">
        <v>156</v>
      </c>
      <c r="G216" s="240">
        <v>45877</v>
      </c>
      <c r="H216" s="17">
        <f>421.41008/2</f>
        <v>210.70504</v>
      </c>
      <c r="I216" s="241"/>
      <c r="J216" s="241"/>
      <c r="K216" s="6">
        <f t="shared" si="44"/>
        <v>210.70504</v>
      </c>
      <c r="L216" s="6">
        <f t="shared" si="56"/>
        <v>210.70504</v>
      </c>
      <c r="M216" s="299" t="s">
        <v>853</v>
      </c>
      <c r="N216" s="132">
        <f t="shared" ca="1" si="50"/>
        <v>37</v>
      </c>
      <c r="O216" s="85">
        <v>45830</v>
      </c>
      <c r="P216" s="131"/>
      <c r="Q216" s="131">
        <f t="shared" si="57"/>
        <v>2</v>
      </c>
      <c r="R216" s="132">
        <f t="shared" ca="1" si="58"/>
        <v>-10</v>
      </c>
      <c r="S216" s="131">
        <f>O216+8</f>
        <v>45838</v>
      </c>
      <c r="T216" s="133"/>
      <c r="U216" s="132">
        <f t="shared" ca="1" si="59"/>
        <v>-2</v>
      </c>
      <c r="V216" s="335">
        <f t="shared" si="62"/>
        <v>39</v>
      </c>
      <c r="W216" s="131"/>
      <c r="X216" s="297"/>
      <c r="Y216" s="124"/>
    </row>
    <row r="217" spans="1:25" ht="14.5" hidden="1">
      <c r="A217" s="14">
        <v>146</v>
      </c>
      <c r="B217" s="15" t="s">
        <v>59</v>
      </c>
      <c r="C217" s="15"/>
      <c r="D217" s="318" t="s">
        <v>190</v>
      </c>
      <c r="E217" s="146" t="s">
        <v>242</v>
      </c>
      <c r="F217" s="146" t="s">
        <v>244</v>
      </c>
      <c r="G217" s="240">
        <v>45877</v>
      </c>
      <c r="H217" s="17">
        <v>82.268160000000009</v>
      </c>
      <c r="I217" s="241">
        <v>82</v>
      </c>
      <c r="J217" s="241">
        <v>82</v>
      </c>
      <c r="K217" s="6">
        <f>+H217-94%-J217</f>
        <v>-0.67183999999998889</v>
      </c>
      <c r="L217" s="6">
        <f t="shared" si="56"/>
        <v>0.26816000000000884</v>
      </c>
      <c r="M217" s="299" t="s">
        <v>948</v>
      </c>
      <c r="N217" s="132">
        <f t="shared" ca="1" si="50"/>
        <v>37</v>
      </c>
      <c r="O217" s="85">
        <v>45809</v>
      </c>
      <c r="P217" s="131">
        <v>45827</v>
      </c>
      <c r="Q217" s="131">
        <f t="shared" si="57"/>
        <v>45829</v>
      </c>
      <c r="R217" s="132">
        <f t="shared" ca="1" si="58"/>
        <v>-18</v>
      </c>
      <c r="S217" s="131">
        <f t="shared" ref="S217:S247" si="63">O217+12</f>
        <v>45821</v>
      </c>
      <c r="T217" s="133">
        <v>45827</v>
      </c>
      <c r="U217" s="132">
        <f t="shared" ca="1" si="59"/>
        <v>-6</v>
      </c>
      <c r="V217" s="335">
        <f t="shared" si="62"/>
        <v>56</v>
      </c>
      <c r="W217" s="131"/>
      <c r="X217" s="297"/>
      <c r="Y217" s="124"/>
    </row>
    <row r="218" spans="1:25" ht="14.5" hidden="1">
      <c r="A218" s="14">
        <v>146</v>
      </c>
      <c r="B218" s="15" t="s">
        <v>59</v>
      </c>
      <c r="C218" s="15"/>
      <c r="D218" s="318" t="s">
        <v>193</v>
      </c>
      <c r="E218" s="146" t="s">
        <v>246</v>
      </c>
      <c r="F218" s="146" t="s">
        <v>162</v>
      </c>
      <c r="G218" s="240">
        <v>45877</v>
      </c>
      <c r="H218" s="17">
        <v>477.21960000000007</v>
      </c>
      <c r="I218" s="241"/>
      <c r="J218" s="241"/>
      <c r="K218" s="6">
        <f>+H218*94%-J218</f>
        <v>448.58642400000002</v>
      </c>
      <c r="L218" s="6">
        <f t="shared" si="56"/>
        <v>477.21960000000007</v>
      </c>
      <c r="M218" s="299" t="s">
        <v>133</v>
      </c>
      <c r="N218" s="132">
        <f t="shared" ca="1" si="50"/>
        <v>37</v>
      </c>
      <c r="O218" s="85">
        <f>S218-12</f>
        <v>45833</v>
      </c>
      <c r="P218" s="131"/>
      <c r="Q218" s="131">
        <f t="shared" si="57"/>
        <v>2</v>
      </c>
      <c r="R218" s="132">
        <f t="shared" ca="1" si="58"/>
        <v>-7</v>
      </c>
      <c r="S218" s="131">
        <f>G218-32</f>
        <v>45845</v>
      </c>
      <c r="T218" s="133"/>
      <c r="U218" s="132">
        <f t="shared" ca="1" si="59"/>
        <v>5</v>
      </c>
      <c r="V218" s="335">
        <f t="shared" si="62"/>
        <v>32</v>
      </c>
      <c r="W218" s="131"/>
      <c r="X218" s="297"/>
      <c r="Y218" s="124"/>
    </row>
    <row r="219" spans="1:25" ht="14.5" hidden="1">
      <c r="A219" s="14">
        <v>146</v>
      </c>
      <c r="B219" s="15" t="s">
        <v>59</v>
      </c>
      <c r="C219" s="15"/>
      <c r="D219" s="318" t="s">
        <v>839</v>
      </c>
      <c r="E219" s="146" t="s">
        <v>242</v>
      </c>
      <c r="F219" s="146" t="s">
        <v>162</v>
      </c>
      <c r="G219" s="240">
        <v>45877</v>
      </c>
      <c r="H219" s="17">
        <v>263.81678400000004</v>
      </c>
      <c r="I219" s="241">
        <v>264</v>
      </c>
      <c r="J219" s="241">
        <v>253</v>
      </c>
      <c r="K219" s="6">
        <f>+H219*94%-J219</f>
        <v>-5.0122230399999808</v>
      </c>
      <c r="L219" s="6">
        <f t="shared" si="56"/>
        <v>-0.18321599999995897</v>
      </c>
      <c r="M219" s="299" t="s">
        <v>894</v>
      </c>
      <c r="N219" s="132">
        <f t="shared" ca="1" si="50"/>
        <v>37</v>
      </c>
      <c r="O219" s="85">
        <v>45805</v>
      </c>
      <c r="P219" s="131">
        <v>45806</v>
      </c>
      <c r="Q219" s="131">
        <f t="shared" si="57"/>
        <v>45808</v>
      </c>
      <c r="R219" s="132">
        <f t="shared" ca="1" si="58"/>
        <v>-1</v>
      </c>
      <c r="S219" s="131">
        <f t="shared" si="63"/>
        <v>45817</v>
      </c>
      <c r="T219" s="133">
        <v>45836</v>
      </c>
      <c r="U219" s="132">
        <f t="shared" ca="1" si="59"/>
        <v>-19</v>
      </c>
      <c r="V219" s="335">
        <f t="shared" si="62"/>
        <v>60</v>
      </c>
      <c r="W219" s="131">
        <v>45834</v>
      </c>
      <c r="X219" s="297"/>
      <c r="Y219" s="124"/>
    </row>
    <row r="220" spans="1:25" ht="14.5">
      <c r="A220" s="14">
        <v>147</v>
      </c>
      <c r="B220" s="15" t="s">
        <v>59</v>
      </c>
      <c r="C220" s="15"/>
      <c r="D220" s="301" t="s">
        <v>201</v>
      </c>
      <c r="E220" s="146" t="s">
        <v>247</v>
      </c>
      <c r="F220" s="146" t="s">
        <v>155</v>
      </c>
      <c r="G220" s="240">
        <v>45877</v>
      </c>
      <c r="H220" s="17">
        <v>3997.9549209599991</v>
      </c>
      <c r="I220" s="241"/>
      <c r="J220" s="241"/>
      <c r="K220" s="6">
        <f>+H220*94%-J220</f>
        <v>3758.077625702399</v>
      </c>
      <c r="L220" s="6">
        <f t="shared" si="56"/>
        <v>3997.9549209599991</v>
      </c>
      <c r="M220" s="299" t="s">
        <v>386</v>
      </c>
      <c r="N220" s="132">
        <f t="shared" ca="1" si="50"/>
        <v>37</v>
      </c>
      <c r="O220" s="85">
        <f>S220-12</f>
        <v>45831</v>
      </c>
      <c r="P220" s="131"/>
      <c r="Q220" s="131">
        <f t="shared" si="57"/>
        <v>2</v>
      </c>
      <c r="R220" s="132">
        <f t="shared" ca="1" si="58"/>
        <v>-9</v>
      </c>
      <c r="S220" s="131">
        <f>G220-34</f>
        <v>45843</v>
      </c>
      <c r="T220" s="133"/>
      <c r="U220" s="132">
        <f t="shared" ca="1" si="59"/>
        <v>3</v>
      </c>
      <c r="V220" s="335">
        <f t="shared" si="62"/>
        <v>34</v>
      </c>
      <c r="W220" s="131"/>
      <c r="X220" s="297"/>
      <c r="Y220" s="124"/>
    </row>
    <row r="221" spans="1:25" ht="14.5" hidden="1">
      <c r="A221" s="14">
        <v>147</v>
      </c>
      <c r="B221" s="15" t="s">
        <v>59</v>
      </c>
      <c r="C221" s="15"/>
      <c r="D221" s="318" t="s">
        <v>248</v>
      </c>
      <c r="E221" s="146" t="s">
        <v>270</v>
      </c>
      <c r="F221" s="146" t="s">
        <v>162</v>
      </c>
      <c r="G221" s="240">
        <v>45877</v>
      </c>
      <c r="H221" s="17">
        <v>3390.3282239999999</v>
      </c>
      <c r="I221" s="241">
        <v>3391</v>
      </c>
      <c r="J221" s="241">
        <v>893</v>
      </c>
      <c r="K221" s="6">
        <f>+H221*92%-J221</f>
        <v>2226.1019660799998</v>
      </c>
      <c r="L221" s="6">
        <f t="shared" si="56"/>
        <v>-0.67177600000013626</v>
      </c>
      <c r="M221" s="299" t="s">
        <v>133</v>
      </c>
      <c r="N221" s="132">
        <f t="shared" ca="1" si="50"/>
        <v>37</v>
      </c>
      <c r="O221" s="85">
        <f>S221-12</f>
        <v>45831</v>
      </c>
      <c r="P221" s="131">
        <v>45828</v>
      </c>
      <c r="Q221" s="131">
        <f t="shared" si="57"/>
        <v>45830</v>
      </c>
      <c r="R221" s="132">
        <f t="shared" ca="1" si="58"/>
        <v>3</v>
      </c>
      <c r="S221" s="131">
        <f>G221-34</f>
        <v>45843</v>
      </c>
      <c r="T221" s="133"/>
      <c r="U221" s="132">
        <f t="shared" ca="1" si="59"/>
        <v>3</v>
      </c>
      <c r="V221" s="335">
        <f t="shared" si="62"/>
        <v>34</v>
      </c>
      <c r="W221" s="131"/>
      <c r="X221" s="297"/>
      <c r="Y221" s="124"/>
    </row>
    <row r="222" spans="1:25" ht="14.5" hidden="1">
      <c r="A222" s="14">
        <v>148</v>
      </c>
      <c r="B222" s="15" t="s">
        <v>59</v>
      </c>
      <c r="C222" s="15"/>
      <c r="D222" s="318" t="s">
        <v>839</v>
      </c>
      <c r="E222" s="146" t="s">
        <v>242</v>
      </c>
      <c r="F222" s="146" t="s">
        <v>162</v>
      </c>
      <c r="G222" s="240">
        <v>45877</v>
      </c>
      <c r="H222" s="17">
        <v>87.212160000000011</v>
      </c>
      <c r="I222" s="241">
        <v>87</v>
      </c>
      <c r="J222" s="241">
        <v>82</v>
      </c>
      <c r="K222" s="6">
        <f>+H222*94%-J222</f>
        <v>-2.0569599999987531E-2</v>
      </c>
      <c r="L222" s="6">
        <f t="shared" si="56"/>
        <v>0.21216000000001145</v>
      </c>
      <c r="M222" s="299" t="s">
        <v>894</v>
      </c>
      <c r="N222" s="132">
        <f t="shared" ca="1" si="50"/>
        <v>37</v>
      </c>
      <c r="O222" s="85">
        <v>45805</v>
      </c>
      <c r="P222" s="131">
        <v>45806</v>
      </c>
      <c r="Q222" s="131">
        <f t="shared" si="57"/>
        <v>45808</v>
      </c>
      <c r="R222" s="132">
        <f t="shared" ca="1" si="58"/>
        <v>-1</v>
      </c>
      <c r="S222" s="131">
        <f t="shared" si="63"/>
        <v>45817</v>
      </c>
      <c r="T222" s="133">
        <v>45836</v>
      </c>
      <c r="U222" s="132">
        <f t="shared" ca="1" si="59"/>
        <v>-19</v>
      </c>
      <c r="V222" s="335">
        <f t="shared" si="62"/>
        <v>60</v>
      </c>
      <c r="W222" s="131">
        <v>45834</v>
      </c>
      <c r="X222" s="297"/>
      <c r="Y222" s="124"/>
    </row>
    <row r="223" spans="1:25" ht="14.5" hidden="1">
      <c r="A223" s="14">
        <v>149</v>
      </c>
      <c r="B223" s="15" t="s">
        <v>59</v>
      </c>
      <c r="C223" s="15"/>
      <c r="D223" s="318" t="s">
        <v>250</v>
      </c>
      <c r="E223" s="146" t="s">
        <v>249</v>
      </c>
      <c r="F223" s="146" t="s">
        <v>162</v>
      </c>
      <c r="G223" s="240">
        <v>45885</v>
      </c>
      <c r="H223" s="17">
        <v>3233.1288000000004</v>
      </c>
      <c r="I223" s="241">
        <v>3233</v>
      </c>
      <c r="J223" s="241"/>
      <c r="K223" s="6">
        <f t="shared" si="44"/>
        <v>3233.1288000000004</v>
      </c>
      <c r="L223" s="6">
        <f t="shared" si="56"/>
        <v>0.12880000000041036</v>
      </c>
      <c r="M223" s="299" t="s">
        <v>397</v>
      </c>
      <c r="N223" s="132">
        <f t="shared" ca="1" si="50"/>
        <v>45</v>
      </c>
      <c r="O223" s="85">
        <f>S223-12</f>
        <v>45839</v>
      </c>
      <c r="P223" s="131">
        <v>45829</v>
      </c>
      <c r="Q223" s="131">
        <f t="shared" si="57"/>
        <v>45831</v>
      </c>
      <c r="R223" s="132">
        <f t="shared" ca="1" si="58"/>
        <v>10</v>
      </c>
      <c r="S223" s="131">
        <f>G223-34</f>
        <v>45851</v>
      </c>
      <c r="T223" s="133"/>
      <c r="U223" s="132">
        <f t="shared" ca="1" si="59"/>
        <v>11</v>
      </c>
      <c r="V223" s="335">
        <f t="shared" si="62"/>
        <v>34</v>
      </c>
      <c r="W223" s="131"/>
      <c r="X223" s="297"/>
      <c r="Y223" s="124"/>
    </row>
    <row r="224" spans="1:25" ht="14.5" hidden="1">
      <c r="A224" s="14">
        <v>149</v>
      </c>
      <c r="B224" s="15" t="s">
        <v>59</v>
      </c>
      <c r="C224" s="15"/>
      <c r="D224" s="301" t="s">
        <v>839</v>
      </c>
      <c r="E224" s="146" t="s">
        <v>242</v>
      </c>
      <c r="F224" s="146" t="s">
        <v>162</v>
      </c>
      <c r="G224" s="240">
        <v>45885</v>
      </c>
      <c r="H224" s="17">
        <v>597.40329600000007</v>
      </c>
      <c r="I224" s="241">
        <v>597</v>
      </c>
      <c r="J224" s="241">
        <v>573</v>
      </c>
      <c r="K224" s="6">
        <f>+H224*94%-J224</f>
        <v>-11.440901759999974</v>
      </c>
      <c r="L224" s="6">
        <f t="shared" si="56"/>
        <v>0.40329600000006849</v>
      </c>
      <c r="M224" s="299" t="s">
        <v>894</v>
      </c>
      <c r="N224" s="132">
        <f t="shared" ca="1" si="50"/>
        <v>45</v>
      </c>
      <c r="O224" s="85">
        <v>45805</v>
      </c>
      <c r="P224" s="131">
        <v>45806</v>
      </c>
      <c r="Q224" s="131">
        <f t="shared" si="57"/>
        <v>45808</v>
      </c>
      <c r="R224" s="132">
        <f t="shared" ca="1" si="58"/>
        <v>-1</v>
      </c>
      <c r="S224" s="131">
        <f t="shared" si="63"/>
        <v>45817</v>
      </c>
      <c r="T224" s="133">
        <v>45836</v>
      </c>
      <c r="U224" s="132">
        <f t="shared" ca="1" si="59"/>
        <v>-19</v>
      </c>
      <c r="V224" s="335">
        <f t="shared" si="62"/>
        <v>68</v>
      </c>
      <c r="W224" s="131">
        <v>45834</v>
      </c>
      <c r="X224" s="297"/>
      <c r="Y224" s="124"/>
    </row>
    <row r="225" spans="1:25" ht="14.5" hidden="1">
      <c r="A225" s="14">
        <v>150</v>
      </c>
      <c r="B225" s="15" t="s">
        <v>59</v>
      </c>
      <c r="C225" s="15"/>
      <c r="D225" s="318" t="s">
        <v>189</v>
      </c>
      <c r="E225" s="146" t="s">
        <v>242</v>
      </c>
      <c r="F225" s="146" t="s">
        <v>855</v>
      </c>
      <c r="G225" s="240">
        <v>45891</v>
      </c>
      <c r="H225" s="17">
        <v>426.79464533333339</v>
      </c>
      <c r="I225" s="241"/>
      <c r="J225" s="241"/>
      <c r="K225" s="6">
        <f t="shared" si="44"/>
        <v>426.79464533333339</v>
      </c>
      <c r="L225" s="6">
        <f t="shared" si="56"/>
        <v>426.79464533333339</v>
      </c>
      <c r="M225" s="299" t="s">
        <v>389</v>
      </c>
      <c r="N225" s="132">
        <f t="shared" ca="1" si="50"/>
        <v>51</v>
      </c>
      <c r="O225" s="85">
        <f>S225-12</f>
        <v>45845</v>
      </c>
      <c r="P225" s="131"/>
      <c r="Q225" s="131">
        <f t="shared" ref="Q225" si="64">P225+2</f>
        <v>2</v>
      </c>
      <c r="R225" s="132">
        <f t="shared" ref="R225" ca="1" si="65">+IF(P225="",O225-TODAY(),O225-P225)</f>
        <v>5</v>
      </c>
      <c r="S225" s="131">
        <f>G225-34</f>
        <v>45857</v>
      </c>
      <c r="T225" s="133"/>
      <c r="U225" s="132">
        <f t="shared" ca="1" si="59"/>
        <v>17</v>
      </c>
      <c r="V225" s="335">
        <f t="shared" si="62"/>
        <v>34</v>
      </c>
      <c r="W225" s="131"/>
      <c r="X225" s="297"/>
      <c r="Y225" s="124"/>
    </row>
    <row r="226" spans="1:25" ht="14.25" hidden="1" customHeight="1">
      <c r="A226" s="14">
        <v>150</v>
      </c>
      <c r="B226" s="15" t="s">
        <v>59</v>
      </c>
      <c r="C226" s="15"/>
      <c r="D226" s="318" t="s">
        <v>193</v>
      </c>
      <c r="E226" s="146" t="s">
        <v>246</v>
      </c>
      <c r="F226" s="146" t="s">
        <v>162</v>
      </c>
      <c r="G226" s="240">
        <v>45891</v>
      </c>
      <c r="H226" s="17">
        <v>530.24400000000003</v>
      </c>
      <c r="I226" s="241"/>
      <c r="J226" s="241"/>
      <c r="K226" s="6">
        <f>+H226*94%-J226</f>
        <v>498.42935999999997</v>
      </c>
      <c r="L226" s="6">
        <f t="shared" si="56"/>
        <v>530.24400000000003</v>
      </c>
      <c r="M226" s="299" t="s">
        <v>133</v>
      </c>
      <c r="N226" s="132">
        <f t="shared" ca="1" si="50"/>
        <v>51</v>
      </c>
      <c r="O226" s="85">
        <f>S226-12</f>
        <v>45847</v>
      </c>
      <c r="P226" s="131"/>
      <c r="Q226" s="131">
        <f t="shared" si="57"/>
        <v>2</v>
      </c>
      <c r="R226" s="132">
        <f t="shared" ca="1" si="58"/>
        <v>7</v>
      </c>
      <c r="S226" s="131">
        <f>G226-32</f>
        <v>45859</v>
      </c>
      <c r="T226" s="133"/>
      <c r="U226" s="132">
        <f t="shared" ca="1" si="59"/>
        <v>19</v>
      </c>
      <c r="V226" s="335">
        <f t="shared" si="62"/>
        <v>32</v>
      </c>
      <c r="W226" s="131"/>
      <c r="X226" s="297"/>
      <c r="Y226" s="124"/>
    </row>
    <row r="227" spans="1:25" ht="14.25" hidden="1" customHeight="1">
      <c r="A227" s="14">
        <v>150</v>
      </c>
      <c r="B227" s="15" t="s">
        <v>59</v>
      </c>
      <c r="C227" s="15"/>
      <c r="D227" s="318" t="s">
        <v>839</v>
      </c>
      <c r="E227" s="146" t="s">
        <v>242</v>
      </c>
      <c r="F227" s="146" t="s">
        <v>162</v>
      </c>
      <c r="G227" s="240">
        <v>45891</v>
      </c>
      <c r="H227" s="17">
        <v>944.07163200000014</v>
      </c>
      <c r="I227" s="241">
        <v>944</v>
      </c>
      <c r="J227" s="241">
        <v>905</v>
      </c>
      <c r="K227" s="6">
        <f>+H227*94%-J227</f>
        <v>-17.572665919999963</v>
      </c>
      <c r="L227" s="6">
        <f t="shared" si="56"/>
        <v>7.1632000000136031E-2</v>
      </c>
      <c r="M227" s="299" t="s">
        <v>894</v>
      </c>
      <c r="N227" s="132">
        <f t="shared" ca="1" si="50"/>
        <v>51</v>
      </c>
      <c r="O227" s="85">
        <v>45805</v>
      </c>
      <c r="P227" s="131">
        <v>45806</v>
      </c>
      <c r="Q227" s="131">
        <f t="shared" si="57"/>
        <v>45808</v>
      </c>
      <c r="R227" s="132">
        <f t="shared" ca="1" si="58"/>
        <v>-1</v>
      </c>
      <c r="S227" s="131">
        <f t="shared" si="63"/>
        <v>45817</v>
      </c>
      <c r="T227" s="133">
        <v>45836</v>
      </c>
      <c r="U227" s="132">
        <f t="shared" ca="1" si="59"/>
        <v>-19</v>
      </c>
      <c r="V227" s="335">
        <f t="shared" si="62"/>
        <v>74</v>
      </c>
      <c r="W227" s="131">
        <v>45834</v>
      </c>
      <c r="X227" s="297"/>
      <c r="Y227" s="124"/>
    </row>
    <row r="228" spans="1:25" ht="14.25" hidden="1" customHeight="1">
      <c r="A228" s="14">
        <v>151</v>
      </c>
      <c r="B228" s="15" t="s">
        <v>59</v>
      </c>
      <c r="C228" s="15"/>
      <c r="D228" s="318" t="s">
        <v>189</v>
      </c>
      <c r="E228" s="146" t="s">
        <v>242</v>
      </c>
      <c r="F228" s="146" t="s">
        <v>855</v>
      </c>
      <c r="G228" s="240">
        <v>45891</v>
      </c>
      <c r="H228" s="17">
        <v>1171.2929280000003</v>
      </c>
      <c r="I228" s="241"/>
      <c r="J228" s="241"/>
      <c r="K228" s="6">
        <f t="shared" si="44"/>
        <v>1171.2929280000003</v>
      </c>
      <c r="L228" s="6">
        <f t="shared" si="56"/>
        <v>1171.2929280000003</v>
      </c>
      <c r="M228" s="299" t="s">
        <v>389</v>
      </c>
      <c r="N228" s="132">
        <f t="shared" ca="1" si="50"/>
        <v>51</v>
      </c>
      <c r="O228" s="85">
        <f>S228-12</f>
        <v>45845</v>
      </c>
      <c r="P228" s="131"/>
      <c r="Q228" s="131">
        <f t="shared" ref="Q228" si="66">P228+2</f>
        <v>2</v>
      </c>
      <c r="R228" s="132">
        <f t="shared" ref="R228" ca="1" si="67">+IF(P228="",O228-TODAY(),O228-P228)</f>
        <v>5</v>
      </c>
      <c r="S228" s="131">
        <f>G228-34</f>
        <v>45857</v>
      </c>
      <c r="T228" s="133"/>
      <c r="U228" s="132">
        <f t="shared" ca="1" si="59"/>
        <v>17</v>
      </c>
      <c r="V228" s="335">
        <f t="shared" si="62"/>
        <v>34</v>
      </c>
      <c r="W228" s="131"/>
      <c r="X228" s="297"/>
      <c r="Y228" s="124"/>
    </row>
    <row r="229" spans="1:25" ht="14.25" hidden="1" customHeight="1">
      <c r="A229" s="14">
        <v>152</v>
      </c>
      <c r="B229" s="15" t="s">
        <v>59</v>
      </c>
      <c r="C229" s="15"/>
      <c r="D229" s="318" t="s">
        <v>248</v>
      </c>
      <c r="E229" s="146" t="s">
        <v>270</v>
      </c>
      <c r="F229" s="146" t="s">
        <v>162</v>
      </c>
      <c r="G229" s="240">
        <v>45891</v>
      </c>
      <c r="H229" s="17">
        <v>3102.2611200000001</v>
      </c>
      <c r="I229" s="241">
        <v>3102</v>
      </c>
      <c r="J229" s="241"/>
      <c r="K229" s="6">
        <f>+H229*92%-J229</f>
        <v>2854.0802304000003</v>
      </c>
      <c r="L229" s="6">
        <f t="shared" si="56"/>
        <v>0.26112000000011903</v>
      </c>
      <c r="M229" s="299" t="s">
        <v>133</v>
      </c>
      <c r="N229" s="132">
        <f t="shared" ca="1" si="50"/>
        <v>51</v>
      </c>
      <c r="O229" s="85">
        <f>S229-12</f>
        <v>45845</v>
      </c>
      <c r="P229" s="131">
        <v>45833</v>
      </c>
      <c r="Q229" s="131">
        <f t="shared" si="57"/>
        <v>45835</v>
      </c>
      <c r="R229" s="132">
        <f t="shared" ca="1" si="58"/>
        <v>12</v>
      </c>
      <c r="S229" s="131">
        <f>G229-34</f>
        <v>45857</v>
      </c>
      <c r="T229" s="133"/>
      <c r="U229" s="132">
        <f t="shared" ca="1" si="59"/>
        <v>17</v>
      </c>
      <c r="V229" s="335">
        <f t="shared" si="62"/>
        <v>34</v>
      </c>
      <c r="W229" s="131"/>
      <c r="X229" s="297"/>
      <c r="Y229" s="124"/>
    </row>
    <row r="230" spans="1:25" ht="14.25" hidden="1" customHeight="1">
      <c r="A230" s="14">
        <v>152</v>
      </c>
      <c r="B230" s="15" t="s">
        <v>59</v>
      </c>
      <c r="C230" s="15"/>
      <c r="D230" s="318" t="s">
        <v>193</v>
      </c>
      <c r="E230" s="146" t="s">
        <v>249</v>
      </c>
      <c r="F230" s="146" t="s">
        <v>162</v>
      </c>
      <c r="G230" s="240">
        <v>45891</v>
      </c>
      <c r="H230" s="17">
        <v>5254.0876800000005</v>
      </c>
      <c r="I230" s="241">
        <v>4184</v>
      </c>
      <c r="J230" s="241"/>
      <c r="K230" s="6">
        <f t="shared" si="44"/>
        <v>5254.0876800000005</v>
      </c>
      <c r="L230" s="6">
        <f t="shared" si="56"/>
        <v>1070.0876800000005</v>
      </c>
      <c r="M230" s="299" t="s">
        <v>133</v>
      </c>
      <c r="N230" s="132">
        <f t="shared" ca="1" si="50"/>
        <v>51</v>
      </c>
      <c r="O230" s="85">
        <f>S230-12</f>
        <v>45847</v>
      </c>
      <c r="P230" s="131"/>
      <c r="Q230" s="131">
        <f t="shared" si="57"/>
        <v>2</v>
      </c>
      <c r="R230" s="132">
        <f t="shared" ca="1" si="58"/>
        <v>7</v>
      </c>
      <c r="S230" s="131">
        <f>G230-32</f>
        <v>45859</v>
      </c>
      <c r="T230" s="133"/>
      <c r="U230" s="132">
        <f t="shared" ca="1" si="59"/>
        <v>19</v>
      </c>
      <c r="V230" s="335">
        <f t="shared" si="62"/>
        <v>32</v>
      </c>
      <c r="W230" s="131"/>
      <c r="X230" s="297"/>
      <c r="Y230" s="124"/>
    </row>
    <row r="231" spans="1:25" ht="14.25" hidden="1" customHeight="1">
      <c r="A231" s="14">
        <v>152</v>
      </c>
      <c r="B231" s="15" t="s">
        <v>59</v>
      </c>
      <c r="C231" s="15"/>
      <c r="D231" s="318" t="s">
        <v>193</v>
      </c>
      <c r="E231" s="146" t="s">
        <v>246</v>
      </c>
      <c r="F231" s="146" t="s">
        <v>162</v>
      </c>
      <c r="G231" s="240">
        <v>45891</v>
      </c>
      <c r="H231" s="17">
        <v>1060.4880000000001</v>
      </c>
      <c r="I231" s="241"/>
      <c r="J231" s="241"/>
      <c r="K231" s="6">
        <f>+H231*94%-J231</f>
        <v>996.85871999999995</v>
      </c>
      <c r="L231" s="6">
        <f t="shared" si="56"/>
        <v>1060.4880000000001</v>
      </c>
      <c r="M231" s="299" t="s">
        <v>133</v>
      </c>
      <c r="N231" s="132">
        <f t="shared" ca="1" si="50"/>
        <v>51</v>
      </c>
      <c r="O231" s="85">
        <f>S231-12</f>
        <v>45847</v>
      </c>
      <c r="P231" s="131"/>
      <c r="Q231" s="131">
        <f t="shared" si="57"/>
        <v>2</v>
      </c>
      <c r="R231" s="132">
        <f t="shared" ca="1" si="58"/>
        <v>7</v>
      </c>
      <c r="S231" s="131">
        <f>G231-32</f>
        <v>45859</v>
      </c>
      <c r="T231" s="133"/>
      <c r="U231" s="132">
        <f t="shared" ca="1" si="59"/>
        <v>19</v>
      </c>
      <c r="V231" s="335">
        <f t="shared" si="62"/>
        <v>32</v>
      </c>
      <c r="W231" s="131"/>
      <c r="X231" s="297"/>
      <c r="Y231" s="124"/>
    </row>
    <row r="232" spans="1:25" ht="14.25" hidden="1" customHeight="1">
      <c r="A232" s="14">
        <v>152</v>
      </c>
      <c r="B232" s="15" t="s">
        <v>59</v>
      </c>
      <c r="C232" s="15"/>
      <c r="D232" s="318" t="s">
        <v>839</v>
      </c>
      <c r="E232" s="146" t="s">
        <v>242</v>
      </c>
      <c r="F232" s="146" t="s">
        <v>162</v>
      </c>
      <c r="G232" s="240">
        <v>45891</v>
      </c>
      <c r="H232" s="17">
        <v>697.69728000000009</v>
      </c>
      <c r="I232" s="241">
        <v>698</v>
      </c>
      <c r="J232" s="241">
        <v>668</v>
      </c>
      <c r="K232" s="6">
        <f>+H232*94%-J232</f>
        <v>-12.1645567999999</v>
      </c>
      <c r="L232" s="6">
        <f t="shared" si="56"/>
        <v>-0.3027199999999084</v>
      </c>
      <c r="M232" s="299" t="s">
        <v>894</v>
      </c>
      <c r="N232" s="132">
        <f t="shared" ca="1" si="50"/>
        <v>51</v>
      </c>
      <c r="O232" s="85">
        <v>45805</v>
      </c>
      <c r="P232" s="131">
        <v>45806</v>
      </c>
      <c r="Q232" s="131">
        <f t="shared" si="57"/>
        <v>45808</v>
      </c>
      <c r="R232" s="132">
        <f t="shared" ca="1" si="58"/>
        <v>-1</v>
      </c>
      <c r="S232" s="131">
        <f t="shared" si="63"/>
        <v>45817</v>
      </c>
      <c r="T232" s="133">
        <v>45836</v>
      </c>
      <c r="U232" s="132">
        <f t="shared" ca="1" si="59"/>
        <v>-19</v>
      </c>
      <c r="V232" s="335">
        <f t="shared" si="62"/>
        <v>74</v>
      </c>
      <c r="W232" s="131">
        <v>45834</v>
      </c>
      <c r="X232" s="297"/>
      <c r="Y232" s="124"/>
    </row>
    <row r="233" spans="1:25" ht="14.25" customHeight="1">
      <c r="A233" s="14">
        <v>156</v>
      </c>
      <c r="B233" s="15" t="s">
        <v>59</v>
      </c>
      <c r="C233" s="20"/>
      <c r="D233" s="318" t="s">
        <v>201</v>
      </c>
      <c r="E233" s="146" t="s">
        <v>247</v>
      </c>
      <c r="F233" s="146" t="s">
        <v>155</v>
      </c>
      <c r="G233" s="240">
        <v>45877</v>
      </c>
      <c r="H233" s="17">
        <v>3331</v>
      </c>
      <c r="I233" s="241"/>
      <c r="J233" s="241"/>
      <c r="K233" s="6">
        <f>+H233*94%-J233</f>
        <v>3131.14</v>
      </c>
      <c r="L233" s="6">
        <f t="shared" si="56"/>
        <v>3331</v>
      </c>
      <c r="M233" s="299" t="s">
        <v>386</v>
      </c>
      <c r="N233" s="132">
        <f t="shared" ca="1" si="50"/>
        <v>37</v>
      </c>
      <c r="O233" s="85">
        <f t="shared" ref="O233:O238" si="68">S233-12</f>
        <v>45831</v>
      </c>
      <c r="P233" s="131"/>
      <c r="Q233" s="131">
        <f t="shared" si="57"/>
        <v>2</v>
      </c>
      <c r="R233" s="132">
        <f t="shared" ca="1" si="58"/>
        <v>-9</v>
      </c>
      <c r="S233" s="131">
        <f>G233-34</f>
        <v>45843</v>
      </c>
      <c r="T233" s="133"/>
      <c r="U233" s="132">
        <f t="shared" ca="1" si="59"/>
        <v>3</v>
      </c>
      <c r="V233" s="335">
        <f t="shared" si="62"/>
        <v>34</v>
      </c>
      <c r="W233" s="131"/>
      <c r="X233" s="297"/>
      <c r="Y233" s="124"/>
    </row>
    <row r="234" spans="1:25" ht="14.25" hidden="1" customHeight="1">
      <c r="A234" s="14">
        <v>156</v>
      </c>
      <c r="B234" s="15" t="s">
        <v>59</v>
      </c>
      <c r="C234" s="15"/>
      <c r="D234" s="318" t="s">
        <v>189</v>
      </c>
      <c r="E234" s="146" t="s">
        <v>242</v>
      </c>
      <c r="F234" s="146" t="s">
        <v>90</v>
      </c>
      <c r="G234" s="240">
        <v>45877</v>
      </c>
      <c r="H234" s="17">
        <v>675</v>
      </c>
      <c r="I234" s="241">
        <v>675</v>
      </c>
      <c r="J234" s="241">
        <v>649</v>
      </c>
      <c r="K234" s="6">
        <f t="shared" si="44"/>
        <v>26</v>
      </c>
      <c r="L234" s="6">
        <f t="shared" si="56"/>
        <v>0</v>
      </c>
      <c r="M234" s="299" t="s">
        <v>389</v>
      </c>
      <c r="N234" s="132">
        <f t="shared" ca="1" si="50"/>
        <v>37</v>
      </c>
      <c r="O234" s="85">
        <f t="shared" si="68"/>
        <v>45831</v>
      </c>
      <c r="P234" s="131">
        <v>45831</v>
      </c>
      <c r="Q234" s="131">
        <f t="shared" ref="Q234" si="69">P234+2</f>
        <v>45833</v>
      </c>
      <c r="R234" s="132">
        <f t="shared" ref="R234" ca="1" si="70">+IF(P234="",O234-TODAY(),O234-P234)</f>
        <v>0</v>
      </c>
      <c r="S234" s="131">
        <f>G234-34</f>
        <v>45843</v>
      </c>
      <c r="T234" s="133">
        <v>45838</v>
      </c>
      <c r="U234" s="132">
        <f t="shared" ca="1" si="59"/>
        <v>5</v>
      </c>
      <c r="V234" s="335">
        <f t="shared" si="62"/>
        <v>34</v>
      </c>
      <c r="W234" s="131"/>
      <c r="X234" s="297"/>
      <c r="Y234" s="124"/>
    </row>
    <row r="235" spans="1:25" ht="14.25" hidden="1" customHeight="1">
      <c r="A235" s="14">
        <v>156</v>
      </c>
      <c r="B235" s="15" t="s">
        <v>59</v>
      </c>
      <c r="C235" s="20"/>
      <c r="D235" s="318" t="s">
        <v>248</v>
      </c>
      <c r="E235" s="146" t="s">
        <v>270</v>
      </c>
      <c r="F235" s="146" t="s">
        <v>162</v>
      </c>
      <c r="G235" s="240">
        <v>45877</v>
      </c>
      <c r="H235" s="17">
        <v>3600.8388</v>
      </c>
      <c r="I235" s="241">
        <v>3601</v>
      </c>
      <c r="J235" s="241"/>
      <c r="K235" s="6">
        <f>+H235*92%-J235</f>
        <v>3312.7716960000002</v>
      </c>
      <c r="L235" s="6">
        <f t="shared" si="56"/>
        <v>-0.161200000000008</v>
      </c>
      <c r="M235" s="299" t="s">
        <v>133</v>
      </c>
      <c r="N235" s="132">
        <f t="shared" ca="1" si="50"/>
        <v>37</v>
      </c>
      <c r="O235" s="85">
        <f t="shared" si="68"/>
        <v>45831</v>
      </c>
      <c r="P235" s="131">
        <v>45833</v>
      </c>
      <c r="Q235" s="131">
        <f t="shared" si="57"/>
        <v>45835</v>
      </c>
      <c r="R235" s="132">
        <f t="shared" ca="1" si="58"/>
        <v>-2</v>
      </c>
      <c r="S235" s="131">
        <f>G235-34</f>
        <v>45843</v>
      </c>
      <c r="T235" s="133"/>
      <c r="U235" s="132">
        <f t="shared" ca="1" si="59"/>
        <v>3</v>
      </c>
      <c r="V235" s="335">
        <f t="shared" si="62"/>
        <v>34</v>
      </c>
      <c r="W235" s="131"/>
      <c r="X235" s="297"/>
      <c r="Y235" s="124"/>
    </row>
    <row r="236" spans="1:25" ht="14.25" hidden="1" customHeight="1">
      <c r="A236" s="14">
        <v>156</v>
      </c>
      <c r="B236" s="15" t="s">
        <v>59</v>
      </c>
      <c r="C236" s="20"/>
      <c r="D236" s="318" t="s">
        <v>193</v>
      </c>
      <c r="E236" s="146" t="s">
        <v>249</v>
      </c>
      <c r="F236" s="146" t="s">
        <v>162</v>
      </c>
      <c r="G236" s="240">
        <v>45877</v>
      </c>
      <c r="H236" s="17">
        <v>5691.92832</v>
      </c>
      <c r="I236" s="241"/>
      <c r="J236" s="241"/>
      <c r="K236" s="6">
        <f t="shared" ref="K236:K297" si="71">+H236-J236</f>
        <v>5691.92832</v>
      </c>
      <c r="L236" s="6">
        <f t="shared" si="56"/>
        <v>5691.92832</v>
      </c>
      <c r="M236" s="299" t="s">
        <v>133</v>
      </c>
      <c r="N236" s="132">
        <f t="shared" ca="1" si="50"/>
        <v>37</v>
      </c>
      <c r="O236" s="85">
        <f t="shared" si="68"/>
        <v>45833</v>
      </c>
      <c r="P236" s="131"/>
      <c r="Q236" s="131">
        <f t="shared" si="57"/>
        <v>2</v>
      </c>
      <c r="R236" s="132">
        <f t="shared" ca="1" si="58"/>
        <v>-7</v>
      </c>
      <c r="S236" s="131">
        <f>G236-32</f>
        <v>45845</v>
      </c>
      <c r="T236" s="133"/>
      <c r="U236" s="132">
        <f t="shared" ca="1" si="59"/>
        <v>5</v>
      </c>
      <c r="V236" s="335">
        <f t="shared" si="62"/>
        <v>32</v>
      </c>
      <c r="W236" s="131"/>
      <c r="X236" s="297"/>
      <c r="Y236" s="124"/>
    </row>
    <row r="237" spans="1:25" ht="14.25" customHeight="1">
      <c r="A237" s="14">
        <v>157</v>
      </c>
      <c r="B237" s="15" t="s">
        <v>59</v>
      </c>
      <c r="C237" s="15"/>
      <c r="D237" s="318" t="s">
        <v>201</v>
      </c>
      <c r="E237" s="146" t="s">
        <v>247</v>
      </c>
      <c r="F237" s="146" t="s">
        <v>155</v>
      </c>
      <c r="G237" s="240">
        <v>45884</v>
      </c>
      <c r="H237" s="17">
        <v>2725.8783551999995</v>
      </c>
      <c r="I237" s="241"/>
      <c r="J237" s="241"/>
      <c r="K237" s="6">
        <f>+H237*94%-J237</f>
        <v>2562.3256538879996</v>
      </c>
      <c r="L237" s="6">
        <f t="shared" si="56"/>
        <v>2725.8783551999995</v>
      </c>
      <c r="M237" s="299" t="s">
        <v>386</v>
      </c>
      <c r="N237" s="132">
        <f t="shared" ca="1" si="50"/>
        <v>44</v>
      </c>
      <c r="O237" s="85">
        <f t="shared" si="68"/>
        <v>45838</v>
      </c>
      <c r="P237" s="131"/>
      <c r="Q237" s="131">
        <f t="shared" si="57"/>
        <v>2</v>
      </c>
      <c r="R237" s="132">
        <f t="shared" ca="1" si="58"/>
        <v>-2</v>
      </c>
      <c r="S237" s="131">
        <f>G237-34</f>
        <v>45850</v>
      </c>
      <c r="T237" s="133"/>
      <c r="U237" s="132">
        <f t="shared" ca="1" si="59"/>
        <v>10</v>
      </c>
      <c r="V237" s="335">
        <f t="shared" si="62"/>
        <v>34</v>
      </c>
      <c r="W237" s="131"/>
      <c r="X237" s="297"/>
      <c r="Y237" s="124"/>
    </row>
    <row r="238" spans="1:25" ht="14.25" hidden="1" customHeight="1">
      <c r="A238" s="14">
        <v>157</v>
      </c>
      <c r="B238" s="15" t="s">
        <v>59</v>
      </c>
      <c r="C238" s="15"/>
      <c r="D238" s="318" t="s">
        <v>189</v>
      </c>
      <c r="E238" s="146" t="s">
        <v>242</v>
      </c>
      <c r="F238" s="146" t="s">
        <v>90</v>
      </c>
      <c r="G238" s="240">
        <v>45884</v>
      </c>
      <c r="H238" s="17">
        <v>675.59869866666679</v>
      </c>
      <c r="I238" s="241">
        <v>676</v>
      </c>
      <c r="J238" s="241">
        <v>670</v>
      </c>
      <c r="K238" s="6">
        <f t="shared" si="71"/>
        <v>5.5986986666667917</v>
      </c>
      <c r="L238" s="6">
        <f t="shared" si="56"/>
        <v>-0.40130133333320828</v>
      </c>
      <c r="M238" s="299" t="s">
        <v>389</v>
      </c>
      <c r="N238" s="132">
        <f t="shared" ca="1" si="50"/>
        <v>44</v>
      </c>
      <c r="O238" s="85">
        <f t="shared" si="68"/>
        <v>45838</v>
      </c>
      <c r="P238" s="131">
        <v>45833</v>
      </c>
      <c r="Q238" s="131">
        <f t="shared" ref="Q238" si="72">P238+2</f>
        <v>45835</v>
      </c>
      <c r="R238" s="132">
        <f t="shared" ref="R238" ca="1" si="73">+IF(P238="",O238-TODAY(),O238-P238)</f>
        <v>5</v>
      </c>
      <c r="S238" s="131">
        <f>G238-34</f>
        <v>45850</v>
      </c>
      <c r="T238" s="133">
        <v>45838</v>
      </c>
      <c r="U238" s="132">
        <f t="shared" ca="1" si="59"/>
        <v>12</v>
      </c>
      <c r="V238" s="335">
        <f t="shared" si="62"/>
        <v>34</v>
      </c>
      <c r="W238" s="131"/>
      <c r="X238" s="297"/>
      <c r="Y238" s="124"/>
    </row>
    <row r="239" spans="1:25" ht="14.25" hidden="1" customHeight="1">
      <c r="A239" s="14">
        <v>157</v>
      </c>
      <c r="B239" s="15" t="s">
        <v>59</v>
      </c>
      <c r="C239" s="15"/>
      <c r="D239" s="318" t="s">
        <v>391</v>
      </c>
      <c r="E239" s="146" t="s">
        <v>392</v>
      </c>
      <c r="F239" s="146" t="s">
        <v>393</v>
      </c>
      <c r="G239" s="240">
        <v>45884</v>
      </c>
      <c r="H239" s="17">
        <v>626.95193600000005</v>
      </c>
      <c r="I239" s="241">
        <v>627</v>
      </c>
      <c r="J239" s="241">
        <v>602</v>
      </c>
      <c r="K239" s="6">
        <f>+H239*96%-J239</f>
        <v>-0.12614143999996941</v>
      </c>
      <c r="L239" s="6">
        <f t="shared" si="56"/>
        <v>-4.8063999999953921E-2</v>
      </c>
      <c r="M239" s="299" t="s">
        <v>853</v>
      </c>
      <c r="N239" s="132">
        <f t="shared" ca="1" si="50"/>
        <v>44</v>
      </c>
      <c r="O239" s="85">
        <v>45805</v>
      </c>
      <c r="P239" s="131">
        <v>45797</v>
      </c>
      <c r="Q239" s="131">
        <f t="shared" si="57"/>
        <v>45799</v>
      </c>
      <c r="R239" s="132">
        <f t="shared" ca="1" si="58"/>
        <v>8</v>
      </c>
      <c r="S239" s="131">
        <f t="shared" si="63"/>
        <v>45817</v>
      </c>
      <c r="T239" s="133">
        <v>45819</v>
      </c>
      <c r="U239" s="132">
        <f t="shared" ca="1" si="59"/>
        <v>-2</v>
      </c>
      <c r="V239" s="335">
        <f t="shared" si="62"/>
        <v>67</v>
      </c>
      <c r="W239" s="131"/>
      <c r="X239" s="297"/>
      <c r="Y239" s="124"/>
    </row>
    <row r="240" spans="1:25" ht="14.25" hidden="1" customHeight="1">
      <c r="A240" s="14">
        <v>157</v>
      </c>
      <c r="B240" s="15" t="s">
        <v>59</v>
      </c>
      <c r="C240" s="15"/>
      <c r="D240" s="318" t="s">
        <v>390</v>
      </c>
      <c r="E240" s="146" t="s">
        <v>242</v>
      </c>
      <c r="F240" s="146" t="s">
        <v>162</v>
      </c>
      <c r="G240" s="240">
        <v>45884</v>
      </c>
      <c r="H240" s="17">
        <v>715.13971200000003</v>
      </c>
      <c r="I240" s="241">
        <v>715</v>
      </c>
      <c r="J240" s="241"/>
      <c r="K240" s="6">
        <f>+H240*94%-J240</f>
        <v>672.23132927999995</v>
      </c>
      <c r="L240" s="6">
        <f t="shared" si="56"/>
        <v>0.13971200000003137</v>
      </c>
      <c r="M240" s="299" t="s">
        <v>894</v>
      </c>
      <c r="N240" s="132">
        <f t="shared" ca="1" si="50"/>
        <v>44</v>
      </c>
      <c r="O240" s="85">
        <v>45845</v>
      </c>
      <c r="P240" s="131">
        <v>45834</v>
      </c>
      <c r="Q240" s="131">
        <f t="shared" si="57"/>
        <v>45836</v>
      </c>
      <c r="R240" s="132">
        <f t="shared" ca="1" si="58"/>
        <v>11</v>
      </c>
      <c r="S240" s="131">
        <f t="shared" si="63"/>
        <v>45857</v>
      </c>
      <c r="T240" s="133"/>
      <c r="U240" s="132">
        <f t="shared" ca="1" si="59"/>
        <v>17</v>
      </c>
      <c r="V240" s="335">
        <f t="shared" si="62"/>
        <v>27</v>
      </c>
      <c r="W240" s="131"/>
      <c r="X240" s="297"/>
      <c r="Y240" s="124"/>
    </row>
    <row r="241" spans="1:25" ht="14.25" hidden="1" customHeight="1">
      <c r="A241" s="14">
        <v>158</v>
      </c>
      <c r="B241" s="15" t="s">
        <v>59</v>
      </c>
      <c r="C241" s="15"/>
      <c r="D241" s="318" t="s">
        <v>250</v>
      </c>
      <c r="E241" s="146" t="s">
        <v>249</v>
      </c>
      <c r="F241" s="146" t="s">
        <v>162</v>
      </c>
      <c r="G241" s="240">
        <v>45884</v>
      </c>
      <c r="H241" s="17">
        <v>5365.3215</v>
      </c>
      <c r="I241" s="241"/>
      <c r="J241" s="241"/>
      <c r="K241" s="6">
        <f t="shared" si="71"/>
        <v>5365.3215</v>
      </c>
      <c r="L241" s="6">
        <f t="shared" si="56"/>
        <v>5365.3215</v>
      </c>
      <c r="M241" s="299" t="s">
        <v>397</v>
      </c>
      <c r="N241" s="132">
        <f t="shared" ca="1" si="50"/>
        <v>44</v>
      </c>
      <c r="O241" s="85">
        <f>S241-12</f>
        <v>45838</v>
      </c>
      <c r="P241" s="131"/>
      <c r="Q241" s="131">
        <f t="shared" si="57"/>
        <v>2</v>
      </c>
      <c r="R241" s="132">
        <f t="shared" ca="1" si="58"/>
        <v>-2</v>
      </c>
      <c r="S241" s="131">
        <f>G241-34</f>
        <v>45850</v>
      </c>
      <c r="T241" s="133"/>
      <c r="U241" s="132">
        <f t="shared" ca="1" si="59"/>
        <v>10</v>
      </c>
      <c r="V241" s="335">
        <f t="shared" si="62"/>
        <v>34</v>
      </c>
      <c r="W241" s="131"/>
      <c r="X241" s="297"/>
      <c r="Y241" s="124"/>
    </row>
    <row r="242" spans="1:25" ht="14.25" hidden="1" customHeight="1">
      <c r="A242" s="14">
        <v>158</v>
      </c>
      <c r="B242" s="15" t="s">
        <v>59</v>
      </c>
      <c r="C242" s="15"/>
      <c r="D242" s="318" t="s">
        <v>391</v>
      </c>
      <c r="E242" s="146" t="s">
        <v>242</v>
      </c>
      <c r="F242" s="146" t="s">
        <v>393</v>
      </c>
      <c r="G242" s="240">
        <v>45884</v>
      </c>
      <c r="H242" s="17">
        <v>687.62470400000007</v>
      </c>
      <c r="I242" s="241">
        <v>688</v>
      </c>
      <c r="J242" s="241">
        <v>660</v>
      </c>
      <c r="K242" s="6">
        <f>+H242*96%-J242</f>
        <v>0.11971584000002622</v>
      </c>
      <c r="L242" s="6">
        <f t="shared" si="56"/>
        <v>-0.37529599999993479</v>
      </c>
      <c r="M242" s="299" t="s">
        <v>853</v>
      </c>
      <c r="N242" s="132">
        <f t="shared" ca="1" si="50"/>
        <v>44</v>
      </c>
      <c r="O242" s="85">
        <v>45805</v>
      </c>
      <c r="P242" s="131">
        <v>45797</v>
      </c>
      <c r="Q242" s="131">
        <f t="shared" si="57"/>
        <v>45799</v>
      </c>
      <c r="R242" s="132">
        <f t="shared" ca="1" si="58"/>
        <v>8</v>
      </c>
      <c r="S242" s="131">
        <f t="shared" si="63"/>
        <v>45817</v>
      </c>
      <c r="T242" s="133">
        <v>45819</v>
      </c>
      <c r="U242" s="132">
        <f t="shared" ca="1" si="59"/>
        <v>-2</v>
      </c>
      <c r="V242" s="335">
        <f t="shared" si="62"/>
        <v>67</v>
      </c>
      <c r="W242" s="131"/>
      <c r="X242" s="297"/>
      <c r="Y242" s="124"/>
    </row>
    <row r="243" spans="1:25" ht="14.25" hidden="1" customHeight="1">
      <c r="A243" s="14">
        <v>158</v>
      </c>
      <c r="B243" s="15" t="s">
        <v>59</v>
      </c>
      <c r="C243" s="15"/>
      <c r="D243" s="318" t="s">
        <v>193</v>
      </c>
      <c r="E243" s="146" t="s">
        <v>249</v>
      </c>
      <c r="F243" s="146" t="s">
        <v>162</v>
      </c>
      <c r="G243" s="240">
        <v>45884</v>
      </c>
      <c r="H243" s="17">
        <v>5637.1982399999997</v>
      </c>
      <c r="I243" s="241"/>
      <c r="J243" s="241"/>
      <c r="K243" s="6">
        <f t="shared" si="71"/>
        <v>5637.1982399999997</v>
      </c>
      <c r="L243" s="6">
        <f t="shared" si="56"/>
        <v>5637.1982399999997</v>
      </c>
      <c r="M243" s="299" t="s">
        <v>133</v>
      </c>
      <c r="N243" s="132">
        <f t="shared" ca="1" si="50"/>
        <v>44</v>
      </c>
      <c r="O243" s="85">
        <f>S243-12</f>
        <v>45840</v>
      </c>
      <c r="P243" s="131"/>
      <c r="Q243" s="131">
        <f t="shared" si="57"/>
        <v>2</v>
      </c>
      <c r="R243" s="132">
        <f t="shared" ca="1" si="58"/>
        <v>0</v>
      </c>
      <c r="S243" s="131">
        <f>G243-32</f>
        <v>45852</v>
      </c>
      <c r="T243" s="133"/>
      <c r="U243" s="132">
        <f t="shared" ca="1" si="59"/>
        <v>12</v>
      </c>
      <c r="V243" s="335">
        <f t="shared" si="62"/>
        <v>32</v>
      </c>
      <c r="W243" s="131"/>
      <c r="X243" s="297"/>
      <c r="Y243" s="124"/>
    </row>
    <row r="244" spans="1:25" ht="14.25" hidden="1" customHeight="1">
      <c r="A244" s="14">
        <v>158</v>
      </c>
      <c r="B244" s="15" t="s">
        <v>59</v>
      </c>
      <c r="C244" s="15"/>
      <c r="D244" s="318" t="s">
        <v>193</v>
      </c>
      <c r="E244" s="146" t="s">
        <v>246</v>
      </c>
      <c r="F244" s="146" t="s">
        <v>162</v>
      </c>
      <c r="G244" s="240">
        <v>45884</v>
      </c>
      <c r="H244" s="17">
        <v>1041.2064</v>
      </c>
      <c r="I244" s="241"/>
      <c r="J244" s="241"/>
      <c r="K244" s="6">
        <f>+H244*94%-J244</f>
        <v>978.734016</v>
      </c>
      <c r="L244" s="6">
        <f t="shared" si="56"/>
        <v>1041.2064</v>
      </c>
      <c r="M244" s="299" t="s">
        <v>133</v>
      </c>
      <c r="N244" s="132">
        <f t="shared" ca="1" si="50"/>
        <v>44</v>
      </c>
      <c r="O244" s="85">
        <f>S244-12</f>
        <v>45840</v>
      </c>
      <c r="P244" s="131"/>
      <c r="Q244" s="131">
        <f t="shared" si="57"/>
        <v>2</v>
      </c>
      <c r="R244" s="132">
        <f t="shared" ca="1" si="58"/>
        <v>0</v>
      </c>
      <c r="S244" s="131">
        <f>G244-32</f>
        <v>45852</v>
      </c>
      <c r="T244" s="133"/>
      <c r="U244" s="132">
        <f t="shared" ca="1" si="59"/>
        <v>12</v>
      </c>
      <c r="V244" s="335">
        <f t="shared" si="62"/>
        <v>32</v>
      </c>
      <c r="W244" s="131"/>
      <c r="X244" s="297"/>
      <c r="Y244" s="124"/>
    </row>
    <row r="245" spans="1:25" ht="14.5" hidden="1">
      <c r="A245" s="14">
        <v>158</v>
      </c>
      <c r="B245" s="15" t="s">
        <v>59</v>
      </c>
      <c r="C245" s="15"/>
      <c r="D245" s="318" t="s">
        <v>893</v>
      </c>
      <c r="E245" s="146" t="s">
        <v>242</v>
      </c>
      <c r="F245" s="146" t="s">
        <v>162</v>
      </c>
      <c r="G245" s="240">
        <v>45884</v>
      </c>
      <c r="H245" s="17">
        <v>976.77619200000015</v>
      </c>
      <c r="I245" s="241">
        <v>977</v>
      </c>
      <c r="J245" s="241">
        <v>935</v>
      </c>
      <c r="K245" s="6">
        <f>+H245*94%-J245</f>
        <v>-16.830379519999951</v>
      </c>
      <c r="L245" s="6">
        <f t="shared" si="56"/>
        <v>-0.22380799999984902</v>
      </c>
      <c r="M245" s="299" t="s">
        <v>894</v>
      </c>
      <c r="N245" s="132">
        <f t="shared" ca="1" si="50"/>
        <v>44</v>
      </c>
      <c r="O245" s="85">
        <v>45851</v>
      </c>
      <c r="P245" s="131">
        <v>45806</v>
      </c>
      <c r="Q245" s="131">
        <f t="shared" si="57"/>
        <v>45808</v>
      </c>
      <c r="R245" s="132">
        <f t="shared" ca="1" si="58"/>
        <v>45</v>
      </c>
      <c r="S245" s="131">
        <f t="shared" si="63"/>
        <v>45863</v>
      </c>
      <c r="T245" s="133">
        <v>45836</v>
      </c>
      <c r="U245" s="132">
        <f t="shared" ca="1" si="59"/>
        <v>27</v>
      </c>
      <c r="V245" s="335">
        <f t="shared" si="62"/>
        <v>21</v>
      </c>
      <c r="W245" s="131">
        <v>45834</v>
      </c>
      <c r="X245" s="297"/>
      <c r="Y245" s="124"/>
    </row>
    <row r="246" spans="1:25" ht="14.5" hidden="1">
      <c r="A246" s="14">
        <v>159</v>
      </c>
      <c r="B246" s="15" t="s">
        <v>59</v>
      </c>
      <c r="C246" s="15"/>
      <c r="D246" s="318" t="s">
        <v>189</v>
      </c>
      <c r="E246" s="146" t="s">
        <v>242</v>
      </c>
      <c r="F246" s="146" t="s">
        <v>90</v>
      </c>
      <c r="G246" s="240">
        <v>45891</v>
      </c>
      <c r="H246" s="17">
        <v>746.41</v>
      </c>
      <c r="I246" s="241"/>
      <c r="J246" s="241"/>
      <c r="K246" s="6">
        <f t="shared" si="71"/>
        <v>746.41</v>
      </c>
      <c r="L246" s="6">
        <f t="shared" si="56"/>
        <v>746.41</v>
      </c>
      <c r="M246" s="299" t="s">
        <v>389</v>
      </c>
      <c r="N246" s="132">
        <f t="shared" ca="1" si="50"/>
        <v>51</v>
      </c>
      <c r="O246" s="85">
        <f>S246-12</f>
        <v>45845</v>
      </c>
      <c r="P246" s="131"/>
      <c r="Q246" s="131">
        <f t="shared" ref="Q246" si="74">P246+2</f>
        <v>2</v>
      </c>
      <c r="R246" s="132">
        <f t="shared" ref="R246" ca="1" si="75">+IF(P246="",O246-TODAY(),O246-P246)</f>
        <v>5</v>
      </c>
      <c r="S246" s="131">
        <f>G246-34</f>
        <v>45857</v>
      </c>
      <c r="T246" s="133"/>
      <c r="U246" s="132">
        <f t="shared" ca="1" si="59"/>
        <v>17</v>
      </c>
      <c r="V246" s="335">
        <f t="shared" si="62"/>
        <v>34</v>
      </c>
      <c r="W246" s="131"/>
      <c r="X246" s="297"/>
      <c r="Y246" s="124"/>
    </row>
    <row r="247" spans="1:25" ht="14.5" hidden="1">
      <c r="A247" s="14">
        <v>159</v>
      </c>
      <c r="B247" s="15" t="s">
        <v>59</v>
      </c>
      <c r="C247" s="15"/>
      <c r="D247" s="318" t="s">
        <v>391</v>
      </c>
      <c r="E247" s="146" t="s">
        <v>242</v>
      </c>
      <c r="F247" s="146" t="s">
        <v>393</v>
      </c>
      <c r="G247" s="240">
        <v>45891</v>
      </c>
      <c r="H247" s="17">
        <v>626</v>
      </c>
      <c r="I247" s="241">
        <v>626</v>
      </c>
      <c r="J247" s="241">
        <v>601</v>
      </c>
      <c r="K247" s="6">
        <f>+H247*96%-J247</f>
        <v>-4.0000000000077307E-2</v>
      </c>
      <c r="L247" s="6">
        <f t="shared" si="56"/>
        <v>0</v>
      </c>
      <c r="M247" s="299" t="s">
        <v>853</v>
      </c>
      <c r="N247" s="132">
        <f t="shared" ca="1" si="50"/>
        <v>51</v>
      </c>
      <c r="O247" s="85">
        <v>45805</v>
      </c>
      <c r="P247" s="131">
        <v>45797</v>
      </c>
      <c r="Q247" s="131">
        <f t="shared" si="57"/>
        <v>45799</v>
      </c>
      <c r="R247" s="132">
        <f t="shared" ca="1" si="58"/>
        <v>8</v>
      </c>
      <c r="S247" s="131">
        <f t="shared" si="63"/>
        <v>45817</v>
      </c>
      <c r="T247" s="133">
        <v>45819</v>
      </c>
      <c r="U247" s="132">
        <f t="shared" ca="1" si="59"/>
        <v>-2</v>
      </c>
      <c r="V247" s="335">
        <f t="shared" si="62"/>
        <v>74</v>
      </c>
      <c r="W247" s="131"/>
      <c r="X247" s="297"/>
      <c r="Y247" s="124"/>
    </row>
    <row r="248" spans="1:25" ht="14.5">
      <c r="A248" s="14">
        <v>160</v>
      </c>
      <c r="B248" s="15" t="s">
        <v>59</v>
      </c>
      <c r="C248" s="15"/>
      <c r="D248" s="318" t="s">
        <v>201</v>
      </c>
      <c r="E248" s="146" t="s">
        <v>247</v>
      </c>
      <c r="F248" s="146" t="s">
        <v>155</v>
      </c>
      <c r="G248" s="240">
        <v>45891</v>
      </c>
      <c r="H248" s="17">
        <v>1696.1020876799994</v>
      </c>
      <c r="I248" s="241"/>
      <c r="J248" s="241"/>
      <c r="K248" s="6">
        <f>+H248*94%-J248</f>
        <v>1594.3359624191994</v>
      </c>
      <c r="L248" s="6">
        <f t="shared" si="56"/>
        <v>1696.1020876799994</v>
      </c>
      <c r="M248" s="299" t="s">
        <v>386</v>
      </c>
      <c r="N248" s="132">
        <f t="shared" ca="1" si="50"/>
        <v>51</v>
      </c>
      <c r="O248" s="85">
        <f>S248-12</f>
        <v>45845</v>
      </c>
      <c r="P248" s="131"/>
      <c r="Q248" s="131">
        <f t="shared" si="57"/>
        <v>2</v>
      </c>
      <c r="R248" s="132">
        <f t="shared" ca="1" si="58"/>
        <v>5</v>
      </c>
      <c r="S248" s="131">
        <f>G248-34</f>
        <v>45857</v>
      </c>
      <c r="T248" s="133"/>
      <c r="U248" s="132">
        <f t="shared" ca="1" si="59"/>
        <v>17</v>
      </c>
      <c r="V248" s="335">
        <f t="shared" si="62"/>
        <v>34</v>
      </c>
      <c r="W248" s="131"/>
      <c r="X248" s="297"/>
      <c r="Y248" s="124"/>
    </row>
    <row r="249" spans="1:25" ht="14.5" hidden="1">
      <c r="A249" s="14">
        <v>160</v>
      </c>
      <c r="B249" s="15" t="s">
        <v>59</v>
      </c>
      <c r="C249" s="15"/>
      <c r="D249" s="318" t="s">
        <v>288</v>
      </c>
      <c r="E249" s="146" t="s">
        <v>289</v>
      </c>
      <c r="F249" s="146" t="s">
        <v>155</v>
      </c>
      <c r="G249" s="240">
        <v>45891</v>
      </c>
      <c r="H249" s="17">
        <f>1097.40780470588/2</f>
        <v>548.70390235293996</v>
      </c>
      <c r="I249" s="241"/>
      <c r="J249" s="241"/>
      <c r="K249" s="6">
        <f t="shared" si="71"/>
        <v>548.70390235293996</v>
      </c>
      <c r="L249" s="6">
        <f t="shared" si="56"/>
        <v>548.70390235293996</v>
      </c>
      <c r="M249" s="299" t="s">
        <v>853</v>
      </c>
      <c r="N249" s="132">
        <f t="shared" ca="1" si="50"/>
        <v>51</v>
      </c>
      <c r="O249" s="85">
        <v>45852</v>
      </c>
      <c r="P249" s="131"/>
      <c r="Q249" s="131">
        <f t="shared" si="57"/>
        <v>2</v>
      </c>
      <c r="R249" s="132">
        <f t="shared" ca="1" si="58"/>
        <v>12</v>
      </c>
      <c r="S249" s="131">
        <f t="shared" ref="S249:S268" si="76">O249+12</f>
        <v>45864</v>
      </c>
      <c r="T249" s="133"/>
      <c r="U249" s="132">
        <f t="shared" ca="1" si="59"/>
        <v>24</v>
      </c>
      <c r="V249" s="335">
        <f t="shared" si="62"/>
        <v>27</v>
      </c>
      <c r="W249" s="131"/>
      <c r="X249" s="297"/>
      <c r="Y249" s="124"/>
    </row>
    <row r="250" spans="1:25" ht="14.5" hidden="1">
      <c r="A250" s="14">
        <v>160</v>
      </c>
      <c r="B250" s="15" t="s">
        <v>59</v>
      </c>
      <c r="C250" s="15"/>
      <c r="D250" s="318" t="s">
        <v>288</v>
      </c>
      <c r="E250" s="146" t="s">
        <v>289</v>
      </c>
      <c r="F250" s="146" t="s">
        <v>154</v>
      </c>
      <c r="G250" s="240">
        <v>45891</v>
      </c>
      <c r="H250" s="17">
        <f>907.202255555556/2</f>
        <v>453.601127777778</v>
      </c>
      <c r="I250" s="241"/>
      <c r="J250" s="241"/>
      <c r="K250" s="6">
        <f t="shared" si="71"/>
        <v>453.601127777778</v>
      </c>
      <c r="L250" s="6">
        <f t="shared" si="56"/>
        <v>453.601127777778</v>
      </c>
      <c r="M250" s="299" t="s">
        <v>853</v>
      </c>
      <c r="N250" s="132">
        <f t="shared" ca="1" si="50"/>
        <v>51</v>
      </c>
      <c r="O250" s="85">
        <v>45852</v>
      </c>
      <c r="P250" s="131"/>
      <c r="Q250" s="131">
        <f t="shared" si="57"/>
        <v>2</v>
      </c>
      <c r="R250" s="132">
        <f t="shared" ca="1" si="58"/>
        <v>12</v>
      </c>
      <c r="S250" s="131">
        <f t="shared" si="76"/>
        <v>45864</v>
      </c>
      <c r="T250" s="133"/>
      <c r="U250" s="132">
        <f t="shared" ca="1" si="59"/>
        <v>24</v>
      </c>
      <c r="V250" s="335">
        <f t="shared" si="62"/>
        <v>27</v>
      </c>
      <c r="W250" s="131"/>
      <c r="X250" s="297"/>
      <c r="Y250" s="124"/>
    </row>
    <row r="251" spans="1:25" ht="14.5" hidden="1">
      <c r="A251" s="14">
        <v>160</v>
      </c>
      <c r="B251" s="15" t="s">
        <v>59</v>
      </c>
      <c r="C251" s="15"/>
      <c r="D251" s="318" t="s">
        <v>288</v>
      </c>
      <c r="E251" s="146" t="s">
        <v>289</v>
      </c>
      <c r="F251" s="146" t="s">
        <v>156</v>
      </c>
      <c r="G251" s="240">
        <v>45891</v>
      </c>
      <c r="H251" s="17">
        <f>725.761804444444/2</f>
        <v>362.88090222222201</v>
      </c>
      <c r="I251" s="241"/>
      <c r="J251" s="241"/>
      <c r="K251" s="6">
        <f t="shared" si="71"/>
        <v>362.88090222222201</v>
      </c>
      <c r="L251" s="6">
        <f t="shared" si="56"/>
        <v>362.88090222222201</v>
      </c>
      <c r="M251" s="299" t="s">
        <v>853</v>
      </c>
      <c r="N251" s="132">
        <f t="shared" ca="1" si="50"/>
        <v>51</v>
      </c>
      <c r="O251" s="85">
        <v>45852</v>
      </c>
      <c r="P251" s="131"/>
      <c r="Q251" s="131">
        <f t="shared" si="57"/>
        <v>2</v>
      </c>
      <c r="R251" s="132">
        <f t="shared" ca="1" si="58"/>
        <v>12</v>
      </c>
      <c r="S251" s="131">
        <f>G251-34</f>
        <v>45857</v>
      </c>
      <c r="T251" s="133"/>
      <c r="U251" s="132">
        <f t="shared" ca="1" si="59"/>
        <v>17</v>
      </c>
      <c r="V251" s="335">
        <f t="shared" si="62"/>
        <v>34</v>
      </c>
      <c r="W251" s="131"/>
      <c r="X251" s="297"/>
      <c r="Y251" s="124"/>
    </row>
    <row r="252" spans="1:25" ht="14.5" hidden="1">
      <c r="A252" s="14">
        <v>160</v>
      </c>
      <c r="B252" s="15" t="s">
        <v>59</v>
      </c>
      <c r="C252" s="15"/>
      <c r="D252" s="318" t="s">
        <v>391</v>
      </c>
      <c r="E252" s="146" t="s">
        <v>392</v>
      </c>
      <c r="F252" s="146" t="s">
        <v>393</v>
      </c>
      <c r="G252" s="240">
        <v>45891</v>
      </c>
      <c r="H252" s="17">
        <v>126.4016</v>
      </c>
      <c r="I252" s="241">
        <v>126</v>
      </c>
      <c r="J252" s="241">
        <v>121</v>
      </c>
      <c r="K252" s="6">
        <f>+H252*96%-J252</f>
        <v>0.34553599999999562</v>
      </c>
      <c r="L252" s="6">
        <f t="shared" si="56"/>
        <v>0.40160000000000196</v>
      </c>
      <c r="M252" s="299" t="s">
        <v>853</v>
      </c>
      <c r="N252" s="132">
        <f t="shared" ca="1" si="50"/>
        <v>51</v>
      </c>
      <c r="O252" s="85">
        <v>45805</v>
      </c>
      <c r="P252" s="131">
        <v>45797</v>
      </c>
      <c r="Q252" s="131">
        <f t="shared" si="57"/>
        <v>45799</v>
      </c>
      <c r="R252" s="132">
        <f t="shared" ca="1" si="58"/>
        <v>8</v>
      </c>
      <c r="S252" s="131">
        <f t="shared" si="76"/>
        <v>45817</v>
      </c>
      <c r="T252" s="133">
        <v>45819</v>
      </c>
      <c r="U252" s="132">
        <f t="shared" ca="1" si="59"/>
        <v>-2</v>
      </c>
      <c r="V252" s="335">
        <f t="shared" si="62"/>
        <v>74</v>
      </c>
      <c r="W252" s="131"/>
      <c r="X252" s="297"/>
      <c r="Y252" s="124"/>
    </row>
    <row r="253" spans="1:25" ht="14.5" hidden="1">
      <c r="A253" s="14">
        <v>160</v>
      </c>
      <c r="B253" s="15" t="s">
        <v>59</v>
      </c>
      <c r="C253" s="15"/>
      <c r="D253" s="318" t="s">
        <v>893</v>
      </c>
      <c r="E253" s="146" t="s">
        <v>242</v>
      </c>
      <c r="F253" s="146" t="s">
        <v>162</v>
      </c>
      <c r="G253" s="240">
        <v>45891</v>
      </c>
      <c r="H253" s="17">
        <v>821.9746080000001</v>
      </c>
      <c r="I253" s="241">
        <v>822</v>
      </c>
      <c r="J253" s="241"/>
      <c r="K253" s="6">
        <f>+H253*94%-J253</f>
        <v>772.65613152000003</v>
      </c>
      <c r="L253" s="6">
        <f t="shared" si="56"/>
        <v>-2.5391999999897052E-2</v>
      </c>
      <c r="M253" s="299" t="s">
        <v>894</v>
      </c>
      <c r="N253" s="132">
        <f t="shared" ca="1" si="50"/>
        <v>51</v>
      </c>
      <c r="O253" s="85">
        <v>45862</v>
      </c>
      <c r="P253" s="131">
        <v>45834</v>
      </c>
      <c r="Q253" s="131">
        <f t="shared" si="57"/>
        <v>45836</v>
      </c>
      <c r="R253" s="132">
        <f t="shared" ca="1" si="58"/>
        <v>28</v>
      </c>
      <c r="S253" s="131">
        <f t="shared" si="76"/>
        <v>45874</v>
      </c>
      <c r="T253" s="133"/>
      <c r="U253" s="132">
        <f t="shared" ca="1" si="59"/>
        <v>34</v>
      </c>
      <c r="V253" s="335">
        <f t="shared" si="62"/>
        <v>17</v>
      </c>
      <c r="W253" s="131"/>
      <c r="X253" s="297"/>
      <c r="Y253" s="124"/>
    </row>
    <row r="254" spans="1:25" ht="14.5" hidden="1">
      <c r="A254" s="14">
        <v>161</v>
      </c>
      <c r="B254" s="15" t="s">
        <v>59</v>
      </c>
      <c r="C254" s="15"/>
      <c r="D254" s="318" t="s">
        <v>391</v>
      </c>
      <c r="E254" s="146" t="s">
        <v>242</v>
      </c>
      <c r="F254" s="146" t="s">
        <v>393</v>
      </c>
      <c r="G254" s="240">
        <v>45898</v>
      </c>
      <c r="H254" s="17">
        <v>475.27001600000006</v>
      </c>
      <c r="I254" s="241">
        <v>475</v>
      </c>
      <c r="J254" s="241">
        <v>456</v>
      </c>
      <c r="K254" s="6">
        <f>+H254*96%-J254</f>
        <v>0.25921536000004153</v>
      </c>
      <c r="L254" s="6">
        <f t="shared" si="56"/>
        <v>0.2700160000000551</v>
      </c>
      <c r="M254" s="299" t="s">
        <v>853</v>
      </c>
      <c r="N254" s="132">
        <f t="shared" ref="N254:N317" ca="1" si="77">G254-TODAY()</f>
        <v>58</v>
      </c>
      <c r="O254" s="85">
        <f>S254-12</f>
        <v>45852</v>
      </c>
      <c r="P254" s="131">
        <v>45797</v>
      </c>
      <c r="Q254" s="131">
        <f t="shared" si="57"/>
        <v>45799</v>
      </c>
      <c r="R254" s="132">
        <f t="shared" ca="1" si="58"/>
        <v>55</v>
      </c>
      <c r="S254" s="131">
        <f>G254-34</f>
        <v>45864</v>
      </c>
      <c r="T254" s="133">
        <v>45819</v>
      </c>
      <c r="U254" s="132">
        <f t="shared" ca="1" si="59"/>
        <v>45</v>
      </c>
      <c r="V254" s="335">
        <f t="shared" si="62"/>
        <v>34</v>
      </c>
      <c r="W254" s="131"/>
      <c r="X254" s="297"/>
    </row>
    <row r="255" spans="1:25" ht="14.5" hidden="1">
      <c r="A255" s="14">
        <v>161</v>
      </c>
      <c r="B255" s="15" t="s">
        <v>59</v>
      </c>
      <c r="C255" s="15"/>
      <c r="D255" s="318" t="s">
        <v>193</v>
      </c>
      <c r="E255" s="146" t="s">
        <v>246</v>
      </c>
      <c r="F255" s="146" t="s">
        <v>162</v>
      </c>
      <c r="G255" s="240">
        <v>45898</v>
      </c>
      <c r="H255" s="17">
        <v>1065.3084000000001</v>
      </c>
      <c r="I255" s="241"/>
      <c r="J255" s="241"/>
      <c r="K255" s="6">
        <f t="shared" ref="K255:K256" si="78">+H255*94%-J255</f>
        <v>1001.389896</v>
      </c>
      <c r="L255" s="6">
        <f t="shared" si="56"/>
        <v>1065.3084000000001</v>
      </c>
      <c r="M255" s="299" t="s">
        <v>133</v>
      </c>
      <c r="N255" s="132">
        <f t="shared" ca="1" si="77"/>
        <v>58</v>
      </c>
      <c r="O255" s="85">
        <f>S255-12</f>
        <v>45854</v>
      </c>
      <c r="P255" s="131"/>
      <c r="Q255" s="131">
        <f t="shared" si="57"/>
        <v>2</v>
      </c>
      <c r="R255" s="132">
        <f t="shared" ca="1" si="58"/>
        <v>14</v>
      </c>
      <c r="S255" s="131">
        <f>G255-32</f>
        <v>45866</v>
      </c>
      <c r="T255" s="133"/>
      <c r="U255" s="132">
        <f t="shared" ca="1" si="59"/>
        <v>26</v>
      </c>
      <c r="V255" s="335">
        <f t="shared" si="62"/>
        <v>32</v>
      </c>
      <c r="W255" s="131"/>
      <c r="X255" s="297"/>
      <c r="Y255" s="124"/>
    </row>
    <row r="256" spans="1:25" ht="14.5" hidden="1">
      <c r="A256" s="14">
        <v>162</v>
      </c>
      <c r="B256" s="15" t="s">
        <v>59</v>
      </c>
      <c r="C256" s="15"/>
      <c r="D256" s="318" t="s">
        <v>193</v>
      </c>
      <c r="E256" s="146" t="s">
        <v>246</v>
      </c>
      <c r="F256" s="146" t="s">
        <v>162</v>
      </c>
      <c r="G256" s="240">
        <v>45898</v>
      </c>
      <c r="H256" s="17">
        <v>1253</v>
      </c>
      <c r="I256" s="241"/>
      <c r="J256" s="241"/>
      <c r="K256" s="6">
        <f t="shared" si="78"/>
        <v>1177.82</v>
      </c>
      <c r="L256" s="6">
        <f t="shared" si="56"/>
        <v>1253</v>
      </c>
      <c r="M256" s="299" t="s">
        <v>133</v>
      </c>
      <c r="N256" s="132">
        <f t="shared" ca="1" si="77"/>
        <v>58</v>
      </c>
      <c r="O256" s="85">
        <f>S256-12</f>
        <v>45854</v>
      </c>
      <c r="P256" s="131"/>
      <c r="Q256" s="131">
        <f t="shared" si="57"/>
        <v>2</v>
      </c>
      <c r="R256" s="132">
        <f t="shared" ca="1" si="58"/>
        <v>14</v>
      </c>
      <c r="S256" s="131">
        <f>G256-32</f>
        <v>45866</v>
      </c>
      <c r="T256" s="133"/>
      <c r="U256" s="132">
        <f t="shared" ca="1" si="59"/>
        <v>26</v>
      </c>
      <c r="V256" s="335">
        <f t="shared" si="62"/>
        <v>32</v>
      </c>
      <c r="W256" s="131"/>
      <c r="X256" s="297"/>
    </row>
    <row r="257" spans="1:24" ht="14.5" hidden="1">
      <c r="A257" s="14">
        <v>163</v>
      </c>
      <c r="B257" s="15" t="s">
        <v>59</v>
      </c>
      <c r="C257" s="15"/>
      <c r="D257" s="318" t="s">
        <v>189</v>
      </c>
      <c r="E257" s="146" t="s">
        <v>242</v>
      </c>
      <c r="F257" s="146" t="s">
        <v>90</v>
      </c>
      <c r="G257" s="240">
        <v>45905</v>
      </c>
      <c r="H257" s="17">
        <v>1207</v>
      </c>
      <c r="I257" s="241"/>
      <c r="J257" s="241"/>
      <c r="K257" s="6">
        <f t="shared" si="71"/>
        <v>1207</v>
      </c>
      <c r="L257" s="6">
        <f t="shared" si="56"/>
        <v>1207</v>
      </c>
      <c r="M257" s="299" t="s">
        <v>389</v>
      </c>
      <c r="N257" s="132">
        <f t="shared" ca="1" si="77"/>
        <v>65</v>
      </c>
      <c r="O257" s="85">
        <f>S257-12</f>
        <v>45859</v>
      </c>
      <c r="P257" s="131"/>
      <c r="Q257" s="131">
        <f t="shared" si="57"/>
        <v>2</v>
      </c>
      <c r="R257" s="132">
        <f t="shared" ca="1" si="58"/>
        <v>19</v>
      </c>
      <c r="S257" s="131">
        <f>G257-34</f>
        <v>45871</v>
      </c>
      <c r="T257" s="133"/>
      <c r="U257" s="132">
        <f t="shared" ca="1" si="59"/>
        <v>31</v>
      </c>
      <c r="V257" s="335">
        <f t="shared" si="62"/>
        <v>34</v>
      </c>
      <c r="W257" s="131"/>
      <c r="X257" s="297"/>
    </row>
    <row r="258" spans="1:24" ht="14.5" hidden="1">
      <c r="A258" s="14">
        <v>163</v>
      </c>
      <c r="B258" s="15" t="s">
        <v>59</v>
      </c>
      <c r="C258" s="15"/>
      <c r="D258" s="318" t="s">
        <v>893</v>
      </c>
      <c r="E258" s="146" t="s">
        <v>242</v>
      </c>
      <c r="F258" s="146" t="s">
        <v>162</v>
      </c>
      <c r="G258" s="240">
        <v>45905</v>
      </c>
      <c r="H258" s="17">
        <v>706</v>
      </c>
      <c r="I258" s="241">
        <v>706</v>
      </c>
      <c r="J258" s="241"/>
      <c r="K258" s="6">
        <f>+H258*94%-J258</f>
        <v>663.64</v>
      </c>
      <c r="L258" s="6">
        <f t="shared" si="56"/>
        <v>0</v>
      </c>
      <c r="M258" s="299" t="s">
        <v>894</v>
      </c>
      <c r="N258" s="132">
        <f t="shared" ca="1" si="77"/>
        <v>65</v>
      </c>
      <c r="O258" s="85">
        <v>45873</v>
      </c>
      <c r="P258" s="131">
        <v>45834</v>
      </c>
      <c r="Q258" s="131">
        <f t="shared" si="57"/>
        <v>45836</v>
      </c>
      <c r="R258" s="132">
        <f t="shared" ca="1" si="58"/>
        <v>39</v>
      </c>
      <c r="S258" s="131">
        <f t="shared" si="76"/>
        <v>45885</v>
      </c>
      <c r="T258" s="133"/>
      <c r="U258" s="132">
        <f t="shared" ca="1" si="59"/>
        <v>45</v>
      </c>
      <c r="V258" s="335">
        <f t="shared" si="62"/>
        <v>20</v>
      </c>
      <c r="W258" s="131"/>
      <c r="X258" s="297"/>
    </row>
    <row r="259" spans="1:24" ht="14.5" hidden="1">
      <c r="A259" s="14">
        <v>165</v>
      </c>
      <c r="B259" s="15" t="s">
        <v>59</v>
      </c>
      <c r="C259" s="15"/>
      <c r="D259" s="318" t="s">
        <v>189</v>
      </c>
      <c r="E259" s="146" t="s">
        <v>242</v>
      </c>
      <c r="F259" s="146" t="s">
        <v>90</v>
      </c>
      <c r="G259" s="240">
        <v>45870</v>
      </c>
      <c r="H259" s="17">
        <v>1862</v>
      </c>
      <c r="I259" s="241">
        <v>1862</v>
      </c>
      <c r="J259" s="241">
        <v>1801</v>
      </c>
      <c r="K259" s="6">
        <f t="shared" si="71"/>
        <v>61</v>
      </c>
      <c r="L259" s="6">
        <f t="shared" si="56"/>
        <v>0</v>
      </c>
      <c r="M259" s="299" t="s">
        <v>389</v>
      </c>
      <c r="N259" s="132">
        <f t="shared" ca="1" si="77"/>
        <v>30</v>
      </c>
      <c r="O259" s="85">
        <f>S259-12</f>
        <v>45824</v>
      </c>
      <c r="P259" s="131">
        <v>45831</v>
      </c>
      <c r="Q259" s="131">
        <f t="shared" si="57"/>
        <v>45833</v>
      </c>
      <c r="R259" s="132">
        <f t="shared" ca="1" si="58"/>
        <v>-7</v>
      </c>
      <c r="S259" s="131">
        <f>G259-34</f>
        <v>45836</v>
      </c>
      <c r="T259" s="133">
        <v>45838</v>
      </c>
      <c r="U259" s="132">
        <f t="shared" ca="1" si="59"/>
        <v>-2</v>
      </c>
      <c r="V259" s="335">
        <f t="shared" si="62"/>
        <v>34</v>
      </c>
      <c r="W259" s="131"/>
      <c r="X259" s="297"/>
    </row>
    <row r="260" spans="1:24" ht="14.5" hidden="1">
      <c r="A260" s="14">
        <v>166</v>
      </c>
      <c r="B260" s="15" t="s">
        <v>59</v>
      </c>
      <c r="C260" s="15"/>
      <c r="D260" s="301" t="s">
        <v>189</v>
      </c>
      <c r="E260" s="146" t="s">
        <v>242</v>
      </c>
      <c r="F260" s="146" t="s">
        <v>90</v>
      </c>
      <c r="G260" s="240">
        <v>45870</v>
      </c>
      <c r="H260" s="17">
        <v>1349</v>
      </c>
      <c r="I260" s="241">
        <v>1349</v>
      </c>
      <c r="J260" s="241">
        <v>1285</v>
      </c>
      <c r="K260" s="6">
        <f t="shared" si="71"/>
        <v>64</v>
      </c>
      <c r="L260" s="6">
        <f t="shared" si="56"/>
        <v>0</v>
      </c>
      <c r="M260" s="300" t="s">
        <v>389</v>
      </c>
      <c r="N260" s="132">
        <f t="shared" ca="1" si="77"/>
        <v>30</v>
      </c>
      <c r="O260" s="85">
        <f>S260-12</f>
        <v>45824</v>
      </c>
      <c r="P260" s="131">
        <v>45831</v>
      </c>
      <c r="Q260" s="131">
        <f t="shared" si="57"/>
        <v>45833</v>
      </c>
      <c r="R260" s="132">
        <f t="shared" ca="1" si="58"/>
        <v>-7</v>
      </c>
      <c r="S260" s="131">
        <f>G260-34</f>
        <v>45836</v>
      </c>
      <c r="T260" s="133">
        <v>45838</v>
      </c>
      <c r="U260" s="132">
        <f t="shared" ca="1" si="59"/>
        <v>-2</v>
      </c>
      <c r="V260" s="335">
        <f t="shared" si="62"/>
        <v>34</v>
      </c>
      <c r="W260" s="131"/>
      <c r="X260" s="297"/>
    </row>
    <row r="261" spans="1:24" ht="14.5" hidden="1">
      <c r="A261" s="14">
        <v>166</v>
      </c>
      <c r="B261" s="15" t="s">
        <v>59</v>
      </c>
      <c r="C261" s="15"/>
      <c r="D261" s="301" t="s">
        <v>893</v>
      </c>
      <c r="E261" s="146" t="s">
        <v>242</v>
      </c>
      <c r="F261" s="146" t="s">
        <v>162</v>
      </c>
      <c r="G261" s="240">
        <v>45870</v>
      </c>
      <c r="H261" s="17">
        <v>531</v>
      </c>
      <c r="I261" s="241">
        <v>531</v>
      </c>
      <c r="J261" s="241">
        <v>499</v>
      </c>
      <c r="K261" s="6">
        <f>+H261*94%-J261</f>
        <v>0.13999999999998636</v>
      </c>
      <c r="L261" s="6">
        <f t="shared" si="56"/>
        <v>0</v>
      </c>
      <c r="M261" s="300" t="s">
        <v>894</v>
      </c>
      <c r="N261" s="132">
        <f t="shared" ca="1" si="77"/>
        <v>30</v>
      </c>
      <c r="O261" s="85">
        <v>45830</v>
      </c>
      <c r="P261" s="131">
        <v>45806</v>
      </c>
      <c r="Q261" s="131">
        <f t="shared" si="57"/>
        <v>45808</v>
      </c>
      <c r="R261" s="132">
        <f t="shared" ca="1" si="58"/>
        <v>24</v>
      </c>
      <c r="S261" s="131">
        <f t="shared" si="76"/>
        <v>45842</v>
      </c>
      <c r="T261" s="133">
        <v>45836</v>
      </c>
      <c r="U261" s="132">
        <f t="shared" ca="1" si="59"/>
        <v>6</v>
      </c>
      <c r="V261" s="335">
        <f t="shared" si="62"/>
        <v>28</v>
      </c>
      <c r="W261" s="131">
        <v>45834</v>
      </c>
      <c r="X261" s="297"/>
    </row>
    <row r="262" spans="1:24" ht="14.5" hidden="1">
      <c r="A262" s="14">
        <v>168</v>
      </c>
      <c r="B262" s="15" t="s">
        <v>59</v>
      </c>
      <c r="C262" s="15"/>
      <c r="D262" s="301" t="s">
        <v>190</v>
      </c>
      <c r="E262" s="146" t="s">
        <v>242</v>
      </c>
      <c r="F262" s="146" t="s">
        <v>244</v>
      </c>
      <c r="G262" s="240">
        <v>45874</v>
      </c>
      <c r="H262" s="17">
        <v>457</v>
      </c>
      <c r="I262" s="241">
        <v>457</v>
      </c>
      <c r="J262" s="241">
        <v>456</v>
      </c>
      <c r="K262" s="6">
        <f>+H262-94%-J262</f>
        <v>6.0000000000002274E-2</v>
      </c>
      <c r="L262" s="6">
        <f t="shared" si="56"/>
        <v>0</v>
      </c>
      <c r="M262" s="136" t="s">
        <v>133</v>
      </c>
      <c r="N262" s="132">
        <f t="shared" ca="1" si="77"/>
        <v>34</v>
      </c>
      <c r="O262" s="85">
        <v>45834</v>
      </c>
      <c r="P262" s="131">
        <v>45806</v>
      </c>
      <c r="Q262" s="131">
        <f t="shared" si="57"/>
        <v>45808</v>
      </c>
      <c r="R262" s="132">
        <f t="shared" ca="1" si="58"/>
        <v>28</v>
      </c>
      <c r="S262" s="131">
        <f t="shared" si="76"/>
        <v>45846</v>
      </c>
      <c r="T262" s="133">
        <v>45819</v>
      </c>
      <c r="U262" s="132">
        <f t="shared" ca="1" si="59"/>
        <v>27</v>
      </c>
      <c r="V262" s="335">
        <f t="shared" si="62"/>
        <v>28</v>
      </c>
      <c r="W262" s="131"/>
      <c r="X262" s="297"/>
    </row>
    <row r="263" spans="1:24" ht="14.5" hidden="1">
      <c r="A263" s="14">
        <v>168</v>
      </c>
      <c r="B263" s="15" t="s">
        <v>59</v>
      </c>
      <c r="C263" s="15"/>
      <c r="D263" s="301" t="s">
        <v>391</v>
      </c>
      <c r="E263" s="146" t="s">
        <v>392</v>
      </c>
      <c r="F263" s="146" t="s">
        <v>393</v>
      </c>
      <c r="G263" s="240">
        <v>45874</v>
      </c>
      <c r="H263" s="17">
        <v>626</v>
      </c>
      <c r="I263" s="241">
        <v>626</v>
      </c>
      <c r="J263" s="241">
        <v>601</v>
      </c>
      <c r="K263" s="6">
        <f>+H263*96%-J263</f>
        <v>-4.0000000000077307E-2</v>
      </c>
      <c r="L263" s="6">
        <f t="shared" si="56"/>
        <v>0</v>
      </c>
      <c r="M263" s="299" t="s">
        <v>853</v>
      </c>
      <c r="N263" s="132">
        <f t="shared" ca="1" si="77"/>
        <v>34</v>
      </c>
      <c r="O263" s="85">
        <f>S263-12</f>
        <v>45828</v>
      </c>
      <c r="P263" s="131">
        <v>45820</v>
      </c>
      <c r="Q263" s="131">
        <f t="shared" si="57"/>
        <v>45822</v>
      </c>
      <c r="R263" s="132">
        <f t="shared" ca="1" si="58"/>
        <v>8</v>
      </c>
      <c r="S263" s="131">
        <f>G263-34</f>
        <v>45840</v>
      </c>
      <c r="T263" s="133">
        <v>45833</v>
      </c>
      <c r="U263" s="132">
        <f t="shared" ca="1" si="59"/>
        <v>7</v>
      </c>
      <c r="V263" s="335">
        <f t="shared" si="62"/>
        <v>34</v>
      </c>
      <c r="W263" s="131"/>
      <c r="X263" s="297"/>
    </row>
    <row r="264" spans="1:24" ht="14.5" hidden="1">
      <c r="A264" s="14">
        <v>169</v>
      </c>
      <c r="B264" s="15" t="s">
        <v>59</v>
      </c>
      <c r="C264" s="15"/>
      <c r="D264" s="301" t="s">
        <v>189</v>
      </c>
      <c r="E264" s="146" t="s">
        <v>242</v>
      </c>
      <c r="F264" s="146" t="s">
        <v>90</v>
      </c>
      <c r="G264" s="240">
        <v>45877</v>
      </c>
      <c r="H264" s="17">
        <v>1207</v>
      </c>
      <c r="I264" s="241">
        <v>1207</v>
      </c>
      <c r="J264" s="241">
        <v>1172</v>
      </c>
      <c r="K264" s="6">
        <f t="shared" si="71"/>
        <v>35</v>
      </c>
      <c r="L264" s="6">
        <f t="shared" si="56"/>
        <v>0</v>
      </c>
      <c r="M264" s="300" t="s">
        <v>389</v>
      </c>
      <c r="N264" s="132">
        <f t="shared" ca="1" si="77"/>
        <v>37</v>
      </c>
      <c r="O264" s="85">
        <f>S264-12</f>
        <v>45831</v>
      </c>
      <c r="P264" s="131">
        <v>45831</v>
      </c>
      <c r="Q264" s="131">
        <f t="shared" si="57"/>
        <v>45833</v>
      </c>
      <c r="R264" s="132">
        <f t="shared" ca="1" si="58"/>
        <v>0</v>
      </c>
      <c r="S264" s="131">
        <f>G264-34</f>
        <v>45843</v>
      </c>
      <c r="T264" s="133">
        <v>45838</v>
      </c>
      <c r="U264" s="132">
        <f t="shared" ca="1" si="59"/>
        <v>5</v>
      </c>
      <c r="V264" s="335">
        <f t="shared" si="62"/>
        <v>34</v>
      </c>
      <c r="W264" s="131"/>
      <c r="X264" s="297"/>
    </row>
    <row r="265" spans="1:24" ht="14.5" hidden="1">
      <c r="A265" s="14">
        <v>171</v>
      </c>
      <c r="B265" s="15" t="s">
        <v>59</v>
      </c>
      <c r="C265" s="15"/>
      <c r="D265" s="301" t="s">
        <v>250</v>
      </c>
      <c r="E265" s="146" t="s">
        <v>249</v>
      </c>
      <c r="F265" s="146" t="s">
        <v>162</v>
      </c>
      <c r="G265" s="240">
        <v>45891</v>
      </c>
      <c r="H265" s="17">
        <v>5602</v>
      </c>
      <c r="I265" s="241"/>
      <c r="J265" s="241"/>
      <c r="K265" s="6">
        <f t="shared" si="71"/>
        <v>5602</v>
      </c>
      <c r="L265" s="6">
        <f t="shared" si="56"/>
        <v>5602</v>
      </c>
      <c r="M265" s="299" t="s">
        <v>397</v>
      </c>
      <c r="N265" s="132">
        <f t="shared" ca="1" si="77"/>
        <v>51</v>
      </c>
      <c r="O265" s="85">
        <f>S265-12</f>
        <v>45845</v>
      </c>
      <c r="P265" s="131"/>
      <c r="Q265" s="131">
        <f t="shared" si="57"/>
        <v>2</v>
      </c>
      <c r="R265" s="132">
        <f t="shared" ca="1" si="58"/>
        <v>5</v>
      </c>
      <c r="S265" s="131">
        <f>G265-34</f>
        <v>45857</v>
      </c>
      <c r="T265" s="133"/>
      <c r="U265" s="132">
        <f t="shared" ca="1" si="59"/>
        <v>17</v>
      </c>
      <c r="V265" s="335">
        <f t="shared" si="62"/>
        <v>34</v>
      </c>
      <c r="W265" s="131"/>
      <c r="X265" s="297"/>
    </row>
    <row r="266" spans="1:24" ht="14.5" hidden="1">
      <c r="A266" s="14">
        <v>171</v>
      </c>
      <c r="B266" s="15" t="s">
        <v>59</v>
      </c>
      <c r="C266" s="15"/>
      <c r="D266" s="301" t="s">
        <v>190</v>
      </c>
      <c r="E266" s="146" t="s">
        <v>242</v>
      </c>
      <c r="F266" s="146" t="s">
        <v>244</v>
      </c>
      <c r="G266" s="240">
        <v>45891</v>
      </c>
      <c r="H266" s="17">
        <v>305</v>
      </c>
      <c r="I266" s="241">
        <v>305</v>
      </c>
      <c r="J266" s="241">
        <v>281</v>
      </c>
      <c r="K266" s="6">
        <f>+H266-94%-J266</f>
        <v>23.060000000000002</v>
      </c>
      <c r="L266" s="6">
        <f t="shared" si="56"/>
        <v>0</v>
      </c>
      <c r="M266" s="136" t="s">
        <v>133</v>
      </c>
      <c r="N266" s="132">
        <f t="shared" ca="1" si="77"/>
        <v>51</v>
      </c>
      <c r="O266" s="85">
        <v>45846</v>
      </c>
      <c r="P266" s="131">
        <v>45806</v>
      </c>
      <c r="Q266" s="131">
        <f t="shared" si="57"/>
        <v>45808</v>
      </c>
      <c r="R266" s="132">
        <f t="shared" ca="1" si="58"/>
        <v>40</v>
      </c>
      <c r="S266" s="131">
        <f t="shared" si="76"/>
        <v>45858</v>
      </c>
      <c r="T266" s="133">
        <v>45819</v>
      </c>
      <c r="U266" s="132">
        <f t="shared" ca="1" si="59"/>
        <v>39</v>
      </c>
      <c r="V266" s="335">
        <f t="shared" si="62"/>
        <v>33</v>
      </c>
      <c r="W266" s="131"/>
      <c r="X266" s="297"/>
    </row>
    <row r="267" spans="1:24" ht="14.5" hidden="1">
      <c r="A267" s="14">
        <v>171</v>
      </c>
      <c r="B267" s="15" t="s">
        <v>59</v>
      </c>
      <c r="C267" s="15"/>
      <c r="D267" s="318" t="s">
        <v>248</v>
      </c>
      <c r="E267" s="146" t="s">
        <v>270</v>
      </c>
      <c r="F267" s="146" t="s">
        <v>162</v>
      </c>
      <c r="G267" s="240">
        <v>45891</v>
      </c>
      <c r="H267" s="17">
        <v>3445</v>
      </c>
      <c r="I267" s="241">
        <v>2456</v>
      </c>
      <c r="J267" s="241"/>
      <c r="K267" s="6">
        <f t="shared" si="71"/>
        <v>3445</v>
      </c>
      <c r="L267" s="6">
        <f t="shared" ref="L267:L302" si="79">+H267-I267</f>
        <v>989</v>
      </c>
      <c r="M267" s="300" t="s">
        <v>133</v>
      </c>
      <c r="N267" s="132">
        <f t="shared" ca="1" si="77"/>
        <v>51</v>
      </c>
      <c r="O267" s="85">
        <f>S267-12</f>
        <v>45847</v>
      </c>
      <c r="P267" s="131"/>
      <c r="Q267" s="131">
        <f t="shared" ref="Q267" si="80">P267+2</f>
        <v>2</v>
      </c>
      <c r="R267" s="132">
        <f t="shared" ref="R267" ca="1" si="81">+IF(P267="",O267-TODAY(),O267-P267)</f>
        <v>7</v>
      </c>
      <c r="S267" s="131">
        <f>G267-32</f>
        <v>45859</v>
      </c>
      <c r="T267" s="133"/>
      <c r="U267" s="132">
        <f t="shared" ref="U267:U302" ca="1" si="82">+IF(T267="",S267-TODAY(),S267-T267)</f>
        <v>19</v>
      </c>
      <c r="V267" s="335">
        <f t="shared" si="62"/>
        <v>32</v>
      </c>
      <c r="W267" s="131"/>
      <c r="X267" s="297"/>
    </row>
    <row r="268" spans="1:24" ht="14.5" hidden="1">
      <c r="A268" s="14">
        <v>171</v>
      </c>
      <c r="B268" s="15" t="s">
        <v>59</v>
      </c>
      <c r="C268" s="15"/>
      <c r="D268" s="301" t="s">
        <v>390</v>
      </c>
      <c r="E268" s="146" t="s">
        <v>242</v>
      </c>
      <c r="F268" s="146" t="s">
        <v>162</v>
      </c>
      <c r="G268" s="240">
        <v>45891</v>
      </c>
      <c r="H268" s="17">
        <v>647</v>
      </c>
      <c r="I268" s="241">
        <v>647</v>
      </c>
      <c r="J268" s="241">
        <v>620</v>
      </c>
      <c r="K268" s="6">
        <f>+H268*94%-J268</f>
        <v>-11.82000000000005</v>
      </c>
      <c r="L268" s="6">
        <f t="shared" si="79"/>
        <v>0</v>
      </c>
      <c r="M268" s="300" t="s">
        <v>894</v>
      </c>
      <c r="N268" s="132">
        <f t="shared" ca="1" si="77"/>
        <v>51</v>
      </c>
      <c r="O268" s="85">
        <v>45851</v>
      </c>
      <c r="P268" s="131">
        <v>45806</v>
      </c>
      <c r="Q268" s="131">
        <f t="shared" ref="Q268:Q304" si="83">P268+2</f>
        <v>45808</v>
      </c>
      <c r="R268" s="132">
        <f t="shared" ref="R268:R304" ca="1" si="84">+IF(P268="",O268-TODAY(),O268-P268)</f>
        <v>45</v>
      </c>
      <c r="S268" s="131">
        <f t="shared" si="76"/>
        <v>45863</v>
      </c>
      <c r="T268" s="133">
        <v>45836</v>
      </c>
      <c r="U268" s="132">
        <f t="shared" ca="1" si="82"/>
        <v>27</v>
      </c>
      <c r="V268" s="335">
        <f t="shared" si="62"/>
        <v>28</v>
      </c>
      <c r="W268" s="131">
        <v>45834</v>
      </c>
      <c r="X268" s="297"/>
    </row>
    <row r="269" spans="1:24" ht="14.5" hidden="1">
      <c r="A269" s="14">
        <v>173</v>
      </c>
      <c r="B269" s="15" t="s">
        <v>59</v>
      </c>
      <c r="C269" s="15"/>
      <c r="D269" s="301" t="s">
        <v>189</v>
      </c>
      <c r="E269" s="146" t="s">
        <v>242</v>
      </c>
      <c r="F269" s="146" t="s">
        <v>90</v>
      </c>
      <c r="G269" s="240">
        <v>45891</v>
      </c>
      <c r="H269" s="17">
        <v>1136</v>
      </c>
      <c r="I269" s="241"/>
      <c r="J269" s="241"/>
      <c r="K269" s="6">
        <f t="shared" si="71"/>
        <v>1136</v>
      </c>
      <c r="L269" s="6">
        <f t="shared" si="79"/>
        <v>1136</v>
      </c>
      <c r="M269" s="300" t="s">
        <v>389</v>
      </c>
      <c r="N269" s="132">
        <f t="shared" ca="1" si="77"/>
        <v>51</v>
      </c>
      <c r="O269" s="85">
        <f t="shared" ref="O269:O300" si="85">S269-12</f>
        <v>45845</v>
      </c>
      <c r="P269" s="131"/>
      <c r="Q269" s="131">
        <f t="shared" si="83"/>
        <v>2</v>
      </c>
      <c r="R269" s="132">
        <f t="shared" ca="1" si="84"/>
        <v>5</v>
      </c>
      <c r="S269" s="131">
        <f t="shared" ref="S269:S275" si="86">G269-34</f>
        <v>45857</v>
      </c>
      <c r="T269" s="133"/>
      <c r="U269" s="132">
        <f t="shared" ca="1" si="82"/>
        <v>17</v>
      </c>
      <c r="V269" s="335">
        <f t="shared" si="62"/>
        <v>34</v>
      </c>
      <c r="W269" s="131"/>
      <c r="X269" s="297"/>
    </row>
    <row r="270" spans="1:24" ht="19.5" hidden="1" customHeight="1">
      <c r="A270" s="14">
        <v>179</v>
      </c>
      <c r="B270" s="15" t="s">
        <v>59</v>
      </c>
      <c r="C270" s="15"/>
      <c r="D270" s="322" t="s">
        <v>189</v>
      </c>
      <c r="E270" s="12" t="s">
        <v>242</v>
      </c>
      <c r="F270" s="146" t="s">
        <v>90</v>
      </c>
      <c r="G270" s="240">
        <v>45885</v>
      </c>
      <c r="H270" s="320">
        <v>933</v>
      </c>
      <c r="I270" s="241">
        <v>933</v>
      </c>
      <c r="J270" s="241">
        <v>917</v>
      </c>
      <c r="K270" s="6">
        <f t="shared" si="71"/>
        <v>16</v>
      </c>
      <c r="L270" s="6">
        <f t="shared" si="79"/>
        <v>0</v>
      </c>
      <c r="M270" s="300" t="s">
        <v>389</v>
      </c>
      <c r="N270" s="132">
        <f t="shared" ca="1" si="77"/>
        <v>45</v>
      </c>
      <c r="O270" s="85">
        <f t="shared" si="85"/>
        <v>45839</v>
      </c>
      <c r="P270" s="131">
        <v>45833</v>
      </c>
      <c r="Q270" s="131">
        <f t="shared" si="83"/>
        <v>45835</v>
      </c>
      <c r="R270" s="132">
        <f t="shared" ca="1" si="84"/>
        <v>6</v>
      </c>
      <c r="S270" s="131">
        <f t="shared" si="86"/>
        <v>45851</v>
      </c>
      <c r="T270" s="133">
        <v>45838</v>
      </c>
      <c r="U270" s="132">
        <f t="shared" ca="1" si="82"/>
        <v>13</v>
      </c>
      <c r="V270" s="335">
        <f t="shared" si="62"/>
        <v>34</v>
      </c>
      <c r="W270" s="131"/>
      <c r="X270" s="297"/>
    </row>
    <row r="271" spans="1:24" ht="19.5" hidden="1" customHeight="1">
      <c r="A271" s="14">
        <v>180</v>
      </c>
      <c r="B271" s="15" t="s">
        <v>59</v>
      </c>
      <c r="C271" s="15"/>
      <c r="D271" s="301" t="s">
        <v>390</v>
      </c>
      <c r="E271" s="12" t="s">
        <v>242</v>
      </c>
      <c r="F271" s="12" t="s">
        <v>162</v>
      </c>
      <c r="G271" s="240">
        <v>45885</v>
      </c>
      <c r="H271" s="320">
        <v>1022.96304</v>
      </c>
      <c r="I271" s="241">
        <v>1023</v>
      </c>
      <c r="J271" s="241"/>
      <c r="K271" s="6">
        <f>+H271*94%-J271</f>
        <v>961.58525759999998</v>
      </c>
      <c r="L271" s="6">
        <f t="shared" si="79"/>
        <v>-3.6960000000021864E-2</v>
      </c>
      <c r="M271" s="300" t="s">
        <v>894</v>
      </c>
      <c r="N271" s="132">
        <f t="shared" ca="1" si="77"/>
        <v>45</v>
      </c>
      <c r="O271" s="85">
        <f t="shared" si="85"/>
        <v>45839</v>
      </c>
      <c r="P271" s="131">
        <v>45834</v>
      </c>
      <c r="Q271" s="131">
        <f t="shared" si="83"/>
        <v>45836</v>
      </c>
      <c r="R271" s="132">
        <f t="shared" ca="1" si="84"/>
        <v>5</v>
      </c>
      <c r="S271" s="131">
        <f t="shared" si="86"/>
        <v>45851</v>
      </c>
      <c r="T271" s="133"/>
      <c r="U271" s="132">
        <f t="shared" ca="1" si="82"/>
        <v>11</v>
      </c>
      <c r="V271" s="335">
        <f t="shared" si="62"/>
        <v>34</v>
      </c>
      <c r="W271" s="131"/>
      <c r="X271" s="297"/>
    </row>
    <row r="272" spans="1:24" ht="19.5" hidden="1" customHeight="1">
      <c r="A272" s="14">
        <v>181</v>
      </c>
      <c r="B272" s="15" t="s">
        <v>59</v>
      </c>
      <c r="C272" s="15"/>
      <c r="D272" s="322" t="s">
        <v>901</v>
      </c>
      <c r="E272" s="12" t="s">
        <v>242</v>
      </c>
      <c r="F272" s="12" t="s">
        <v>244</v>
      </c>
      <c r="G272" s="240">
        <v>45885</v>
      </c>
      <c r="H272" s="320">
        <v>182.29764000000003</v>
      </c>
      <c r="I272" s="241"/>
      <c r="J272" s="241"/>
      <c r="K272" s="6">
        <f>+H272-94%-J272</f>
        <v>181.35764000000003</v>
      </c>
      <c r="L272" s="6">
        <f t="shared" si="79"/>
        <v>182.29764000000003</v>
      </c>
      <c r="M272" s="299" t="s">
        <v>948</v>
      </c>
      <c r="N272" s="132">
        <f t="shared" ca="1" si="77"/>
        <v>45</v>
      </c>
      <c r="O272" s="85">
        <f t="shared" si="85"/>
        <v>45839</v>
      </c>
      <c r="P272" s="131"/>
      <c r="Q272" s="131">
        <f t="shared" si="83"/>
        <v>2</v>
      </c>
      <c r="R272" s="132">
        <f t="shared" ca="1" si="84"/>
        <v>-1</v>
      </c>
      <c r="S272" s="131">
        <f t="shared" si="86"/>
        <v>45851</v>
      </c>
      <c r="T272" s="133"/>
      <c r="U272" s="132">
        <f t="shared" ca="1" si="82"/>
        <v>11</v>
      </c>
      <c r="V272" s="335">
        <f t="shared" si="62"/>
        <v>34</v>
      </c>
      <c r="W272" s="131"/>
      <c r="X272" s="297"/>
    </row>
    <row r="273" spans="1:24" ht="19.5" hidden="1" customHeight="1">
      <c r="A273" s="14">
        <v>181</v>
      </c>
      <c r="B273" s="15" t="s">
        <v>59</v>
      </c>
      <c r="C273" s="15"/>
      <c r="D273" s="322" t="s">
        <v>189</v>
      </c>
      <c r="E273" s="12" t="s">
        <v>242</v>
      </c>
      <c r="F273" s="146" t="s">
        <v>90</v>
      </c>
      <c r="G273" s="240">
        <v>45885</v>
      </c>
      <c r="H273" s="320">
        <v>968</v>
      </c>
      <c r="I273" s="241">
        <v>968</v>
      </c>
      <c r="J273" s="241">
        <v>950.5</v>
      </c>
      <c r="K273" s="6">
        <f t="shared" si="71"/>
        <v>17.5</v>
      </c>
      <c r="L273" s="6">
        <f t="shared" si="79"/>
        <v>0</v>
      </c>
      <c r="M273" s="300" t="s">
        <v>389</v>
      </c>
      <c r="N273" s="132">
        <f t="shared" ca="1" si="77"/>
        <v>45</v>
      </c>
      <c r="O273" s="85">
        <f t="shared" si="85"/>
        <v>45839</v>
      </c>
      <c r="P273" s="131">
        <v>45833</v>
      </c>
      <c r="Q273" s="131">
        <f t="shared" si="83"/>
        <v>45835</v>
      </c>
      <c r="R273" s="132">
        <f t="shared" ca="1" si="84"/>
        <v>6</v>
      </c>
      <c r="S273" s="131">
        <f t="shared" si="86"/>
        <v>45851</v>
      </c>
      <c r="T273" s="133">
        <v>45838</v>
      </c>
      <c r="U273" s="132">
        <f t="shared" ca="1" si="82"/>
        <v>13</v>
      </c>
      <c r="V273" s="335">
        <f t="shared" si="62"/>
        <v>34</v>
      </c>
      <c r="W273" s="131"/>
      <c r="X273" s="297"/>
    </row>
    <row r="274" spans="1:24" ht="19.5" hidden="1" customHeight="1">
      <c r="A274" s="14">
        <v>182</v>
      </c>
      <c r="B274" s="15" t="s">
        <v>59</v>
      </c>
      <c r="C274" s="15"/>
      <c r="D274" s="322" t="s">
        <v>901</v>
      </c>
      <c r="E274" s="12" t="s">
        <v>242</v>
      </c>
      <c r="F274" s="12" t="s">
        <v>244</v>
      </c>
      <c r="G274" s="240">
        <v>45885</v>
      </c>
      <c r="H274" s="320">
        <v>118.70544000000001</v>
      </c>
      <c r="I274" s="241"/>
      <c r="J274" s="241"/>
      <c r="K274" s="6">
        <f>+H274-94%-J274</f>
        <v>117.76544000000001</v>
      </c>
      <c r="L274" s="6">
        <f t="shared" si="79"/>
        <v>118.70544000000001</v>
      </c>
      <c r="M274" s="299" t="s">
        <v>948</v>
      </c>
      <c r="N274" s="132">
        <f t="shared" ca="1" si="77"/>
        <v>45</v>
      </c>
      <c r="O274" s="85">
        <f t="shared" si="85"/>
        <v>45839</v>
      </c>
      <c r="P274" s="131"/>
      <c r="Q274" s="131">
        <f t="shared" si="83"/>
        <v>2</v>
      </c>
      <c r="R274" s="132">
        <f t="shared" ca="1" si="84"/>
        <v>-1</v>
      </c>
      <c r="S274" s="131">
        <f t="shared" si="86"/>
        <v>45851</v>
      </c>
      <c r="T274" s="133"/>
      <c r="U274" s="132">
        <f t="shared" ca="1" si="82"/>
        <v>11</v>
      </c>
      <c r="V274" s="335">
        <f t="shared" si="62"/>
        <v>34</v>
      </c>
      <c r="W274" s="131"/>
      <c r="X274" s="297"/>
    </row>
    <row r="275" spans="1:24" ht="19.5" hidden="1" customHeight="1">
      <c r="A275" s="14">
        <v>183</v>
      </c>
      <c r="B275" s="15" t="s">
        <v>59</v>
      </c>
      <c r="C275" s="15"/>
      <c r="D275" s="301" t="s">
        <v>391</v>
      </c>
      <c r="E275" s="12" t="s">
        <v>472</v>
      </c>
      <c r="F275" s="12" t="s">
        <v>902</v>
      </c>
      <c r="G275" s="240">
        <v>45885</v>
      </c>
      <c r="H275" s="320">
        <v>1008.5759999999999</v>
      </c>
      <c r="I275" s="241">
        <v>1009</v>
      </c>
      <c r="J275" s="241">
        <v>1009</v>
      </c>
      <c r="K275" s="6">
        <f>+H275*96%-J275</f>
        <v>-40.767040000000179</v>
      </c>
      <c r="L275" s="6">
        <f t="shared" si="79"/>
        <v>-0.42400000000009186</v>
      </c>
      <c r="M275" s="299" t="s">
        <v>853</v>
      </c>
      <c r="N275" s="132">
        <f t="shared" ca="1" si="77"/>
        <v>45</v>
      </c>
      <c r="O275" s="85">
        <f t="shared" si="85"/>
        <v>45839</v>
      </c>
      <c r="P275" s="131">
        <v>45817</v>
      </c>
      <c r="Q275" s="131">
        <f t="shared" si="83"/>
        <v>45819</v>
      </c>
      <c r="R275" s="132">
        <f t="shared" ca="1" si="84"/>
        <v>22</v>
      </c>
      <c r="S275" s="131">
        <f t="shared" si="86"/>
        <v>45851</v>
      </c>
      <c r="T275" s="133">
        <v>45833</v>
      </c>
      <c r="U275" s="132">
        <f t="shared" ca="1" si="82"/>
        <v>18</v>
      </c>
      <c r="V275" s="335">
        <f t="shared" si="62"/>
        <v>34</v>
      </c>
      <c r="W275" s="131"/>
      <c r="X275" s="297"/>
    </row>
    <row r="276" spans="1:24" ht="19.5" hidden="1" customHeight="1">
      <c r="A276" s="14">
        <v>183</v>
      </c>
      <c r="B276" s="15" t="s">
        <v>59</v>
      </c>
      <c r="C276" s="15"/>
      <c r="D276" s="301" t="s">
        <v>193</v>
      </c>
      <c r="E276" s="12" t="s">
        <v>246</v>
      </c>
      <c r="F276" s="12" t="s">
        <v>162</v>
      </c>
      <c r="G276" s="240">
        <v>45885</v>
      </c>
      <c r="H276" s="320">
        <v>650.56859999999995</v>
      </c>
      <c r="I276" s="241"/>
      <c r="J276" s="241"/>
      <c r="K276" s="6">
        <f>+H276*94%-J276</f>
        <v>611.53448399999991</v>
      </c>
      <c r="L276" s="6">
        <f t="shared" si="79"/>
        <v>650.56859999999995</v>
      </c>
      <c r="M276" s="299" t="s">
        <v>133</v>
      </c>
      <c r="N276" s="132">
        <f t="shared" ca="1" si="77"/>
        <v>45</v>
      </c>
      <c r="O276" s="85">
        <f t="shared" si="85"/>
        <v>45841</v>
      </c>
      <c r="P276" s="131"/>
      <c r="Q276" s="131">
        <f t="shared" si="83"/>
        <v>2</v>
      </c>
      <c r="R276" s="132">
        <f t="shared" ca="1" si="84"/>
        <v>1</v>
      </c>
      <c r="S276" s="131">
        <f>G276-32</f>
        <v>45853</v>
      </c>
      <c r="T276" s="133"/>
      <c r="U276" s="132">
        <f t="shared" ca="1" si="82"/>
        <v>13</v>
      </c>
      <c r="V276" s="335">
        <f t="shared" ref="V276:V339" si="87">G276-S276</f>
        <v>32</v>
      </c>
      <c r="W276" s="131"/>
      <c r="X276" s="297"/>
    </row>
    <row r="277" spans="1:24" ht="19.5" hidden="1" customHeight="1">
      <c r="A277" s="14">
        <v>183</v>
      </c>
      <c r="B277" s="15" t="s">
        <v>59</v>
      </c>
      <c r="C277" s="15"/>
      <c r="D277" s="301" t="s">
        <v>390</v>
      </c>
      <c r="E277" s="12" t="s">
        <v>242</v>
      </c>
      <c r="F277" s="12" t="s">
        <v>162</v>
      </c>
      <c r="G277" s="240">
        <v>45885</v>
      </c>
      <c r="H277" s="320">
        <v>686.46204</v>
      </c>
      <c r="I277" s="241">
        <v>686</v>
      </c>
      <c r="J277" s="241"/>
      <c r="K277" s="6">
        <f>+H277*94%-J277</f>
        <v>645.27431760000002</v>
      </c>
      <c r="L277" s="6">
        <f t="shared" si="79"/>
        <v>0.46204000000000178</v>
      </c>
      <c r="M277" s="300" t="s">
        <v>894</v>
      </c>
      <c r="N277" s="132">
        <f t="shared" ca="1" si="77"/>
        <v>45</v>
      </c>
      <c r="O277" s="85">
        <f t="shared" si="85"/>
        <v>45839</v>
      </c>
      <c r="P277" s="131">
        <v>45834</v>
      </c>
      <c r="Q277" s="131">
        <f t="shared" si="83"/>
        <v>45836</v>
      </c>
      <c r="R277" s="132">
        <f t="shared" ca="1" si="84"/>
        <v>5</v>
      </c>
      <c r="S277" s="131">
        <f t="shared" ref="S277:S285" si="88">G277-34</f>
        <v>45851</v>
      </c>
      <c r="T277" s="133"/>
      <c r="U277" s="132">
        <f t="shared" ca="1" si="82"/>
        <v>11</v>
      </c>
      <c r="V277" s="335">
        <f t="shared" si="87"/>
        <v>34</v>
      </c>
      <c r="W277" s="131"/>
      <c r="X277" s="297"/>
    </row>
    <row r="278" spans="1:24" ht="19.5" hidden="1" customHeight="1">
      <c r="A278" s="14">
        <v>184</v>
      </c>
      <c r="B278" s="15" t="s">
        <v>59</v>
      </c>
      <c r="C278" s="15"/>
      <c r="D278" s="322" t="s">
        <v>189</v>
      </c>
      <c r="E278" s="12" t="s">
        <v>242</v>
      </c>
      <c r="F278" s="146" t="s">
        <v>90</v>
      </c>
      <c r="G278" s="240">
        <v>45885</v>
      </c>
      <c r="H278" s="320">
        <v>540</v>
      </c>
      <c r="I278" s="241">
        <v>540</v>
      </c>
      <c r="J278" s="241"/>
      <c r="K278" s="6">
        <f t="shared" si="71"/>
        <v>540</v>
      </c>
      <c r="L278" s="6">
        <f t="shared" si="79"/>
        <v>0</v>
      </c>
      <c r="M278" s="300" t="s">
        <v>389</v>
      </c>
      <c r="N278" s="132">
        <f t="shared" ca="1" si="77"/>
        <v>45</v>
      </c>
      <c r="O278" s="85">
        <f t="shared" si="85"/>
        <v>45839</v>
      </c>
      <c r="P278" s="131">
        <v>45838</v>
      </c>
      <c r="Q278" s="131">
        <f t="shared" si="83"/>
        <v>45840</v>
      </c>
      <c r="R278" s="132">
        <f t="shared" ca="1" si="84"/>
        <v>1</v>
      </c>
      <c r="S278" s="131">
        <f t="shared" si="88"/>
        <v>45851</v>
      </c>
      <c r="T278" s="133"/>
      <c r="U278" s="132">
        <f t="shared" ca="1" si="82"/>
        <v>11</v>
      </c>
      <c r="V278" s="335">
        <f t="shared" si="87"/>
        <v>34</v>
      </c>
      <c r="W278" s="131"/>
      <c r="X278" s="297"/>
    </row>
    <row r="279" spans="1:24" ht="19.5" hidden="1" customHeight="1">
      <c r="A279" s="14">
        <v>184</v>
      </c>
      <c r="B279" s="15" t="s">
        <v>59</v>
      </c>
      <c r="C279" s="15"/>
      <c r="D279" s="301" t="s">
        <v>390</v>
      </c>
      <c r="E279" s="12" t="s">
        <v>242</v>
      </c>
      <c r="F279" s="12" t="s">
        <v>162</v>
      </c>
      <c r="G279" s="240">
        <v>45885</v>
      </c>
      <c r="H279" s="320">
        <v>704.40876000000003</v>
      </c>
      <c r="I279" s="241">
        <v>704</v>
      </c>
      <c r="J279" s="241"/>
      <c r="K279" s="6">
        <f>+H279*94%-J279</f>
        <v>662.14423439999996</v>
      </c>
      <c r="L279" s="6">
        <f t="shared" si="79"/>
        <v>0.40876000000002932</v>
      </c>
      <c r="M279" s="300" t="s">
        <v>894</v>
      </c>
      <c r="N279" s="132">
        <f t="shared" ca="1" si="77"/>
        <v>45</v>
      </c>
      <c r="O279" s="85">
        <f t="shared" si="85"/>
        <v>45839</v>
      </c>
      <c r="P279" s="131">
        <v>45834</v>
      </c>
      <c r="Q279" s="131">
        <f t="shared" si="83"/>
        <v>45836</v>
      </c>
      <c r="R279" s="132">
        <f t="shared" ca="1" si="84"/>
        <v>5</v>
      </c>
      <c r="S279" s="131">
        <f t="shared" si="88"/>
        <v>45851</v>
      </c>
      <c r="T279" s="133"/>
      <c r="U279" s="132">
        <f t="shared" ca="1" si="82"/>
        <v>11</v>
      </c>
      <c r="V279" s="335">
        <f t="shared" si="87"/>
        <v>34</v>
      </c>
      <c r="W279" s="131"/>
      <c r="X279" s="297"/>
    </row>
    <row r="280" spans="1:24" ht="19.5" hidden="1" customHeight="1">
      <c r="A280" s="14">
        <v>185</v>
      </c>
      <c r="B280" s="15" t="s">
        <v>59</v>
      </c>
      <c r="C280" s="15"/>
      <c r="D280" s="322" t="s">
        <v>189</v>
      </c>
      <c r="E280" s="12" t="s">
        <v>242</v>
      </c>
      <c r="F280" s="146" t="s">
        <v>90</v>
      </c>
      <c r="G280" s="240">
        <v>45889</v>
      </c>
      <c r="H280" s="320">
        <v>467</v>
      </c>
      <c r="I280" s="241"/>
      <c r="J280" s="241"/>
      <c r="K280" s="6">
        <f t="shared" si="71"/>
        <v>467</v>
      </c>
      <c r="L280" s="6">
        <f t="shared" si="79"/>
        <v>467</v>
      </c>
      <c r="M280" s="300" t="s">
        <v>389</v>
      </c>
      <c r="N280" s="132">
        <f t="shared" ca="1" si="77"/>
        <v>49</v>
      </c>
      <c r="O280" s="85">
        <f t="shared" si="85"/>
        <v>45843</v>
      </c>
      <c r="P280" s="131"/>
      <c r="Q280" s="131">
        <f t="shared" si="83"/>
        <v>2</v>
      </c>
      <c r="R280" s="132">
        <f t="shared" ca="1" si="84"/>
        <v>3</v>
      </c>
      <c r="S280" s="131">
        <f t="shared" si="88"/>
        <v>45855</v>
      </c>
      <c r="T280" s="133"/>
      <c r="U280" s="132">
        <f t="shared" ca="1" si="82"/>
        <v>15</v>
      </c>
      <c r="V280" s="335">
        <f t="shared" si="87"/>
        <v>34</v>
      </c>
      <c r="W280" s="131"/>
      <c r="X280" s="297"/>
    </row>
    <row r="281" spans="1:24" ht="19.5" hidden="1" customHeight="1">
      <c r="A281" s="14">
        <v>186</v>
      </c>
      <c r="B281" s="15" t="s">
        <v>59</v>
      </c>
      <c r="C281" s="15"/>
      <c r="D281" s="301" t="s">
        <v>391</v>
      </c>
      <c r="E281" s="12" t="s">
        <v>472</v>
      </c>
      <c r="F281" s="12" t="s">
        <v>902</v>
      </c>
      <c r="G281" s="240">
        <v>45892</v>
      </c>
      <c r="H281" s="320">
        <v>630.36</v>
      </c>
      <c r="I281" s="241">
        <v>630</v>
      </c>
      <c r="J281" s="241">
        <v>649</v>
      </c>
      <c r="K281" s="6">
        <f>+H281*96%-J281</f>
        <v>-43.854400000000055</v>
      </c>
      <c r="L281" s="6">
        <f t="shared" si="79"/>
        <v>0.36000000000001364</v>
      </c>
      <c r="M281" s="299" t="s">
        <v>853</v>
      </c>
      <c r="N281" s="132">
        <f t="shared" ca="1" si="77"/>
        <v>52</v>
      </c>
      <c r="O281" s="85">
        <f t="shared" si="85"/>
        <v>45846</v>
      </c>
      <c r="P281" s="131">
        <v>45817</v>
      </c>
      <c r="Q281" s="131">
        <f t="shared" si="83"/>
        <v>45819</v>
      </c>
      <c r="R281" s="132">
        <f t="shared" ca="1" si="84"/>
        <v>29</v>
      </c>
      <c r="S281" s="131">
        <f t="shared" si="88"/>
        <v>45858</v>
      </c>
      <c r="T281" s="133">
        <v>45833</v>
      </c>
      <c r="U281" s="132">
        <f t="shared" ca="1" si="82"/>
        <v>25</v>
      </c>
      <c r="V281" s="335">
        <f t="shared" si="87"/>
        <v>34</v>
      </c>
      <c r="W281" s="131"/>
      <c r="X281" s="297"/>
    </row>
    <row r="282" spans="1:24" ht="19.5" hidden="1" customHeight="1">
      <c r="A282" s="14">
        <v>187</v>
      </c>
      <c r="B282" s="15" t="s">
        <v>59</v>
      </c>
      <c r="C282" s="15"/>
      <c r="D282" s="322" t="s">
        <v>189</v>
      </c>
      <c r="E282" s="12" t="s">
        <v>242</v>
      </c>
      <c r="F282" s="146" t="s">
        <v>90</v>
      </c>
      <c r="G282" s="240">
        <v>45892</v>
      </c>
      <c r="H282" s="320">
        <v>101.89584000000001</v>
      </c>
      <c r="I282" s="241"/>
      <c r="J282" s="241"/>
      <c r="K282" s="6">
        <f t="shared" si="71"/>
        <v>101.89584000000001</v>
      </c>
      <c r="L282" s="6">
        <f t="shared" si="79"/>
        <v>101.89584000000001</v>
      </c>
      <c r="M282" s="300" t="s">
        <v>389</v>
      </c>
      <c r="N282" s="132">
        <f t="shared" ca="1" si="77"/>
        <v>52</v>
      </c>
      <c r="O282" s="85">
        <f t="shared" si="85"/>
        <v>45846</v>
      </c>
      <c r="P282" s="131"/>
      <c r="Q282" s="131">
        <f t="shared" si="83"/>
        <v>2</v>
      </c>
      <c r="R282" s="132">
        <f t="shared" ca="1" si="84"/>
        <v>6</v>
      </c>
      <c r="S282" s="131">
        <f t="shared" si="88"/>
        <v>45858</v>
      </c>
      <c r="T282" s="133"/>
      <c r="U282" s="132">
        <f t="shared" ca="1" si="82"/>
        <v>18</v>
      </c>
      <c r="V282" s="335">
        <f t="shared" si="87"/>
        <v>34</v>
      </c>
      <c r="W282" s="131"/>
      <c r="X282" s="297"/>
    </row>
    <row r="283" spans="1:24" ht="14.5" hidden="1">
      <c r="A283" s="14">
        <v>187</v>
      </c>
      <c r="B283" s="15" t="s">
        <v>59</v>
      </c>
      <c r="C283" s="15"/>
      <c r="D283" s="322" t="s">
        <v>248</v>
      </c>
      <c r="E283" s="146" t="s">
        <v>270</v>
      </c>
      <c r="F283" s="12" t="s">
        <v>162</v>
      </c>
      <c r="G283" s="240">
        <v>45892</v>
      </c>
      <c r="H283" s="320">
        <v>3967.4302199999997</v>
      </c>
      <c r="I283" s="241"/>
      <c r="J283" s="241"/>
      <c r="K283" s="6">
        <f>+H283*92%-J283</f>
        <v>3650.0358023999997</v>
      </c>
      <c r="L283" s="6">
        <f t="shared" si="79"/>
        <v>3967.4302199999997</v>
      </c>
      <c r="M283" s="299" t="s">
        <v>133</v>
      </c>
      <c r="N283" s="132">
        <f t="shared" ca="1" si="77"/>
        <v>52</v>
      </c>
      <c r="O283" s="85">
        <f t="shared" si="85"/>
        <v>45846</v>
      </c>
      <c r="P283" s="131"/>
      <c r="Q283" s="131">
        <f t="shared" si="83"/>
        <v>2</v>
      </c>
      <c r="R283" s="132">
        <f t="shared" ca="1" si="84"/>
        <v>6</v>
      </c>
      <c r="S283" s="131">
        <f t="shared" si="88"/>
        <v>45858</v>
      </c>
      <c r="T283" s="133"/>
      <c r="U283" s="132">
        <f t="shared" ca="1" si="82"/>
        <v>18</v>
      </c>
      <c r="V283" s="335">
        <f t="shared" si="87"/>
        <v>34</v>
      </c>
      <c r="W283" s="131"/>
      <c r="X283" s="297"/>
    </row>
    <row r="284" spans="1:24" ht="19.5" hidden="1" customHeight="1">
      <c r="A284" s="14">
        <v>188</v>
      </c>
      <c r="B284" s="15" t="s">
        <v>59</v>
      </c>
      <c r="C284" s="15"/>
      <c r="D284" s="322" t="s">
        <v>189</v>
      </c>
      <c r="E284" s="12" t="s">
        <v>242</v>
      </c>
      <c r="F284" s="146" t="s">
        <v>90</v>
      </c>
      <c r="G284" s="240">
        <v>45899</v>
      </c>
      <c r="H284" s="320">
        <v>951.02784000000008</v>
      </c>
      <c r="I284" s="241"/>
      <c r="J284" s="241"/>
      <c r="K284" s="6">
        <f t="shared" si="71"/>
        <v>951.02784000000008</v>
      </c>
      <c r="L284" s="6">
        <f t="shared" si="79"/>
        <v>951.02784000000008</v>
      </c>
      <c r="M284" s="300" t="s">
        <v>389</v>
      </c>
      <c r="N284" s="132">
        <f t="shared" ca="1" si="77"/>
        <v>59</v>
      </c>
      <c r="O284" s="85">
        <f t="shared" si="85"/>
        <v>45853</v>
      </c>
      <c r="P284" s="131"/>
      <c r="Q284" s="131">
        <f t="shared" si="83"/>
        <v>2</v>
      </c>
      <c r="R284" s="132">
        <f t="shared" ca="1" si="84"/>
        <v>13</v>
      </c>
      <c r="S284" s="131">
        <f t="shared" si="88"/>
        <v>45865</v>
      </c>
      <c r="T284" s="133"/>
      <c r="U284" s="132">
        <f t="shared" ca="1" si="82"/>
        <v>25</v>
      </c>
      <c r="V284" s="335">
        <f t="shared" si="87"/>
        <v>34</v>
      </c>
      <c r="W284" s="131"/>
      <c r="X284" s="297"/>
    </row>
    <row r="285" spans="1:24" ht="19.5" hidden="1" customHeight="1">
      <c r="A285" s="14">
        <v>188</v>
      </c>
      <c r="B285" s="15" t="s">
        <v>59</v>
      </c>
      <c r="C285" s="15"/>
      <c r="D285" s="301" t="s">
        <v>391</v>
      </c>
      <c r="E285" s="12" t="s">
        <v>472</v>
      </c>
      <c r="F285" s="12" t="s">
        <v>902</v>
      </c>
      <c r="G285" s="240">
        <v>45899</v>
      </c>
      <c r="H285" s="320">
        <v>630.36</v>
      </c>
      <c r="I285" s="241">
        <v>630</v>
      </c>
      <c r="J285" s="241">
        <v>636</v>
      </c>
      <c r="K285" s="6">
        <f>+H285*96%-J285</f>
        <v>-30.854400000000055</v>
      </c>
      <c r="L285" s="6">
        <f t="shared" si="79"/>
        <v>0.36000000000001364</v>
      </c>
      <c r="M285" s="299" t="s">
        <v>853</v>
      </c>
      <c r="N285" s="132">
        <f t="shared" ca="1" si="77"/>
        <v>59</v>
      </c>
      <c r="O285" s="85">
        <f t="shared" si="85"/>
        <v>45853</v>
      </c>
      <c r="P285" s="131">
        <v>45817</v>
      </c>
      <c r="Q285" s="131">
        <f t="shared" si="83"/>
        <v>45819</v>
      </c>
      <c r="R285" s="132">
        <f t="shared" ca="1" si="84"/>
        <v>36</v>
      </c>
      <c r="S285" s="131">
        <f t="shared" si="88"/>
        <v>45865</v>
      </c>
      <c r="T285" s="133">
        <v>45833</v>
      </c>
      <c r="U285" s="132">
        <f t="shared" ca="1" si="82"/>
        <v>32</v>
      </c>
      <c r="V285" s="335">
        <f t="shared" si="87"/>
        <v>34</v>
      </c>
      <c r="W285" s="131"/>
      <c r="X285" s="297"/>
    </row>
    <row r="286" spans="1:24" ht="19.5" hidden="1" customHeight="1">
      <c r="A286" s="14">
        <v>188</v>
      </c>
      <c r="B286" s="15" t="s">
        <v>59</v>
      </c>
      <c r="C286" s="15"/>
      <c r="D286" s="301" t="s">
        <v>193</v>
      </c>
      <c r="E286" s="12" t="s">
        <v>246</v>
      </c>
      <c r="F286" s="12" t="s">
        <v>162</v>
      </c>
      <c r="G286" s="240">
        <v>45899</v>
      </c>
      <c r="H286" s="320">
        <v>650.56859999999995</v>
      </c>
      <c r="I286" s="241"/>
      <c r="J286" s="241"/>
      <c r="K286" s="6">
        <f>+H286*94%-J286</f>
        <v>611.53448399999991</v>
      </c>
      <c r="L286" s="6">
        <f t="shared" si="79"/>
        <v>650.56859999999995</v>
      </c>
      <c r="M286" s="299" t="s">
        <v>133</v>
      </c>
      <c r="N286" s="132">
        <f t="shared" ca="1" si="77"/>
        <v>59</v>
      </c>
      <c r="O286" s="85">
        <f t="shared" si="85"/>
        <v>45855</v>
      </c>
      <c r="P286" s="131"/>
      <c r="Q286" s="131">
        <f t="shared" si="83"/>
        <v>2</v>
      </c>
      <c r="R286" s="132">
        <f t="shared" ca="1" si="84"/>
        <v>15</v>
      </c>
      <c r="S286" s="131">
        <f>G286-32</f>
        <v>45867</v>
      </c>
      <c r="T286" s="133"/>
      <c r="U286" s="132">
        <f t="shared" ca="1" si="82"/>
        <v>27</v>
      </c>
      <c r="V286" s="335">
        <f t="shared" si="87"/>
        <v>32</v>
      </c>
      <c r="W286" s="131"/>
      <c r="X286" s="297"/>
    </row>
    <row r="287" spans="1:24" ht="19.5" hidden="1" customHeight="1">
      <c r="A287" s="14">
        <v>188</v>
      </c>
      <c r="B287" s="15" t="s">
        <v>59</v>
      </c>
      <c r="C287" s="15"/>
      <c r="D287" s="301" t="s">
        <v>390</v>
      </c>
      <c r="E287" s="12" t="s">
        <v>242</v>
      </c>
      <c r="F287" s="12" t="s">
        <v>162</v>
      </c>
      <c r="G287" s="240">
        <v>45899</v>
      </c>
      <c r="H287" s="320">
        <v>412.77456000000001</v>
      </c>
      <c r="I287" s="241">
        <v>413</v>
      </c>
      <c r="J287" s="241"/>
      <c r="K287" s="6">
        <f>+H287*94%-J287</f>
        <v>388.00808639999997</v>
      </c>
      <c r="L287" s="6">
        <f t="shared" si="79"/>
        <v>-0.22543999999999187</v>
      </c>
      <c r="M287" s="300" t="s">
        <v>894</v>
      </c>
      <c r="N287" s="132">
        <f t="shared" ca="1" si="77"/>
        <v>59</v>
      </c>
      <c r="O287" s="85">
        <f t="shared" si="85"/>
        <v>45853</v>
      </c>
      <c r="P287" s="131">
        <v>45834</v>
      </c>
      <c r="Q287" s="131">
        <f t="shared" si="83"/>
        <v>45836</v>
      </c>
      <c r="R287" s="132">
        <f t="shared" ca="1" si="84"/>
        <v>19</v>
      </c>
      <c r="S287" s="131">
        <f t="shared" ref="S287:S293" si="89">G287-34</f>
        <v>45865</v>
      </c>
      <c r="T287" s="133"/>
      <c r="U287" s="132">
        <f t="shared" ca="1" si="82"/>
        <v>25</v>
      </c>
      <c r="V287" s="335">
        <f t="shared" si="87"/>
        <v>34</v>
      </c>
      <c r="W287" s="131"/>
      <c r="X287" s="297"/>
    </row>
    <row r="288" spans="1:24" ht="19.5" hidden="1" customHeight="1">
      <c r="A288" s="14">
        <v>189</v>
      </c>
      <c r="B288" s="15" t="s">
        <v>59</v>
      </c>
      <c r="C288" s="15"/>
      <c r="D288" s="322" t="s">
        <v>189</v>
      </c>
      <c r="E288" s="12" t="s">
        <v>242</v>
      </c>
      <c r="F288" s="146" t="s">
        <v>90</v>
      </c>
      <c r="G288" s="240">
        <v>45899</v>
      </c>
      <c r="H288" s="320">
        <v>1324.6459200000002</v>
      </c>
      <c r="I288" s="241"/>
      <c r="J288" s="241"/>
      <c r="K288" s="6">
        <f t="shared" si="71"/>
        <v>1324.6459200000002</v>
      </c>
      <c r="L288" s="6">
        <f t="shared" si="79"/>
        <v>1324.6459200000002</v>
      </c>
      <c r="M288" s="300" t="s">
        <v>389</v>
      </c>
      <c r="N288" s="132">
        <f t="shared" ca="1" si="77"/>
        <v>59</v>
      </c>
      <c r="O288" s="85">
        <f t="shared" si="85"/>
        <v>45853</v>
      </c>
      <c r="P288" s="131"/>
      <c r="Q288" s="131">
        <f t="shared" si="83"/>
        <v>2</v>
      </c>
      <c r="R288" s="132">
        <f t="shared" ca="1" si="84"/>
        <v>13</v>
      </c>
      <c r="S288" s="131">
        <f t="shared" si="89"/>
        <v>45865</v>
      </c>
      <c r="T288" s="133"/>
      <c r="U288" s="132">
        <f t="shared" ca="1" si="82"/>
        <v>25</v>
      </c>
      <c r="V288" s="335">
        <f t="shared" si="87"/>
        <v>34</v>
      </c>
      <c r="W288" s="131"/>
      <c r="X288" s="297"/>
    </row>
    <row r="289" spans="1:24" ht="19.5" hidden="1" customHeight="1">
      <c r="A289" s="14">
        <v>190</v>
      </c>
      <c r="B289" s="15" t="s">
        <v>59</v>
      </c>
      <c r="C289" s="15"/>
      <c r="D289" s="322" t="s">
        <v>901</v>
      </c>
      <c r="E289" s="12" t="s">
        <v>242</v>
      </c>
      <c r="F289" s="12" t="s">
        <v>244</v>
      </c>
      <c r="G289" s="240">
        <v>45899</v>
      </c>
      <c r="H289" s="320">
        <v>464.92964000000006</v>
      </c>
      <c r="I289" s="241"/>
      <c r="J289" s="241"/>
      <c r="K289" s="6">
        <f>+H289-94%-J289</f>
        <v>463.98964000000007</v>
      </c>
      <c r="L289" s="6">
        <f t="shared" si="79"/>
        <v>464.92964000000006</v>
      </c>
      <c r="M289" s="299" t="s">
        <v>948</v>
      </c>
      <c r="N289" s="132">
        <f t="shared" ca="1" si="77"/>
        <v>59</v>
      </c>
      <c r="O289" s="85">
        <f t="shared" si="85"/>
        <v>45853</v>
      </c>
      <c r="P289" s="131"/>
      <c r="Q289" s="131">
        <f t="shared" si="83"/>
        <v>2</v>
      </c>
      <c r="R289" s="132">
        <f t="shared" ca="1" si="84"/>
        <v>13</v>
      </c>
      <c r="S289" s="131">
        <f t="shared" si="89"/>
        <v>45865</v>
      </c>
      <c r="T289" s="133"/>
      <c r="U289" s="132">
        <f t="shared" ca="1" si="82"/>
        <v>25</v>
      </c>
      <c r="V289" s="335">
        <f t="shared" si="87"/>
        <v>34</v>
      </c>
      <c r="W289" s="131"/>
      <c r="X289" s="297"/>
    </row>
    <row r="290" spans="1:24" ht="19.5" hidden="1" customHeight="1">
      <c r="A290" s="14">
        <v>190</v>
      </c>
      <c r="B290" s="15" t="s">
        <v>59</v>
      </c>
      <c r="C290" s="15"/>
      <c r="D290" s="301" t="s">
        <v>391</v>
      </c>
      <c r="E290" s="12" t="s">
        <v>472</v>
      </c>
      <c r="F290" s="12" t="s">
        <v>902</v>
      </c>
      <c r="G290" s="240">
        <v>45899</v>
      </c>
      <c r="H290" s="320">
        <v>630.36</v>
      </c>
      <c r="I290" s="241">
        <v>630</v>
      </c>
      <c r="J290" s="241">
        <v>636</v>
      </c>
      <c r="K290" s="6">
        <f>+H290*96%-J290</f>
        <v>-30.854400000000055</v>
      </c>
      <c r="L290" s="6">
        <f t="shared" si="79"/>
        <v>0.36000000000001364</v>
      </c>
      <c r="M290" s="299" t="s">
        <v>853</v>
      </c>
      <c r="N290" s="132">
        <f t="shared" ca="1" si="77"/>
        <v>59</v>
      </c>
      <c r="O290" s="85">
        <f t="shared" si="85"/>
        <v>45853</v>
      </c>
      <c r="P290" s="131">
        <v>45817</v>
      </c>
      <c r="Q290" s="131">
        <f t="shared" si="83"/>
        <v>45819</v>
      </c>
      <c r="R290" s="132">
        <f t="shared" ca="1" si="84"/>
        <v>36</v>
      </c>
      <c r="S290" s="131">
        <f t="shared" si="89"/>
        <v>45865</v>
      </c>
      <c r="T290" s="133">
        <v>45833</v>
      </c>
      <c r="U290" s="132">
        <f t="shared" ca="1" si="82"/>
        <v>32</v>
      </c>
      <c r="V290" s="335">
        <f t="shared" si="87"/>
        <v>34</v>
      </c>
      <c r="W290" s="131"/>
      <c r="X290" s="297"/>
    </row>
    <row r="291" spans="1:24" ht="19.5" hidden="1" customHeight="1">
      <c r="A291" s="14">
        <v>190</v>
      </c>
      <c r="B291" s="15" t="s">
        <v>59</v>
      </c>
      <c r="C291" s="15"/>
      <c r="D291" s="301" t="s">
        <v>390</v>
      </c>
      <c r="E291" s="12" t="s">
        <v>242</v>
      </c>
      <c r="F291" s="12" t="s">
        <v>162</v>
      </c>
      <c r="G291" s="240">
        <v>45899</v>
      </c>
      <c r="H291" s="320">
        <v>208.63061999999999</v>
      </c>
      <c r="I291" s="241"/>
      <c r="J291" s="241"/>
      <c r="K291" s="6">
        <f>+H291*94%-J291</f>
        <v>196.11278279999999</v>
      </c>
      <c r="L291" s="6">
        <f t="shared" si="79"/>
        <v>208.63061999999999</v>
      </c>
      <c r="M291" s="300" t="s">
        <v>894</v>
      </c>
      <c r="N291" s="132">
        <f t="shared" ca="1" si="77"/>
        <v>59</v>
      </c>
      <c r="O291" s="85">
        <f t="shared" si="85"/>
        <v>45853</v>
      </c>
      <c r="P291" s="131"/>
      <c r="Q291" s="131">
        <f t="shared" si="83"/>
        <v>2</v>
      </c>
      <c r="R291" s="132">
        <f t="shared" ca="1" si="84"/>
        <v>13</v>
      </c>
      <c r="S291" s="131">
        <f t="shared" si="89"/>
        <v>45865</v>
      </c>
      <c r="T291" s="133"/>
      <c r="U291" s="132">
        <f t="shared" ca="1" si="82"/>
        <v>25</v>
      </c>
      <c r="V291" s="335">
        <f t="shared" si="87"/>
        <v>34</v>
      </c>
      <c r="W291" s="131"/>
      <c r="X291" s="297"/>
    </row>
    <row r="292" spans="1:24" ht="19.5" hidden="1" customHeight="1">
      <c r="A292" s="14">
        <v>191</v>
      </c>
      <c r="B292" s="15" t="s">
        <v>59</v>
      </c>
      <c r="C292" s="15"/>
      <c r="D292" s="301" t="s">
        <v>250</v>
      </c>
      <c r="E292" s="12" t="s">
        <v>249</v>
      </c>
      <c r="F292" s="12" t="s">
        <v>162</v>
      </c>
      <c r="G292" s="240">
        <v>45913</v>
      </c>
      <c r="H292" s="320">
        <v>6575.5199999999995</v>
      </c>
      <c r="I292" s="241"/>
      <c r="J292" s="241"/>
      <c r="K292" s="6">
        <f t="shared" si="71"/>
        <v>6575.5199999999995</v>
      </c>
      <c r="L292" s="6">
        <f t="shared" si="79"/>
        <v>6575.5199999999995</v>
      </c>
      <c r="M292" s="299" t="s">
        <v>397</v>
      </c>
      <c r="N292" s="132">
        <f t="shared" ca="1" si="77"/>
        <v>73</v>
      </c>
      <c r="O292" s="85">
        <f t="shared" si="85"/>
        <v>45867</v>
      </c>
      <c r="P292" s="131"/>
      <c r="Q292" s="131">
        <f t="shared" si="83"/>
        <v>2</v>
      </c>
      <c r="R292" s="132">
        <f t="shared" ca="1" si="84"/>
        <v>27</v>
      </c>
      <c r="S292" s="131">
        <f t="shared" si="89"/>
        <v>45879</v>
      </c>
      <c r="T292" s="133"/>
      <c r="U292" s="132">
        <f t="shared" ca="1" si="82"/>
        <v>39</v>
      </c>
      <c r="V292" s="335">
        <f t="shared" si="87"/>
        <v>34</v>
      </c>
      <c r="W292" s="131"/>
      <c r="X292" s="297"/>
    </row>
    <row r="293" spans="1:24" ht="19.5" hidden="1" customHeight="1">
      <c r="A293" s="14">
        <v>191</v>
      </c>
      <c r="B293" s="15" t="s">
        <v>59</v>
      </c>
      <c r="C293" s="15"/>
      <c r="D293" s="322" t="s">
        <v>248</v>
      </c>
      <c r="E293" s="146" t="s">
        <v>270</v>
      </c>
      <c r="F293" s="12" t="s">
        <v>162</v>
      </c>
      <c r="G293" s="240">
        <v>45913</v>
      </c>
      <c r="H293" s="320">
        <v>3831.7915800000001</v>
      </c>
      <c r="I293" s="241"/>
      <c r="J293" s="241"/>
      <c r="K293" s="6">
        <f>+H293*92%-J293</f>
        <v>3525.2482536000002</v>
      </c>
      <c r="L293" s="6">
        <f t="shared" si="79"/>
        <v>3831.7915800000001</v>
      </c>
      <c r="M293" s="299" t="s">
        <v>133</v>
      </c>
      <c r="N293" s="132">
        <f t="shared" ca="1" si="77"/>
        <v>73</v>
      </c>
      <c r="O293" s="85">
        <f t="shared" si="85"/>
        <v>45867</v>
      </c>
      <c r="P293" s="131"/>
      <c r="Q293" s="131">
        <f t="shared" si="83"/>
        <v>2</v>
      </c>
      <c r="R293" s="132">
        <f t="shared" ca="1" si="84"/>
        <v>27</v>
      </c>
      <c r="S293" s="131">
        <f t="shared" si="89"/>
        <v>45879</v>
      </c>
      <c r="T293" s="133"/>
      <c r="U293" s="132">
        <f t="shared" ca="1" si="82"/>
        <v>39</v>
      </c>
      <c r="V293" s="335">
        <f t="shared" si="87"/>
        <v>34</v>
      </c>
      <c r="W293" s="131"/>
      <c r="X293" s="297"/>
    </row>
    <row r="294" spans="1:24" ht="19.5" hidden="1" customHeight="1">
      <c r="A294" s="14">
        <v>191</v>
      </c>
      <c r="B294" s="15" t="s">
        <v>59</v>
      </c>
      <c r="C294" s="15"/>
      <c r="D294" s="301" t="s">
        <v>193</v>
      </c>
      <c r="E294" s="12" t="s">
        <v>249</v>
      </c>
      <c r="F294" s="12" t="s">
        <v>162</v>
      </c>
      <c r="G294" s="240">
        <v>45913</v>
      </c>
      <c r="H294" s="320">
        <v>5909.625</v>
      </c>
      <c r="I294" s="241"/>
      <c r="J294" s="241"/>
      <c r="K294" s="6">
        <f t="shared" si="71"/>
        <v>5909.625</v>
      </c>
      <c r="L294" s="6">
        <f t="shared" si="79"/>
        <v>5909.625</v>
      </c>
      <c r="M294" s="300" t="s">
        <v>133</v>
      </c>
      <c r="N294" s="132">
        <f t="shared" ca="1" si="77"/>
        <v>73</v>
      </c>
      <c r="O294" s="85">
        <f t="shared" si="85"/>
        <v>45869</v>
      </c>
      <c r="P294" s="131"/>
      <c r="Q294" s="131">
        <f t="shared" si="83"/>
        <v>2</v>
      </c>
      <c r="R294" s="132">
        <f t="shared" ca="1" si="84"/>
        <v>29</v>
      </c>
      <c r="S294" s="131">
        <f>G294-32</f>
        <v>45881</v>
      </c>
      <c r="T294" s="133"/>
      <c r="U294" s="132">
        <f t="shared" ca="1" si="82"/>
        <v>41</v>
      </c>
      <c r="V294" s="335">
        <f t="shared" si="87"/>
        <v>32</v>
      </c>
      <c r="W294" s="131"/>
      <c r="X294" s="297"/>
    </row>
    <row r="295" spans="1:24" ht="19.5" hidden="1" customHeight="1">
      <c r="A295" s="14">
        <v>191</v>
      </c>
      <c r="B295" s="15" t="s">
        <v>59</v>
      </c>
      <c r="C295" s="15"/>
      <c r="D295" s="301" t="s">
        <v>390</v>
      </c>
      <c r="E295" s="12" t="s">
        <v>242</v>
      </c>
      <c r="F295" s="12" t="s">
        <v>162</v>
      </c>
      <c r="G295" s="240">
        <v>45913</v>
      </c>
      <c r="H295" s="320">
        <v>83.003579999999999</v>
      </c>
      <c r="I295" s="241"/>
      <c r="J295" s="241"/>
      <c r="K295" s="6">
        <f>+H295*94%-J295</f>
        <v>78.023365200000001</v>
      </c>
      <c r="L295" s="6">
        <f t="shared" si="79"/>
        <v>83.003579999999999</v>
      </c>
      <c r="M295" s="300" t="s">
        <v>894</v>
      </c>
      <c r="N295" s="132">
        <f t="shared" ca="1" si="77"/>
        <v>73</v>
      </c>
      <c r="O295" s="85">
        <f t="shared" si="85"/>
        <v>45867</v>
      </c>
      <c r="P295" s="131"/>
      <c r="Q295" s="131">
        <f t="shared" si="83"/>
        <v>2</v>
      </c>
      <c r="R295" s="132">
        <f t="shared" ca="1" si="84"/>
        <v>27</v>
      </c>
      <c r="S295" s="131">
        <f t="shared" ref="S295:S330" si="90">G295-34</f>
        <v>45879</v>
      </c>
      <c r="T295" s="133"/>
      <c r="U295" s="132">
        <f t="shared" ca="1" si="82"/>
        <v>39</v>
      </c>
      <c r="V295" s="335">
        <f t="shared" si="87"/>
        <v>34</v>
      </c>
      <c r="W295" s="131"/>
      <c r="X295" s="297"/>
    </row>
    <row r="296" spans="1:24" ht="19.5" hidden="1" customHeight="1">
      <c r="A296" s="14">
        <v>192</v>
      </c>
      <c r="B296" s="15" t="s">
        <v>59</v>
      </c>
      <c r="C296" s="15"/>
      <c r="D296" s="322" t="s">
        <v>189</v>
      </c>
      <c r="E296" s="12" t="s">
        <v>242</v>
      </c>
      <c r="F296" s="146" t="s">
        <v>90</v>
      </c>
      <c r="G296" s="240">
        <v>45913</v>
      </c>
      <c r="H296" s="320">
        <v>849.13200000000006</v>
      </c>
      <c r="I296" s="241"/>
      <c r="J296" s="241"/>
      <c r="K296" s="6">
        <f t="shared" si="71"/>
        <v>849.13200000000006</v>
      </c>
      <c r="L296" s="6">
        <f t="shared" si="79"/>
        <v>849.13200000000006</v>
      </c>
      <c r="M296" s="300" t="s">
        <v>389</v>
      </c>
      <c r="N296" s="132">
        <f t="shared" ca="1" si="77"/>
        <v>73</v>
      </c>
      <c r="O296" s="85">
        <f t="shared" si="85"/>
        <v>45867</v>
      </c>
      <c r="P296" s="131"/>
      <c r="Q296" s="131">
        <f t="shared" si="83"/>
        <v>2</v>
      </c>
      <c r="R296" s="132">
        <f t="shared" ca="1" si="84"/>
        <v>27</v>
      </c>
      <c r="S296" s="131">
        <f t="shared" si="90"/>
        <v>45879</v>
      </c>
      <c r="T296" s="133"/>
      <c r="U296" s="132">
        <f t="shared" ca="1" si="82"/>
        <v>39</v>
      </c>
      <c r="V296" s="335">
        <f t="shared" si="87"/>
        <v>34</v>
      </c>
      <c r="W296" s="131"/>
      <c r="X296" s="297"/>
    </row>
    <row r="297" spans="1:24" ht="19.5" hidden="1" customHeight="1">
      <c r="A297" s="14">
        <v>192</v>
      </c>
      <c r="B297" s="15" t="s">
        <v>59</v>
      </c>
      <c r="C297" s="15"/>
      <c r="D297" s="301" t="s">
        <v>391</v>
      </c>
      <c r="E297" s="12" t="s">
        <v>472</v>
      </c>
      <c r="F297" s="12" t="s">
        <v>902</v>
      </c>
      <c r="G297" s="240">
        <v>45913</v>
      </c>
      <c r="H297" s="320">
        <v>315.18</v>
      </c>
      <c r="I297" s="241"/>
      <c r="J297" s="241"/>
      <c r="K297" s="6">
        <f t="shared" si="71"/>
        <v>315.18</v>
      </c>
      <c r="L297" s="6">
        <f t="shared" si="79"/>
        <v>315.18</v>
      </c>
      <c r="M297" s="299" t="s">
        <v>853</v>
      </c>
      <c r="N297" s="132">
        <f t="shared" ca="1" si="77"/>
        <v>73</v>
      </c>
      <c r="O297" s="85">
        <f t="shared" si="85"/>
        <v>45867</v>
      </c>
      <c r="P297" s="131"/>
      <c r="Q297" s="131">
        <f t="shared" si="83"/>
        <v>2</v>
      </c>
      <c r="R297" s="132">
        <f t="shared" ca="1" si="84"/>
        <v>27</v>
      </c>
      <c r="S297" s="131">
        <f t="shared" si="90"/>
        <v>45879</v>
      </c>
      <c r="T297" s="133"/>
      <c r="U297" s="132">
        <f t="shared" ca="1" si="82"/>
        <v>39</v>
      </c>
      <c r="V297" s="335">
        <f t="shared" si="87"/>
        <v>34</v>
      </c>
      <c r="W297" s="131"/>
      <c r="X297" s="297"/>
    </row>
    <row r="298" spans="1:24" ht="19.5" hidden="1" customHeight="1">
      <c r="A298" s="14">
        <v>192</v>
      </c>
      <c r="B298" s="15" t="s">
        <v>59</v>
      </c>
      <c r="C298" s="15"/>
      <c r="D298" s="301" t="s">
        <v>390</v>
      </c>
      <c r="E298" s="12" t="s">
        <v>242</v>
      </c>
      <c r="F298" s="12" t="s">
        <v>162</v>
      </c>
      <c r="G298" s="240">
        <v>45913</v>
      </c>
      <c r="H298" s="320">
        <v>136.09595999999999</v>
      </c>
      <c r="I298" s="241"/>
      <c r="J298" s="241"/>
      <c r="K298" s="6">
        <f>+H298*94%-J298</f>
        <v>127.93020239999998</v>
      </c>
      <c r="L298" s="6">
        <f t="shared" si="79"/>
        <v>136.09595999999999</v>
      </c>
      <c r="M298" s="300" t="s">
        <v>894</v>
      </c>
      <c r="N298" s="132">
        <f t="shared" ca="1" si="77"/>
        <v>73</v>
      </c>
      <c r="O298" s="85">
        <f t="shared" si="85"/>
        <v>45867</v>
      </c>
      <c r="P298" s="131"/>
      <c r="Q298" s="131">
        <f t="shared" si="83"/>
        <v>2</v>
      </c>
      <c r="R298" s="132">
        <f t="shared" ca="1" si="84"/>
        <v>27</v>
      </c>
      <c r="S298" s="131">
        <f t="shared" si="90"/>
        <v>45879</v>
      </c>
      <c r="T298" s="133"/>
      <c r="U298" s="132">
        <f t="shared" ca="1" si="82"/>
        <v>39</v>
      </c>
      <c r="V298" s="335">
        <f t="shared" si="87"/>
        <v>34</v>
      </c>
      <c r="W298" s="131"/>
      <c r="X298" s="297"/>
    </row>
    <row r="299" spans="1:24" ht="19.5" customHeight="1">
      <c r="A299" s="14">
        <v>193</v>
      </c>
      <c r="B299" s="15" t="s">
        <v>59</v>
      </c>
      <c r="C299" s="15"/>
      <c r="D299" s="322" t="s">
        <v>201</v>
      </c>
      <c r="E299" s="146" t="s">
        <v>247</v>
      </c>
      <c r="F299" s="146" t="s">
        <v>155</v>
      </c>
      <c r="G299" s="240">
        <v>45913</v>
      </c>
      <c r="H299" s="320">
        <v>1432.7712000000001</v>
      </c>
      <c r="I299" s="241"/>
      <c r="J299" s="241"/>
      <c r="K299" s="6">
        <f>+H299*94%-J299</f>
        <v>1346.804928</v>
      </c>
      <c r="L299" s="6">
        <f t="shared" si="79"/>
        <v>1432.7712000000001</v>
      </c>
      <c r="M299" s="300" t="s">
        <v>955</v>
      </c>
      <c r="N299" s="132">
        <f t="shared" ca="1" si="77"/>
        <v>73</v>
      </c>
      <c r="O299" s="85">
        <f t="shared" si="85"/>
        <v>45867</v>
      </c>
      <c r="P299" s="131"/>
      <c r="Q299" s="131">
        <f t="shared" si="83"/>
        <v>2</v>
      </c>
      <c r="R299" s="132">
        <f t="shared" ca="1" si="84"/>
        <v>27</v>
      </c>
      <c r="S299" s="131">
        <f t="shared" si="90"/>
        <v>45879</v>
      </c>
      <c r="T299" s="133"/>
      <c r="U299" s="132">
        <f t="shared" ca="1" si="82"/>
        <v>39</v>
      </c>
      <c r="V299" s="335">
        <f t="shared" si="87"/>
        <v>34</v>
      </c>
      <c r="W299" s="131"/>
      <c r="X299" s="297"/>
    </row>
    <row r="300" spans="1:24" ht="19.5" hidden="1" customHeight="1">
      <c r="A300" s="14">
        <v>193</v>
      </c>
      <c r="B300" s="15" t="s">
        <v>59</v>
      </c>
      <c r="C300" s="15"/>
      <c r="D300" s="322" t="s">
        <v>901</v>
      </c>
      <c r="E300" s="12" t="s">
        <v>242</v>
      </c>
      <c r="F300" s="12" t="s">
        <v>244</v>
      </c>
      <c r="G300" s="240">
        <v>45913</v>
      </c>
      <c r="H300" s="320">
        <v>457.8638400000001</v>
      </c>
      <c r="I300" s="241"/>
      <c r="J300" s="241"/>
      <c r="K300" s="6">
        <f>+H300-94%-J300</f>
        <v>456.9238400000001</v>
      </c>
      <c r="L300" s="6">
        <f t="shared" si="79"/>
        <v>457.8638400000001</v>
      </c>
      <c r="M300" s="299" t="s">
        <v>948</v>
      </c>
      <c r="N300" s="132">
        <f t="shared" ca="1" si="77"/>
        <v>73</v>
      </c>
      <c r="O300" s="85">
        <f t="shared" si="85"/>
        <v>45867</v>
      </c>
      <c r="P300" s="131"/>
      <c r="Q300" s="131">
        <f t="shared" si="83"/>
        <v>2</v>
      </c>
      <c r="R300" s="132">
        <f t="shared" ca="1" si="84"/>
        <v>27</v>
      </c>
      <c r="S300" s="131">
        <f t="shared" si="90"/>
        <v>45879</v>
      </c>
      <c r="T300" s="133"/>
      <c r="U300" s="132">
        <f t="shared" ca="1" si="82"/>
        <v>39</v>
      </c>
      <c r="V300" s="335">
        <f t="shared" si="87"/>
        <v>34</v>
      </c>
      <c r="W300" s="131"/>
      <c r="X300" s="297"/>
    </row>
    <row r="301" spans="1:24" ht="19.5" hidden="1" customHeight="1">
      <c r="A301" s="14">
        <v>193</v>
      </c>
      <c r="B301" s="15" t="s">
        <v>59</v>
      </c>
      <c r="C301" s="15"/>
      <c r="D301" s="301" t="s">
        <v>391</v>
      </c>
      <c r="E301" s="12" t="s">
        <v>472</v>
      </c>
      <c r="F301" s="12" t="s">
        <v>902</v>
      </c>
      <c r="G301" s="240">
        <v>45913</v>
      </c>
      <c r="H301" s="320">
        <v>189.108</v>
      </c>
      <c r="I301" s="241"/>
      <c r="J301" s="241"/>
      <c r="K301" s="6">
        <f t="shared" ref="K301" si="91">+H301-J301</f>
        <v>189.108</v>
      </c>
      <c r="L301" s="6">
        <f t="shared" si="79"/>
        <v>189.108</v>
      </c>
      <c r="M301" s="299" t="s">
        <v>853</v>
      </c>
      <c r="N301" s="132">
        <f t="shared" ca="1" si="77"/>
        <v>73</v>
      </c>
      <c r="O301" s="85">
        <f t="shared" ref="O301:O331" si="92">S301-12</f>
        <v>45867</v>
      </c>
      <c r="P301" s="131"/>
      <c r="Q301" s="131">
        <f t="shared" si="83"/>
        <v>2</v>
      </c>
      <c r="R301" s="132">
        <f t="shared" ca="1" si="84"/>
        <v>27</v>
      </c>
      <c r="S301" s="131">
        <f t="shared" si="90"/>
        <v>45879</v>
      </c>
      <c r="T301" s="133"/>
      <c r="U301" s="132">
        <f t="shared" ca="1" si="82"/>
        <v>39</v>
      </c>
      <c r="V301" s="335">
        <f t="shared" si="87"/>
        <v>34</v>
      </c>
      <c r="W301" s="131"/>
      <c r="X301" s="297"/>
    </row>
    <row r="302" spans="1:24" ht="19.5" hidden="1" customHeight="1">
      <c r="A302" s="14">
        <v>193</v>
      </c>
      <c r="B302" s="15" t="s">
        <v>59</v>
      </c>
      <c r="C302" s="15"/>
      <c r="D302" s="301" t="s">
        <v>390</v>
      </c>
      <c r="E302" s="12" t="s">
        <v>242</v>
      </c>
      <c r="F302" s="12" t="s">
        <v>162</v>
      </c>
      <c r="G302" s="240">
        <v>45913</v>
      </c>
      <c r="H302" s="320">
        <v>334.09080000000006</v>
      </c>
      <c r="I302" s="241"/>
      <c r="J302" s="241"/>
      <c r="K302" s="6">
        <f>+H302*94%-J302</f>
        <v>314.04535200000004</v>
      </c>
      <c r="L302" s="6">
        <f t="shared" si="79"/>
        <v>334.09080000000006</v>
      </c>
      <c r="M302" s="300" t="s">
        <v>894</v>
      </c>
      <c r="N302" s="132">
        <f t="shared" ca="1" si="77"/>
        <v>73</v>
      </c>
      <c r="O302" s="85">
        <f t="shared" si="92"/>
        <v>45867</v>
      </c>
      <c r="P302" s="131"/>
      <c r="Q302" s="131">
        <f t="shared" si="83"/>
        <v>2</v>
      </c>
      <c r="R302" s="132">
        <f t="shared" ca="1" si="84"/>
        <v>27</v>
      </c>
      <c r="S302" s="131">
        <f t="shared" si="90"/>
        <v>45879</v>
      </c>
      <c r="T302" s="133"/>
      <c r="U302" s="132">
        <f t="shared" ca="1" si="82"/>
        <v>39</v>
      </c>
      <c r="V302" s="335">
        <f t="shared" si="87"/>
        <v>34</v>
      </c>
      <c r="W302" s="131"/>
      <c r="X302" s="297"/>
    </row>
    <row r="303" spans="1:24" ht="19.5" hidden="1" customHeight="1">
      <c r="A303" s="14">
        <v>194</v>
      </c>
      <c r="B303" s="15" t="s">
        <v>59</v>
      </c>
      <c r="C303" s="15"/>
      <c r="D303" s="322" t="s">
        <v>189</v>
      </c>
      <c r="E303" s="12" t="s">
        <v>242</v>
      </c>
      <c r="F303" s="146" t="s">
        <v>90</v>
      </c>
      <c r="G303" s="240">
        <v>45885</v>
      </c>
      <c r="H303" s="320">
        <v>1876</v>
      </c>
      <c r="I303" s="241">
        <v>1876</v>
      </c>
      <c r="J303" s="241"/>
      <c r="K303" s="6">
        <f t="shared" ref="K303" si="93">+H303-J303</f>
        <v>1876</v>
      </c>
      <c r="L303" s="6">
        <f t="shared" ref="L303" si="94">+H303-I303</f>
        <v>0</v>
      </c>
      <c r="M303" s="300" t="s">
        <v>389</v>
      </c>
      <c r="N303" s="132">
        <f t="shared" ca="1" si="77"/>
        <v>45</v>
      </c>
      <c r="O303" s="85">
        <f t="shared" si="92"/>
        <v>45839</v>
      </c>
      <c r="P303" s="131">
        <v>45838</v>
      </c>
      <c r="Q303" s="131">
        <f t="shared" si="83"/>
        <v>45840</v>
      </c>
      <c r="R303" s="132">
        <f t="shared" ca="1" si="84"/>
        <v>1</v>
      </c>
      <c r="S303" s="131">
        <f t="shared" si="90"/>
        <v>45851</v>
      </c>
      <c r="T303" s="133"/>
      <c r="U303" s="132">
        <f t="shared" ref="U303" ca="1" si="95">+IF(T303="",S303-TODAY(),S303-T303)</f>
        <v>11</v>
      </c>
      <c r="V303" s="335">
        <f t="shared" si="87"/>
        <v>34</v>
      </c>
      <c r="W303" s="131"/>
      <c r="X303" s="297"/>
    </row>
    <row r="304" spans="1:24" ht="19.5" hidden="1" customHeight="1">
      <c r="A304" s="14">
        <v>195</v>
      </c>
      <c r="B304" s="15" t="s">
        <v>59</v>
      </c>
      <c r="C304" s="15"/>
      <c r="D304" s="322" t="s">
        <v>901</v>
      </c>
      <c r="E304" s="12" t="s">
        <v>242</v>
      </c>
      <c r="F304" s="12" t="s">
        <v>244</v>
      </c>
      <c r="G304" s="240">
        <v>45889</v>
      </c>
      <c r="H304" s="320">
        <v>607.65880000000004</v>
      </c>
      <c r="I304" s="241"/>
      <c r="J304" s="241"/>
      <c r="K304" s="6">
        <f>+H304-94%-J304</f>
        <v>606.71879999999999</v>
      </c>
      <c r="L304" s="6">
        <f t="shared" ref="L304:L349" si="96">+H304-I304</f>
        <v>607.65880000000004</v>
      </c>
      <c r="M304" s="299" t="s">
        <v>948</v>
      </c>
      <c r="N304" s="132">
        <f t="shared" ca="1" si="77"/>
        <v>49</v>
      </c>
      <c r="O304" s="85">
        <f t="shared" si="92"/>
        <v>45843</v>
      </c>
      <c r="P304" s="131"/>
      <c r="Q304" s="131">
        <f t="shared" si="83"/>
        <v>2</v>
      </c>
      <c r="R304" s="132">
        <f t="shared" ca="1" si="84"/>
        <v>3</v>
      </c>
      <c r="S304" s="131">
        <f t="shared" si="90"/>
        <v>45855</v>
      </c>
      <c r="T304" s="133"/>
      <c r="U304" s="132">
        <f t="shared" ref="U304:U367" ca="1" si="97">+IF(T304="",S304-TODAY(),S304-T304)</f>
        <v>15</v>
      </c>
      <c r="V304" s="335">
        <f t="shared" si="87"/>
        <v>34</v>
      </c>
      <c r="W304" s="131"/>
      <c r="X304" s="297"/>
    </row>
    <row r="305" spans="1:24" ht="19.5" hidden="1" customHeight="1">
      <c r="A305" s="14">
        <v>196</v>
      </c>
      <c r="B305" s="15" t="s">
        <v>59</v>
      </c>
      <c r="C305" s="15"/>
      <c r="D305" s="301" t="s">
        <v>390</v>
      </c>
      <c r="E305" s="12" t="s">
        <v>242</v>
      </c>
      <c r="F305" s="12" t="s">
        <v>162</v>
      </c>
      <c r="G305" s="240">
        <v>45892</v>
      </c>
      <c r="H305" s="320">
        <v>650.56859999999995</v>
      </c>
      <c r="I305" s="241"/>
      <c r="J305" s="241"/>
      <c r="K305" s="6">
        <f>+H305*94%-J305</f>
        <v>611.53448399999991</v>
      </c>
      <c r="L305" s="6">
        <f t="shared" si="96"/>
        <v>650.56859999999995</v>
      </c>
      <c r="M305" s="300" t="s">
        <v>894</v>
      </c>
      <c r="N305" s="132">
        <f t="shared" ca="1" si="77"/>
        <v>52</v>
      </c>
      <c r="O305" s="85">
        <f t="shared" si="92"/>
        <v>45846</v>
      </c>
      <c r="P305" s="131"/>
      <c r="Q305" s="131">
        <f t="shared" ref="Q305:Q368" si="98">P305+2</f>
        <v>2</v>
      </c>
      <c r="R305" s="132">
        <f t="shared" ref="R305:R368" ca="1" si="99">+IF(P305="",O305-TODAY(),O305-P305)</f>
        <v>6</v>
      </c>
      <c r="S305" s="131">
        <f t="shared" si="90"/>
        <v>45858</v>
      </c>
      <c r="T305" s="133"/>
      <c r="U305" s="132">
        <f t="shared" ca="1" si="97"/>
        <v>18</v>
      </c>
      <c r="V305" s="335">
        <f t="shared" si="87"/>
        <v>34</v>
      </c>
      <c r="W305" s="131"/>
      <c r="X305" s="297"/>
    </row>
    <row r="306" spans="1:24" ht="19.5" hidden="1" customHeight="1">
      <c r="A306" s="14">
        <v>196</v>
      </c>
      <c r="B306" s="15" t="s">
        <v>59</v>
      </c>
      <c r="C306" s="15"/>
      <c r="D306" s="322" t="s">
        <v>189</v>
      </c>
      <c r="E306" s="12" t="s">
        <v>242</v>
      </c>
      <c r="F306" s="146" t="s">
        <v>90</v>
      </c>
      <c r="G306" s="240">
        <v>45892</v>
      </c>
      <c r="H306" s="320">
        <v>475.51392000000004</v>
      </c>
      <c r="I306" s="241"/>
      <c r="J306" s="241"/>
      <c r="K306" s="6">
        <f t="shared" ref="K306:K349" si="100">+H306-J306</f>
        <v>475.51392000000004</v>
      </c>
      <c r="L306" s="6">
        <f t="shared" si="96"/>
        <v>475.51392000000004</v>
      </c>
      <c r="M306" s="300" t="s">
        <v>389</v>
      </c>
      <c r="N306" s="132">
        <f t="shared" ca="1" si="77"/>
        <v>52</v>
      </c>
      <c r="O306" s="85">
        <f t="shared" si="92"/>
        <v>45846</v>
      </c>
      <c r="P306" s="131"/>
      <c r="Q306" s="131">
        <f t="shared" ref="Q306" si="101">P306+2</f>
        <v>2</v>
      </c>
      <c r="R306" s="132">
        <f t="shared" ref="R306" ca="1" si="102">+IF(P306="",O306-TODAY(),O306-P306)</f>
        <v>6</v>
      </c>
      <c r="S306" s="131">
        <f t="shared" si="90"/>
        <v>45858</v>
      </c>
      <c r="T306" s="133"/>
      <c r="U306" s="132">
        <f t="shared" ca="1" si="97"/>
        <v>18</v>
      </c>
      <c r="V306" s="335">
        <f t="shared" si="87"/>
        <v>34</v>
      </c>
      <c r="W306" s="131"/>
      <c r="X306" s="297"/>
    </row>
    <row r="307" spans="1:24" ht="19.5" customHeight="1">
      <c r="A307" s="14">
        <v>197</v>
      </c>
      <c r="B307" s="15" t="s">
        <v>59</v>
      </c>
      <c r="C307" s="15"/>
      <c r="D307" s="322" t="s">
        <v>201</v>
      </c>
      <c r="E307" s="12" t="s">
        <v>247</v>
      </c>
      <c r="F307" s="12" t="s">
        <v>155</v>
      </c>
      <c r="G307" s="240">
        <v>45899</v>
      </c>
      <c r="H307" s="320">
        <v>3986.8416000000002</v>
      </c>
      <c r="I307" s="241"/>
      <c r="J307" s="241"/>
      <c r="K307" s="6">
        <f>+H307*94%-J307</f>
        <v>3747.6311040000001</v>
      </c>
      <c r="L307" s="6">
        <f t="shared" si="96"/>
        <v>3986.8416000000002</v>
      </c>
      <c r="M307" s="300" t="s">
        <v>955</v>
      </c>
      <c r="N307" s="132">
        <f t="shared" ca="1" si="77"/>
        <v>59</v>
      </c>
      <c r="O307" s="85">
        <f t="shared" si="92"/>
        <v>45853</v>
      </c>
      <c r="P307" s="131"/>
      <c r="Q307" s="131">
        <f t="shared" ref="Q307" si="103">P307+2</f>
        <v>2</v>
      </c>
      <c r="R307" s="132">
        <f t="shared" ref="R307" ca="1" si="104">+IF(P307="",O307-TODAY(),O307-P307)</f>
        <v>13</v>
      </c>
      <c r="S307" s="131">
        <f t="shared" si="90"/>
        <v>45865</v>
      </c>
      <c r="T307" s="133"/>
      <c r="U307" s="132">
        <f t="shared" ca="1" si="97"/>
        <v>25</v>
      </c>
      <c r="V307" s="335">
        <f t="shared" si="87"/>
        <v>34</v>
      </c>
      <c r="W307" s="131"/>
      <c r="X307" s="297"/>
    </row>
    <row r="308" spans="1:24" ht="19.5" hidden="1" customHeight="1">
      <c r="A308" s="14">
        <v>198</v>
      </c>
      <c r="B308" s="15" t="s">
        <v>59</v>
      </c>
      <c r="C308" s="15"/>
      <c r="D308" s="322" t="s">
        <v>248</v>
      </c>
      <c r="E308" s="146" t="s">
        <v>270</v>
      </c>
      <c r="F308" s="12" t="s">
        <v>162</v>
      </c>
      <c r="G308" s="240">
        <v>45899</v>
      </c>
      <c r="H308" s="320">
        <v>3639.6368400000001</v>
      </c>
      <c r="I308" s="241"/>
      <c r="J308" s="241"/>
      <c r="K308" s="6">
        <f>+H308*92%-J308</f>
        <v>3348.4658928000003</v>
      </c>
      <c r="L308" s="6">
        <f t="shared" si="96"/>
        <v>3639.6368400000001</v>
      </c>
      <c r="M308" s="299" t="s">
        <v>133</v>
      </c>
      <c r="N308" s="132">
        <f t="shared" ca="1" si="77"/>
        <v>59</v>
      </c>
      <c r="O308" s="85">
        <f t="shared" si="92"/>
        <v>45853</v>
      </c>
      <c r="P308" s="131"/>
      <c r="Q308" s="131">
        <f t="shared" si="98"/>
        <v>2</v>
      </c>
      <c r="R308" s="132">
        <f t="shared" ca="1" si="99"/>
        <v>13</v>
      </c>
      <c r="S308" s="131">
        <f t="shared" si="90"/>
        <v>45865</v>
      </c>
      <c r="T308" s="133"/>
      <c r="U308" s="132">
        <f t="shared" ca="1" si="97"/>
        <v>25</v>
      </c>
      <c r="V308" s="335">
        <f t="shared" si="87"/>
        <v>34</v>
      </c>
      <c r="W308" s="131"/>
      <c r="X308" s="297"/>
    </row>
    <row r="309" spans="1:24" ht="19.5" hidden="1" customHeight="1">
      <c r="A309" s="14">
        <v>198</v>
      </c>
      <c r="B309" s="15" t="s">
        <v>59</v>
      </c>
      <c r="C309" s="15"/>
      <c r="D309" s="301" t="s">
        <v>390</v>
      </c>
      <c r="E309" s="12" t="s">
        <v>242</v>
      </c>
      <c r="F309" s="12" t="s">
        <v>162</v>
      </c>
      <c r="G309" s="240">
        <v>45899</v>
      </c>
      <c r="H309" s="320">
        <v>103.19364</v>
      </c>
      <c r="I309" s="241"/>
      <c r="J309" s="241"/>
      <c r="K309" s="6">
        <f>+H309*94%-J309</f>
        <v>97.002021599999992</v>
      </c>
      <c r="L309" s="6">
        <f t="shared" si="96"/>
        <v>103.19364</v>
      </c>
      <c r="M309" s="300" t="s">
        <v>894</v>
      </c>
      <c r="N309" s="132">
        <f t="shared" ca="1" si="77"/>
        <v>59</v>
      </c>
      <c r="O309" s="85">
        <f t="shared" si="92"/>
        <v>45853</v>
      </c>
      <c r="P309" s="131"/>
      <c r="Q309" s="131">
        <f t="shared" ref="Q309" si="105">P309+2</f>
        <v>2</v>
      </c>
      <c r="R309" s="132">
        <f t="shared" ref="R309" ca="1" si="106">+IF(P309="",O309-TODAY(),O309-P309)</f>
        <v>13</v>
      </c>
      <c r="S309" s="131">
        <f t="shared" si="90"/>
        <v>45865</v>
      </c>
      <c r="T309" s="133"/>
      <c r="U309" s="132">
        <f t="shared" ca="1" si="97"/>
        <v>25</v>
      </c>
      <c r="V309" s="335">
        <f t="shared" si="87"/>
        <v>34</v>
      </c>
      <c r="W309" s="131"/>
      <c r="X309" s="297"/>
    </row>
    <row r="310" spans="1:24" ht="19.5" hidden="1" customHeight="1">
      <c r="A310" s="14">
        <v>198</v>
      </c>
      <c r="B310" s="15" t="s">
        <v>59</v>
      </c>
      <c r="C310" s="15"/>
      <c r="D310" s="322" t="s">
        <v>189</v>
      </c>
      <c r="E310" s="12" t="s">
        <v>242</v>
      </c>
      <c r="F310" s="146" t="s">
        <v>90</v>
      </c>
      <c r="G310" s="240">
        <v>45899</v>
      </c>
      <c r="H310" s="320">
        <v>339.65280000000001</v>
      </c>
      <c r="I310" s="241"/>
      <c r="J310" s="241"/>
      <c r="K310" s="6">
        <f t="shared" si="100"/>
        <v>339.65280000000001</v>
      </c>
      <c r="L310" s="6">
        <f t="shared" si="96"/>
        <v>339.65280000000001</v>
      </c>
      <c r="M310" s="300" t="s">
        <v>389</v>
      </c>
      <c r="N310" s="132">
        <f t="shared" ca="1" si="77"/>
        <v>59</v>
      </c>
      <c r="O310" s="85">
        <f t="shared" si="92"/>
        <v>45853</v>
      </c>
      <c r="P310" s="131"/>
      <c r="Q310" s="131">
        <f t="shared" ref="Q310:Q311" si="107">P310+2</f>
        <v>2</v>
      </c>
      <c r="R310" s="132">
        <f t="shared" ref="R310:R311" ca="1" si="108">+IF(P310="",O310-TODAY(),O310-P310)</f>
        <v>13</v>
      </c>
      <c r="S310" s="131">
        <f t="shared" si="90"/>
        <v>45865</v>
      </c>
      <c r="T310" s="133"/>
      <c r="U310" s="132">
        <f t="shared" ca="1" si="97"/>
        <v>25</v>
      </c>
      <c r="V310" s="335">
        <f t="shared" si="87"/>
        <v>34</v>
      </c>
      <c r="W310" s="131"/>
      <c r="X310" s="297"/>
    </row>
    <row r="311" spans="1:24" ht="19.5" hidden="1" customHeight="1">
      <c r="A311" s="14">
        <v>199</v>
      </c>
      <c r="B311" s="15" t="s">
        <v>59</v>
      </c>
      <c r="C311" s="15"/>
      <c r="D311" s="322" t="s">
        <v>250</v>
      </c>
      <c r="E311" s="12" t="s">
        <v>249</v>
      </c>
      <c r="F311" s="12" t="s">
        <v>162</v>
      </c>
      <c r="G311" s="240">
        <v>45906</v>
      </c>
      <c r="H311" s="320">
        <v>3576.16</v>
      </c>
      <c r="I311" s="241"/>
      <c r="J311" s="241"/>
      <c r="K311" s="6">
        <f t="shared" si="100"/>
        <v>3576.16</v>
      </c>
      <c r="L311" s="6">
        <f t="shared" si="96"/>
        <v>3576.16</v>
      </c>
      <c r="M311" s="299" t="s">
        <v>397</v>
      </c>
      <c r="N311" s="132">
        <f t="shared" ca="1" si="77"/>
        <v>66</v>
      </c>
      <c r="O311" s="85">
        <f t="shared" si="92"/>
        <v>45860</v>
      </c>
      <c r="P311" s="131"/>
      <c r="Q311" s="131">
        <f t="shared" si="107"/>
        <v>2</v>
      </c>
      <c r="R311" s="132">
        <f t="shared" ca="1" si="108"/>
        <v>20</v>
      </c>
      <c r="S311" s="131">
        <f t="shared" si="90"/>
        <v>45872</v>
      </c>
      <c r="T311" s="133"/>
      <c r="U311" s="132">
        <f t="shared" ca="1" si="97"/>
        <v>32</v>
      </c>
      <c r="V311" s="335">
        <f t="shared" si="87"/>
        <v>34</v>
      </c>
      <c r="W311" s="131"/>
      <c r="X311" s="297"/>
    </row>
    <row r="312" spans="1:24" ht="19.5" hidden="1" customHeight="1">
      <c r="A312" s="14">
        <v>199</v>
      </c>
      <c r="B312" s="15" t="s">
        <v>59</v>
      </c>
      <c r="C312" s="15"/>
      <c r="D312" s="301" t="s">
        <v>390</v>
      </c>
      <c r="E312" s="12" t="s">
        <v>242</v>
      </c>
      <c r="F312" s="12" t="s">
        <v>162</v>
      </c>
      <c r="G312" s="240">
        <v>45906</v>
      </c>
      <c r="H312" s="320">
        <v>661.78530000000001</v>
      </c>
      <c r="I312" s="241"/>
      <c r="J312" s="241"/>
      <c r="K312" s="6">
        <f>+H312*94%-J312</f>
        <v>622.07818199999997</v>
      </c>
      <c r="L312" s="6">
        <f t="shared" si="96"/>
        <v>661.78530000000001</v>
      </c>
      <c r="M312" s="300" t="s">
        <v>894</v>
      </c>
      <c r="N312" s="132">
        <f t="shared" ca="1" si="77"/>
        <v>66</v>
      </c>
      <c r="O312" s="85">
        <f t="shared" si="92"/>
        <v>45860</v>
      </c>
      <c r="P312" s="131"/>
      <c r="Q312" s="131">
        <f t="shared" ref="Q312" si="109">P312+2</f>
        <v>2</v>
      </c>
      <c r="R312" s="132">
        <f t="shared" ref="R312" ca="1" si="110">+IF(P312="",O312-TODAY(),O312-P312)</f>
        <v>20</v>
      </c>
      <c r="S312" s="131">
        <f t="shared" si="90"/>
        <v>45872</v>
      </c>
      <c r="T312" s="133"/>
      <c r="U312" s="132">
        <f t="shared" ca="1" si="97"/>
        <v>32</v>
      </c>
      <c r="V312" s="335">
        <f t="shared" si="87"/>
        <v>34</v>
      </c>
      <c r="W312" s="131"/>
      <c r="X312" s="297"/>
    </row>
    <row r="313" spans="1:24" ht="19.5" hidden="1" customHeight="1">
      <c r="A313" s="14">
        <v>199</v>
      </c>
      <c r="B313" s="15" t="s">
        <v>59</v>
      </c>
      <c r="C313" s="15"/>
      <c r="D313" s="322" t="s">
        <v>189</v>
      </c>
      <c r="E313" s="12" t="s">
        <v>242</v>
      </c>
      <c r="F313" s="146" t="s">
        <v>90</v>
      </c>
      <c r="G313" s="240">
        <v>45906</v>
      </c>
      <c r="H313" s="320">
        <v>645.34032000000002</v>
      </c>
      <c r="I313" s="241"/>
      <c r="J313" s="241"/>
      <c r="K313" s="6">
        <f t="shared" si="100"/>
        <v>645.34032000000002</v>
      </c>
      <c r="L313" s="6">
        <f t="shared" si="96"/>
        <v>645.34032000000002</v>
      </c>
      <c r="M313" s="300" t="s">
        <v>389</v>
      </c>
      <c r="N313" s="132">
        <f t="shared" ca="1" si="77"/>
        <v>66</v>
      </c>
      <c r="O313" s="85">
        <f t="shared" si="92"/>
        <v>45860</v>
      </c>
      <c r="P313" s="131"/>
      <c r="Q313" s="131">
        <f t="shared" ref="Q313:Q314" si="111">P313+2</f>
        <v>2</v>
      </c>
      <c r="R313" s="132">
        <f t="shared" ref="R313:R314" ca="1" si="112">+IF(P313="",O313-TODAY(),O313-P313)</f>
        <v>20</v>
      </c>
      <c r="S313" s="131">
        <f t="shared" si="90"/>
        <v>45872</v>
      </c>
      <c r="T313" s="133"/>
      <c r="U313" s="132">
        <f t="shared" ca="1" si="97"/>
        <v>32</v>
      </c>
      <c r="V313" s="335">
        <f t="shared" si="87"/>
        <v>34</v>
      </c>
      <c r="W313" s="131"/>
      <c r="X313" s="297"/>
    </row>
    <row r="314" spans="1:24" ht="19.5" hidden="1" customHeight="1">
      <c r="A314" s="14">
        <v>200</v>
      </c>
      <c r="B314" s="15" t="s">
        <v>59</v>
      </c>
      <c r="C314" s="15"/>
      <c r="D314" s="322" t="s">
        <v>250</v>
      </c>
      <c r="E314" s="12" t="s">
        <v>249</v>
      </c>
      <c r="F314" s="12" t="s">
        <v>162</v>
      </c>
      <c r="G314" s="240">
        <v>45906</v>
      </c>
      <c r="H314" s="320">
        <v>4297.16</v>
      </c>
      <c r="I314" s="241"/>
      <c r="J314" s="241"/>
      <c r="K314" s="6">
        <f t="shared" si="100"/>
        <v>4297.16</v>
      </c>
      <c r="L314" s="6">
        <f t="shared" si="96"/>
        <v>4297.16</v>
      </c>
      <c r="M314" s="299" t="s">
        <v>397</v>
      </c>
      <c r="N314" s="132">
        <f t="shared" ca="1" si="77"/>
        <v>66</v>
      </c>
      <c r="O314" s="85">
        <f t="shared" si="92"/>
        <v>45860</v>
      </c>
      <c r="P314" s="131"/>
      <c r="Q314" s="131">
        <f t="shared" si="111"/>
        <v>2</v>
      </c>
      <c r="R314" s="132">
        <f t="shared" ca="1" si="112"/>
        <v>20</v>
      </c>
      <c r="S314" s="131">
        <f t="shared" si="90"/>
        <v>45872</v>
      </c>
      <c r="T314" s="133"/>
      <c r="U314" s="132">
        <f t="shared" ca="1" si="97"/>
        <v>32</v>
      </c>
      <c r="V314" s="335">
        <f t="shared" si="87"/>
        <v>34</v>
      </c>
      <c r="W314" s="131"/>
      <c r="X314" s="297"/>
    </row>
    <row r="315" spans="1:24" ht="19.5" hidden="1" customHeight="1">
      <c r="A315" s="14">
        <v>200</v>
      </c>
      <c r="B315" s="15" t="s">
        <v>59</v>
      </c>
      <c r="C315" s="15"/>
      <c r="D315" s="301" t="s">
        <v>390</v>
      </c>
      <c r="E315" s="12" t="s">
        <v>242</v>
      </c>
      <c r="F315" s="12" t="s">
        <v>162</v>
      </c>
      <c r="G315" s="240">
        <v>45906</v>
      </c>
      <c r="H315" s="320">
        <v>163.76381999999998</v>
      </c>
      <c r="I315" s="241"/>
      <c r="J315" s="241"/>
      <c r="K315" s="6">
        <f>+H315*94%-J315</f>
        <v>153.93799079999997</v>
      </c>
      <c r="L315" s="6">
        <f t="shared" si="96"/>
        <v>163.76381999999998</v>
      </c>
      <c r="M315" s="300" t="s">
        <v>894</v>
      </c>
      <c r="N315" s="132">
        <f t="shared" ca="1" si="77"/>
        <v>66</v>
      </c>
      <c r="O315" s="85">
        <f t="shared" si="92"/>
        <v>45860</v>
      </c>
      <c r="P315" s="131"/>
      <c r="Q315" s="131">
        <f t="shared" ref="Q315:Q316" si="113">P315+2</f>
        <v>2</v>
      </c>
      <c r="R315" s="132">
        <f t="shared" ref="R315:R316" ca="1" si="114">+IF(P315="",O315-TODAY(),O315-P315)</f>
        <v>20</v>
      </c>
      <c r="S315" s="131">
        <f t="shared" si="90"/>
        <v>45872</v>
      </c>
      <c r="T315" s="133"/>
      <c r="U315" s="132">
        <f t="shared" ca="1" si="97"/>
        <v>32</v>
      </c>
      <c r="V315" s="335">
        <f t="shared" si="87"/>
        <v>34</v>
      </c>
      <c r="W315" s="131"/>
      <c r="X315" s="297"/>
    </row>
    <row r="316" spans="1:24" ht="19.5" hidden="1" customHeight="1">
      <c r="A316" s="14">
        <v>200</v>
      </c>
      <c r="B316" s="15" t="s">
        <v>59</v>
      </c>
      <c r="C316" s="15"/>
      <c r="D316" s="322" t="s">
        <v>189</v>
      </c>
      <c r="E316" s="12" t="s">
        <v>242</v>
      </c>
      <c r="F316" s="146" t="s">
        <v>90</v>
      </c>
      <c r="G316" s="240">
        <v>45906</v>
      </c>
      <c r="H316" s="320">
        <v>407.58336000000003</v>
      </c>
      <c r="I316" s="241"/>
      <c r="J316" s="241"/>
      <c r="K316" s="6">
        <f t="shared" si="100"/>
        <v>407.58336000000003</v>
      </c>
      <c r="L316" s="6">
        <f t="shared" si="96"/>
        <v>407.58336000000003</v>
      </c>
      <c r="M316" s="300" t="s">
        <v>389</v>
      </c>
      <c r="N316" s="132">
        <f t="shared" ca="1" si="77"/>
        <v>66</v>
      </c>
      <c r="O316" s="85">
        <f t="shared" si="92"/>
        <v>45860</v>
      </c>
      <c r="P316" s="131"/>
      <c r="Q316" s="131">
        <f t="shared" si="113"/>
        <v>2</v>
      </c>
      <c r="R316" s="132">
        <f t="shared" ca="1" si="114"/>
        <v>20</v>
      </c>
      <c r="S316" s="131">
        <f t="shared" si="90"/>
        <v>45872</v>
      </c>
      <c r="T316" s="133"/>
      <c r="U316" s="132">
        <f t="shared" ca="1" si="97"/>
        <v>32</v>
      </c>
      <c r="V316" s="335">
        <f t="shared" si="87"/>
        <v>34</v>
      </c>
      <c r="W316" s="131"/>
      <c r="X316" s="297"/>
    </row>
    <row r="317" spans="1:24" ht="19.5" hidden="1" customHeight="1">
      <c r="A317" s="14">
        <v>200</v>
      </c>
      <c r="B317" s="15" t="s">
        <v>59</v>
      </c>
      <c r="C317" s="15"/>
      <c r="D317" s="322" t="s">
        <v>391</v>
      </c>
      <c r="E317" s="12" t="s">
        <v>392</v>
      </c>
      <c r="F317" s="12" t="s">
        <v>393</v>
      </c>
      <c r="G317" s="240">
        <v>45906</v>
      </c>
      <c r="H317" s="320">
        <v>266.976</v>
      </c>
      <c r="I317" s="241"/>
      <c r="J317" s="241"/>
      <c r="K317" s="6">
        <f t="shared" si="100"/>
        <v>266.976</v>
      </c>
      <c r="L317" s="6">
        <f t="shared" si="96"/>
        <v>266.976</v>
      </c>
      <c r="M317" s="299" t="s">
        <v>853</v>
      </c>
      <c r="N317" s="132">
        <f t="shared" ca="1" si="77"/>
        <v>66</v>
      </c>
      <c r="O317" s="85">
        <f t="shared" si="92"/>
        <v>45860</v>
      </c>
      <c r="P317" s="131"/>
      <c r="Q317" s="131">
        <f t="shared" ref="Q317" si="115">P317+2</f>
        <v>2</v>
      </c>
      <c r="R317" s="132">
        <f t="shared" ref="R317" ca="1" si="116">+IF(P317="",O317-TODAY(),O317-P317)</f>
        <v>20</v>
      </c>
      <c r="S317" s="131">
        <f t="shared" si="90"/>
        <v>45872</v>
      </c>
      <c r="T317" s="133"/>
      <c r="U317" s="132">
        <f t="shared" ca="1" si="97"/>
        <v>32</v>
      </c>
      <c r="V317" s="335">
        <f t="shared" si="87"/>
        <v>34</v>
      </c>
      <c r="W317" s="131"/>
      <c r="X317" s="297"/>
    </row>
    <row r="318" spans="1:24" ht="19.5" hidden="1" customHeight="1">
      <c r="A318" s="14">
        <v>201</v>
      </c>
      <c r="B318" s="15" t="s">
        <v>59</v>
      </c>
      <c r="C318" s="15"/>
      <c r="D318" s="322" t="s">
        <v>248</v>
      </c>
      <c r="E318" s="12" t="s">
        <v>270</v>
      </c>
      <c r="F318" s="12" t="s">
        <v>162</v>
      </c>
      <c r="G318" s="240">
        <v>45913</v>
      </c>
      <c r="H318" s="320">
        <v>3639.6368400000001</v>
      </c>
      <c r="I318" s="241"/>
      <c r="J318" s="241"/>
      <c r="K318" s="6">
        <f>+H318*92%-J318</f>
        <v>3348.4658928000003</v>
      </c>
      <c r="L318" s="6">
        <f t="shared" si="96"/>
        <v>3639.6368400000001</v>
      </c>
      <c r="M318" s="299" t="s">
        <v>133</v>
      </c>
      <c r="N318" s="132">
        <f t="shared" ref="N318:N381" ca="1" si="117">G318-TODAY()</f>
        <v>73</v>
      </c>
      <c r="O318" s="85">
        <f t="shared" si="92"/>
        <v>45867</v>
      </c>
      <c r="P318" s="131"/>
      <c r="Q318" s="131">
        <f t="shared" si="98"/>
        <v>2</v>
      </c>
      <c r="R318" s="132">
        <f t="shared" ca="1" si="99"/>
        <v>27</v>
      </c>
      <c r="S318" s="131">
        <f t="shared" si="90"/>
        <v>45879</v>
      </c>
      <c r="T318" s="133"/>
      <c r="U318" s="132">
        <f t="shared" ca="1" si="97"/>
        <v>39</v>
      </c>
      <c r="V318" s="335">
        <f t="shared" si="87"/>
        <v>34</v>
      </c>
      <c r="W318" s="131"/>
      <c r="X318" s="297"/>
    </row>
    <row r="319" spans="1:24" ht="19.5" customHeight="1">
      <c r="A319" s="14">
        <v>202</v>
      </c>
      <c r="B319" s="15" t="s">
        <v>59</v>
      </c>
      <c r="C319" s="15"/>
      <c r="D319" s="322" t="s">
        <v>201</v>
      </c>
      <c r="E319" s="12" t="s">
        <v>247</v>
      </c>
      <c r="F319" s="12" t="s">
        <v>155</v>
      </c>
      <c r="G319" s="240">
        <v>45913</v>
      </c>
      <c r="H319" s="320">
        <v>4298.3136000000004</v>
      </c>
      <c r="I319" s="241"/>
      <c r="J319" s="241"/>
      <c r="K319" s="6">
        <f>+H319*94%-J319</f>
        <v>4040.4147840000001</v>
      </c>
      <c r="L319" s="6">
        <f t="shared" si="96"/>
        <v>4298.3136000000004</v>
      </c>
      <c r="M319" s="300" t="s">
        <v>955</v>
      </c>
      <c r="N319" s="132">
        <f t="shared" ca="1" si="117"/>
        <v>73</v>
      </c>
      <c r="O319" s="85">
        <f t="shared" si="92"/>
        <v>45867</v>
      </c>
      <c r="P319" s="131"/>
      <c r="Q319" s="131">
        <f t="shared" si="98"/>
        <v>2</v>
      </c>
      <c r="R319" s="132">
        <f t="shared" ca="1" si="99"/>
        <v>27</v>
      </c>
      <c r="S319" s="131">
        <f t="shared" si="90"/>
        <v>45879</v>
      </c>
      <c r="T319" s="133"/>
      <c r="U319" s="132">
        <f t="shared" ca="1" si="97"/>
        <v>39</v>
      </c>
      <c r="V319" s="335">
        <f t="shared" si="87"/>
        <v>34</v>
      </c>
      <c r="W319" s="131"/>
      <c r="X319" s="297"/>
    </row>
    <row r="320" spans="1:24" ht="19.5" hidden="1" customHeight="1">
      <c r="A320" s="14">
        <v>202</v>
      </c>
      <c r="B320" s="15" t="s">
        <v>59</v>
      </c>
      <c r="C320" s="15"/>
      <c r="D320" s="301" t="s">
        <v>390</v>
      </c>
      <c r="E320" s="12" t="s">
        <v>242</v>
      </c>
      <c r="F320" s="12" t="s">
        <v>162</v>
      </c>
      <c r="G320" s="240">
        <v>45913</v>
      </c>
      <c r="H320" s="320">
        <v>677.48868000000004</v>
      </c>
      <c r="I320" s="241"/>
      <c r="J320" s="241"/>
      <c r="K320" s="6">
        <f>+H320*94%-J320</f>
        <v>636.83935919999999</v>
      </c>
      <c r="L320" s="6">
        <f t="shared" si="96"/>
        <v>677.48868000000004</v>
      </c>
      <c r="M320" s="300" t="s">
        <v>894</v>
      </c>
      <c r="N320" s="132">
        <f t="shared" ca="1" si="117"/>
        <v>73</v>
      </c>
      <c r="O320" s="85">
        <f t="shared" si="92"/>
        <v>45867</v>
      </c>
      <c r="P320" s="131"/>
      <c r="Q320" s="131">
        <f t="shared" ref="Q320:Q321" si="118">P320+2</f>
        <v>2</v>
      </c>
      <c r="R320" s="132">
        <f t="shared" ref="R320:R321" ca="1" si="119">+IF(P320="",O320-TODAY(),O320-P320)</f>
        <v>27</v>
      </c>
      <c r="S320" s="131">
        <f t="shared" si="90"/>
        <v>45879</v>
      </c>
      <c r="T320" s="133"/>
      <c r="U320" s="132">
        <f t="shared" ca="1" si="97"/>
        <v>39</v>
      </c>
      <c r="V320" s="335">
        <f t="shared" si="87"/>
        <v>34</v>
      </c>
      <c r="W320" s="131"/>
      <c r="X320" s="297"/>
    </row>
    <row r="321" spans="1:24" ht="19.5" hidden="1" customHeight="1">
      <c r="A321" s="14">
        <v>202</v>
      </c>
      <c r="B321" s="15" t="s">
        <v>59</v>
      </c>
      <c r="C321" s="15"/>
      <c r="D321" s="322" t="s">
        <v>189</v>
      </c>
      <c r="E321" s="12" t="s">
        <v>242</v>
      </c>
      <c r="F321" s="146" t="s">
        <v>90</v>
      </c>
      <c r="G321" s="240">
        <v>45913</v>
      </c>
      <c r="H321" s="320">
        <v>339.65280000000001</v>
      </c>
      <c r="I321" s="241"/>
      <c r="J321" s="241"/>
      <c r="K321" s="6">
        <f t="shared" si="100"/>
        <v>339.65280000000001</v>
      </c>
      <c r="L321" s="6">
        <f t="shared" si="96"/>
        <v>339.65280000000001</v>
      </c>
      <c r="M321" s="300" t="s">
        <v>389</v>
      </c>
      <c r="N321" s="132">
        <f t="shared" ca="1" si="117"/>
        <v>73</v>
      </c>
      <c r="O321" s="85">
        <f t="shared" si="92"/>
        <v>45867</v>
      </c>
      <c r="P321" s="131"/>
      <c r="Q321" s="131">
        <f t="shared" si="118"/>
        <v>2</v>
      </c>
      <c r="R321" s="132">
        <f t="shared" ca="1" si="119"/>
        <v>27</v>
      </c>
      <c r="S321" s="131">
        <f t="shared" si="90"/>
        <v>45879</v>
      </c>
      <c r="T321" s="133"/>
      <c r="U321" s="132">
        <f t="shared" ca="1" si="97"/>
        <v>39</v>
      </c>
      <c r="V321" s="335">
        <f t="shared" si="87"/>
        <v>34</v>
      </c>
      <c r="W321" s="131"/>
      <c r="X321" s="297"/>
    </row>
    <row r="322" spans="1:24" ht="19.5" hidden="1" customHeight="1">
      <c r="A322" s="14">
        <v>203</v>
      </c>
      <c r="B322" s="15" t="s">
        <v>59</v>
      </c>
      <c r="C322" s="15"/>
      <c r="D322" s="301" t="s">
        <v>390</v>
      </c>
      <c r="E322" s="12" t="s">
        <v>242</v>
      </c>
      <c r="F322" s="12" t="s">
        <v>162</v>
      </c>
      <c r="G322" s="240">
        <v>45913</v>
      </c>
      <c r="H322" s="320">
        <v>468.85806000000002</v>
      </c>
      <c r="I322" s="241"/>
      <c r="J322" s="241"/>
      <c r="K322" s="6">
        <f>+H322*94%-J322</f>
        <v>440.7265764</v>
      </c>
      <c r="L322" s="6">
        <f t="shared" si="96"/>
        <v>468.85806000000002</v>
      </c>
      <c r="M322" s="300" t="s">
        <v>894</v>
      </c>
      <c r="N322" s="132">
        <f t="shared" ca="1" si="117"/>
        <v>73</v>
      </c>
      <c r="O322" s="85">
        <f t="shared" si="92"/>
        <v>45867</v>
      </c>
      <c r="P322" s="131"/>
      <c r="Q322" s="131">
        <f t="shared" ref="Q322" si="120">P322+2</f>
        <v>2</v>
      </c>
      <c r="R322" s="132">
        <f t="shared" ref="R322" ca="1" si="121">+IF(P322="",O322-TODAY(),O322-P322)</f>
        <v>27</v>
      </c>
      <c r="S322" s="131">
        <f t="shared" si="90"/>
        <v>45879</v>
      </c>
      <c r="T322" s="133"/>
      <c r="U322" s="132">
        <f t="shared" ca="1" si="97"/>
        <v>39</v>
      </c>
      <c r="V322" s="335">
        <f t="shared" si="87"/>
        <v>34</v>
      </c>
      <c r="W322" s="131"/>
      <c r="X322" s="297"/>
    </row>
    <row r="323" spans="1:24" ht="19.5" hidden="1" customHeight="1">
      <c r="A323" s="14">
        <v>204</v>
      </c>
      <c r="B323" s="15" t="s">
        <v>59</v>
      </c>
      <c r="C323" s="15"/>
      <c r="D323" s="322" t="s">
        <v>189</v>
      </c>
      <c r="E323" s="12" t="s">
        <v>242</v>
      </c>
      <c r="F323" s="146" t="s">
        <v>90</v>
      </c>
      <c r="G323" s="240">
        <v>45913</v>
      </c>
      <c r="H323" s="320">
        <v>1086.88896</v>
      </c>
      <c r="I323" s="241"/>
      <c r="J323" s="241"/>
      <c r="K323" s="6">
        <f t="shared" si="100"/>
        <v>1086.88896</v>
      </c>
      <c r="L323" s="6">
        <f t="shared" si="96"/>
        <v>1086.88896</v>
      </c>
      <c r="M323" s="300" t="s">
        <v>389</v>
      </c>
      <c r="N323" s="132">
        <f t="shared" ca="1" si="117"/>
        <v>73</v>
      </c>
      <c r="O323" s="85">
        <f t="shared" si="92"/>
        <v>45867</v>
      </c>
      <c r="P323" s="131"/>
      <c r="Q323" s="131">
        <f t="shared" ref="Q323" si="122">P323+2</f>
        <v>2</v>
      </c>
      <c r="R323" s="132">
        <f t="shared" ref="R323" ca="1" si="123">+IF(P323="",O323-TODAY(),O323-P323)</f>
        <v>27</v>
      </c>
      <c r="S323" s="131">
        <f t="shared" si="90"/>
        <v>45879</v>
      </c>
      <c r="T323" s="133"/>
      <c r="U323" s="132">
        <f t="shared" ca="1" si="97"/>
        <v>39</v>
      </c>
      <c r="V323" s="335">
        <f t="shared" si="87"/>
        <v>34</v>
      </c>
      <c r="W323" s="131"/>
      <c r="X323" s="297"/>
    </row>
    <row r="324" spans="1:24" ht="19.5" hidden="1" customHeight="1">
      <c r="A324" s="14">
        <v>205</v>
      </c>
      <c r="B324" s="15" t="s">
        <v>59</v>
      </c>
      <c r="C324" s="15"/>
      <c r="D324" s="322" t="s">
        <v>189</v>
      </c>
      <c r="E324" s="12" t="s">
        <v>242</v>
      </c>
      <c r="F324" s="146" t="s">
        <v>90</v>
      </c>
      <c r="G324" s="240">
        <v>45913</v>
      </c>
      <c r="H324" s="320">
        <v>645.34032000000002</v>
      </c>
      <c r="I324" s="241"/>
      <c r="J324" s="241"/>
      <c r="K324" s="6">
        <f t="shared" si="100"/>
        <v>645.34032000000002</v>
      </c>
      <c r="L324" s="6">
        <f t="shared" si="96"/>
        <v>645.34032000000002</v>
      </c>
      <c r="M324" s="300" t="s">
        <v>389</v>
      </c>
      <c r="N324" s="132">
        <f t="shared" ca="1" si="117"/>
        <v>73</v>
      </c>
      <c r="O324" s="85">
        <f t="shared" si="92"/>
        <v>45867</v>
      </c>
      <c r="P324" s="131"/>
      <c r="Q324" s="131">
        <f t="shared" ref="Q324" si="124">P324+2</f>
        <v>2</v>
      </c>
      <c r="R324" s="132">
        <f t="shared" ref="R324" ca="1" si="125">+IF(P324="",O324-TODAY(),O324-P324)</f>
        <v>27</v>
      </c>
      <c r="S324" s="131">
        <f t="shared" si="90"/>
        <v>45879</v>
      </c>
      <c r="T324" s="133"/>
      <c r="U324" s="132">
        <f t="shared" ca="1" si="97"/>
        <v>39</v>
      </c>
      <c r="V324" s="335">
        <f t="shared" si="87"/>
        <v>34</v>
      </c>
      <c r="W324" s="131"/>
      <c r="X324" s="297"/>
    </row>
    <row r="325" spans="1:24" ht="19.5" hidden="1" customHeight="1">
      <c r="A325" s="14">
        <v>206</v>
      </c>
      <c r="B325" s="15" t="s">
        <v>59</v>
      </c>
      <c r="C325" s="15"/>
      <c r="D325" s="322" t="s">
        <v>189</v>
      </c>
      <c r="E325" s="12" t="s">
        <v>242</v>
      </c>
      <c r="F325" s="146" t="s">
        <v>90</v>
      </c>
      <c r="G325" s="240">
        <v>45920</v>
      </c>
      <c r="H325" s="320">
        <v>305.68752000000006</v>
      </c>
      <c r="I325" s="241"/>
      <c r="J325" s="241"/>
      <c r="K325" s="6">
        <f t="shared" si="100"/>
        <v>305.68752000000006</v>
      </c>
      <c r="L325" s="6">
        <f t="shared" si="96"/>
        <v>305.68752000000006</v>
      </c>
      <c r="M325" s="300" t="s">
        <v>389</v>
      </c>
      <c r="N325" s="132">
        <f t="shared" ca="1" si="117"/>
        <v>80</v>
      </c>
      <c r="O325" s="85">
        <f t="shared" si="92"/>
        <v>45874</v>
      </c>
      <c r="P325" s="131"/>
      <c r="Q325" s="131">
        <f t="shared" si="98"/>
        <v>2</v>
      </c>
      <c r="R325" s="132">
        <f t="shared" ca="1" si="99"/>
        <v>34</v>
      </c>
      <c r="S325" s="131">
        <f t="shared" si="90"/>
        <v>45886</v>
      </c>
      <c r="T325" s="133"/>
      <c r="U325" s="132">
        <f t="shared" ca="1" si="97"/>
        <v>46</v>
      </c>
      <c r="V325" s="335">
        <f t="shared" si="87"/>
        <v>34</v>
      </c>
      <c r="W325" s="131"/>
      <c r="X325" s="297"/>
    </row>
    <row r="326" spans="1:24" ht="19.5" hidden="1" customHeight="1">
      <c r="A326" s="14">
        <v>206</v>
      </c>
      <c r="B326" s="15" t="s">
        <v>59</v>
      </c>
      <c r="C326" s="15"/>
      <c r="D326" s="322" t="s">
        <v>391</v>
      </c>
      <c r="E326" s="12" t="s">
        <v>392</v>
      </c>
      <c r="F326" s="12" t="s">
        <v>393</v>
      </c>
      <c r="G326" s="240">
        <v>45920</v>
      </c>
      <c r="H326" s="320">
        <v>667.44</v>
      </c>
      <c r="I326" s="241"/>
      <c r="J326" s="241"/>
      <c r="K326" s="6">
        <f t="shared" si="100"/>
        <v>667.44</v>
      </c>
      <c r="L326" s="6">
        <f t="shared" si="96"/>
        <v>667.44</v>
      </c>
      <c r="M326" s="299" t="s">
        <v>853</v>
      </c>
      <c r="N326" s="132">
        <f t="shared" ca="1" si="117"/>
        <v>80</v>
      </c>
      <c r="O326" s="85">
        <f t="shared" si="92"/>
        <v>45874</v>
      </c>
      <c r="P326" s="131"/>
      <c r="Q326" s="131">
        <f t="shared" ref="Q326" si="126">P326+2</f>
        <v>2</v>
      </c>
      <c r="R326" s="132">
        <f t="shared" ref="R326" ca="1" si="127">+IF(P326="",O326-TODAY(),O326-P326)</f>
        <v>34</v>
      </c>
      <c r="S326" s="131">
        <f t="shared" si="90"/>
        <v>45886</v>
      </c>
      <c r="T326" s="133"/>
      <c r="U326" s="132">
        <f t="shared" ca="1" si="97"/>
        <v>46</v>
      </c>
      <c r="V326" s="335">
        <f t="shared" si="87"/>
        <v>34</v>
      </c>
      <c r="W326" s="131"/>
      <c r="X326" s="297"/>
    </row>
    <row r="327" spans="1:24" ht="19.5" hidden="1" customHeight="1">
      <c r="A327" s="14">
        <v>207</v>
      </c>
      <c r="B327" s="15" t="s">
        <v>59</v>
      </c>
      <c r="C327" s="15"/>
      <c r="D327" s="322" t="s">
        <v>391</v>
      </c>
      <c r="E327" s="12" t="s">
        <v>392</v>
      </c>
      <c r="F327" s="12" t="s">
        <v>393</v>
      </c>
      <c r="G327" s="240">
        <v>45920</v>
      </c>
      <c r="H327" s="320">
        <v>667.44</v>
      </c>
      <c r="I327" s="241"/>
      <c r="J327" s="241"/>
      <c r="K327" s="6">
        <f t="shared" si="100"/>
        <v>667.44</v>
      </c>
      <c r="L327" s="6">
        <f t="shared" si="96"/>
        <v>667.44</v>
      </c>
      <c r="M327" s="299" t="s">
        <v>853</v>
      </c>
      <c r="N327" s="132">
        <f t="shared" ca="1" si="117"/>
        <v>80</v>
      </c>
      <c r="O327" s="85">
        <f t="shared" si="92"/>
        <v>45874</v>
      </c>
      <c r="P327" s="131"/>
      <c r="Q327" s="131">
        <f t="shared" ref="Q327" si="128">P327+2</f>
        <v>2</v>
      </c>
      <c r="R327" s="132">
        <f t="shared" ref="R327" ca="1" si="129">+IF(P327="",O327-TODAY(),O327-P327)</f>
        <v>34</v>
      </c>
      <c r="S327" s="131">
        <f t="shared" si="90"/>
        <v>45886</v>
      </c>
      <c r="T327" s="133"/>
      <c r="U327" s="132">
        <f t="shared" ca="1" si="97"/>
        <v>46</v>
      </c>
      <c r="V327" s="335">
        <f t="shared" si="87"/>
        <v>34</v>
      </c>
      <c r="W327" s="131"/>
      <c r="X327" s="297"/>
    </row>
    <row r="328" spans="1:24" ht="19.5" hidden="1" customHeight="1">
      <c r="A328" s="14">
        <v>207</v>
      </c>
      <c r="B328" s="15" t="s">
        <v>59</v>
      </c>
      <c r="C328" s="15"/>
      <c r="D328" s="322" t="s">
        <v>901</v>
      </c>
      <c r="E328" s="12" t="s">
        <v>242</v>
      </c>
      <c r="F328" s="12" t="s">
        <v>244</v>
      </c>
      <c r="G328" s="240">
        <v>45920</v>
      </c>
      <c r="H328" s="320">
        <v>216.21348000000003</v>
      </c>
      <c r="I328" s="241"/>
      <c r="J328" s="241"/>
      <c r="K328" s="6">
        <f>+H328-94%-J328</f>
        <v>215.27348000000003</v>
      </c>
      <c r="L328" s="6">
        <f t="shared" si="96"/>
        <v>216.21348000000003</v>
      </c>
      <c r="M328" s="299" t="s">
        <v>948</v>
      </c>
      <c r="N328" s="132">
        <f t="shared" ca="1" si="117"/>
        <v>80</v>
      </c>
      <c r="O328" s="85">
        <f t="shared" si="92"/>
        <v>45874</v>
      </c>
      <c r="P328" s="131"/>
      <c r="Q328" s="131">
        <f t="shared" si="98"/>
        <v>2</v>
      </c>
      <c r="R328" s="132">
        <f t="shared" ca="1" si="99"/>
        <v>34</v>
      </c>
      <c r="S328" s="131">
        <f t="shared" si="90"/>
        <v>45886</v>
      </c>
      <c r="T328" s="133"/>
      <c r="U328" s="132">
        <f t="shared" ca="1" si="97"/>
        <v>46</v>
      </c>
      <c r="V328" s="335">
        <f t="shared" si="87"/>
        <v>34</v>
      </c>
      <c r="W328" s="131"/>
      <c r="X328" s="297"/>
    </row>
    <row r="329" spans="1:24" ht="19.5" hidden="1" customHeight="1">
      <c r="A329" s="14">
        <v>208</v>
      </c>
      <c r="B329" s="15" t="s">
        <v>59</v>
      </c>
      <c r="C329" s="15"/>
      <c r="D329" s="322" t="s">
        <v>250</v>
      </c>
      <c r="E329" s="12" t="s">
        <v>249</v>
      </c>
      <c r="F329" s="12" t="s">
        <v>162</v>
      </c>
      <c r="G329" s="240">
        <v>45920</v>
      </c>
      <c r="H329" s="320">
        <v>6258.28</v>
      </c>
      <c r="I329" s="241"/>
      <c r="J329" s="241"/>
      <c r="K329" s="6">
        <f t="shared" si="100"/>
        <v>6258.28</v>
      </c>
      <c r="L329" s="6">
        <f t="shared" si="96"/>
        <v>6258.28</v>
      </c>
      <c r="M329" s="299" t="s">
        <v>397</v>
      </c>
      <c r="N329" s="132">
        <f t="shared" ca="1" si="117"/>
        <v>80</v>
      </c>
      <c r="O329" s="85">
        <f t="shared" si="92"/>
        <v>45874</v>
      </c>
      <c r="P329" s="131"/>
      <c r="Q329" s="131">
        <f t="shared" si="98"/>
        <v>2</v>
      </c>
      <c r="R329" s="132">
        <f t="shared" ca="1" si="99"/>
        <v>34</v>
      </c>
      <c r="S329" s="131">
        <f t="shared" si="90"/>
        <v>45886</v>
      </c>
      <c r="T329" s="133"/>
      <c r="U329" s="132">
        <f t="shared" ca="1" si="97"/>
        <v>46</v>
      </c>
      <c r="V329" s="335">
        <f t="shared" si="87"/>
        <v>34</v>
      </c>
      <c r="W329" s="131"/>
      <c r="X329" s="297"/>
    </row>
    <row r="330" spans="1:24" ht="19.5" hidden="1" customHeight="1">
      <c r="A330" s="14">
        <v>208</v>
      </c>
      <c r="B330" s="15" t="s">
        <v>59</v>
      </c>
      <c r="C330" s="15"/>
      <c r="D330" s="322" t="s">
        <v>391</v>
      </c>
      <c r="E330" s="12" t="s">
        <v>392</v>
      </c>
      <c r="F330" s="12" t="s">
        <v>393</v>
      </c>
      <c r="G330" s="240">
        <v>45920</v>
      </c>
      <c r="H330" s="320">
        <v>572.88599999999997</v>
      </c>
      <c r="I330" s="241"/>
      <c r="J330" s="241"/>
      <c r="K330" s="6">
        <f t="shared" si="100"/>
        <v>572.88599999999997</v>
      </c>
      <c r="L330" s="6">
        <f t="shared" si="96"/>
        <v>572.88599999999997</v>
      </c>
      <c r="M330" s="299" t="s">
        <v>853</v>
      </c>
      <c r="N330" s="132">
        <f t="shared" ca="1" si="117"/>
        <v>80</v>
      </c>
      <c r="O330" s="85">
        <f t="shared" si="92"/>
        <v>45874</v>
      </c>
      <c r="P330" s="131"/>
      <c r="Q330" s="131">
        <f t="shared" si="98"/>
        <v>2</v>
      </c>
      <c r="R330" s="132">
        <f t="shared" ca="1" si="99"/>
        <v>34</v>
      </c>
      <c r="S330" s="131">
        <f t="shared" si="90"/>
        <v>45886</v>
      </c>
      <c r="T330" s="133"/>
      <c r="U330" s="132">
        <f t="shared" ca="1" si="97"/>
        <v>46</v>
      </c>
      <c r="V330" s="335">
        <f t="shared" si="87"/>
        <v>34</v>
      </c>
      <c r="W330" s="131"/>
      <c r="X330" s="297"/>
    </row>
    <row r="331" spans="1:24" ht="19.5" hidden="1" customHeight="1">
      <c r="A331" s="14">
        <v>209</v>
      </c>
      <c r="B331" s="15" t="s">
        <v>59</v>
      </c>
      <c r="C331" s="15"/>
      <c r="D331" s="301" t="s">
        <v>193</v>
      </c>
      <c r="E331" s="12" t="s">
        <v>249</v>
      </c>
      <c r="F331" s="12" t="s">
        <v>162</v>
      </c>
      <c r="G331" s="240">
        <v>45920</v>
      </c>
      <c r="H331" s="320">
        <v>4741.6050000000005</v>
      </c>
      <c r="I331" s="241"/>
      <c r="J331" s="241"/>
      <c r="K331" s="6">
        <f t="shared" si="100"/>
        <v>4741.6050000000005</v>
      </c>
      <c r="L331" s="6">
        <f t="shared" si="96"/>
        <v>4741.6050000000005</v>
      </c>
      <c r="M331" s="300" t="s">
        <v>133</v>
      </c>
      <c r="N331" s="132">
        <f t="shared" ca="1" si="117"/>
        <v>80</v>
      </c>
      <c r="O331" s="85">
        <f t="shared" si="92"/>
        <v>45876</v>
      </c>
      <c r="P331" s="131"/>
      <c r="Q331" s="131">
        <f t="shared" si="98"/>
        <v>2</v>
      </c>
      <c r="R331" s="132">
        <f t="shared" ca="1" si="99"/>
        <v>36</v>
      </c>
      <c r="S331" s="131">
        <f t="shared" ref="S331:S348" si="130">G331-32</f>
        <v>45888</v>
      </c>
      <c r="T331" s="133"/>
      <c r="U331" s="132">
        <f t="shared" ca="1" si="97"/>
        <v>48</v>
      </c>
      <c r="V331" s="335">
        <f t="shared" si="87"/>
        <v>32</v>
      </c>
      <c r="W331" s="131"/>
      <c r="X331" s="297"/>
    </row>
    <row r="332" spans="1:24" ht="19.5" hidden="1" customHeight="1">
      <c r="A332" s="14">
        <v>209</v>
      </c>
      <c r="B332" s="15" t="s">
        <v>59</v>
      </c>
      <c r="C332" s="15"/>
      <c r="D332" s="322" t="s">
        <v>193</v>
      </c>
      <c r="E332" s="12" t="s">
        <v>246</v>
      </c>
      <c r="F332" s="12" t="s">
        <v>162</v>
      </c>
      <c r="G332" s="240">
        <v>45920</v>
      </c>
      <c r="H332" s="320">
        <v>572.60789999999997</v>
      </c>
      <c r="I332" s="241"/>
      <c r="J332" s="241"/>
      <c r="K332" s="6">
        <f>+H332*94%-J332</f>
        <v>538.25142599999992</v>
      </c>
      <c r="L332" s="6">
        <f t="shared" ref="L332:L348" si="131">+H332-I332</f>
        <v>572.60789999999997</v>
      </c>
      <c r="M332" s="300" t="s">
        <v>133</v>
      </c>
      <c r="N332" s="132">
        <f t="shared" ca="1" si="117"/>
        <v>80</v>
      </c>
      <c r="O332" s="85">
        <f t="shared" ref="O332:O348" si="132">S332-12</f>
        <v>45876</v>
      </c>
      <c r="P332" s="131"/>
      <c r="Q332" s="131">
        <f t="shared" ref="Q332:Q348" si="133">P332+2</f>
        <v>2</v>
      </c>
      <c r="R332" s="132">
        <f t="shared" ref="R332:R348" ca="1" si="134">+IF(P332="",O332-TODAY(),O332-P332)</f>
        <v>36</v>
      </c>
      <c r="S332" s="131">
        <f t="shared" si="130"/>
        <v>45888</v>
      </c>
      <c r="T332" s="133"/>
      <c r="U332" s="132">
        <f t="shared" ref="U332:U348" ca="1" si="135">+IF(T332="",S332-TODAY(),S332-T332)</f>
        <v>48</v>
      </c>
      <c r="V332" s="335">
        <f t="shared" si="87"/>
        <v>32</v>
      </c>
      <c r="W332" s="131"/>
      <c r="X332" s="297"/>
    </row>
    <row r="333" spans="1:24" ht="19.5" hidden="1" customHeight="1">
      <c r="A333" s="14">
        <v>209</v>
      </c>
      <c r="B333" s="15" t="s">
        <v>59</v>
      </c>
      <c r="C333" s="15"/>
      <c r="D333" s="322" t="s">
        <v>390</v>
      </c>
      <c r="E333" s="12" t="s">
        <v>242</v>
      </c>
      <c r="F333" s="12" t="s">
        <v>162</v>
      </c>
      <c r="G333" s="240">
        <v>45920</v>
      </c>
      <c r="H333" s="320">
        <v>690.94871999999998</v>
      </c>
      <c r="I333" s="241"/>
      <c r="J333" s="241"/>
      <c r="K333" s="6">
        <f>+H333*94%-J333</f>
        <v>649.49179679999997</v>
      </c>
      <c r="L333" s="6">
        <f t="shared" si="131"/>
        <v>690.94871999999998</v>
      </c>
      <c r="M333" s="300" t="s">
        <v>894</v>
      </c>
      <c r="N333" s="132">
        <f t="shared" ca="1" si="117"/>
        <v>80</v>
      </c>
      <c r="O333" s="85">
        <f t="shared" si="132"/>
        <v>45876</v>
      </c>
      <c r="P333" s="131"/>
      <c r="Q333" s="131">
        <f t="shared" si="133"/>
        <v>2</v>
      </c>
      <c r="R333" s="132">
        <f t="shared" ca="1" si="134"/>
        <v>36</v>
      </c>
      <c r="S333" s="131">
        <f t="shared" si="130"/>
        <v>45888</v>
      </c>
      <c r="T333" s="133"/>
      <c r="U333" s="132">
        <f t="shared" ca="1" si="135"/>
        <v>48</v>
      </c>
      <c r="V333" s="335">
        <f t="shared" si="87"/>
        <v>32</v>
      </c>
      <c r="W333" s="131"/>
      <c r="X333" s="297"/>
    </row>
    <row r="334" spans="1:24" ht="19.5" hidden="1" customHeight="1">
      <c r="A334" s="14">
        <v>209</v>
      </c>
      <c r="B334" s="15" t="s">
        <v>59</v>
      </c>
      <c r="C334" s="15"/>
      <c r="D334" s="322" t="s">
        <v>189</v>
      </c>
      <c r="E334" s="12" t="s">
        <v>242</v>
      </c>
      <c r="F334" s="146" t="s">
        <v>90</v>
      </c>
      <c r="G334" s="240">
        <v>45920</v>
      </c>
      <c r="H334" s="320">
        <v>475.51392000000004</v>
      </c>
      <c r="I334" s="241"/>
      <c r="J334" s="241"/>
      <c r="K334" s="6">
        <f t="shared" ref="K334:K347" si="136">+H334-J334</f>
        <v>475.51392000000004</v>
      </c>
      <c r="L334" s="6">
        <f t="shared" si="131"/>
        <v>475.51392000000004</v>
      </c>
      <c r="M334" s="300" t="s">
        <v>389</v>
      </c>
      <c r="N334" s="132">
        <f t="shared" ca="1" si="117"/>
        <v>80</v>
      </c>
      <c r="O334" s="85">
        <f t="shared" si="132"/>
        <v>45876</v>
      </c>
      <c r="P334" s="131"/>
      <c r="Q334" s="131">
        <f t="shared" si="133"/>
        <v>2</v>
      </c>
      <c r="R334" s="132">
        <f t="shared" ca="1" si="134"/>
        <v>36</v>
      </c>
      <c r="S334" s="131">
        <f t="shared" si="130"/>
        <v>45888</v>
      </c>
      <c r="T334" s="133"/>
      <c r="U334" s="132">
        <f t="shared" ca="1" si="135"/>
        <v>48</v>
      </c>
      <c r="V334" s="335">
        <f t="shared" si="87"/>
        <v>32</v>
      </c>
      <c r="W334" s="131"/>
      <c r="X334" s="297"/>
    </row>
    <row r="335" spans="1:24" ht="19.5" hidden="1" customHeight="1">
      <c r="A335" s="14">
        <v>209</v>
      </c>
      <c r="B335" s="15" t="s">
        <v>59</v>
      </c>
      <c r="C335" s="15"/>
      <c r="D335" s="322" t="s">
        <v>391</v>
      </c>
      <c r="E335" s="12" t="s">
        <v>392</v>
      </c>
      <c r="F335" s="12" t="s">
        <v>393</v>
      </c>
      <c r="G335" s="240">
        <v>45920</v>
      </c>
      <c r="H335" s="320">
        <v>667.44</v>
      </c>
      <c r="I335" s="241"/>
      <c r="J335" s="241"/>
      <c r="K335" s="6">
        <f t="shared" si="136"/>
        <v>667.44</v>
      </c>
      <c r="L335" s="6">
        <f t="shared" si="131"/>
        <v>667.44</v>
      </c>
      <c r="M335" s="300" t="s">
        <v>853</v>
      </c>
      <c r="N335" s="132">
        <f t="shared" ca="1" si="117"/>
        <v>80</v>
      </c>
      <c r="O335" s="85">
        <f t="shared" si="132"/>
        <v>45876</v>
      </c>
      <c r="P335" s="131"/>
      <c r="Q335" s="131">
        <f t="shared" si="133"/>
        <v>2</v>
      </c>
      <c r="R335" s="132">
        <f t="shared" ca="1" si="134"/>
        <v>36</v>
      </c>
      <c r="S335" s="131">
        <f t="shared" si="130"/>
        <v>45888</v>
      </c>
      <c r="T335" s="133"/>
      <c r="U335" s="132">
        <f t="shared" ca="1" si="135"/>
        <v>48</v>
      </c>
      <c r="V335" s="335">
        <f t="shared" si="87"/>
        <v>32</v>
      </c>
      <c r="W335" s="131"/>
      <c r="X335" s="297"/>
    </row>
    <row r="336" spans="1:24" ht="19.5" hidden="1" customHeight="1">
      <c r="A336" s="14">
        <v>211</v>
      </c>
      <c r="B336" s="15" t="s">
        <v>59</v>
      </c>
      <c r="C336" s="15"/>
      <c r="D336" s="322" t="s">
        <v>390</v>
      </c>
      <c r="E336" s="12" t="s">
        <v>242</v>
      </c>
      <c r="F336" s="12" t="s">
        <v>162</v>
      </c>
      <c r="G336" s="240">
        <v>45920</v>
      </c>
      <c r="H336" s="320">
        <v>634.86522000000002</v>
      </c>
      <c r="I336" s="241"/>
      <c r="J336" s="241"/>
      <c r="K336" s="6">
        <f>+H336*94%-J336</f>
        <v>596.7733068</v>
      </c>
      <c r="L336" s="6">
        <f t="shared" si="131"/>
        <v>634.86522000000002</v>
      </c>
      <c r="M336" s="300" t="s">
        <v>894</v>
      </c>
      <c r="N336" s="132">
        <f t="shared" ca="1" si="117"/>
        <v>80</v>
      </c>
      <c r="O336" s="85">
        <f t="shared" si="132"/>
        <v>45876</v>
      </c>
      <c r="P336" s="131"/>
      <c r="Q336" s="131">
        <f t="shared" si="133"/>
        <v>2</v>
      </c>
      <c r="R336" s="132">
        <f t="shared" ca="1" si="134"/>
        <v>36</v>
      </c>
      <c r="S336" s="131">
        <f t="shared" si="130"/>
        <v>45888</v>
      </c>
      <c r="T336" s="133"/>
      <c r="U336" s="132">
        <f t="shared" ca="1" si="135"/>
        <v>48</v>
      </c>
      <c r="V336" s="335">
        <f t="shared" si="87"/>
        <v>32</v>
      </c>
      <c r="W336" s="131"/>
      <c r="X336" s="297"/>
    </row>
    <row r="337" spans="1:24" ht="19.5" hidden="1" customHeight="1">
      <c r="A337" s="14">
        <v>211</v>
      </c>
      <c r="B337" s="15" t="s">
        <v>59</v>
      </c>
      <c r="C337" s="15"/>
      <c r="D337" s="322" t="s">
        <v>189</v>
      </c>
      <c r="E337" s="12" t="s">
        <v>242</v>
      </c>
      <c r="F337" s="146" t="s">
        <v>90</v>
      </c>
      <c r="G337" s="240">
        <v>45920</v>
      </c>
      <c r="H337" s="320">
        <v>645.34032000000002</v>
      </c>
      <c r="I337" s="241"/>
      <c r="J337" s="241"/>
      <c r="K337" s="6">
        <f t="shared" si="136"/>
        <v>645.34032000000002</v>
      </c>
      <c r="L337" s="6">
        <f t="shared" si="131"/>
        <v>645.34032000000002</v>
      </c>
      <c r="M337" s="300" t="s">
        <v>389</v>
      </c>
      <c r="N337" s="132">
        <f t="shared" ca="1" si="117"/>
        <v>80</v>
      </c>
      <c r="O337" s="85">
        <f t="shared" si="132"/>
        <v>45876</v>
      </c>
      <c r="P337" s="131"/>
      <c r="Q337" s="131">
        <f t="shared" si="133"/>
        <v>2</v>
      </c>
      <c r="R337" s="132">
        <f t="shared" ca="1" si="134"/>
        <v>36</v>
      </c>
      <c r="S337" s="131">
        <f t="shared" si="130"/>
        <v>45888</v>
      </c>
      <c r="T337" s="133"/>
      <c r="U337" s="132">
        <f t="shared" ca="1" si="135"/>
        <v>48</v>
      </c>
      <c r="V337" s="335">
        <f t="shared" si="87"/>
        <v>32</v>
      </c>
      <c r="W337" s="131"/>
      <c r="X337" s="297"/>
    </row>
    <row r="338" spans="1:24" ht="19.5" hidden="1" customHeight="1">
      <c r="A338" s="14">
        <v>211</v>
      </c>
      <c r="B338" s="15" t="s">
        <v>59</v>
      </c>
      <c r="C338" s="15"/>
      <c r="D338" s="322" t="s">
        <v>391</v>
      </c>
      <c r="E338" s="12" t="s">
        <v>392</v>
      </c>
      <c r="F338" s="12" t="s">
        <v>393</v>
      </c>
      <c r="G338" s="240">
        <v>45920</v>
      </c>
      <c r="H338" s="320">
        <v>667.44</v>
      </c>
      <c r="I338" s="241"/>
      <c r="J338" s="241"/>
      <c r="K338" s="6">
        <f t="shared" si="136"/>
        <v>667.44</v>
      </c>
      <c r="L338" s="6">
        <f t="shared" si="131"/>
        <v>667.44</v>
      </c>
      <c r="M338" s="300" t="s">
        <v>853</v>
      </c>
      <c r="N338" s="132">
        <f t="shared" ca="1" si="117"/>
        <v>80</v>
      </c>
      <c r="O338" s="85">
        <f t="shared" si="132"/>
        <v>45876</v>
      </c>
      <c r="P338" s="131"/>
      <c r="Q338" s="131">
        <f t="shared" si="133"/>
        <v>2</v>
      </c>
      <c r="R338" s="132">
        <f t="shared" ca="1" si="134"/>
        <v>36</v>
      </c>
      <c r="S338" s="131">
        <f t="shared" si="130"/>
        <v>45888</v>
      </c>
      <c r="T338" s="133"/>
      <c r="U338" s="132">
        <f t="shared" ca="1" si="135"/>
        <v>48</v>
      </c>
      <c r="V338" s="335">
        <f t="shared" si="87"/>
        <v>32</v>
      </c>
      <c r="W338" s="131"/>
      <c r="X338" s="297"/>
    </row>
    <row r="339" spans="1:24" ht="19.5" hidden="1" customHeight="1">
      <c r="A339" s="14">
        <v>211</v>
      </c>
      <c r="B339" s="15" t="s">
        <v>59</v>
      </c>
      <c r="C339" s="15"/>
      <c r="D339" s="322" t="s">
        <v>901</v>
      </c>
      <c r="E339" s="12" t="s">
        <v>242</v>
      </c>
      <c r="F339" s="12" t="s">
        <v>244</v>
      </c>
      <c r="G339" s="240">
        <v>45920</v>
      </c>
      <c r="H339" s="320">
        <v>108.81332000000002</v>
      </c>
      <c r="I339" s="241"/>
      <c r="J339" s="241"/>
      <c r="K339" s="6">
        <f>+H339-94%-J339</f>
        <v>107.87332000000002</v>
      </c>
      <c r="L339" s="6">
        <f t="shared" si="131"/>
        <v>108.81332000000002</v>
      </c>
      <c r="M339" s="299" t="s">
        <v>948</v>
      </c>
      <c r="N339" s="132">
        <f t="shared" ca="1" si="117"/>
        <v>80</v>
      </c>
      <c r="O339" s="85">
        <f t="shared" si="132"/>
        <v>45876</v>
      </c>
      <c r="P339" s="131"/>
      <c r="Q339" s="131">
        <f t="shared" si="133"/>
        <v>2</v>
      </c>
      <c r="R339" s="132">
        <f t="shared" ca="1" si="134"/>
        <v>36</v>
      </c>
      <c r="S339" s="131">
        <f t="shared" si="130"/>
        <v>45888</v>
      </c>
      <c r="T339" s="133"/>
      <c r="U339" s="132">
        <f t="shared" ca="1" si="135"/>
        <v>48</v>
      </c>
      <c r="V339" s="335">
        <f t="shared" si="87"/>
        <v>32</v>
      </c>
      <c r="W339" s="131"/>
      <c r="X339" s="297"/>
    </row>
    <row r="340" spans="1:24" ht="19.5" hidden="1" customHeight="1">
      <c r="A340" s="14">
        <v>212</v>
      </c>
      <c r="B340" s="15" t="s">
        <v>59</v>
      </c>
      <c r="C340" s="15"/>
      <c r="D340" s="322" t="s">
        <v>250</v>
      </c>
      <c r="E340" s="12" t="s">
        <v>249</v>
      </c>
      <c r="F340" s="12" t="s">
        <v>162</v>
      </c>
      <c r="G340" s="240">
        <v>45927</v>
      </c>
      <c r="H340" s="320">
        <v>3864.56</v>
      </c>
      <c r="I340" s="241"/>
      <c r="J340" s="241"/>
      <c r="K340" s="6">
        <f t="shared" si="136"/>
        <v>3864.56</v>
      </c>
      <c r="L340" s="6">
        <f t="shared" si="131"/>
        <v>3864.56</v>
      </c>
      <c r="M340" s="300" t="s">
        <v>133</v>
      </c>
      <c r="N340" s="132">
        <f t="shared" ca="1" si="117"/>
        <v>87</v>
      </c>
      <c r="O340" s="85">
        <f t="shared" si="132"/>
        <v>45883</v>
      </c>
      <c r="P340" s="131"/>
      <c r="Q340" s="131">
        <f t="shared" si="133"/>
        <v>2</v>
      </c>
      <c r="R340" s="132">
        <f t="shared" ca="1" si="134"/>
        <v>43</v>
      </c>
      <c r="S340" s="131">
        <f t="shared" si="130"/>
        <v>45895</v>
      </c>
      <c r="T340" s="133"/>
      <c r="U340" s="132">
        <f t="shared" ca="1" si="135"/>
        <v>55</v>
      </c>
      <c r="V340" s="335">
        <f t="shared" ref="V340:V403" si="137">G340-S340</f>
        <v>32</v>
      </c>
      <c r="W340" s="131"/>
      <c r="X340" s="297"/>
    </row>
    <row r="341" spans="1:24" ht="19.5" hidden="1" customHeight="1">
      <c r="A341" s="14">
        <v>212</v>
      </c>
      <c r="B341" s="15" t="s">
        <v>59</v>
      </c>
      <c r="C341" s="15"/>
      <c r="D341" s="322" t="s">
        <v>189</v>
      </c>
      <c r="E341" s="12" t="s">
        <v>242</v>
      </c>
      <c r="F341" s="146" t="s">
        <v>90</v>
      </c>
      <c r="G341" s="240">
        <v>45927</v>
      </c>
      <c r="H341" s="320">
        <v>135.86112</v>
      </c>
      <c r="I341" s="241"/>
      <c r="J341" s="241"/>
      <c r="K341" s="6">
        <f t="shared" si="136"/>
        <v>135.86112</v>
      </c>
      <c r="L341" s="6">
        <f t="shared" si="131"/>
        <v>135.86112</v>
      </c>
      <c r="M341" s="300" t="s">
        <v>389</v>
      </c>
      <c r="N341" s="132">
        <f t="shared" ca="1" si="117"/>
        <v>87</v>
      </c>
      <c r="O341" s="85">
        <f t="shared" si="132"/>
        <v>45883</v>
      </c>
      <c r="P341" s="131"/>
      <c r="Q341" s="131">
        <f t="shared" si="133"/>
        <v>2</v>
      </c>
      <c r="R341" s="132">
        <f t="shared" ca="1" si="134"/>
        <v>43</v>
      </c>
      <c r="S341" s="131">
        <f t="shared" si="130"/>
        <v>45895</v>
      </c>
      <c r="T341" s="133"/>
      <c r="U341" s="132">
        <f t="shared" ca="1" si="135"/>
        <v>55</v>
      </c>
      <c r="V341" s="335">
        <f t="shared" si="137"/>
        <v>32</v>
      </c>
      <c r="W341" s="131"/>
      <c r="X341" s="297"/>
    </row>
    <row r="342" spans="1:24" ht="19.5" hidden="1" customHeight="1">
      <c r="A342" s="14">
        <v>213</v>
      </c>
      <c r="B342" s="15" t="s">
        <v>59</v>
      </c>
      <c r="C342" s="15"/>
      <c r="D342" s="322" t="s">
        <v>250</v>
      </c>
      <c r="E342" s="12" t="s">
        <v>249</v>
      </c>
      <c r="F342" s="12" t="s">
        <v>162</v>
      </c>
      <c r="G342" s="240">
        <v>45927</v>
      </c>
      <c r="H342" s="320">
        <v>4282.74</v>
      </c>
      <c r="I342" s="241"/>
      <c r="J342" s="241"/>
      <c r="K342" s="6">
        <f t="shared" si="136"/>
        <v>4282.74</v>
      </c>
      <c r="L342" s="6">
        <f t="shared" si="131"/>
        <v>4282.74</v>
      </c>
      <c r="M342" s="300" t="s">
        <v>133</v>
      </c>
      <c r="N342" s="132">
        <f t="shared" ca="1" si="117"/>
        <v>87</v>
      </c>
      <c r="O342" s="85">
        <f t="shared" si="132"/>
        <v>45883</v>
      </c>
      <c r="P342" s="131"/>
      <c r="Q342" s="131">
        <f t="shared" si="133"/>
        <v>2</v>
      </c>
      <c r="R342" s="132">
        <f t="shared" ca="1" si="134"/>
        <v>43</v>
      </c>
      <c r="S342" s="131">
        <f t="shared" si="130"/>
        <v>45895</v>
      </c>
      <c r="T342" s="133"/>
      <c r="U342" s="132">
        <f t="shared" ca="1" si="135"/>
        <v>55</v>
      </c>
      <c r="V342" s="335">
        <f t="shared" si="137"/>
        <v>32</v>
      </c>
      <c r="W342" s="131"/>
      <c r="X342" s="297"/>
    </row>
    <row r="343" spans="1:24" ht="19.5" hidden="1" customHeight="1">
      <c r="A343" s="14">
        <v>213</v>
      </c>
      <c r="B343" s="15" t="s">
        <v>59</v>
      </c>
      <c r="C343" s="15"/>
      <c r="D343" s="322" t="s">
        <v>189</v>
      </c>
      <c r="E343" s="12" t="s">
        <v>242</v>
      </c>
      <c r="F343" s="146" t="s">
        <v>90</v>
      </c>
      <c r="G343" s="240">
        <v>45927</v>
      </c>
      <c r="H343" s="320">
        <v>271.72224</v>
      </c>
      <c r="I343" s="241"/>
      <c r="J343" s="241"/>
      <c r="K343" s="6">
        <f t="shared" si="136"/>
        <v>271.72224</v>
      </c>
      <c r="L343" s="6">
        <f t="shared" si="131"/>
        <v>271.72224</v>
      </c>
      <c r="M343" s="300" t="s">
        <v>389</v>
      </c>
      <c r="N343" s="132">
        <f t="shared" ca="1" si="117"/>
        <v>87</v>
      </c>
      <c r="O343" s="85">
        <f t="shared" si="132"/>
        <v>45883</v>
      </c>
      <c r="P343" s="131"/>
      <c r="Q343" s="131">
        <f t="shared" si="133"/>
        <v>2</v>
      </c>
      <c r="R343" s="132">
        <f t="shared" ca="1" si="134"/>
        <v>43</v>
      </c>
      <c r="S343" s="131">
        <f t="shared" si="130"/>
        <v>45895</v>
      </c>
      <c r="T343" s="133"/>
      <c r="U343" s="132">
        <f t="shared" ca="1" si="135"/>
        <v>55</v>
      </c>
      <c r="V343" s="335">
        <f t="shared" si="137"/>
        <v>32</v>
      </c>
      <c r="W343" s="131"/>
      <c r="X343" s="297"/>
    </row>
    <row r="344" spans="1:24" ht="19.5" hidden="1" customHeight="1">
      <c r="A344" s="14">
        <v>213</v>
      </c>
      <c r="B344" s="15" t="s">
        <v>59</v>
      </c>
      <c r="C344" s="15"/>
      <c r="D344" s="322" t="s">
        <v>391</v>
      </c>
      <c r="E344" s="12" t="s">
        <v>392</v>
      </c>
      <c r="F344" s="12" t="s">
        <v>393</v>
      </c>
      <c r="G344" s="240">
        <v>45927</v>
      </c>
      <c r="H344" s="320">
        <v>66.744</v>
      </c>
      <c r="I344" s="241"/>
      <c r="J344" s="241"/>
      <c r="K344" s="6">
        <f t="shared" si="136"/>
        <v>66.744</v>
      </c>
      <c r="L344" s="6">
        <f t="shared" si="131"/>
        <v>66.744</v>
      </c>
      <c r="M344" s="300" t="s">
        <v>853</v>
      </c>
      <c r="N344" s="132">
        <f t="shared" ca="1" si="117"/>
        <v>87</v>
      </c>
      <c r="O344" s="85">
        <f t="shared" si="132"/>
        <v>45883</v>
      </c>
      <c r="P344" s="131"/>
      <c r="Q344" s="131">
        <f t="shared" si="133"/>
        <v>2</v>
      </c>
      <c r="R344" s="132">
        <f t="shared" ca="1" si="134"/>
        <v>43</v>
      </c>
      <c r="S344" s="131">
        <f t="shared" si="130"/>
        <v>45895</v>
      </c>
      <c r="T344" s="133"/>
      <c r="U344" s="132">
        <f t="shared" ca="1" si="135"/>
        <v>55</v>
      </c>
      <c r="V344" s="335">
        <f t="shared" si="137"/>
        <v>32</v>
      </c>
      <c r="W344" s="131"/>
      <c r="X344" s="297"/>
    </row>
    <row r="345" spans="1:24" ht="19.5" hidden="1" customHeight="1">
      <c r="A345" s="14">
        <v>214</v>
      </c>
      <c r="B345" s="15" t="s">
        <v>59</v>
      </c>
      <c r="C345" s="15"/>
      <c r="D345" s="322" t="s">
        <v>193</v>
      </c>
      <c r="E345" s="12" t="s">
        <v>246</v>
      </c>
      <c r="F345" s="12" t="s">
        <v>162</v>
      </c>
      <c r="G345" s="240">
        <v>45927</v>
      </c>
      <c r="H345" s="320">
        <v>655.9452</v>
      </c>
      <c r="I345" s="241"/>
      <c r="J345" s="241"/>
      <c r="K345" s="6">
        <f>+H345*94%-J345</f>
        <v>616.58848799999998</v>
      </c>
      <c r="L345" s="6">
        <f t="shared" si="131"/>
        <v>655.9452</v>
      </c>
      <c r="M345" s="300" t="s">
        <v>133</v>
      </c>
      <c r="N345" s="132">
        <f t="shared" ca="1" si="117"/>
        <v>87</v>
      </c>
      <c r="O345" s="85">
        <f t="shared" si="132"/>
        <v>45883</v>
      </c>
      <c r="P345" s="131"/>
      <c r="Q345" s="131">
        <f t="shared" si="133"/>
        <v>2</v>
      </c>
      <c r="R345" s="132">
        <f t="shared" ca="1" si="134"/>
        <v>43</v>
      </c>
      <c r="S345" s="131">
        <f t="shared" si="130"/>
        <v>45895</v>
      </c>
      <c r="T345" s="133"/>
      <c r="U345" s="132">
        <f t="shared" ca="1" si="135"/>
        <v>55</v>
      </c>
      <c r="V345" s="335">
        <f t="shared" si="137"/>
        <v>32</v>
      </c>
      <c r="W345" s="131"/>
      <c r="X345" s="297"/>
    </row>
    <row r="346" spans="1:24" ht="19.5" hidden="1" customHeight="1">
      <c r="A346" s="14">
        <v>214</v>
      </c>
      <c r="B346" s="15" t="s">
        <v>59</v>
      </c>
      <c r="C346" s="15"/>
      <c r="D346" s="322" t="s">
        <v>390</v>
      </c>
      <c r="E346" s="12" t="s">
        <v>242</v>
      </c>
      <c r="F346" s="12" t="s">
        <v>162</v>
      </c>
      <c r="G346" s="240">
        <v>45927</v>
      </c>
      <c r="H346" s="320">
        <v>347.71769999999998</v>
      </c>
      <c r="I346" s="241"/>
      <c r="J346" s="241"/>
      <c r="K346" s="6">
        <f>+H346*94%-J346</f>
        <v>326.85463799999997</v>
      </c>
      <c r="L346" s="6">
        <f t="shared" si="131"/>
        <v>347.71769999999998</v>
      </c>
      <c r="M346" s="300" t="s">
        <v>894</v>
      </c>
      <c r="N346" s="132">
        <f t="shared" ca="1" si="117"/>
        <v>87</v>
      </c>
      <c r="O346" s="85">
        <f t="shared" si="132"/>
        <v>45883</v>
      </c>
      <c r="P346" s="131"/>
      <c r="Q346" s="131">
        <f t="shared" si="133"/>
        <v>2</v>
      </c>
      <c r="R346" s="132">
        <f t="shared" ca="1" si="134"/>
        <v>43</v>
      </c>
      <c r="S346" s="131">
        <f t="shared" si="130"/>
        <v>45895</v>
      </c>
      <c r="T346" s="133"/>
      <c r="U346" s="132">
        <f t="shared" ca="1" si="135"/>
        <v>55</v>
      </c>
      <c r="V346" s="335">
        <f t="shared" si="137"/>
        <v>32</v>
      </c>
      <c r="W346" s="131"/>
      <c r="X346" s="297"/>
    </row>
    <row r="347" spans="1:24" ht="19.5" hidden="1" customHeight="1">
      <c r="A347" s="14">
        <v>214</v>
      </c>
      <c r="B347" s="15" t="s">
        <v>59</v>
      </c>
      <c r="C347" s="15"/>
      <c r="D347" s="322" t="s">
        <v>189</v>
      </c>
      <c r="E347" s="12" t="s">
        <v>242</v>
      </c>
      <c r="F347" s="146" t="s">
        <v>90</v>
      </c>
      <c r="G347" s="240">
        <v>45927</v>
      </c>
      <c r="H347" s="320">
        <v>645.34032000000002</v>
      </c>
      <c r="I347" s="241"/>
      <c r="J347" s="241"/>
      <c r="K347" s="6">
        <f t="shared" si="136"/>
        <v>645.34032000000002</v>
      </c>
      <c r="L347" s="6">
        <f t="shared" si="131"/>
        <v>645.34032000000002</v>
      </c>
      <c r="M347" s="300" t="s">
        <v>389</v>
      </c>
      <c r="N347" s="132">
        <f t="shared" ca="1" si="117"/>
        <v>87</v>
      </c>
      <c r="O347" s="85">
        <f t="shared" si="132"/>
        <v>45883</v>
      </c>
      <c r="P347" s="131"/>
      <c r="Q347" s="131">
        <f t="shared" si="133"/>
        <v>2</v>
      </c>
      <c r="R347" s="132">
        <f t="shared" ca="1" si="134"/>
        <v>43</v>
      </c>
      <c r="S347" s="131">
        <f t="shared" si="130"/>
        <v>45895</v>
      </c>
      <c r="T347" s="133"/>
      <c r="U347" s="132">
        <f t="shared" ca="1" si="135"/>
        <v>55</v>
      </c>
      <c r="V347" s="335">
        <f t="shared" si="137"/>
        <v>32</v>
      </c>
      <c r="W347" s="131"/>
      <c r="X347" s="297"/>
    </row>
    <row r="348" spans="1:24" ht="19.5" hidden="1" customHeight="1">
      <c r="A348" s="14">
        <v>214</v>
      </c>
      <c r="B348" s="15" t="s">
        <v>59</v>
      </c>
      <c r="C348" s="15"/>
      <c r="D348" s="322" t="s">
        <v>901</v>
      </c>
      <c r="E348" s="12" t="s">
        <v>242</v>
      </c>
      <c r="F348" s="12" t="s">
        <v>244</v>
      </c>
      <c r="G348" s="240">
        <v>45927</v>
      </c>
      <c r="H348" s="320">
        <v>473.40860000000004</v>
      </c>
      <c r="I348" s="241"/>
      <c r="J348" s="241"/>
      <c r="K348" s="6">
        <f>+H348-94%-J348</f>
        <v>472.46860000000004</v>
      </c>
      <c r="L348" s="6">
        <f t="shared" si="131"/>
        <v>473.40860000000004</v>
      </c>
      <c r="M348" s="299" t="s">
        <v>948</v>
      </c>
      <c r="N348" s="132">
        <f t="shared" ca="1" si="117"/>
        <v>87</v>
      </c>
      <c r="O348" s="85">
        <f t="shared" si="132"/>
        <v>45883</v>
      </c>
      <c r="P348" s="131"/>
      <c r="Q348" s="131">
        <f t="shared" si="133"/>
        <v>2</v>
      </c>
      <c r="R348" s="132">
        <f t="shared" ca="1" si="134"/>
        <v>43</v>
      </c>
      <c r="S348" s="131">
        <f t="shared" si="130"/>
        <v>45895</v>
      </c>
      <c r="T348" s="133"/>
      <c r="U348" s="132">
        <f t="shared" ca="1" si="135"/>
        <v>55</v>
      </c>
      <c r="V348" s="335">
        <f t="shared" si="137"/>
        <v>32</v>
      </c>
      <c r="W348" s="131"/>
      <c r="X348" s="297"/>
    </row>
    <row r="349" spans="1:24" ht="19.5" hidden="1" customHeight="1">
      <c r="A349" s="14">
        <v>174</v>
      </c>
      <c r="B349" s="15" t="s">
        <v>917</v>
      </c>
      <c r="C349" s="15"/>
      <c r="D349" s="322" t="s">
        <v>918</v>
      </c>
      <c r="E349" s="12" t="s">
        <v>308</v>
      </c>
      <c r="F349" s="12" t="s">
        <v>163</v>
      </c>
      <c r="G349" s="240">
        <v>45868</v>
      </c>
      <c r="H349" s="320">
        <v>870</v>
      </c>
      <c r="I349" s="241">
        <v>870</v>
      </c>
      <c r="J349" s="241">
        <v>870</v>
      </c>
      <c r="K349" s="6">
        <f t="shared" si="100"/>
        <v>0</v>
      </c>
      <c r="L349" s="6">
        <f t="shared" si="96"/>
        <v>0</v>
      </c>
      <c r="M349" s="300" t="s">
        <v>836</v>
      </c>
      <c r="N349" s="132">
        <f t="shared" ca="1" si="117"/>
        <v>28</v>
      </c>
      <c r="O349" s="85">
        <f>S349-15</f>
        <v>45819</v>
      </c>
      <c r="P349" s="131">
        <v>45811</v>
      </c>
      <c r="Q349" s="131">
        <f t="shared" si="98"/>
        <v>45813</v>
      </c>
      <c r="R349" s="132">
        <f t="shared" ca="1" si="99"/>
        <v>8</v>
      </c>
      <c r="S349" s="131">
        <f>G349-34</f>
        <v>45834</v>
      </c>
      <c r="T349" s="133">
        <v>45822</v>
      </c>
      <c r="U349" s="132">
        <f t="shared" ca="1" si="97"/>
        <v>12</v>
      </c>
      <c r="V349" s="335">
        <f t="shared" si="137"/>
        <v>34</v>
      </c>
      <c r="W349" s="131"/>
      <c r="X349" s="297"/>
    </row>
    <row r="350" spans="1:24" ht="19.5" hidden="1" customHeight="1">
      <c r="A350" s="14">
        <v>216</v>
      </c>
      <c r="B350" s="15" t="s">
        <v>59</v>
      </c>
      <c r="C350" s="15"/>
      <c r="D350" s="322" t="s">
        <v>193</v>
      </c>
      <c r="E350" s="12" t="s">
        <v>246</v>
      </c>
      <c r="F350" s="12" t="s">
        <v>162</v>
      </c>
      <c r="G350" s="240">
        <v>45899</v>
      </c>
      <c r="H350" s="320">
        <v>1050.1055999999999</v>
      </c>
      <c r="I350" s="241"/>
      <c r="J350" s="241"/>
      <c r="K350" s="6">
        <f>+H350*94%-J350</f>
        <v>987.09926399999983</v>
      </c>
      <c r="L350" s="6">
        <f t="shared" ref="L350" si="138">+H350-I350</f>
        <v>1050.1055999999999</v>
      </c>
      <c r="M350" s="300" t="s">
        <v>133</v>
      </c>
      <c r="N350" s="132">
        <f t="shared" ca="1" si="117"/>
        <v>59</v>
      </c>
      <c r="O350" s="85">
        <f t="shared" ref="O350:O389" si="139">S350-12</f>
        <v>45855</v>
      </c>
      <c r="P350" s="131"/>
      <c r="Q350" s="131">
        <f t="shared" si="98"/>
        <v>2</v>
      </c>
      <c r="R350" s="132">
        <f t="shared" ca="1" si="99"/>
        <v>15</v>
      </c>
      <c r="S350" s="131">
        <f t="shared" ref="S350:S389" si="140">G350-32</f>
        <v>45867</v>
      </c>
      <c r="T350" s="133"/>
      <c r="U350" s="132">
        <f t="shared" ca="1" si="97"/>
        <v>27</v>
      </c>
      <c r="V350" s="335">
        <f t="shared" si="137"/>
        <v>32</v>
      </c>
      <c r="W350" s="131"/>
      <c r="X350" s="297"/>
    </row>
    <row r="351" spans="1:24" ht="19.5" customHeight="1">
      <c r="A351" s="14">
        <v>216</v>
      </c>
      <c r="B351" s="15" t="s">
        <v>59</v>
      </c>
      <c r="C351" s="15"/>
      <c r="D351" s="322" t="s">
        <v>201</v>
      </c>
      <c r="E351" s="12" t="s">
        <v>247</v>
      </c>
      <c r="F351" s="12" t="s">
        <v>155</v>
      </c>
      <c r="G351" s="240">
        <v>45899</v>
      </c>
      <c r="H351" s="320">
        <v>1162.8288000000002</v>
      </c>
      <c r="I351" s="241"/>
      <c r="J351" s="241"/>
      <c r="K351" s="6">
        <f>+H351*94%-J351</f>
        <v>1093.0590720000002</v>
      </c>
      <c r="L351" s="6">
        <f t="shared" ref="L351:L380" si="141">+H351-I351</f>
        <v>1162.8288000000002</v>
      </c>
      <c r="M351" s="300" t="s">
        <v>955</v>
      </c>
      <c r="N351" s="132">
        <f t="shared" ca="1" si="117"/>
        <v>59</v>
      </c>
      <c r="O351" s="85">
        <f t="shared" si="139"/>
        <v>45855</v>
      </c>
      <c r="P351" s="131"/>
      <c r="Q351" s="131">
        <f t="shared" si="98"/>
        <v>2</v>
      </c>
      <c r="R351" s="132">
        <f t="shared" ca="1" si="99"/>
        <v>15</v>
      </c>
      <c r="S351" s="131">
        <f t="shared" si="140"/>
        <v>45867</v>
      </c>
      <c r="T351" s="133"/>
      <c r="U351" s="132">
        <f t="shared" ca="1" si="97"/>
        <v>27</v>
      </c>
      <c r="V351" s="335">
        <f t="shared" si="137"/>
        <v>32</v>
      </c>
      <c r="W351" s="131"/>
      <c r="X351" s="297"/>
    </row>
    <row r="352" spans="1:24" ht="19.5" hidden="1" customHeight="1">
      <c r="A352" s="14">
        <v>216</v>
      </c>
      <c r="B352" s="15" t="s">
        <v>59</v>
      </c>
      <c r="C352" s="15"/>
      <c r="D352" s="322" t="s">
        <v>920</v>
      </c>
      <c r="E352" s="12" t="s">
        <v>242</v>
      </c>
      <c r="F352" s="12" t="s">
        <v>919</v>
      </c>
      <c r="G352" s="240">
        <v>45899</v>
      </c>
      <c r="H352" s="320">
        <v>1978.424</v>
      </c>
      <c r="I352" s="241"/>
      <c r="J352" s="241"/>
      <c r="K352" s="6">
        <f t="shared" ref="K352:K380" si="142">+H352-J352</f>
        <v>1978.424</v>
      </c>
      <c r="L352" s="6">
        <f t="shared" si="141"/>
        <v>1978.424</v>
      </c>
      <c r="M352" s="300" t="s">
        <v>133</v>
      </c>
      <c r="N352" s="132">
        <f t="shared" ca="1" si="117"/>
        <v>59</v>
      </c>
      <c r="O352" s="85">
        <f t="shared" si="139"/>
        <v>45855</v>
      </c>
      <c r="P352" s="131"/>
      <c r="Q352" s="131">
        <f t="shared" si="98"/>
        <v>2</v>
      </c>
      <c r="R352" s="132">
        <f t="shared" ca="1" si="99"/>
        <v>15</v>
      </c>
      <c r="S352" s="131">
        <f t="shared" si="140"/>
        <v>45867</v>
      </c>
      <c r="T352" s="133"/>
      <c r="U352" s="132">
        <f t="shared" ca="1" si="97"/>
        <v>27</v>
      </c>
      <c r="V352" s="335">
        <f t="shared" si="137"/>
        <v>32</v>
      </c>
      <c r="W352" s="131"/>
      <c r="X352" s="297"/>
    </row>
    <row r="353" spans="1:24" ht="19.5" hidden="1" customHeight="1">
      <c r="A353" s="14">
        <v>216</v>
      </c>
      <c r="B353" s="15" t="s">
        <v>59</v>
      </c>
      <c r="C353" s="15"/>
      <c r="D353" s="322" t="s">
        <v>920</v>
      </c>
      <c r="E353" s="12" t="s">
        <v>242</v>
      </c>
      <c r="F353" s="12" t="s">
        <v>921</v>
      </c>
      <c r="G353" s="240">
        <v>45899</v>
      </c>
      <c r="H353" s="320">
        <v>1978.424</v>
      </c>
      <c r="I353" s="241"/>
      <c r="J353" s="241"/>
      <c r="K353" s="6">
        <f t="shared" si="142"/>
        <v>1978.424</v>
      </c>
      <c r="L353" s="6">
        <f t="shared" si="141"/>
        <v>1978.424</v>
      </c>
      <c r="M353" s="300" t="s">
        <v>133</v>
      </c>
      <c r="N353" s="132">
        <f t="shared" ca="1" si="117"/>
        <v>59</v>
      </c>
      <c r="O353" s="85">
        <f t="shared" si="139"/>
        <v>45855</v>
      </c>
      <c r="P353" s="131"/>
      <c r="Q353" s="131">
        <f t="shared" si="98"/>
        <v>2</v>
      </c>
      <c r="R353" s="132">
        <f t="shared" ca="1" si="99"/>
        <v>15</v>
      </c>
      <c r="S353" s="131">
        <f t="shared" si="140"/>
        <v>45867</v>
      </c>
      <c r="T353" s="133"/>
      <c r="U353" s="132">
        <f t="shared" ca="1" si="97"/>
        <v>27</v>
      </c>
      <c r="V353" s="335">
        <f t="shared" si="137"/>
        <v>32</v>
      </c>
      <c r="W353" s="131"/>
      <c r="X353" s="297"/>
    </row>
    <row r="354" spans="1:24" ht="19.5" hidden="1" customHeight="1">
      <c r="A354" s="14">
        <v>217</v>
      </c>
      <c r="B354" s="15" t="s">
        <v>59</v>
      </c>
      <c r="C354" s="15"/>
      <c r="D354" s="322" t="s">
        <v>839</v>
      </c>
      <c r="E354" s="12" t="s">
        <v>242</v>
      </c>
      <c r="F354" s="12" t="s">
        <v>162</v>
      </c>
      <c r="G354" s="240">
        <v>45906</v>
      </c>
      <c r="H354" s="320">
        <v>646.08192000000008</v>
      </c>
      <c r="I354" s="241"/>
      <c r="J354" s="241"/>
      <c r="K354" s="6">
        <f>+H354*94%-J354</f>
        <v>607.31700480000006</v>
      </c>
      <c r="L354" s="6">
        <f t="shared" si="141"/>
        <v>646.08192000000008</v>
      </c>
      <c r="M354" s="300" t="s">
        <v>894</v>
      </c>
      <c r="N354" s="132">
        <f t="shared" ca="1" si="117"/>
        <v>66</v>
      </c>
      <c r="O354" s="85">
        <f t="shared" si="139"/>
        <v>45862</v>
      </c>
      <c r="P354" s="131"/>
      <c r="Q354" s="131">
        <f t="shared" si="98"/>
        <v>2</v>
      </c>
      <c r="R354" s="132">
        <f t="shared" ca="1" si="99"/>
        <v>22</v>
      </c>
      <c r="S354" s="131">
        <f t="shared" si="140"/>
        <v>45874</v>
      </c>
      <c r="T354" s="133"/>
      <c r="U354" s="132">
        <f t="shared" ca="1" si="97"/>
        <v>34</v>
      </c>
      <c r="V354" s="335">
        <f t="shared" si="137"/>
        <v>32</v>
      </c>
      <c r="W354" s="131"/>
      <c r="X354" s="297"/>
    </row>
    <row r="355" spans="1:24" ht="19.5" hidden="1" customHeight="1">
      <c r="A355" s="14">
        <v>217</v>
      </c>
      <c r="B355" s="15" t="s">
        <v>59</v>
      </c>
      <c r="C355" s="15"/>
      <c r="D355" s="322" t="s">
        <v>391</v>
      </c>
      <c r="E355" s="12" t="s">
        <v>392</v>
      </c>
      <c r="F355" s="12" t="s">
        <v>393</v>
      </c>
      <c r="G355" s="240">
        <v>45906</v>
      </c>
      <c r="H355" s="320">
        <v>667.44</v>
      </c>
      <c r="I355" s="241"/>
      <c r="J355" s="241"/>
      <c r="K355" s="6">
        <f t="shared" si="142"/>
        <v>667.44</v>
      </c>
      <c r="L355" s="6">
        <f t="shared" si="141"/>
        <v>667.44</v>
      </c>
      <c r="M355" s="300" t="s">
        <v>853</v>
      </c>
      <c r="N355" s="132">
        <f t="shared" ca="1" si="117"/>
        <v>66</v>
      </c>
      <c r="O355" s="85">
        <f t="shared" si="139"/>
        <v>45862</v>
      </c>
      <c r="P355" s="131"/>
      <c r="Q355" s="131">
        <f t="shared" si="98"/>
        <v>2</v>
      </c>
      <c r="R355" s="132">
        <f t="shared" ca="1" si="99"/>
        <v>22</v>
      </c>
      <c r="S355" s="131">
        <f t="shared" si="140"/>
        <v>45874</v>
      </c>
      <c r="T355" s="133"/>
      <c r="U355" s="132">
        <f t="shared" ca="1" si="97"/>
        <v>34</v>
      </c>
      <c r="V355" s="335">
        <f t="shared" si="137"/>
        <v>32</v>
      </c>
      <c r="W355" s="131"/>
      <c r="X355" s="297"/>
    </row>
    <row r="356" spans="1:24" ht="19.5" hidden="1" customHeight="1">
      <c r="A356" s="14">
        <v>217</v>
      </c>
      <c r="B356" s="15" t="s">
        <v>59</v>
      </c>
      <c r="C356" s="15"/>
      <c r="D356" s="322" t="s">
        <v>920</v>
      </c>
      <c r="E356" s="12" t="s">
        <v>242</v>
      </c>
      <c r="F356" s="12" t="s">
        <v>919</v>
      </c>
      <c r="G356" s="240">
        <v>45906</v>
      </c>
      <c r="H356" s="320">
        <v>1130.528</v>
      </c>
      <c r="I356" s="241"/>
      <c r="J356" s="241"/>
      <c r="K356" s="6">
        <f t="shared" si="142"/>
        <v>1130.528</v>
      </c>
      <c r="L356" s="6">
        <f t="shared" si="141"/>
        <v>1130.528</v>
      </c>
      <c r="M356" s="300" t="s">
        <v>133</v>
      </c>
      <c r="N356" s="132">
        <f t="shared" ca="1" si="117"/>
        <v>66</v>
      </c>
      <c r="O356" s="85">
        <f t="shared" si="139"/>
        <v>45862</v>
      </c>
      <c r="P356" s="131"/>
      <c r="Q356" s="131">
        <f t="shared" si="98"/>
        <v>2</v>
      </c>
      <c r="R356" s="132">
        <f t="shared" ca="1" si="99"/>
        <v>22</v>
      </c>
      <c r="S356" s="131">
        <f t="shared" si="140"/>
        <v>45874</v>
      </c>
      <c r="T356" s="133"/>
      <c r="U356" s="132">
        <f t="shared" ca="1" si="97"/>
        <v>34</v>
      </c>
      <c r="V356" s="335">
        <f t="shared" si="137"/>
        <v>32</v>
      </c>
      <c r="W356" s="131"/>
      <c r="X356" s="297"/>
    </row>
    <row r="357" spans="1:24" ht="19.5" hidden="1" customHeight="1">
      <c r="A357" s="14">
        <v>217</v>
      </c>
      <c r="B357" s="15" t="s">
        <v>59</v>
      </c>
      <c r="C357" s="15"/>
      <c r="D357" s="322" t="s">
        <v>920</v>
      </c>
      <c r="E357" s="12" t="s">
        <v>242</v>
      </c>
      <c r="F357" s="12" t="s">
        <v>921</v>
      </c>
      <c r="G357" s="240">
        <v>45906</v>
      </c>
      <c r="H357" s="320">
        <v>1130.528</v>
      </c>
      <c r="I357" s="241"/>
      <c r="J357" s="241"/>
      <c r="K357" s="6">
        <f t="shared" si="142"/>
        <v>1130.528</v>
      </c>
      <c r="L357" s="6">
        <f t="shared" si="141"/>
        <v>1130.528</v>
      </c>
      <c r="M357" s="300" t="s">
        <v>133</v>
      </c>
      <c r="N357" s="132">
        <f t="shared" ca="1" si="117"/>
        <v>66</v>
      </c>
      <c r="O357" s="85">
        <f t="shared" si="139"/>
        <v>45862</v>
      </c>
      <c r="P357" s="131"/>
      <c r="Q357" s="131">
        <f t="shared" si="98"/>
        <v>2</v>
      </c>
      <c r="R357" s="132">
        <f t="shared" ca="1" si="99"/>
        <v>22</v>
      </c>
      <c r="S357" s="131">
        <f t="shared" si="140"/>
        <v>45874</v>
      </c>
      <c r="T357" s="133"/>
      <c r="U357" s="132">
        <f t="shared" ca="1" si="97"/>
        <v>34</v>
      </c>
      <c r="V357" s="335">
        <f t="shared" si="137"/>
        <v>32</v>
      </c>
      <c r="W357" s="131"/>
      <c r="X357" s="297"/>
    </row>
    <row r="358" spans="1:24" ht="19.5" hidden="1" customHeight="1">
      <c r="A358" s="14">
        <v>218</v>
      </c>
      <c r="B358" s="15" t="s">
        <v>59</v>
      </c>
      <c r="C358" s="15"/>
      <c r="D358" s="322" t="s">
        <v>193</v>
      </c>
      <c r="E358" s="12" t="s">
        <v>246</v>
      </c>
      <c r="F358" s="12" t="s">
        <v>162</v>
      </c>
      <c r="G358" s="240">
        <v>45906</v>
      </c>
      <c r="H358" s="320">
        <v>1050.1055999999999</v>
      </c>
      <c r="I358" s="241"/>
      <c r="J358" s="241"/>
      <c r="K358" s="6">
        <f>+H358*94%-J358</f>
        <v>987.09926399999983</v>
      </c>
      <c r="L358" s="6">
        <f t="shared" si="141"/>
        <v>1050.1055999999999</v>
      </c>
      <c r="M358" s="300" t="s">
        <v>133</v>
      </c>
      <c r="N358" s="132">
        <f t="shared" ca="1" si="117"/>
        <v>66</v>
      </c>
      <c r="O358" s="85">
        <f t="shared" si="139"/>
        <v>45862</v>
      </c>
      <c r="P358" s="131"/>
      <c r="Q358" s="131">
        <f t="shared" si="98"/>
        <v>2</v>
      </c>
      <c r="R358" s="132">
        <f t="shared" ca="1" si="99"/>
        <v>22</v>
      </c>
      <c r="S358" s="131">
        <f t="shared" si="140"/>
        <v>45874</v>
      </c>
      <c r="T358" s="133"/>
      <c r="U358" s="132">
        <f t="shared" ca="1" si="97"/>
        <v>34</v>
      </c>
      <c r="V358" s="335">
        <f t="shared" si="137"/>
        <v>32</v>
      </c>
      <c r="W358" s="131"/>
      <c r="X358" s="297"/>
    </row>
    <row r="359" spans="1:24" ht="19.5" hidden="1" customHeight="1">
      <c r="A359" s="14">
        <v>218</v>
      </c>
      <c r="B359" s="15" t="s">
        <v>59</v>
      </c>
      <c r="C359" s="15"/>
      <c r="D359" s="322" t="s">
        <v>250</v>
      </c>
      <c r="E359" s="12" t="s">
        <v>269</v>
      </c>
      <c r="F359" s="12" t="s">
        <v>162</v>
      </c>
      <c r="G359" s="240">
        <v>45906</v>
      </c>
      <c r="H359" s="320">
        <v>2595.6</v>
      </c>
      <c r="I359" s="241"/>
      <c r="J359" s="241"/>
      <c r="K359" s="6">
        <f t="shared" si="142"/>
        <v>2595.6</v>
      </c>
      <c r="L359" s="6">
        <f t="shared" si="141"/>
        <v>2595.6</v>
      </c>
      <c r="M359" s="300" t="s">
        <v>133</v>
      </c>
      <c r="N359" s="132">
        <f t="shared" ca="1" si="117"/>
        <v>66</v>
      </c>
      <c r="O359" s="85">
        <f t="shared" si="139"/>
        <v>45862</v>
      </c>
      <c r="P359" s="131"/>
      <c r="Q359" s="131">
        <f t="shared" si="98"/>
        <v>2</v>
      </c>
      <c r="R359" s="132">
        <f t="shared" ca="1" si="99"/>
        <v>22</v>
      </c>
      <c r="S359" s="131">
        <f t="shared" si="140"/>
        <v>45874</v>
      </c>
      <c r="T359" s="133"/>
      <c r="U359" s="132">
        <f t="shared" ca="1" si="97"/>
        <v>34</v>
      </c>
      <c r="V359" s="335">
        <f t="shared" si="137"/>
        <v>32</v>
      </c>
      <c r="W359" s="131"/>
      <c r="X359" s="297"/>
    </row>
    <row r="360" spans="1:24" ht="19.5" hidden="1" customHeight="1">
      <c r="A360" s="14">
        <v>218</v>
      </c>
      <c r="B360" s="15" t="s">
        <v>59</v>
      </c>
      <c r="C360" s="15"/>
      <c r="D360" s="322" t="s">
        <v>391</v>
      </c>
      <c r="E360" s="12" t="s">
        <v>392</v>
      </c>
      <c r="F360" s="12" t="s">
        <v>393</v>
      </c>
      <c r="G360" s="240">
        <v>45906</v>
      </c>
      <c r="H360" s="320">
        <v>667.44</v>
      </c>
      <c r="I360" s="241"/>
      <c r="J360" s="241"/>
      <c r="K360" s="6">
        <f t="shared" si="142"/>
        <v>667.44</v>
      </c>
      <c r="L360" s="6">
        <f t="shared" si="141"/>
        <v>667.44</v>
      </c>
      <c r="M360" s="300" t="s">
        <v>853</v>
      </c>
      <c r="N360" s="132">
        <f t="shared" ca="1" si="117"/>
        <v>66</v>
      </c>
      <c r="O360" s="85">
        <f t="shared" si="139"/>
        <v>45862</v>
      </c>
      <c r="P360" s="131"/>
      <c r="Q360" s="131">
        <f t="shared" si="98"/>
        <v>2</v>
      </c>
      <c r="R360" s="132">
        <f t="shared" ca="1" si="99"/>
        <v>22</v>
      </c>
      <c r="S360" s="131">
        <f t="shared" si="140"/>
        <v>45874</v>
      </c>
      <c r="T360" s="133"/>
      <c r="U360" s="132">
        <f t="shared" ca="1" si="97"/>
        <v>34</v>
      </c>
      <c r="V360" s="335">
        <f t="shared" si="137"/>
        <v>32</v>
      </c>
      <c r="W360" s="131"/>
      <c r="X360" s="297"/>
    </row>
    <row r="361" spans="1:24" ht="19.5" hidden="1" customHeight="1">
      <c r="A361" s="14">
        <v>218</v>
      </c>
      <c r="B361" s="15" t="s">
        <v>59</v>
      </c>
      <c r="C361" s="15"/>
      <c r="D361" s="322" t="s">
        <v>920</v>
      </c>
      <c r="E361" s="12" t="s">
        <v>242</v>
      </c>
      <c r="F361" s="12" t="s">
        <v>919</v>
      </c>
      <c r="G361" s="240">
        <v>45906</v>
      </c>
      <c r="H361" s="320">
        <v>1130.528</v>
      </c>
      <c r="I361" s="241"/>
      <c r="J361" s="241"/>
      <c r="K361" s="6">
        <f t="shared" si="142"/>
        <v>1130.528</v>
      </c>
      <c r="L361" s="6">
        <f t="shared" si="141"/>
        <v>1130.528</v>
      </c>
      <c r="M361" s="300" t="s">
        <v>133</v>
      </c>
      <c r="N361" s="132">
        <f t="shared" ca="1" si="117"/>
        <v>66</v>
      </c>
      <c r="O361" s="85">
        <f t="shared" si="139"/>
        <v>45862</v>
      </c>
      <c r="P361" s="131"/>
      <c r="Q361" s="131">
        <f t="shared" si="98"/>
        <v>2</v>
      </c>
      <c r="R361" s="132">
        <f t="shared" ca="1" si="99"/>
        <v>22</v>
      </c>
      <c r="S361" s="131">
        <f t="shared" si="140"/>
        <v>45874</v>
      </c>
      <c r="T361" s="133"/>
      <c r="U361" s="132">
        <f t="shared" ca="1" si="97"/>
        <v>34</v>
      </c>
      <c r="V361" s="335">
        <f t="shared" si="137"/>
        <v>32</v>
      </c>
      <c r="W361" s="131"/>
      <c r="X361" s="297"/>
    </row>
    <row r="362" spans="1:24" ht="19.5" hidden="1" customHeight="1">
      <c r="A362" s="14">
        <v>218</v>
      </c>
      <c r="B362" s="15" t="s">
        <v>59</v>
      </c>
      <c r="C362" s="15"/>
      <c r="D362" s="322" t="s">
        <v>920</v>
      </c>
      <c r="E362" s="12" t="s">
        <v>242</v>
      </c>
      <c r="F362" s="12" t="s">
        <v>921</v>
      </c>
      <c r="G362" s="240">
        <v>45906</v>
      </c>
      <c r="H362" s="320">
        <v>1130.528</v>
      </c>
      <c r="I362" s="241"/>
      <c r="J362" s="241"/>
      <c r="K362" s="6">
        <f t="shared" si="142"/>
        <v>1130.528</v>
      </c>
      <c r="L362" s="6">
        <f t="shared" si="141"/>
        <v>1130.528</v>
      </c>
      <c r="M362" s="300" t="s">
        <v>133</v>
      </c>
      <c r="N362" s="132">
        <f t="shared" ca="1" si="117"/>
        <v>66</v>
      </c>
      <c r="O362" s="85">
        <f t="shared" si="139"/>
        <v>45862</v>
      </c>
      <c r="P362" s="131"/>
      <c r="Q362" s="131">
        <f t="shared" si="98"/>
        <v>2</v>
      </c>
      <c r="R362" s="132">
        <f t="shared" ca="1" si="99"/>
        <v>22</v>
      </c>
      <c r="S362" s="131">
        <f t="shared" si="140"/>
        <v>45874</v>
      </c>
      <c r="T362" s="133"/>
      <c r="U362" s="132">
        <f t="shared" ca="1" si="97"/>
        <v>34</v>
      </c>
      <c r="V362" s="335">
        <f t="shared" si="137"/>
        <v>32</v>
      </c>
      <c r="W362" s="131"/>
      <c r="X362" s="297"/>
    </row>
    <row r="363" spans="1:24" ht="19.5" hidden="1" customHeight="1">
      <c r="A363" s="14">
        <v>219</v>
      </c>
      <c r="B363" s="15" t="s">
        <v>59</v>
      </c>
      <c r="C363" s="15"/>
      <c r="D363" s="322" t="s">
        <v>193</v>
      </c>
      <c r="E363" s="12" t="s">
        <v>246</v>
      </c>
      <c r="F363" s="12" t="s">
        <v>162</v>
      </c>
      <c r="G363" s="240">
        <v>45913</v>
      </c>
      <c r="H363" s="320">
        <v>1050.1055999999999</v>
      </c>
      <c r="I363" s="241"/>
      <c r="J363" s="241"/>
      <c r="K363" s="6">
        <f>+H363*94%-J363</f>
        <v>987.09926399999983</v>
      </c>
      <c r="L363" s="6">
        <f t="shared" si="141"/>
        <v>1050.1055999999999</v>
      </c>
      <c r="M363" s="300" t="s">
        <v>133</v>
      </c>
      <c r="N363" s="132">
        <f t="shared" ca="1" si="117"/>
        <v>73</v>
      </c>
      <c r="O363" s="85">
        <f t="shared" si="139"/>
        <v>45869</v>
      </c>
      <c r="P363" s="131"/>
      <c r="Q363" s="131">
        <f t="shared" si="98"/>
        <v>2</v>
      </c>
      <c r="R363" s="132">
        <f t="shared" ca="1" si="99"/>
        <v>29</v>
      </c>
      <c r="S363" s="131">
        <f t="shared" si="140"/>
        <v>45881</v>
      </c>
      <c r="T363" s="133"/>
      <c r="U363" s="132">
        <f t="shared" ca="1" si="97"/>
        <v>41</v>
      </c>
      <c r="V363" s="335">
        <f t="shared" si="137"/>
        <v>32</v>
      </c>
      <c r="W363" s="131"/>
      <c r="X363" s="297"/>
    </row>
    <row r="364" spans="1:24" ht="19.5" hidden="1" customHeight="1">
      <c r="A364" s="14">
        <v>219</v>
      </c>
      <c r="B364" s="15" t="s">
        <v>59</v>
      </c>
      <c r="C364" s="15"/>
      <c r="D364" s="322" t="s">
        <v>250</v>
      </c>
      <c r="E364" s="12" t="s">
        <v>269</v>
      </c>
      <c r="F364" s="12" t="s">
        <v>162</v>
      </c>
      <c r="G364" s="240">
        <v>45913</v>
      </c>
      <c r="H364" s="320">
        <v>5191.2</v>
      </c>
      <c r="I364" s="241"/>
      <c r="J364" s="241"/>
      <c r="K364" s="6">
        <f t="shared" si="142"/>
        <v>5191.2</v>
      </c>
      <c r="L364" s="6">
        <f t="shared" si="141"/>
        <v>5191.2</v>
      </c>
      <c r="M364" s="300" t="s">
        <v>133</v>
      </c>
      <c r="N364" s="132">
        <f t="shared" ca="1" si="117"/>
        <v>73</v>
      </c>
      <c r="O364" s="85">
        <f t="shared" si="139"/>
        <v>45869</v>
      </c>
      <c r="P364" s="131"/>
      <c r="Q364" s="131">
        <f t="shared" si="98"/>
        <v>2</v>
      </c>
      <c r="R364" s="132">
        <f t="shared" ca="1" si="99"/>
        <v>29</v>
      </c>
      <c r="S364" s="131">
        <f t="shared" si="140"/>
        <v>45881</v>
      </c>
      <c r="T364" s="133"/>
      <c r="U364" s="132">
        <f t="shared" ca="1" si="97"/>
        <v>41</v>
      </c>
      <c r="V364" s="335">
        <f t="shared" si="137"/>
        <v>32</v>
      </c>
      <c r="W364" s="131"/>
      <c r="X364" s="297"/>
    </row>
    <row r="365" spans="1:24" ht="19.5" hidden="1" customHeight="1">
      <c r="A365" s="14">
        <v>219</v>
      </c>
      <c r="B365" s="15" t="s">
        <v>59</v>
      </c>
      <c r="C365" s="15"/>
      <c r="D365" s="322" t="s">
        <v>839</v>
      </c>
      <c r="E365" s="12" t="s">
        <v>242</v>
      </c>
      <c r="F365" s="12" t="s">
        <v>162</v>
      </c>
      <c r="G365" s="240">
        <v>45913</v>
      </c>
      <c r="H365" s="320">
        <v>646.08192000000008</v>
      </c>
      <c r="I365" s="241"/>
      <c r="J365" s="241"/>
      <c r="K365" s="6">
        <f t="shared" ref="K365:K366" si="143">+H365*94%-J365</f>
        <v>607.31700480000006</v>
      </c>
      <c r="L365" s="6">
        <f t="shared" si="141"/>
        <v>646.08192000000008</v>
      </c>
      <c r="M365" s="300" t="s">
        <v>894</v>
      </c>
      <c r="N365" s="132">
        <f t="shared" ca="1" si="117"/>
        <v>73</v>
      </c>
      <c r="O365" s="85">
        <f t="shared" si="139"/>
        <v>45869</v>
      </c>
      <c r="P365" s="131"/>
      <c r="Q365" s="131">
        <f t="shared" si="98"/>
        <v>2</v>
      </c>
      <c r="R365" s="132">
        <f t="shared" ca="1" si="99"/>
        <v>29</v>
      </c>
      <c r="S365" s="131">
        <f t="shared" si="140"/>
        <v>45881</v>
      </c>
      <c r="T365" s="133"/>
      <c r="U365" s="132">
        <f t="shared" ca="1" si="97"/>
        <v>41</v>
      </c>
      <c r="V365" s="335">
        <f t="shared" si="137"/>
        <v>32</v>
      </c>
      <c r="W365" s="131"/>
      <c r="X365" s="297"/>
    </row>
    <row r="366" spans="1:24" ht="19.5" hidden="1" customHeight="1">
      <c r="A366" s="14">
        <v>219</v>
      </c>
      <c r="B366" s="15" t="s">
        <v>59</v>
      </c>
      <c r="C366" s="15"/>
      <c r="D366" s="322" t="s">
        <v>839</v>
      </c>
      <c r="E366" s="12" t="s">
        <v>242</v>
      </c>
      <c r="F366" s="12" t="s">
        <v>162</v>
      </c>
      <c r="G366" s="240">
        <v>45913</v>
      </c>
      <c r="H366" s="320">
        <v>179.46720000000002</v>
      </c>
      <c r="I366" s="241"/>
      <c r="J366" s="241"/>
      <c r="K366" s="6">
        <f t="shared" si="143"/>
        <v>168.69916800000001</v>
      </c>
      <c r="L366" s="6">
        <f t="shared" si="141"/>
        <v>179.46720000000002</v>
      </c>
      <c r="M366" s="300" t="s">
        <v>894</v>
      </c>
      <c r="N366" s="132">
        <f t="shared" ca="1" si="117"/>
        <v>73</v>
      </c>
      <c r="O366" s="85">
        <f t="shared" si="139"/>
        <v>45869</v>
      </c>
      <c r="P366" s="131"/>
      <c r="Q366" s="131">
        <f t="shared" si="98"/>
        <v>2</v>
      </c>
      <c r="R366" s="132">
        <f t="shared" ca="1" si="99"/>
        <v>29</v>
      </c>
      <c r="S366" s="131">
        <f t="shared" si="140"/>
        <v>45881</v>
      </c>
      <c r="T366" s="133"/>
      <c r="U366" s="132">
        <f t="shared" ca="1" si="97"/>
        <v>41</v>
      </c>
      <c r="V366" s="335">
        <f t="shared" si="137"/>
        <v>32</v>
      </c>
      <c r="W366" s="131"/>
      <c r="X366" s="297"/>
    </row>
    <row r="367" spans="1:24" ht="19.5" hidden="1" customHeight="1">
      <c r="A367" s="14">
        <v>219</v>
      </c>
      <c r="B367" s="15" t="s">
        <v>59</v>
      </c>
      <c r="C367" s="15"/>
      <c r="D367" s="322" t="s">
        <v>920</v>
      </c>
      <c r="E367" s="12" t="s">
        <v>242</v>
      </c>
      <c r="F367" s="12" t="s">
        <v>919</v>
      </c>
      <c r="G367" s="240">
        <v>45913</v>
      </c>
      <c r="H367" s="320">
        <v>1130.528</v>
      </c>
      <c r="I367" s="241"/>
      <c r="J367" s="241"/>
      <c r="K367" s="6">
        <f t="shared" si="142"/>
        <v>1130.528</v>
      </c>
      <c r="L367" s="6">
        <f t="shared" si="141"/>
        <v>1130.528</v>
      </c>
      <c r="M367" s="300" t="s">
        <v>133</v>
      </c>
      <c r="N367" s="132">
        <f t="shared" ca="1" si="117"/>
        <v>73</v>
      </c>
      <c r="O367" s="85">
        <f t="shared" si="139"/>
        <v>45869</v>
      </c>
      <c r="P367" s="131"/>
      <c r="Q367" s="131">
        <f t="shared" si="98"/>
        <v>2</v>
      </c>
      <c r="R367" s="132">
        <f t="shared" ca="1" si="99"/>
        <v>29</v>
      </c>
      <c r="S367" s="131">
        <f t="shared" si="140"/>
        <v>45881</v>
      </c>
      <c r="T367" s="133"/>
      <c r="U367" s="132">
        <f t="shared" ca="1" si="97"/>
        <v>41</v>
      </c>
      <c r="V367" s="335">
        <f t="shared" si="137"/>
        <v>32</v>
      </c>
      <c r="W367" s="131"/>
      <c r="X367" s="297"/>
    </row>
    <row r="368" spans="1:24" ht="19.5" hidden="1" customHeight="1">
      <c r="A368" s="14">
        <v>219</v>
      </c>
      <c r="B368" s="15" t="s">
        <v>59</v>
      </c>
      <c r="C368" s="15"/>
      <c r="D368" s="322" t="s">
        <v>920</v>
      </c>
      <c r="E368" s="12" t="s">
        <v>242</v>
      </c>
      <c r="F368" s="12" t="s">
        <v>921</v>
      </c>
      <c r="G368" s="240">
        <v>45913</v>
      </c>
      <c r="H368" s="320">
        <v>1130.528</v>
      </c>
      <c r="I368" s="241"/>
      <c r="J368" s="241"/>
      <c r="K368" s="6">
        <f t="shared" si="142"/>
        <v>1130.528</v>
      </c>
      <c r="L368" s="6">
        <f t="shared" si="141"/>
        <v>1130.528</v>
      </c>
      <c r="M368" s="300" t="s">
        <v>133</v>
      </c>
      <c r="N368" s="132">
        <f t="shared" ca="1" si="117"/>
        <v>73</v>
      </c>
      <c r="O368" s="85">
        <f t="shared" si="139"/>
        <v>45869</v>
      </c>
      <c r="P368" s="131"/>
      <c r="Q368" s="131">
        <f t="shared" si="98"/>
        <v>2</v>
      </c>
      <c r="R368" s="132">
        <f t="shared" ca="1" si="99"/>
        <v>29</v>
      </c>
      <c r="S368" s="131">
        <f t="shared" si="140"/>
        <v>45881</v>
      </c>
      <c r="T368" s="133"/>
      <c r="U368" s="132">
        <f t="shared" ref="U368:U389" ca="1" si="144">+IF(T368="",S368-TODAY(),S368-T368)</f>
        <v>41</v>
      </c>
      <c r="V368" s="335">
        <f t="shared" si="137"/>
        <v>32</v>
      </c>
      <c r="W368" s="131"/>
      <c r="X368" s="297"/>
    </row>
    <row r="369" spans="1:24" ht="19.5" hidden="1" customHeight="1">
      <c r="A369" s="14">
        <v>220</v>
      </c>
      <c r="B369" s="15" t="s">
        <v>59</v>
      </c>
      <c r="C369" s="15"/>
      <c r="D369" s="322" t="s">
        <v>189</v>
      </c>
      <c r="E369" s="12" t="s">
        <v>242</v>
      </c>
      <c r="F369" s="146" t="s">
        <v>90</v>
      </c>
      <c r="G369" s="240">
        <v>45920</v>
      </c>
      <c r="H369" s="320">
        <v>1426.5417600000001</v>
      </c>
      <c r="I369" s="241"/>
      <c r="J369" s="241"/>
      <c r="K369" s="6">
        <f t="shared" si="142"/>
        <v>1426.5417600000001</v>
      </c>
      <c r="L369" s="6">
        <f t="shared" si="141"/>
        <v>1426.5417600000001</v>
      </c>
      <c r="M369" s="300" t="s">
        <v>389</v>
      </c>
      <c r="N369" s="132">
        <f t="shared" ca="1" si="117"/>
        <v>80</v>
      </c>
      <c r="O369" s="85">
        <f t="shared" si="139"/>
        <v>45876</v>
      </c>
      <c r="P369" s="131"/>
      <c r="Q369" s="131">
        <f t="shared" ref="Q369:Q389" si="145">P369+2</f>
        <v>2</v>
      </c>
      <c r="R369" s="132">
        <f t="shared" ref="R369:R389" ca="1" si="146">+IF(P369="",O369-TODAY(),O369-P369)</f>
        <v>36</v>
      </c>
      <c r="S369" s="131">
        <f t="shared" si="140"/>
        <v>45888</v>
      </c>
      <c r="T369" s="133"/>
      <c r="U369" s="132">
        <f t="shared" ca="1" si="144"/>
        <v>48</v>
      </c>
      <c r="V369" s="335">
        <f t="shared" si="137"/>
        <v>32</v>
      </c>
      <c r="W369" s="131"/>
      <c r="X369" s="297"/>
    </row>
    <row r="370" spans="1:24" ht="19.5" hidden="1" customHeight="1">
      <c r="A370" s="14">
        <v>220</v>
      </c>
      <c r="B370" s="15" t="s">
        <v>59</v>
      </c>
      <c r="C370" s="15"/>
      <c r="D370" s="322" t="s">
        <v>920</v>
      </c>
      <c r="E370" s="12" t="s">
        <v>242</v>
      </c>
      <c r="F370" s="12" t="s">
        <v>919</v>
      </c>
      <c r="G370" s="240">
        <v>45920</v>
      </c>
      <c r="H370" s="320">
        <v>1978.424</v>
      </c>
      <c r="I370" s="241"/>
      <c r="J370" s="241"/>
      <c r="K370" s="6">
        <f t="shared" si="142"/>
        <v>1978.424</v>
      </c>
      <c r="L370" s="6">
        <f t="shared" si="141"/>
        <v>1978.424</v>
      </c>
      <c r="M370" s="300" t="s">
        <v>133</v>
      </c>
      <c r="N370" s="132">
        <f t="shared" ca="1" si="117"/>
        <v>80</v>
      </c>
      <c r="O370" s="85">
        <f t="shared" si="139"/>
        <v>45876</v>
      </c>
      <c r="P370" s="131"/>
      <c r="Q370" s="131">
        <f t="shared" si="145"/>
        <v>2</v>
      </c>
      <c r="R370" s="132">
        <f t="shared" ca="1" si="146"/>
        <v>36</v>
      </c>
      <c r="S370" s="131">
        <f t="shared" si="140"/>
        <v>45888</v>
      </c>
      <c r="T370" s="133"/>
      <c r="U370" s="132">
        <f t="shared" ca="1" si="144"/>
        <v>48</v>
      </c>
      <c r="V370" s="335">
        <f t="shared" si="137"/>
        <v>32</v>
      </c>
      <c r="W370" s="131"/>
      <c r="X370" s="297"/>
    </row>
    <row r="371" spans="1:24" ht="19.5" hidden="1" customHeight="1">
      <c r="A371" s="14">
        <v>220</v>
      </c>
      <c r="B371" s="15" t="s">
        <v>59</v>
      </c>
      <c r="C371" s="15"/>
      <c r="D371" s="322" t="s">
        <v>920</v>
      </c>
      <c r="E371" s="12" t="s">
        <v>242</v>
      </c>
      <c r="F371" s="12" t="s">
        <v>921</v>
      </c>
      <c r="G371" s="240">
        <v>45920</v>
      </c>
      <c r="H371" s="320">
        <v>1978.424</v>
      </c>
      <c r="I371" s="241"/>
      <c r="J371" s="241"/>
      <c r="K371" s="6">
        <f t="shared" si="142"/>
        <v>1978.424</v>
      </c>
      <c r="L371" s="6">
        <f t="shared" si="141"/>
        <v>1978.424</v>
      </c>
      <c r="M371" s="300" t="s">
        <v>133</v>
      </c>
      <c r="N371" s="132">
        <f t="shared" ca="1" si="117"/>
        <v>80</v>
      </c>
      <c r="O371" s="85">
        <f t="shared" si="139"/>
        <v>45876</v>
      </c>
      <c r="P371" s="131"/>
      <c r="Q371" s="131">
        <f t="shared" si="145"/>
        <v>2</v>
      </c>
      <c r="R371" s="132">
        <f t="shared" ca="1" si="146"/>
        <v>36</v>
      </c>
      <c r="S371" s="131">
        <f t="shared" si="140"/>
        <v>45888</v>
      </c>
      <c r="T371" s="133"/>
      <c r="U371" s="132">
        <f t="shared" ca="1" si="144"/>
        <v>48</v>
      </c>
      <c r="V371" s="335">
        <f t="shared" si="137"/>
        <v>32</v>
      </c>
      <c r="W371" s="131"/>
      <c r="X371" s="297"/>
    </row>
    <row r="372" spans="1:24" ht="19.5" customHeight="1">
      <c r="A372" s="14">
        <v>221</v>
      </c>
      <c r="B372" s="15" t="s">
        <v>59</v>
      </c>
      <c r="C372" s="15"/>
      <c r="D372" s="322" t="s">
        <v>201</v>
      </c>
      <c r="E372" s="12" t="s">
        <v>247</v>
      </c>
      <c r="F372" s="12" t="s">
        <v>155</v>
      </c>
      <c r="G372" s="240">
        <v>45920</v>
      </c>
      <c r="H372" s="320">
        <v>1328.9472000000001</v>
      </c>
      <c r="I372" s="241"/>
      <c r="J372" s="241"/>
      <c r="K372" s="6">
        <f>+H372*94%-J372</f>
        <v>1249.210368</v>
      </c>
      <c r="L372" s="6">
        <f t="shared" si="141"/>
        <v>1328.9472000000001</v>
      </c>
      <c r="M372" s="300" t="s">
        <v>955</v>
      </c>
      <c r="N372" s="132">
        <f t="shared" ca="1" si="117"/>
        <v>80</v>
      </c>
      <c r="O372" s="85">
        <f t="shared" si="139"/>
        <v>45876</v>
      </c>
      <c r="P372" s="131"/>
      <c r="Q372" s="131">
        <f t="shared" si="145"/>
        <v>2</v>
      </c>
      <c r="R372" s="132">
        <f t="shared" ca="1" si="146"/>
        <v>36</v>
      </c>
      <c r="S372" s="131">
        <f t="shared" si="140"/>
        <v>45888</v>
      </c>
      <c r="T372" s="133"/>
      <c r="U372" s="132">
        <f t="shared" ca="1" si="144"/>
        <v>48</v>
      </c>
      <c r="V372" s="335">
        <f t="shared" si="137"/>
        <v>32</v>
      </c>
      <c r="W372" s="131"/>
      <c r="X372" s="297"/>
    </row>
    <row r="373" spans="1:24" ht="19.5" hidden="1" customHeight="1">
      <c r="A373" s="14">
        <v>221</v>
      </c>
      <c r="B373" s="15" t="s">
        <v>59</v>
      </c>
      <c r="C373" s="15"/>
      <c r="D373" s="322" t="s">
        <v>391</v>
      </c>
      <c r="E373" s="12" t="s">
        <v>392</v>
      </c>
      <c r="F373" s="12" t="s">
        <v>393</v>
      </c>
      <c r="G373" s="240">
        <v>45920</v>
      </c>
      <c r="H373" s="320">
        <v>667.44</v>
      </c>
      <c r="I373" s="241"/>
      <c r="J373" s="241"/>
      <c r="K373" s="6">
        <f t="shared" si="142"/>
        <v>667.44</v>
      </c>
      <c r="L373" s="6">
        <f t="shared" si="141"/>
        <v>667.44</v>
      </c>
      <c r="M373" s="300" t="s">
        <v>853</v>
      </c>
      <c r="N373" s="132">
        <f t="shared" ca="1" si="117"/>
        <v>80</v>
      </c>
      <c r="O373" s="85">
        <f t="shared" si="139"/>
        <v>45876</v>
      </c>
      <c r="P373" s="131"/>
      <c r="Q373" s="131">
        <f t="shared" si="145"/>
        <v>2</v>
      </c>
      <c r="R373" s="132">
        <f t="shared" ca="1" si="146"/>
        <v>36</v>
      </c>
      <c r="S373" s="131">
        <f t="shared" si="140"/>
        <v>45888</v>
      </c>
      <c r="T373" s="133"/>
      <c r="U373" s="132">
        <f t="shared" ca="1" si="144"/>
        <v>48</v>
      </c>
      <c r="V373" s="335">
        <f t="shared" si="137"/>
        <v>32</v>
      </c>
      <c r="W373" s="131"/>
      <c r="X373" s="297"/>
    </row>
    <row r="374" spans="1:24" ht="19.5" hidden="1" customHeight="1">
      <c r="A374" s="14">
        <v>221</v>
      </c>
      <c r="B374" s="15" t="s">
        <v>59</v>
      </c>
      <c r="C374" s="15"/>
      <c r="D374" s="322" t="s">
        <v>901</v>
      </c>
      <c r="E374" s="12" t="s">
        <v>242</v>
      </c>
      <c r="F374" s="12" t="s">
        <v>244</v>
      </c>
      <c r="G374" s="240">
        <v>45920</v>
      </c>
      <c r="H374" s="320">
        <v>600.69600000000003</v>
      </c>
      <c r="I374" s="241"/>
      <c r="J374" s="241"/>
      <c r="K374" s="6">
        <f>+H374-94%-J374</f>
        <v>599.75599999999997</v>
      </c>
      <c r="L374" s="6">
        <f t="shared" si="141"/>
        <v>600.69600000000003</v>
      </c>
      <c r="M374" s="299" t="s">
        <v>948</v>
      </c>
      <c r="N374" s="132">
        <f t="shared" ca="1" si="117"/>
        <v>80</v>
      </c>
      <c r="O374" s="85">
        <f t="shared" si="139"/>
        <v>45876</v>
      </c>
      <c r="P374" s="131"/>
      <c r="Q374" s="131">
        <f t="shared" si="145"/>
        <v>2</v>
      </c>
      <c r="R374" s="132">
        <f t="shared" ca="1" si="146"/>
        <v>36</v>
      </c>
      <c r="S374" s="131">
        <f t="shared" si="140"/>
        <v>45888</v>
      </c>
      <c r="T374" s="133"/>
      <c r="U374" s="132">
        <f t="shared" ca="1" si="144"/>
        <v>48</v>
      </c>
      <c r="V374" s="335">
        <f t="shared" si="137"/>
        <v>32</v>
      </c>
      <c r="W374" s="131"/>
      <c r="X374" s="297"/>
    </row>
    <row r="375" spans="1:24" ht="19.5" hidden="1" customHeight="1">
      <c r="A375" s="14">
        <v>221</v>
      </c>
      <c r="B375" s="15" t="s">
        <v>59</v>
      </c>
      <c r="C375" s="15"/>
      <c r="D375" s="322" t="s">
        <v>920</v>
      </c>
      <c r="E375" s="12" t="s">
        <v>242</v>
      </c>
      <c r="F375" s="12" t="s">
        <v>919</v>
      </c>
      <c r="G375" s="240">
        <v>45920</v>
      </c>
      <c r="H375" s="320">
        <v>4522.1120000000001</v>
      </c>
      <c r="I375" s="241"/>
      <c r="J375" s="241"/>
      <c r="K375" s="6">
        <f t="shared" si="142"/>
        <v>4522.1120000000001</v>
      </c>
      <c r="L375" s="6">
        <f t="shared" si="141"/>
        <v>4522.1120000000001</v>
      </c>
      <c r="M375" s="300" t="s">
        <v>133</v>
      </c>
      <c r="N375" s="132">
        <f t="shared" ca="1" si="117"/>
        <v>80</v>
      </c>
      <c r="O375" s="85">
        <f t="shared" si="139"/>
        <v>45876</v>
      </c>
      <c r="P375" s="131"/>
      <c r="Q375" s="131">
        <f t="shared" si="145"/>
        <v>2</v>
      </c>
      <c r="R375" s="132">
        <f t="shared" ca="1" si="146"/>
        <v>36</v>
      </c>
      <c r="S375" s="131">
        <f t="shared" si="140"/>
        <v>45888</v>
      </c>
      <c r="T375" s="133"/>
      <c r="U375" s="132">
        <f t="shared" ca="1" si="144"/>
        <v>48</v>
      </c>
      <c r="V375" s="335">
        <f t="shared" si="137"/>
        <v>32</v>
      </c>
      <c r="W375" s="131"/>
      <c r="X375" s="297"/>
    </row>
    <row r="376" spans="1:24" ht="19.5" hidden="1" customHeight="1">
      <c r="A376" s="14">
        <v>221</v>
      </c>
      <c r="B376" s="15" t="s">
        <v>59</v>
      </c>
      <c r="C376" s="15"/>
      <c r="D376" s="322" t="s">
        <v>920</v>
      </c>
      <c r="E376" s="12" t="s">
        <v>242</v>
      </c>
      <c r="F376" s="12" t="s">
        <v>921</v>
      </c>
      <c r="G376" s="240">
        <v>45920</v>
      </c>
      <c r="H376" s="320">
        <v>4522.1120000000001</v>
      </c>
      <c r="I376" s="241"/>
      <c r="J376" s="241"/>
      <c r="K376" s="6">
        <f t="shared" si="142"/>
        <v>4522.1120000000001</v>
      </c>
      <c r="L376" s="6">
        <f t="shared" si="141"/>
        <v>4522.1120000000001</v>
      </c>
      <c r="M376" s="300" t="s">
        <v>133</v>
      </c>
      <c r="N376" s="132">
        <f t="shared" ca="1" si="117"/>
        <v>80</v>
      </c>
      <c r="O376" s="85">
        <f t="shared" si="139"/>
        <v>45876</v>
      </c>
      <c r="P376" s="131"/>
      <c r="Q376" s="131">
        <f t="shared" si="145"/>
        <v>2</v>
      </c>
      <c r="R376" s="132">
        <f t="shared" ca="1" si="146"/>
        <v>36</v>
      </c>
      <c r="S376" s="131">
        <f t="shared" si="140"/>
        <v>45888</v>
      </c>
      <c r="T376" s="133"/>
      <c r="U376" s="132">
        <f t="shared" ca="1" si="144"/>
        <v>48</v>
      </c>
      <c r="V376" s="335">
        <f t="shared" si="137"/>
        <v>32</v>
      </c>
      <c r="W376" s="131"/>
      <c r="X376" s="297"/>
    </row>
    <row r="377" spans="1:24" ht="19.5" hidden="1" customHeight="1">
      <c r="A377" s="14">
        <v>222</v>
      </c>
      <c r="B377" s="15" t="s">
        <v>59</v>
      </c>
      <c r="C377" s="15"/>
      <c r="D377" s="322" t="s">
        <v>193</v>
      </c>
      <c r="E377" s="12" t="s">
        <v>246</v>
      </c>
      <c r="F377" s="12" t="s">
        <v>162</v>
      </c>
      <c r="G377" s="240">
        <v>45920</v>
      </c>
      <c r="H377" s="320">
        <v>1050.1055999999999</v>
      </c>
      <c r="I377" s="241"/>
      <c r="J377" s="241"/>
      <c r="K377" s="6">
        <f>+H377*94%-J377</f>
        <v>987.09926399999983</v>
      </c>
      <c r="L377" s="6">
        <f t="shared" si="141"/>
        <v>1050.1055999999999</v>
      </c>
      <c r="M377" s="300" t="s">
        <v>133</v>
      </c>
      <c r="N377" s="132">
        <f t="shared" ca="1" si="117"/>
        <v>80</v>
      </c>
      <c r="O377" s="85">
        <f t="shared" si="139"/>
        <v>45876</v>
      </c>
      <c r="P377" s="131"/>
      <c r="Q377" s="131">
        <f t="shared" si="145"/>
        <v>2</v>
      </c>
      <c r="R377" s="132">
        <f t="shared" ca="1" si="146"/>
        <v>36</v>
      </c>
      <c r="S377" s="131">
        <f t="shared" si="140"/>
        <v>45888</v>
      </c>
      <c r="T377" s="133"/>
      <c r="U377" s="132">
        <f t="shared" ca="1" si="144"/>
        <v>48</v>
      </c>
      <c r="V377" s="335">
        <f t="shared" si="137"/>
        <v>32</v>
      </c>
      <c r="W377" s="131"/>
      <c r="X377" s="297"/>
    </row>
    <row r="378" spans="1:24" ht="19.5" hidden="1" customHeight="1">
      <c r="A378" s="14">
        <v>222</v>
      </c>
      <c r="B378" s="15" t="s">
        <v>59</v>
      </c>
      <c r="C378" s="15"/>
      <c r="D378" s="322" t="s">
        <v>391</v>
      </c>
      <c r="E378" s="12" t="s">
        <v>392</v>
      </c>
      <c r="F378" s="12" t="s">
        <v>393</v>
      </c>
      <c r="G378" s="240">
        <v>45920</v>
      </c>
      <c r="H378" s="320">
        <v>667.44</v>
      </c>
      <c r="I378" s="241"/>
      <c r="J378" s="241"/>
      <c r="K378" s="6">
        <f t="shared" si="142"/>
        <v>667.44</v>
      </c>
      <c r="L378" s="6">
        <f t="shared" si="141"/>
        <v>667.44</v>
      </c>
      <c r="M378" s="300" t="s">
        <v>853</v>
      </c>
      <c r="N378" s="132">
        <f t="shared" ca="1" si="117"/>
        <v>80</v>
      </c>
      <c r="O378" s="85">
        <f t="shared" si="139"/>
        <v>45876</v>
      </c>
      <c r="P378" s="131"/>
      <c r="Q378" s="131">
        <f t="shared" si="145"/>
        <v>2</v>
      </c>
      <c r="R378" s="132">
        <f t="shared" ca="1" si="146"/>
        <v>36</v>
      </c>
      <c r="S378" s="131">
        <f t="shared" si="140"/>
        <v>45888</v>
      </c>
      <c r="T378" s="133"/>
      <c r="U378" s="132">
        <f t="shared" ca="1" si="144"/>
        <v>48</v>
      </c>
      <c r="V378" s="335">
        <f t="shared" si="137"/>
        <v>32</v>
      </c>
      <c r="W378" s="131"/>
      <c r="X378" s="297"/>
    </row>
    <row r="379" spans="1:24" ht="19.5" hidden="1" customHeight="1">
      <c r="A379" s="14">
        <v>222</v>
      </c>
      <c r="B379" s="15" t="s">
        <v>59</v>
      </c>
      <c r="C379" s="15"/>
      <c r="D379" s="322" t="s">
        <v>920</v>
      </c>
      <c r="E379" s="12" t="s">
        <v>242</v>
      </c>
      <c r="F379" s="12" t="s">
        <v>919</v>
      </c>
      <c r="G379" s="240">
        <v>45920</v>
      </c>
      <c r="H379" s="320">
        <v>2543.6879999999996</v>
      </c>
      <c r="I379" s="241"/>
      <c r="J379" s="241"/>
      <c r="K379" s="6">
        <f t="shared" si="142"/>
        <v>2543.6879999999996</v>
      </c>
      <c r="L379" s="6">
        <f t="shared" si="141"/>
        <v>2543.6879999999996</v>
      </c>
      <c r="M379" s="300" t="s">
        <v>133</v>
      </c>
      <c r="N379" s="132">
        <f t="shared" ca="1" si="117"/>
        <v>80</v>
      </c>
      <c r="O379" s="85">
        <f t="shared" si="139"/>
        <v>45876</v>
      </c>
      <c r="P379" s="131"/>
      <c r="Q379" s="131">
        <f t="shared" si="145"/>
        <v>2</v>
      </c>
      <c r="R379" s="132">
        <f t="shared" ca="1" si="146"/>
        <v>36</v>
      </c>
      <c r="S379" s="131">
        <f t="shared" si="140"/>
        <v>45888</v>
      </c>
      <c r="T379" s="133"/>
      <c r="U379" s="132">
        <f t="shared" ca="1" si="144"/>
        <v>48</v>
      </c>
      <c r="V379" s="335">
        <f t="shared" si="137"/>
        <v>32</v>
      </c>
      <c r="W379" s="131"/>
      <c r="X379" s="297"/>
    </row>
    <row r="380" spans="1:24" ht="19.5" hidden="1" customHeight="1">
      <c r="A380" s="14">
        <v>222</v>
      </c>
      <c r="B380" s="15" t="s">
        <v>59</v>
      </c>
      <c r="C380" s="15"/>
      <c r="D380" s="322" t="s">
        <v>920</v>
      </c>
      <c r="E380" s="12" t="s">
        <v>242</v>
      </c>
      <c r="F380" s="12" t="s">
        <v>921</v>
      </c>
      <c r="G380" s="240">
        <v>45920</v>
      </c>
      <c r="H380" s="320">
        <v>2543.6879999999996</v>
      </c>
      <c r="I380" s="241"/>
      <c r="J380" s="241"/>
      <c r="K380" s="6">
        <f t="shared" si="142"/>
        <v>2543.6879999999996</v>
      </c>
      <c r="L380" s="6">
        <f t="shared" si="141"/>
        <v>2543.6879999999996</v>
      </c>
      <c r="M380" s="300" t="s">
        <v>133</v>
      </c>
      <c r="N380" s="132">
        <f t="shared" ca="1" si="117"/>
        <v>80</v>
      </c>
      <c r="O380" s="85">
        <f t="shared" si="139"/>
        <v>45876</v>
      </c>
      <c r="P380" s="131"/>
      <c r="Q380" s="131">
        <f t="shared" si="145"/>
        <v>2</v>
      </c>
      <c r="R380" s="132">
        <f t="shared" ca="1" si="146"/>
        <v>36</v>
      </c>
      <c r="S380" s="131">
        <f t="shared" si="140"/>
        <v>45888</v>
      </c>
      <c r="T380" s="133"/>
      <c r="U380" s="132">
        <f t="shared" ca="1" si="144"/>
        <v>48</v>
      </c>
      <c r="V380" s="335">
        <f t="shared" si="137"/>
        <v>32</v>
      </c>
      <c r="W380" s="131"/>
      <c r="X380" s="297"/>
    </row>
    <row r="381" spans="1:24" ht="14.5" hidden="1">
      <c r="A381" s="14">
        <v>223</v>
      </c>
      <c r="B381" s="15" t="s">
        <v>59</v>
      </c>
      <c r="C381" s="15"/>
      <c r="D381" s="322" t="s">
        <v>193</v>
      </c>
      <c r="E381" s="12" t="s">
        <v>246</v>
      </c>
      <c r="F381" s="12" t="s">
        <v>162</v>
      </c>
      <c r="G381" s="240">
        <v>45934</v>
      </c>
      <c r="H381" s="320">
        <v>1050.1055999999999</v>
      </c>
      <c r="I381" s="241"/>
      <c r="J381" s="241"/>
      <c r="K381" s="6">
        <f>+H381*94%-J381</f>
        <v>987.09926399999983</v>
      </c>
      <c r="L381" s="6">
        <f t="shared" ref="L381:L389" si="147">+H381-I381</f>
        <v>1050.1055999999999</v>
      </c>
      <c r="M381" s="300" t="s">
        <v>133</v>
      </c>
      <c r="N381" s="132">
        <f t="shared" ca="1" si="117"/>
        <v>94</v>
      </c>
      <c r="O381" s="85">
        <f t="shared" si="139"/>
        <v>45890</v>
      </c>
      <c r="P381" s="131"/>
      <c r="Q381" s="131">
        <f t="shared" si="145"/>
        <v>2</v>
      </c>
      <c r="R381" s="132">
        <f t="shared" ca="1" si="146"/>
        <v>50</v>
      </c>
      <c r="S381" s="131">
        <f t="shared" si="140"/>
        <v>45902</v>
      </c>
      <c r="T381" s="133"/>
      <c r="U381" s="132">
        <f t="shared" ca="1" si="144"/>
        <v>62</v>
      </c>
      <c r="V381" s="335">
        <f t="shared" si="137"/>
        <v>32</v>
      </c>
      <c r="W381" s="131"/>
      <c r="X381" s="297"/>
    </row>
    <row r="382" spans="1:24" ht="14.5" hidden="1">
      <c r="A382" s="14">
        <v>223</v>
      </c>
      <c r="B382" s="15" t="s">
        <v>59</v>
      </c>
      <c r="C382" s="15"/>
      <c r="D382" s="322" t="s">
        <v>391</v>
      </c>
      <c r="E382" s="12" t="s">
        <v>392</v>
      </c>
      <c r="F382" s="12" t="s">
        <v>393</v>
      </c>
      <c r="G382" s="240">
        <v>45934</v>
      </c>
      <c r="H382" s="320">
        <v>1001.1600000000001</v>
      </c>
      <c r="I382" s="241"/>
      <c r="J382" s="241"/>
      <c r="K382" s="6">
        <f t="shared" ref="K382:K389" si="148">+H382-J382</f>
        <v>1001.1600000000001</v>
      </c>
      <c r="L382" s="6">
        <f t="shared" si="147"/>
        <v>1001.1600000000001</v>
      </c>
      <c r="M382" s="300" t="s">
        <v>853</v>
      </c>
      <c r="N382" s="132">
        <f t="shared" ref="N382:N422" ca="1" si="149">G382-TODAY()</f>
        <v>94</v>
      </c>
      <c r="O382" s="85">
        <f t="shared" si="139"/>
        <v>45890</v>
      </c>
      <c r="P382" s="131"/>
      <c r="Q382" s="131">
        <f t="shared" si="145"/>
        <v>2</v>
      </c>
      <c r="R382" s="132">
        <f t="shared" ca="1" si="146"/>
        <v>50</v>
      </c>
      <c r="S382" s="131">
        <f t="shared" si="140"/>
        <v>45902</v>
      </c>
      <c r="T382" s="133"/>
      <c r="U382" s="132">
        <f t="shared" ca="1" si="144"/>
        <v>62</v>
      </c>
      <c r="V382" s="335">
        <f t="shared" si="137"/>
        <v>32</v>
      </c>
      <c r="W382" s="131"/>
      <c r="X382" s="297"/>
    </row>
    <row r="383" spans="1:24" ht="14.5" hidden="1">
      <c r="A383" s="14">
        <v>223</v>
      </c>
      <c r="B383" s="15" t="s">
        <v>59</v>
      </c>
      <c r="C383" s="15"/>
      <c r="D383" s="322" t="s">
        <v>920</v>
      </c>
      <c r="E383" s="12" t="s">
        <v>242</v>
      </c>
      <c r="F383" s="12" t="s">
        <v>919</v>
      </c>
      <c r="G383" s="240">
        <v>45934</v>
      </c>
      <c r="H383" s="320">
        <v>2543.6879999999996</v>
      </c>
      <c r="I383" s="241"/>
      <c r="J383" s="241"/>
      <c r="K383" s="6">
        <f t="shared" si="148"/>
        <v>2543.6879999999996</v>
      </c>
      <c r="L383" s="6">
        <f t="shared" si="147"/>
        <v>2543.6879999999996</v>
      </c>
      <c r="M383" s="300" t="s">
        <v>133</v>
      </c>
      <c r="N383" s="132">
        <f t="shared" ca="1" si="149"/>
        <v>94</v>
      </c>
      <c r="O383" s="85">
        <f t="shared" si="139"/>
        <v>45890</v>
      </c>
      <c r="P383" s="131"/>
      <c r="Q383" s="131">
        <f t="shared" si="145"/>
        <v>2</v>
      </c>
      <c r="R383" s="132">
        <f t="shared" ca="1" si="146"/>
        <v>50</v>
      </c>
      <c r="S383" s="131">
        <f t="shared" si="140"/>
        <v>45902</v>
      </c>
      <c r="T383" s="133"/>
      <c r="U383" s="132">
        <f t="shared" ca="1" si="144"/>
        <v>62</v>
      </c>
      <c r="V383" s="335">
        <f t="shared" si="137"/>
        <v>32</v>
      </c>
      <c r="W383" s="131"/>
      <c r="X383" s="297"/>
    </row>
    <row r="384" spans="1:24" ht="14.5" hidden="1">
      <c r="A384" s="14">
        <v>223</v>
      </c>
      <c r="B384" s="15" t="s">
        <v>59</v>
      </c>
      <c r="C384" s="15"/>
      <c r="D384" s="322" t="s">
        <v>920</v>
      </c>
      <c r="E384" s="12" t="s">
        <v>242</v>
      </c>
      <c r="F384" s="12" t="s">
        <v>921</v>
      </c>
      <c r="G384" s="240">
        <v>45934</v>
      </c>
      <c r="H384" s="320">
        <v>2543.6879999999996</v>
      </c>
      <c r="I384" s="241"/>
      <c r="J384" s="241"/>
      <c r="K384" s="6">
        <f t="shared" si="148"/>
        <v>2543.6879999999996</v>
      </c>
      <c r="L384" s="6">
        <f t="shared" si="147"/>
        <v>2543.6879999999996</v>
      </c>
      <c r="M384" s="300" t="s">
        <v>133</v>
      </c>
      <c r="N384" s="132">
        <f t="shared" ca="1" si="149"/>
        <v>94</v>
      </c>
      <c r="O384" s="85">
        <f t="shared" si="139"/>
        <v>45890</v>
      </c>
      <c r="P384" s="131"/>
      <c r="Q384" s="131">
        <f t="shared" si="145"/>
        <v>2</v>
      </c>
      <c r="R384" s="132">
        <f t="shared" ca="1" si="146"/>
        <v>50</v>
      </c>
      <c r="S384" s="131">
        <f t="shared" si="140"/>
        <v>45902</v>
      </c>
      <c r="T384" s="133"/>
      <c r="U384" s="132">
        <f t="shared" ca="1" si="144"/>
        <v>62</v>
      </c>
      <c r="V384" s="335">
        <f t="shared" si="137"/>
        <v>32</v>
      </c>
      <c r="W384" s="131"/>
      <c r="X384" s="297"/>
    </row>
    <row r="385" spans="1:24" ht="14.5" hidden="1">
      <c r="A385" s="14">
        <v>224</v>
      </c>
      <c r="B385" s="15" t="s">
        <v>59</v>
      </c>
      <c r="C385" s="15"/>
      <c r="D385" s="322" t="s">
        <v>248</v>
      </c>
      <c r="E385" s="12" t="s">
        <v>270</v>
      </c>
      <c r="F385" s="12" t="s">
        <v>162</v>
      </c>
      <c r="G385" s="240">
        <v>45941</v>
      </c>
      <c r="H385" s="320">
        <v>2712.7728000000002</v>
      </c>
      <c r="I385" s="241"/>
      <c r="J385" s="241"/>
      <c r="K385" s="6">
        <f>+H385*92%-J385</f>
        <v>2495.7509760000003</v>
      </c>
      <c r="L385" s="6">
        <f t="shared" si="147"/>
        <v>2712.7728000000002</v>
      </c>
      <c r="M385" s="300" t="s">
        <v>133</v>
      </c>
      <c r="N385" s="132">
        <f t="shared" ca="1" si="149"/>
        <v>101</v>
      </c>
      <c r="O385" s="85">
        <f t="shared" si="139"/>
        <v>45897</v>
      </c>
      <c r="P385" s="131"/>
      <c r="Q385" s="131">
        <f t="shared" si="145"/>
        <v>2</v>
      </c>
      <c r="R385" s="132">
        <f t="shared" ca="1" si="146"/>
        <v>57</v>
      </c>
      <c r="S385" s="131">
        <f t="shared" si="140"/>
        <v>45909</v>
      </c>
      <c r="T385" s="133"/>
      <c r="U385" s="132">
        <f t="shared" ca="1" si="144"/>
        <v>69</v>
      </c>
      <c r="V385" s="335">
        <f t="shared" si="137"/>
        <v>32</v>
      </c>
      <c r="W385" s="131"/>
      <c r="X385" s="297"/>
    </row>
    <row r="386" spans="1:24" ht="14.5" hidden="1">
      <c r="A386" s="14">
        <v>224</v>
      </c>
      <c r="B386" s="15" t="s">
        <v>59</v>
      </c>
      <c r="C386" s="15"/>
      <c r="D386" s="322" t="s">
        <v>193</v>
      </c>
      <c r="E386" s="12" t="s">
        <v>246</v>
      </c>
      <c r="F386" s="12" t="s">
        <v>162</v>
      </c>
      <c r="G386" s="240">
        <v>45941</v>
      </c>
      <c r="H386" s="320">
        <v>1050.1055999999999</v>
      </c>
      <c r="I386" s="241"/>
      <c r="J386" s="241"/>
      <c r="K386" s="6">
        <f>+H386*94%-J386</f>
        <v>987.09926399999983</v>
      </c>
      <c r="L386" s="6">
        <f t="shared" si="147"/>
        <v>1050.1055999999999</v>
      </c>
      <c r="M386" s="300" t="s">
        <v>133</v>
      </c>
      <c r="N386" s="132">
        <f t="shared" ca="1" si="149"/>
        <v>101</v>
      </c>
      <c r="O386" s="85">
        <f t="shared" si="139"/>
        <v>45897</v>
      </c>
      <c r="P386" s="131"/>
      <c r="Q386" s="131">
        <f t="shared" si="145"/>
        <v>2</v>
      </c>
      <c r="R386" s="132">
        <f t="shared" ca="1" si="146"/>
        <v>57</v>
      </c>
      <c r="S386" s="131">
        <f t="shared" si="140"/>
        <v>45909</v>
      </c>
      <c r="T386" s="133"/>
      <c r="U386" s="132">
        <f t="shared" ca="1" si="144"/>
        <v>69</v>
      </c>
      <c r="V386" s="335">
        <f t="shared" si="137"/>
        <v>32</v>
      </c>
      <c r="W386" s="131"/>
      <c r="X386" s="297"/>
    </row>
    <row r="387" spans="1:24" ht="14.5" hidden="1">
      <c r="A387" s="14">
        <v>224</v>
      </c>
      <c r="B387" s="15" t="s">
        <v>59</v>
      </c>
      <c r="C387" s="15"/>
      <c r="D387" s="322" t="s">
        <v>189</v>
      </c>
      <c r="E387" s="12" t="s">
        <v>242</v>
      </c>
      <c r="F387" s="146" t="s">
        <v>90</v>
      </c>
      <c r="G387" s="240">
        <v>45941</v>
      </c>
      <c r="H387" s="320">
        <v>645.34032000000002</v>
      </c>
      <c r="I387" s="241"/>
      <c r="J387" s="241"/>
      <c r="K387" s="6">
        <f t="shared" si="148"/>
        <v>645.34032000000002</v>
      </c>
      <c r="L387" s="6">
        <f t="shared" si="147"/>
        <v>645.34032000000002</v>
      </c>
      <c r="M387" s="300" t="s">
        <v>389</v>
      </c>
      <c r="N387" s="132">
        <f t="shared" ca="1" si="149"/>
        <v>101</v>
      </c>
      <c r="O387" s="85">
        <f t="shared" si="139"/>
        <v>45897</v>
      </c>
      <c r="P387" s="131"/>
      <c r="Q387" s="131">
        <f t="shared" si="145"/>
        <v>2</v>
      </c>
      <c r="R387" s="132">
        <f t="shared" ca="1" si="146"/>
        <v>57</v>
      </c>
      <c r="S387" s="131">
        <f t="shared" si="140"/>
        <v>45909</v>
      </c>
      <c r="T387" s="133"/>
      <c r="U387" s="132">
        <f t="shared" ca="1" si="144"/>
        <v>69</v>
      </c>
      <c r="V387" s="335">
        <f t="shared" si="137"/>
        <v>32</v>
      </c>
      <c r="W387" s="131"/>
      <c r="X387" s="297"/>
    </row>
    <row r="388" spans="1:24" ht="14.5" hidden="1">
      <c r="A388" s="14">
        <v>224</v>
      </c>
      <c r="B388" s="15" t="s">
        <v>59</v>
      </c>
      <c r="C388" s="15"/>
      <c r="D388" s="322" t="s">
        <v>920</v>
      </c>
      <c r="E388" s="12" t="s">
        <v>242</v>
      </c>
      <c r="F388" s="12" t="s">
        <v>919</v>
      </c>
      <c r="G388" s="240">
        <v>45941</v>
      </c>
      <c r="H388" s="320">
        <v>1978.424</v>
      </c>
      <c r="I388" s="241"/>
      <c r="J388" s="241"/>
      <c r="K388" s="6">
        <f t="shared" si="148"/>
        <v>1978.424</v>
      </c>
      <c r="L388" s="6">
        <f t="shared" si="147"/>
        <v>1978.424</v>
      </c>
      <c r="M388" s="300" t="s">
        <v>133</v>
      </c>
      <c r="N388" s="132">
        <f t="shared" ca="1" si="149"/>
        <v>101</v>
      </c>
      <c r="O388" s="85">
        <f t="shared" si="139"/>
        <v>45897</v>
      </c>
      <c r="P388" s="131"/>
      <c r="Q388" s="131">
        <f t="shared" si="145"/>
        <v>2</v>
      </c>
      <c r="R388" s="132">
        <f t="shared" ca="1" si="146"/>
        <v>57</v>
      </c>
      <c r="S388" s="131">
        <f t="shared" si="140"/>
        <v>45909</v>
      </c>
      <c r="T388" s="133"/>
      <c r="U388" s="132">
        <f t="shared" ca="1" si="144"/>
        <v>69</v>
      </c>
      <c r="V388" s="335">
        <f t="shared" si="137"/>
        <v>32</v>
      </c>
      <c r="W388" s="131"/>
      <c r="X388" s="297"/>
    </row>
    <row r="389" spans="1:24" ht="14.5" hidden="1">
      <c r="A389" s="14">
        <v>224</v>
      </c>
      <c r="B389" s="15" t="s">
        <v>59</v>
      </c>
      <c r="C389" s="15"/>
      <c r="D389" s="322" t="s">
        <v>920</v>
      </c>
      <c r="E389" s="12" t="s">
        <v>242</v>
      </c>
      <c r="F389" s="12" t="s">
        <v>921</v>
      </c>
      <c r="G389" s="240">
        <v>45941</v>
      </c>
      <c r="H389" s="320">
        <v>1978.424</v>
      </c>
      <c r="I389" s="241"/>
      <c r="J389" s="241"/>
      <c r="K389" s="6">
        <f t="shared" si="148"/>
        <v>1978.424</v>
      </c>
      <c r="L389" s="6">
        <f t="shared" si="147"/>
        <v>1978.424</v>
      </c>
      <c r="M389" s="300" t="s">
        <v>133</v>
      </c>
      <c r="N389" s="132">
        <f t="shared" ca="1" si="149"/>
        <v>101</v>
      </c>
      <c r="O389" s="85">
        <f t="shared" si="139"/>
        <v>45897</v>
      </c>
      <c r="P389" s="131"/>
      <c r="Q389" s="131">
        <f t="shared" si="145"/>
        <v>2</v>
      </c>
      <c r="R389" s="132">
        <f t="shared" ca="1" si="146"/>
        <v>57</v>
      </c>
      <c r="S389" s="131">
        <f t="shared" si="140"/>
        <v>45909</v>
      </c>
      <c r="T389" s="133"/>
      <c r="U389" s="132">
        <f t="shared" ca="1" si="144"/>
        <v>69</v>
      </c>
      <c r="V389" s="335">
        <f t="shared" si="137"/>
        <v>32</v>
      </c>
      <c r="W389" s="131"/>
      <c r="X389" s="297"/>
    </row>
    <row r="390" spans="1:24" ht="14.5" hidden="1">
      <c r="A390" s="14">
        <v>176</v>
      </c>
      <c r="B390" s="15" t="s">
        <v>74</v>
      </c>
      <c r="C390" s="15"/>
      <c r="D390" s="322" t="s">
        <v>926</v>
      </c>
      <c r="E390" s="12" t="s">
        <v>347</v>
      </c>
      <c r="F390" s="12" t="s">
        <v>164</v>
      </c>
      <c r="G390" s="240">
        <v>45868</v>
      </c>
      <c r="H390" s="320">
        <v>291</v>
      </c>
      <c r="I390" s="241">
        <v>291</v>
      </c>
      <c r="J390" s="241"/>
      <c r="K390" s="6">
        <f t="shared" ref="K390" si="150">+H390-J390</f>
        <v>291</v>
      </c>
      <c r="L390" s="6">
        <f t="shared" ref="L390" si="151">+H390-I390</f>
        <v>0</v>
      </c>
      <c r="M390" s="300" t="s">
        <v>945</v>
      </c>
      <c r="N390" s="132">
        <f t="shared" ca="1" si="149"/>
        <v>28</v>
      </c>
      <c r="O390" s="85">
        <f t="shared" ref="O390:O397" si="152">S390-10</f>
        <v>45828</v>
      </c>
      <c r="P390" s="131">
        <v>45827</v>
      </c>
      <c r="Q390" s="131">
        <f t="shared" ref="Q390" si="153">P390+2</f>
        <v>45829</v>
      </c>
      <c r="R390" s="132">
        <f t="shared" ref="R390" ca="1" si="154">+IF(P390="",O390-TODAY(),O390-P390)</f>
        <v>1</v>
      </c>
      <c r="S390" s="131">
        <f t="shared" ref="S390:S407" si="155">G390-30</f>
        <v>45838</v>
      </c>
      <c r="T390" s="133"/>
      <c r="U390" s="132">
        <f t="shared" ref="U390" ca="1" si="156">+IF(T390="",S390-TODAY(),S390-T390)</f>
        <v>-2</v>
      </c>
      <c r="V390" s="335">
        <f t="shared" si="137"/>
        <v>30</v>
      </c>
      <c r="W390" s="131"/>
      <c r="X390" s="297"/>
    </row>
    <row r="391" spans="1:24" ht="14.5" hidden="1">
      <c r="A391" s="14">
        <v>176</v>
      </c>
      <c r="B391" s="15" t="s">
        <v>74</v>
      </c>
      <c r="C391" s="15"/>
      <c r="D391" s="322" t="s">
        <v>928</v>
      </c>
      <c r="E391" s="12" t="s">
        <v>347</v>
      </c>
      <c r="F391" s="12" t="s">
        <v>935</v>
      </c>
      <c r="G391" s="240">
        <v>45868</v>
      </c>
      <c r="H391" s="320">
        <v>136</v>
      </c>
      <c r="I391" s="241">
        <v>136</v>
      </c>
      <c r="J391" s="241"/>
      <c r="K391" s="6">
        <f t="shared" ref="K391:K397" si="157">+H391-J391</f>
        <v>136</v>
      </c>
      <c r="L391" s="6">
        <f t="shared" ref="L391:L397" si="158">+H391-I391</f>
        <v>0</v>
      </c>
      <c r="M391" s="300" t="s">
        <v>946</v>
      </c>
      <c r="N391" s="132">
        <f t="shared" ca="1" si="149"/>
        <v>28</v>
      </c>
      <c r="O391" s="85">
        <f t="shared" si="152"/>
        <v>45828</v>
      </c>
      <c r="P391" s="131">
        <v>45836</v>
      </c>
      <c r="Q391" s="131">
        <f t="shared" ref="Q391:Q397" si="159">P391+2</f>
        <v>45838</v>
      </c>
      <c r="R391" s="132">
        <f t="shared" ref="R391:R397" ca="1" si="160">+IF(P391="",O391-TODAY(),O391-P391)</f>
        <v>-8</v>
      </c>
      <c r="S391" s="131">
        <f t="shared" si="155"/>
        <v>45838</v>
      </c>
      <c r="T391" s="133"/>
      <c r="U391" s="132">
        <f t="shared" ref="U391:U397" ca="1" si="161">+IF(T391="",S391-TODAY(),S391-T391)</f>
        <v>-2</v>
      </c>
      <c r="V391" s="335">
        <f t="shared" si="137"/>
        <v>30</v>
      </c>
      <c r="W391" s="131"/>
      <c r="X391" s="297"/>
    </row>
    <row r="392" spans="1:24" ht="14.5" hidden="1">
      <c r="A392" s="14">
        <v>176</v>
      </c>
      <c r="B392" s="15" t="s">
        <v>74</v>
      </c>
      <c r="C392" s="15"/>
      <c r="D392" s="322" t="s">
        <v>929</v>
      </c>
      <c r="E392" s="12" t="s">
        <v>932</v>
      </c>
      <c r="F392" s="12" t="s">
        <v>162</v>
      </c>
      <c r="G392" s="240">
        <v>45868</v>
      </c>
      <c r="H392" s="320">
        <v>552</v>
      </c>
      <c r="I392" s="241">
        <v>552</v>
      </c>
      <c r="J392" s="241"/>
      <c r="K392" s="6">
        <f t="shared" si="157"/>
        <v>552</v>
      </c>
      <c r="L392" s="6">
        <f t="shared" si="158"/>
        <v>0</v>
      </c>
      <c r="M392" s="300" t="s">
        <v>946</v>
      </c>
      <c r="N392" s="132">
        <f t="shared" ca="1" si="149"/>
        <v>28</v>
      </c>
      <c r="O392" s="85">
        <f t="shared" si="152"/>
        <v>45828</v>
      </c>
      <c r="P392" s="131">
        <v>45836</v>
      </c>
      <c r="Q392" s="131">
        <f t="shared" si="159"/>
        <v>45838</v>
      </c>
      <c r="R392" s="132">
        <f t="shared" ca="1" si="160"/>
        <v>-8</v>
      </c>
      <c r="S392" s="131">
        <f t="shared" si="155"/>
        <v>45838</v>
      </c>
      <c r="T392" s="133"/>
      <c r="U392" s="132">
        <f t="shared" ca="1" si="161"/>
        <v>-2</v>
      </c>
      <c r="V392" s="335">
        <f t="shared" si="137"/>
        <v>30</v>
      </c>
      <c r="W392" s="131"/>
      <c r="X392" s="297"/>
    </row>
    <row r="393" spans="1:24" ht="14.5" hidden="1">
      <c r="A393" s="14">
        <v>176</v>
      </c>
      <c r="B393" s="15" t="s">
        <v>74</v>
      </c>
      <c r="C393" s="15"/>
      <c r="D393" s="322" t="s">
        <v>930</v>
      </c>
      <c r="E393" s="12" t="s">
        <v>933</v>
      </c>
      <c r="F393" s="12" t="s">
        <v>936</v>
      </c>
      <c r="G393" s="240">
        <v>45868</v>
      </c>
      <c r="H393" s="320">
        <v>270</v>
      </c>
      <c r="I393" s="241">
        <v>270</v>
      </c>
      <c r="J393" s="241">
        <v>270</v>
      </c>
      <c r="K393" s="6">
        <f t="shared" si="157"/>
        <v>0</v>
      </c>
      <c r="L393" s="6">
        <f t="shared" si="158"/>
        <v>0</v>
      </c>
      <c r="M393" s="300" t="s">
        <v>947</v>
      </c>
      <c r="N393" s="132">
        <f t="shared" ca="1" si="149"/>
        <v>28</v>
      </c>
      <c r="O393" s="85">
        <f t="shared" si="152"/>
        <v>45828</v>
      </c>
      <c r="P393" s="131">
        <v>45818</v>
      </c>
      <c r="Q393" s="131">
        <f t="shared" si="159"/>
        <v>45820</v>
      </c>
      <c r="R393" s="132">
        <f t="shared" ca="1" si="160"/>
        <v>10</v>
      </c>
      <c r="S393" s="131">
        <f t="shared" si="155"/>
        <v>45838</v>
      </c>
      <c r="T393" s="133">
        <v>45827</v>
      </c>
      <c r="U393" s="132">
        <f t="shared" ca="1" si="161"/>
        <v>11</v>
      </c>
      <c r="V393" s="335">
        <f t="shared" si="137"/>
        <v>30</v>
      </c>
      <c r="W393" s="131"/>
      <c r="X393" s="297"/>
    </row>
    <row r="394" spans="1:24" ht="14.5" hidden="1">
      <c r="A394" s="14">
        <v>177</v>
      </c>
      <c r="B394" s="15" t="s">
        <v>74</v>
      </c>
      <c r="C394" s="15"/>
      <c r="D394" s="322" t="s">
        <v>926</v>
      </c>
      <c r="E394" s="12" t="s">
        <v>347</v>
      </c>
      <c r="F394" s="12" t="s">
        <v>164</v>
      </c>
      <c r="G394" s="240">
        <v>45950</v>
      </c>
      <c r="H394" s="320">
        <v>300</v>
      </c>
      <c r="I394" s="241">
        <v>300</v>
      </c>
      <c r="J394" s="241"/>
      <c r="K394" s="6">
        <f t="shared" si="157"/>
        <v>300</v>
      </c>
      <c r="L394" s="6">
        <f t="shared" si="158"/>
        <v>0</v>
      </c>
      <c r="M394" s="300" t="s">
        <v>945</v>
      </c>
      <c r="N394" s="132">
        <f t="shared" ca="1" si="149"/>
        <v>110</v>
      </c>
      <c r="O394" s="85">
        <f t="shared" si="152"/>
        <v>45910</v>
      </c>
      <c r="P394" s="131">
        <v>45827</v>
      </c>
      <c r="Q394" s="131">
        <f t="shared" si="159"/>
        <v>45829</v>
      </c>
      <c r="R394" s="132">
        <f t="shared" ca="1" si="160"/>
        <v>83</v>
      </c>
      <c r="S394" s="131">
        <f t="shared" si="155"/>
        <v>45920</v>
      </c>
      <c r="T394" s="133"/>
      <c r="U394" s="132">
        <f t="shared" ca="1" si="161"/>
        <v>80</v>
      </c>
      <c r="V394" s="335">
        <f t="shared" si="137"/>
        <v>30</v>
      </c>
      <c r="W394" s="131"/>
      <c r="X394" s="297"/>
    </row>
    <row r="395" spans="1:24" ht="14.5" hidden="1">
      <c r="A395" s="14">
        <v>177</v>
      </c>
      <c r="B395" s="15" t="s">
        <v>74</v>
      </c>
      <c r="C395" s="15"/>
      <c r="D395" s="322" t="s">
        <v>928</v>
      </c>
      <c r="E395" s="12" t="s">
        <v>347</v>
      </c>
      <c r="F395" s="12" t="s">
        <v>935</v>
      </c>
      <c r="G395" s="240">
        <v>45950</v>
      </c>
      <c r="H395" s="320">
        <v>147</v>
      </c>
      <c r="I395" s="241">
        <v>147</v>
      </c>
      <c r="J395" s="241"/>
      <c r="K395" s="6">
        <f t="shared" si="157"/>
        <v>147</v>
      </c>
      <c r="L395" s="6">
        <f t="shared" si="158"/>
        <v>0</v>
      </c>
      <c r="M395" s="300" t="s">
        <v>946</v>
      </c>
      <c r="N395" s="132">
        <f t="shared" ca="1" si="149"/>
        <v>110</v>
      </c>
      <c r="O395" s="85">
        <f t="shared" si="152"/>
        <v>45910</v>
      </c>
      <c r="P395" s="131">
        <v>45836</v>
      </c>
      <c r="Q395" s="131">
        <f t="shared" si="159"/>
        <v>45838</v>
      </c>
      <c r="R395" s="132">
        <f t="shared" ca="1" si="160"/>
        <v>74</v>
      </c>
      <c r="S395" s="131">
        <f t="shared" si="155"/>
        <v>45920</v>
      </c>
      <c r="T395" s="133"/>
      <c r="U395" s="132">
        <f t="shared" ca="1" si="161"/>
        <v>80</v>
      </c>
      <c r="V395" s="335">
        <f t="shared" si="137"/>
        <v>30</v>
      </c>
      <c r="W395" s="131"/>
      <c r="X395" s="297"/>
    </row>
    <row r="396" spans="1:24" ht="14.5" hidden="1">
      <c r="A396" s="14">
        <v>177</v>
      </c>
      <c r="B396" s="15" t="s">
        <v>74</v>
      </c>
      <c r="C396" s="15"/>
      <c r="D396" s="322" t="s">
        <v>929</v>
      </c>
      <c r="E396" s="12" t="s">
        <v>932</v>
      </c>
      <c r="F396" s="12" t="s">
        <v>162</v>
      </c>
      <c r="G396" s="240">
        <v>45950</v>
      </c>
      <c r="H396" s="320">
        <v>418</v>
      </c>
      <c r="I396" s="241">
        <v>418</v>
      </c>
      <c r="J396" s="241"/>
      <c r="K396" s="6">
        <f t="shared" si="157"/>
        <v>418</v>
      </c>
      <c r="L396" s="6">
        <f t="shared" si="158"/>
        <v>0</v>
      </c>
      <c r="M396" s="300" t="s">
        <v>946</v>
      </c>
      <c r="N396" s="132">
        <f t="shared" ca="1" si="149"/>
        <v>110</v>
      </c>
      <c r="O396" s="85">
        <f t="shared" si="152"/>
        <v>45910</v>
      </c>
      <c r="P396" s="131">
        <v>45836</v>
      </c>
      <c r="Q396" s="131">
        <f t="shared" si="159"/>
        <v>45838</v>
      </c>
      <c r="R396" s="132">
        <f t="shared" ca="1" si="160"/>
        <v>74</v>
      </c>
      <c r="S396" s="131">
        <f t="shared" si="155"/>
        <v>45920</v>
      </c>
      <c r="T396" s="133"/>
      <c r="U396" s="132">
        <f t="shared" ca="1" si="161"/>
        <v>80</v>
      </c>
      <c r="V396" s="335">
        <f t="shared" si="137"/>
        <v>30</v>
      </c>
      <c r="W396" s="131"/>
      <c r="X396" s="297"/>
    </row>
    <row r="397" spans="1:24" ht="14.5" hidden="1">
      <c r="A397" s="14">
        <v>177</v>
      </c>
      <c r="B397" s="15" t="s">
        <v>74</v>
      </c>
      <c r="C397" s="15"/>
      <c r="D397" s="322" t="s">
        <v>930</v>
      </c>
      <c r="E397" s="12" t="s">
        <v>933</v>
      </c>
      <c r="F397" s="12" t="s">
        <v>936</v>
      </c>
      <c r="G397" s="240">
        <v>45950</v>
      </c>
      <c r="H397" s="320">
        <v>198</v>
      </c>
      <c r="I397" s="241">
        <v>198</v>
      </c>
      <c r="J397" s="241">
        <v>198</v>
      </c>
      <c r="K397" s="6">
        <f t="shared" si="157"/>
        <v>0</v>
      </c>
      <c r="L397" s="6">
        <f t="shared" si="158"/>
        <v>0</v>
      </c>
      <c r="M397" s="300" t="s">
        <v>947</v>
      </c>
      <c r="N397" s="132">
        <f t="shared" ca="1" si="149"/>
        <v>110</v>
      </c>
      <c r="O397" s="85">
        <f t="shared" si="152"/>
        <v>45910</v>
      </c>
      <c r="P397" s="131">
        <v>45818</v>
      </c>
      <c r="Q397" s="131">
        <f t="shared" si="159"/>
        <v>45820</v>
      </c>
      <c r="R397" s="132">
        <f t="shared" ca="1" si="160"/>
        <v>92</v>
      </c>
      <c r="S397" s="131">
        <f t="shared" si="155"/>
        <v>45920</v>
      </c>
      <c r="T397" s="133">
        <v>45827</v>
      </c>
      <c r="U397" s="132">
        <f t="shared" ca="1" si="161"/>
        <v>93</v>
      </c>
      <c r="V397" s="335">
        <f t="shared" si="137"/>
        <v>30</v>
      </c>
      <c r="W397" s="131"/>
      <c r="X397" s="297"/>
    </row>
    <row r="398" spans="1:24" ht="14.5" hidden="1">
      <c r="A398" s="14">
        <v>215</v>
      </c>
      <c r="B398" s="15" t="s">
        <v>99</v>
      </c>
      <c r="C398" s="15"/>
      <c r="D398" s="322" t="s">
        <v>923</v>
      </c>
      <c r="E398" s="12" t="s">
        <v>925</v>
      </c>
      <c r="F398" s="12" t="s">
        <v>156</v>
      </c>
      <c r="G398" s="240">
        <v>45920</v>
      </c>
      <c r="H398" s="320">
        <v>10500</v>
      </c>
      <c r="I398" s="241"/>
      <c r="J398" s="241"/>
      <c r="K398" s="6">
        <f t="shared" ref="K398" si="162">+H398-J398</f>
        <v>10500</v>
      </c>
      <c r="L398" s="6">
        <f t="shared" ref="L398" si="163">+H398-I398</f>
        <v>10500</v>
      </c>
      <c r="M398" s="300" t="s">
        <v>955</v>
      </c>
      <c r="N398" s="132">
        <f t="shared" ca="1" si="149"/>
        <v>80</v>
      </c>
      <c r="O398" s="85">
        <f>S398-12</f>
        <v>45878</v>
      </c>
      <c r="P398" s="131"/>
      <c r="Q398" s="131">
        <f t="shared" ref="Q398" si="164">P398+2</f>
        <v>2</v>
      </c>
      <c r="R398" s="132">
        <f t="shared" ref="R398" ca="1" si="165">+IF(P398="",O398-TODAY(),O398-P398)</f>
        <v>38</v>
      </c>
      <c r="S398" s="131">
        <f t="shared" si="155"/>
        <v>45890</v>
      </c>
      <c r="T398" s="133"/>
      <c r="U398" s="132">
        <f t="shared" ref="U398" ca="1" si="166">+IF(T398="",S398-TODAY(),S398-T398)</f>
        <v>50</v>
      </c>
      <c r="V398" s="335">
        <f t="shared" si="137"/>
        <v>30</v>
      </c>
      <c r="W398" s="131"/>
      <c r="X398" s="297"/>
    </row>
    <row r="399" spans="1:24" ht="14.5" hidden="1">
      <c r="A399" s="14">
        <v>215</v>
      </c>
      <c r="B399" s="15" t="s">
        <v>99</v>
      </c>
      <c r="C399" s="15"/>
      <c r="D399" s="322" t="s">
        <v>924</v>
      </c>
      <c r="E399" s="12" t="s">
        <v>925</v>
      </c>
      <c r="F399" s="12" t="s">
        <v>155</v>
      </c>
      <c r="G399" s="240">
        <v>45899</v>
      </c>
      <c r="H399" s="320">
        <v>10500</v>
      </c>
      <c r="I399" s="241"/>
      <c r="J399" s="241"/>
      <c r="K399" s="6">
        <f t="shared" ref="K399" si="167">+H399-J399</f>
        <v>10500</v>
      </c>
      <c r="L399" s="6">
        <f t="shared" ref="L399" si="168">+H399-I399</f>
        <v>10500</v>
      </c>
      <c r="M399" s="300"/>
      <c r="N399" s="132">
        <f t="shared" ca="1" si="149"/>
        <v>59</v>
      </c>
      <c r="O399" s="85">
        <f>S399-20</f>
        <v>45849</v>
      </c>
      <c r="P399" s="131"/>
      <c r="Q399" s="131">
        <f t="shared" ref="Q399" si="169">P399+2</f>
        <v>2</v>
      </c>
      <c r="R399" s="132">
        <f t="shared" ref="R399" ca="1" si="170">+IF(P399="",O399-TODAY(),O399-P399)</f>
        <v>9</v>
      </c>
      <c r="S399" s="131">
        <f t="shared" si="155"/>
        <v>45869</v>
      </c>
      <c r="T399" s="133"/>
      <c r="U399" s="132">
        <f t="shared" ref="U399" ca="1" si="171">+IF(T399="",S399-TODAY(),S399-T399)</f>
        <v>29</v>
      </c>
      <c r="V399" s="335">
        <f t="shared" si="137"/>
        <v>30</v>
      </c>
      <c r="W399" s="131"/>
      <c r="X399" s="297"/>
    </row>
    <row r="400" spans="1:24" ht="14.5" hidden="1">
      <c r="A400" s="14">
        <v>118</v>
      </c>
      <c r="B400" s="15" t="s">
        <v>89</v>
      </c>
      <c r="C400" s="15"/>
      <c r="D400" s="307" t="s">
        <v>873</v>
      </c>
      <c r="E400" s="146" t="s">
        <v>880</v>
      </c>
      <c r="F400" s="146" t="s">
        <v>899</v>
      </c>
      <c r="G400" s="240">
        <v>45863</v>
      </c>
      <c r="H400" s="320">
        <v>230.26432000000003</v>
      </c>
      <c r="I400" s="241">
        <v>230</v>
      </c>
      <c r="J400" s="241">
        <v>230</v>
      </c>
      <c r="K400" s="6">
        <f t="shared" ref="K400" si="172">+H400-J400</f>
        <v>0.26432000000002631</v>
      </c>
      <c r="L400" s="6">
        <f t="shared" ref="L400" si="173">+H400-I400</f>
        <v>0.26432000000002631</v>
      </c>
      <c r="M400" s="300" t="s">
        <v>952</v>
      </c>
      <c r="N400" s="132">
        <f t="shared" ca="1" si="149"/>
        <v>23</v>
      </c>
      <c r="O400" s="85">
        <v>45805</v>
      </c>
      <c r="P400" s="131">
        <v>45811</v>
      </c>
      <c r="Q400" s="131">
        <f t="shared" ref="Q400" si="174">P400+2</f>
        <v>45813</v>
      </c>
      <c r="R400" s="132">
        <f t="shared" ref="R400" ca="1" si="175">+IF(P400="",O400-TODAY(),O400-P400)</f>
        <v>-6</v>
      </c>
      <c r="S400" s="131">
        <f t="shared" si="155"/>
        <v>45833</v>
      </c>
      <c r="T400" s="133">
        <v>45833</v>
      </c>
      <c r="U400" s="132">
        <f t="shared" ref="U400" ca="1" si="176">+IF(T400="",S400-TODAY(),S400-T400)</f>
        <v>0</v>
      </c>
      <c r="V400" s="335">
        <f t="shared" si="137"/>
        <v>30</v>
      </c>
      <c r="W400" s="131"/>
      <c r="X400" s="297"/>
    </row>
    <row r="401" spans="1:24" ht="14.5" hidden="1">
      <c r="A401" s="14">
        <v>118</v>
      </c>
      <c r="B401" s="15" t="s">
        <v>89</v>
      </c>
      <c r="C401" s="15"/>
      <c r="D401" s="307" t="s">
        <v>873</v>
      </c>
      <c r="E401" s="146" t="s">
        <v>881</v>
      </c>
      <c r="F401" s="146" t="s">
        <v>899</v>
      </c>
      <c r="G401" s="240">
        <v>45863</v>
      </c>
      <c r="H401" s="320">
        <v>146.83967999999999</v>
      </c>
      <c r="I401" s="241">
        <v>147</v>
      </c>
      <c r="J401" s="241">
        <v>147</v>
      </c>
      <c r="K401" s="6">
        <f t="shared" ref="K401:K407" si="177">+H401-J401</f>
        <v>-0.1603200000000129</v>
      </c>
      <c r="L401" s="6">
        <f t="shared" ref="L401:L407" si="178">+H401-I401</f>
        <v>-0.1603200000000129</v>
      </c>
      <c r="M401" s="300" t="s">
        <v>952</v>
      </c>
      <c r="N401" s="132">
        <f t="shared" ca="1" si="149"/>
        <v>23</v>
      </c>
      <c r="O401" s="85">
        <v>45805</v>
      </c>
      <c r="P401" s="131">
        <v>45811</v>
      </c>
      <c r="Q401" s="131">
        <f t="shared" ref="Q401:Q407" si="179">P401+2</f>
        <v>45813</v>
      </c>
      <c r="R401" s="132">
        <f t="shared" ref="R401:R407" ca="1" si="180">+IF(P401="",O401-TODAY(),O401-P401)</f>
        <v>-6</v>
      </c>
      <c r="S401" s="131">
        <f t="shared" si="155"/>
        <v>45833</v>
      </c>
      <c r="T401" s="133">
        <v>45833</v>
      </c>
      <c r="U401" s="132">
        <f t="shared" ref="U401:U407" ca="1" si="181">+IF(T401="",S401-TODAY(),S401-T401)</f>
        <v>0</v>
      </c>
      <c r="V401" s="335">
        <f t="shared" si="137"/>
        <v>30</v>
      </c>
      <c r="W401" s="131"/>
      <c r="X401" s="297"/>
    </row>
    <row r="402" spans="1:24" ht="14.5" hidden="1">
      <c r="A402" s="14">
        <v>118</v>
      </c>
      <c r="B402" s="15" t="s">
        <v>89</v>
      </c>
      <c r="C402" s="15"/>
      <c r="D402" s="307" t="s">
        <v>873</v>
      </c>
      <c r="E402" s="146" t="s">
        <v>882</v>
      </c>
      <c r="F402" s="146" t="s">
        <v>899</v>
      </c>
      <c r="G402" s="240">
        <v>45863</v>
      </c>
      <c r="H402" s="320">
        <v>1274.7271679999999</v>
      </c>
      <c r="I402" s="241">
        <v>1275</v>
      </c>
      <c r="J402" s="241"/>
      <c r="K402" s="6">
        <f t="shared" si="177"/>
        <v>1274.7271679999999</v>
      </c>
      <c r="L402" s="6">
        <f t="shared" si="178"/>
        <v>-0.27283200000010766</v>
      </c>
      <c r="M402" s="300" t="s">
        <v>952</v>
      </c>
      <c r="N402" s="132">
        <f t="shared" ca="1" si="149"/>
        <v>23</v>
      </c>
      <c r="O402" s="85">
        <v>45805</v>
      </c>
      <c r="P402" s="131">
        <v>45811</v>
      </c>
      <c r="Q402" s="131">
        <f t="shared" si="179"/>
        <v>45813</v>
      </c>
      <c r="R402" s="132">
        <f t="shared" ca="1" si="180"/>
        <v>-6</v>
      </c>
      <c r="S402" s="131">
        <f t="shared" si="155"/>
        <v>45833</v>
      </c>
      <c r="T402" s="133"/>
      <c r="U402" s="132">
        <f t="shared" ca="1" si="181"/>
        <v>-7</v>
      </c>
      <c r="V402" s="335">
        <f t="shared" si="137"/>
        <v>30</v>
      </c>
      <c r="W402" s="131"/>
      <c r="X402" s="297"/>
    </row>
    <row r="403" spans="1:24" ht="14.5" hidden="1">
      <c r="A403" s="14">
        <v>118</v>
      </c>
      <c r="B403" s="15" t="s">
        <v>89</v>
      </c>
      <c r="C403" s="15"/>
      <c r="D403" s="307" t="s">
        <v>873</v>
      </c>
      <c r="E403" s="146" t="s">
        <v>883</v>
      </c>
      <c r="F403" s="146" t="s">
        <v>899</v>
      </c>
      <c r="G403" s="240">
        <v>45863</v>
      </c>
      <c r="H403" s="320">
        <v>3189.1991040000003</v>
      </c>
      <c r="I403" s="241">
        <v>3189</v>
      </c>
      <c r="J403" s="241"/>
      <c r="K403" s="6">
        <f t="shared" si="177"/>
        <v>3189.1991040000003</v>
      </c>
      <c r="L403" s="6">
        <f t="shared" si="178"/>
        <v>0.19910400000026129</v>
      </c>
      <c r="M403" s="300" t="s">
        <v>952</v>
      </c>
      <c r="N403" s="132">
        <f t="shared" ca="1" si="149"/>
        <v>23</v>
      </c>
      <c r="O403" s="85">
        <v>45805</v>
      </c>
      <c r="P403" s="131">
        <v>45811</v>
      </c>
      <c r="Q403" s="131">
        <f t="shared" si="179"/>
        <v>45813</v>
      </c>
      <c r="R403" s="132">
        <f t="shared" ca="1" si="180"/>
        <v>-6</v>
      </c>
      <c r="S403" s="131">
        <f t="shared" si="155"/>
        <v>45833</v>
      </c>
      <c r="T403" s="133"/>
      <c r="U403" s="132">
        <f t="shared" ca="1" si="181"/>
        <v>-7</v>
      </c>
      <c r="V403" s="335">
        <f t="shared" si="137"/>
        <v>30</v>
      </c>
      <c r="W403" s="131"/>
      <c r="X403" s="297"/>
    </row>
    <row r="404" spans="1:24" ht="14.5" hidden="1">
      <c r="A404" s="14">
        <v>118</v>
      </c>
      <c r="B404" s="15" t="s">
        <v>89</v>
      </c>
      <c r="C404" s="15"/>
      <c r="D404" s="307" t="s">
        <v>873</v>
      </c>
      <c r="E404" s="146" t="s">
        <v>884</v>
      </c>
      <c r="F404" s="146" t="s">
        <v>899</v>
      </c>
      <c r="G404" s="240">
        <v>45863</v>
      </c>
      <c r="H404" s="320">
        <v>2198.0974080000001</v>
      </c>
      <c r="I404" s="241">
        <v>2198</v>
      </c>
      <c r="J404" s="241"/>
      <c r="K404" s="6">
        <f t="shared" si="177"/>
        <v>2198.0974080000001</v>
      </c>
      <c r="L404" s="6">
        <f t="shared" si="178"/>
        <v>9.7408000000086759E-2</v>
      </c>
      <c r="M404" s="300" t="s">
        <v>952</v>
      </c>
      <c r="N404" s="132">
        <f t="shared" ca="1" si="149"/>
        <v>23</v>
      </c>
      <c r="O404" s="85">
        <v>45805</v>
      </c>
      <c r="P404" s="131">
        <v>45811</v>
      </c>
      <c r="Q404" s="131">
        <f t="shared" si="179"/>
        <v>45813</v>
      </c>
      <c r="R404" s="132">
        <f t="shared" ca="1" si="180"/>
        <v>-6</v>
      </c>
      <c r="S404" s="131">
        <f t="shared" si="155"/>
        <v>45833</v>
      </c>
      <c r="T404" s="133"/>
      <c r="U404" s="132">
        <f t="shared" ca="1" si="181"/>
        <v>-7</v>
      </c>
      <c r="V404" s="335">
        <f t="shared" ref="V404:V422" si="182">G404-S404</f>
        <v>30</v>
      </c>
      <c r="W404" s="131"/>
      <c r="X404" s="297"/>
    </row>
    <row r="405" spans="1:24" ht="14.5" hidden="1">
      <c r="A405" s="14">
        <v>118</v>
      </c>
      <c r="B405" s="15" t="s">
        <v>89</v>
      </c>
      <c r="C405" s="15"/>
      <c r="D405" s="307" t="s">
        <v>873</v>
      </c>
      <c r="E405" s="146" t="s">
        <v>885</v>
      </c>
      <c r="F405" s="146" t="s">
        <v>899</v>
      </c>
      <c r="G405" s="240">
        <v>45863</v>
      </c>
      <c r="H405" s="320">
        <v>970.5529600000001</v>
      </c>
      <c r="I405" s="241">
        <v>971</v>
      </c>
      <c r="J405" s="241"/>
      <c r="K405" s="6">
        <f t="shared" si="177"/>
        <v>970.5529600000001</v>
      </c>
      <c r="L405" s="6">
        <f t="shared" si="178"/>
        <v>-0.44703999999990174</v>
      </c>
      <c r="M405" s="300" t="s">
        <v>952</v>
      </c>
      <c r="N405" s="132">
        <f t="shared" ca="1" si="149"/>
        <v>23</v>
      </c>
      <c r="O405" s="85">
        <v>45805</v>
      </c>
      <c r="P405" s="131">
        <v>45811</v>
      </c>
      <c r="Q405" s="131">
        <f t="shared" si="179"/>
        <v>45813</v>
      </c>
      <c r="R405" s="132">
        <f t="shared" ca="1" si="180"/>
        <v>-6</v>
      </c>
      <c r="S405" s="131">
        <f t="shared" si="155"/>
        <v>45833</v>
      </c>
      <c r="T405" s="133"/>
      <c r="U405" s="132">
        <f t="shared" ca="1" si="181"/>
        <v>-7</v>
      </c>
      <c r="V405" s="335">
        <f t="shared" si="182"/>
        <v>30</v>
      </c>
      <c r="W405" s="131"/>
      <c r="X405" s="297"/>
    </row>
    <row r="406" spans="1:24" ht="14.5" hidden="1">
      <c r="A406" s="14">
        <v>118</v>
      </c>
      <c r="B406" s="15" t="s">
        <v>89</v>
      </c>
      <c r="C406" s="15"/>
      <c r="D406" s="307" t="s">
        <v>873</v>
      </c>
      <c r="E406" s="146" t="s">
        <v>886</v>
      </c>
      <c r="F406" s="146" t="s">
        <v>899</v>
      </c>
      <c r="G406" s="240">
        <v>45863</v>
      </c>
      <c r="H406" s="320">
        <v>518.56895999999995</v>
      </c>
      <c r="I406" s="241">
        <v>519</v>
      </c>
      <c r="J406" s="241"/>
      <c r="K406" s="6">
        <f t="shared" si="177"/>
        <v>518.56895999999995</v>
      </c>
      <c r="L406" s="6">
        <f t="shared" si="178"/>
        <v>-0.43104000000005271</v>
      </c>
      <c r="M406" s="300" t="s">
        <v>952</v>
      </c>
      <c r="N406" s="132">
        <f t="shared" ca="1" si="149"/>
        <v>23</v>
      </c>
      <c r="O406" s="85">
        <v>45805</v>
      </c>
      <c r="P406" s="131">
        <v>45811</v>
      </c>
      <c r="Q406" s="131">
        <f t="shared" si="179"/>
        <v>45813</v>
      </c>
      <c r="R406" s="132">
        <f t="shared" ca="1" si="180"/>
        <v>-6</v>
      </c>
      <c r="S406" s="131">
        <f t="shared" si="155"/>
        <v>45833</v>
      </c>
      <c r="T406" s="133"/>
      <c r="U406" s="132">
        <f t="shared" ca="1" si="181"/>
        <v>-7</v>
      </c>
      <c r="V406" s="335">
        <f t="shared" si="182"/>
        <v>30</v>
      </c>
      <c r="W406" s="131"/>
      <c r="X406" s="297"/>
    </row>
    <row r="407" spans="1:24" ht="14.5" hidden="1">
      <c r="A407" s="14">
        <v>118</v>
      </c>
      <c r="B407" s="15" t="s">
        <v>89</v>
      </c>
      <c r="C407" s="15"/>
      <c r="D407" s="307" t="s">
        <v>873</v>
      </c>
      <c r="E407" s="146" t="s">
        <v>887</v>
      </c>
      <c r="F407" s="146" t="s">
        <v>899</v>
      </c>
      <c r="G407" s="240">
        <v>45863</v>
      </c>
      <c r="H407" s="320">
        <v>454.36518400000006</v>
      </c>
      <c r="I407" s="241">
        <v>454</v>
      </c>
      <c r="J407" s="241"/>
      <c r="K407" s="6">
        <f t="shared" si="177"/>
        <v>454.36518400000006</v>
      </c>
      <c r="L407" s="6">
        <f t="shared" si="178"/>
        <v>0.36518400000005613</v>
      </c>
      <c r="M407" s="300" t="s">
        <v>952</v>
      </c>
      <c r="N407" s="132">
        <f t="shared" ca="1" si="149"/>
        <v>23</v>
      </c>
      <c r="O407" s="85">
        <v>45805</v>
      </c>
      <c r="P407" s="131">
        <v>45811</v>
      </c>
      <c r="Q407" s="131">
        <f t="shared" si="179"/>
        <v>45813</v>
      </c>
      <c r="R407" s="132">
        <f t="shared" ca="1" si="180"/>
        <v>-6</v>
      </c>
      <c r="S407" s="131">
        <f t="shared" si="155"/>
        <v>45833</v>
      </c>
      <c r="T407" s="133"/>
      <c r="U407" s="132">
        <f t="shared" ca="1" si="181"/>
        <v>-7</v>
      </c>
      <c r="V407" s="335">
        <f t="shared" si="182"/>
        <v>30</v>
      </c>
      <c r="W407" s="131"/>
      <c r="X407" s="297"/>
    </row>
    <row r="408" spans="1:24" ht="14.5" hidden="1">
      <c r="A408" s="14">
        <v>225</v>
      </c>
      <c r="B408" s="15" t="s">
        <v>59</v>
      </c>
      <c r="C408" s="15"/>
      <c r="D408" s="318" t="s">
        <v>189</v>
      </c>
      <c r="E408" s="146" t="s">
        <v>242</v>
      </c>
      <c r="F408" s="146" t="s">
        <v>90</v>
      </c>
      <c r="G408" s="240">
        <v>45912</v>
      </c>
      <c r="H408" s="320">
        <v>645.34032000000002</v>
      </c>
      <c r="I408" s="241"/>
      <c r="J408" s="241"/>
      <c r="K408" s="6">
        <f t="shared" ref="K408:K422" si="183">+H408-J408</f>
        <v>645.34032000000002</v>
      </c>
      <c r="L408" s="6">
        <f t="shared" ref="L408:L422" si="184">+H408-I408</f>
        <v>645.34032000000002</v>
      </c>
      <c r="M408" s="300" t="s">
        <v>389</v>
      </c>
      <c r="N408" s="132">
        <f t="shared" ca="1" si="149"/>
        <v>72</v>
      </c>
      <c r="O408" s="85">
        <f t="shared" ref="O408:O422" si="185">S408-15</f>
        <v>45865</v>
      </c>
      <c r="P408" s="131"/>
      <c r="Q408" s="131">
        <f t="shared" ref="Q408:Q422" si="186">P408+2</f>
        <v>2</v>
      </c>
      <c r="R408" s="132">
        <f t="shared" ref="R408:R422" ca="1" si="187">+IF(P408="",O408-TODAY(),O408-P408)</f>
        <v>25</v>
      </c>
      <c r="S408" s="131">
        <f t="shared" ref="S408:S422" si="188">G408-32</f>
        <v>45880</v>
      </c>
      <c r="T408" s="133"/>
      <c r="U408" s="132">
        <f t="shared" ref="U408:U422" ca="1" si="189">+IF(T408="",S408-TODAY(),S408-T408)</f>
        <v>40</v>
      </c>
      <c r="V408" s="335">
        <f t="shared" si="182"/>
        <v>32</v>
      </c>
      <c r="W408" s="131"/>
      <c r="X408" s="297"/>
    </row>
    <row r="409" spans="1:24" ht="14.5" hidden="1">
      <c r="A409" s="14">
        <v>227</v>
      </c>
      <c r="B409" s="15" t="s">
        <v>59</v>
      </c>
      <c r="C409" s="15"/>
      <c r="D409" s="318" t="s">
        <v>193</v>
      </c>
      <c r="E409" s="146" t="s">
        <v>249</v>
      </c>
      <c r="F409" s="15" t="s">
        <v>162</v>
      </c>
      <c r="G409" s="240">
        <v>45947</v>
      </c>
      <c r="H409" s="320">
        <v>5144.8500000000004</v>
      </c>
      <c r="I409" s="241"/>
      <c r="J409" s="241"/>
      <c r="K409" s="6">
        <f t="shared" si="183"/>
        <v>5144.8500000000004</v>
      </c>
      <c r="L409" s="6">
        <f t="shared" si="184"/>
        <v>5144.8500000000004</v>
      </c>
      <c r="M409" s="300" t="s">
        <v>133</v>
      </c>
      <c r="N409" s="132">
        <f t="shared" ca="1" si="149"/>
        <v>107</v>
      </c>
      <c r="O409" s="85">
        <f t="shared" si="185"/>
        <v>45900</v>
      </c>
      <c r="P409" s="131"/>
      <c r="Q409" s="131">
        <f t="shared" si="186"/>
        <v>2</v>
      </c>
      <c r="R409" s="132">
        <f t="shared" ca="1" si="187"/>
        <v>60</v>
      </c>
      <c r="S409" s="131">
        <f t="shared" si="188"/>
        <v>45915</v>
      </c>
      <c r="T409" s="133"/>
      <c r="U409" s="132">
        <f t="shared" ca="1" si="189"/>
        <v>75</v>
      </c>
      <c r="V409" s="335">
        <f t="shared" si="182"/>
        <v>32</v>
      </c>
      <c r="W409" s="131"/>
      <c r="X409" s="297"/>
    </row>
    <row r="410" spans="1:24" ht="14.5">
      <c r="A410" s="14">
        <v>227</v>
      </c>
      <c r="B410" s="15" t="s">
        <v>59</v>
      </c>
      <c r="C410" s="15"/>
      <c r="D410" s="318" t="s">
        <v>201</v>
      </c>
      <c r="E410" s="146" t="s">
        <v>247</v>
      </c>
      <c r="F410" s="146" t="s">
        <v>155</v>
      </c>
      <c r="G410" s="240">
        <v>45947</v>
      </c>
      <c r="H410" s="320">
        <v>4298.3136000000004</v>
      </c>
      <c r="I410" s="241"/>
      <c r="J410" s="241"/>
      <c r="K410" s="6">
        <f>+H410*94%-J410</f>
        <v>4040.4147840000001</v>
      </c>
      <c r="L410" s="6">
        <f t="shared" si="184"/>
        <v>4298.3136000000004</v>
      </c>
      <c r="M410" s="300" t="s">
        <v>955</v>
      </c>
      <c r="N410" s="132">
        <f t="shared" ca="1" si="149"/>
        <v>107</v>
      </c>
      <c r="O410" s="85">
        <f t="shared" si="185"/>
        <v>45900</v>
      </c>
      <c r="P410" s="131"/>
      <c r="Q410" s="131">
        <f t="shared" si="186"/>
        <v>2</v>
      </c>
      <c r="R410" s="132">
        <f t="shared" ca="1" si="187"/>
        <v>60</v>
      </c>
      <c r="S410" s="131">
        <f t="shared" si="188"/>
        <v>45915</v>
      </c>
      <c r="T410" s="133"/>
      <c r="U410" s="132">
        <f t="shared" ca="1" si="189"/>
        <v>75</v>
      </c>
      <c r="V410" s="335">
        <f t="shared" si="182"/>
        <v>32</v>
      </c>
      <c r="W410" s="131"/>
      <c r="X410" s="297"/>
    </row>
    <row r="411" spans="1:24" ht="14.5" hidden="1">
      <c r="A411" s="14">
        <v>227</v>
      </c>
      <c r="B411" s="15" t="s">
        <v>59</v>
      </c>
      <c r="C411" s="15"/>
      <c r="D411" s="318" t="s">
        <v>920</v>
      </c>
      <c r="E411" s="146" t="s">
        <v>242</v>
      </c>
      <c r="F411" s="137" t="s">
        <v>919</v>
      </c>
      <c r="G411" s="240">
        <v>45947</v>
      </c>
      <c r="H411" s="320">
        <v>1235.5056</v>
      </c>
      <c r="I411" s="241"/>
      <c r="J411" s="241"/>
      <c r="K411" s="6">
        <f t="shared" si="183"/>
        <v>1235.5056</v>
      </c>
      <c r="L411" s="6">
        <f t="shared" si="184"/>
        <v>1235.5056</v>
      </c>
      <c r="M411" s="300" t="s">
        <v>133</v>
      </c>
      <c r="N411" s="132">
        <f t="shared" ca="1" si="149"/>
        <v>107</v>
      </c>
      <c r="O411" s="85">
        <f t="shared" si="185"/>
        <v>45900</v>
      </c>
      <c r="P411" s="131"/>
      <c r="Q411" s="131">
        <f t="shared" si="186"/>
        <v>2</v>
      </c>
      <c r="R411" s="132">
        <f t="shared" ca="1" si="187"/>
        <v>60</v>
      </c>
      <c r="S411" s="131">
        <f t="shared" si="188"/>
        <v>45915</v>
      </c>
      <c r="T411" s="133"/>
      <c r="U411" s="132">
        <f t="shared" ca="1" si="189"/>
        <v>75</v>
      </c>
      <c r="V411" s="335">
        <f t="shared" si="182"/>
        <v>32</v>
      </c>
      <c r="W411" s="131"/>
      <c r="X411" s="297"/>
    </row>
    <row r="412" spans="1:24" ht="14.5" hidden="1">
      <c r="A412" s="14">
        <v>227</v>
      </c>
      <c r="B412" s="15" t="s">
        <v>59</v>
      </c>
      <c r="C412" s="15"/>
      <c r="D412" s="318" t="s">
        <v>920</v>
      </c>
      <c r="E412" s="146" t="s">
        <v>242</v>
      </c>
      <c r="F412" s="14" t="s">
        <v>921</v>
      </c>
      <c r="G412" s="240">
        <v>45947</v>
      </c>
      <c r="H412" s="320">
        <v>1235.5056</v>
      </c>
      <c r="I412" s="241"/>
      <c r="J412" s="241"/>
      <c r="K412" s="6">
        <f t="shared" si="183"/>
        <v>1235.5056</v>
      </c>
      <c r="L412" s="6">
        <f t="shared" si="184"/>
        <v>1235.5056</v>
      </c>
      <c r="M412" s="300" t="s">
        <v>133</v>
      </c>
      <c r="N412" s="132">
        <f t="shared" ca="1" si="149"/>
        <v>107</v>
      </c>
      <c r="O412" s="85">
        <f t="shared" si="185"/>
        <v>45900</v>
      </c>
      <c r="P412" s="131"/>
      <c r="Q412" s="131">
        <f t="shared" si="186"/>
        <v>2</v>
      </c>
      <c r="R412" s="132">
        <f t="shared" ca="1" si="187"/>
        <v>60</v>
      </c>
      <c r="S412" s="131">
        <f t="shared" si="188"/>
        <v>45915</v>
      </c>
      <c r="T412" s="133"/>
      <c r="U412" s="132">
        <f t="shared" ca="1" si="189"/>
        <v>75</v>
      </c>
      <c r="V412" s="335">
        <f t="shared" si="182"/>
        <v>32</v>
      </c>
      <c r="W412" s="131"/>
      <c r="X412" s="297"/>
    </row>
    <row r="413" spans="1:24" ht="14.5" hidden="1">
      <c r="A413" s="14">
        <v>228</v>
      </c>
      <c r="B413" s="15" t="s">
        <v>59</v>
      </c>
      <c r="C413" s="15"/>
      <c r="D413" s="301" t="s">
        <v>248</v>
      </c>
      <c r="E413" s="146" t="s">
        <v>270</v>
      </c>
      <c r="F413" s="146" t="s">
        <v>162</v>
      </c>
      <c r="G413" s="240">
        <v>45926</v>
      </c>
      <c r="H413" s="320">
        <v>2825.8049999999998</v>
      </c>
      <c r="I413" s="241"/>
      <c r="J413" s="241"/>
      <c r="K413" s="6">
        <f>+H413*92%-J413</f>
        <v>2599.7406000000001</v>
      </c>
      <c r="L413" s="6">
        <f t="shared" si="184"/>
        <v>2825.8049999999998</v>
      </c>
      <c r="M413" s="300" t="s">
        <v>133</v>
      </c>
      <c r="N413" s="132">
        <f t="shared" ca="1" si="149"/>
        <v>86</v>
      </c>
      <c r="O413" s="85">
        <f t="shared" si="185"/>
        <v>45879</v>
      </c>
      <c r="P413" s="131"/>
      <c r="Q413" s="131">
        <f t="shared" si="186"/>
        <v>2</v>
      </c>
      <c r="R413" s="132">
        <f t="shared" ca="1" si="187"/>
        <v>39</v>
      </c>
      <c r="S413" s="131">
        <f t="shared" si="188"/>
        <v>45894</v>
      </c>
      <c r="T413" s="133"/>
      <c r="U413" s="132">
        <f t="shared" ca="1" si="189"/>
        <v>54</v>
      </c>
      <c r="V413" s="335">
        <f t="shared" si="182"/>
        <v>32</v>
      </c>
      <c r="W413" s="131"/>
      <c r="X413" s="297"/>
    </row>
    <row r="414" spans="1:24" ht="14.5" hidden="1">
      <c r="A414" s="14">
        <v>228</v>
      </c>
      <c r="B414" s="15" t="s">
        <v>59</v>
      </c>
      <c r="C414" s="15"/>
      <c r="D414" s="318" t="s">
        <v>288</v>
      </c>
      <c r="E414" s="146" t="s">
        <v>289</v>
      </c>
      <c r="F414" s="137" t="s">
        <v>155</v>
      </c>
      <c r="G414" s="240">
        <v>45926</v>
      </c>
      <c r="H414" s="320">
        <v>876.4799999999999</v>
      </c>
      <c r="I414" s="241"/>
      <c r="J414" s="241"/>
      <c r="K414" s="6">
        <f t="shared" si="183"/>
        <v>876.4799999999999</v>
      </c>
      <c r="L414" s="6">
        <f t="shared" si="184"/>
        <v>876.4799999999999</v>
      </c>
      <c r="M414" s="300"/>
      <c r="N414" s="132">
        <f t="shared" ca="1" si="149"/>
        <v>86</v>
      </c>
      <c r="O414" s="85">
        <f t="shared" si="185"/>
        <v>45879</v>
      </c>
      <c r="P414" s="131"/>
      <c r="Q414" s="131">
        <f t="shared" si="186"/>
        <v>2</v>
      </c>
      <c r="R414" s="132">
        <f t="shared" ca="1" si="187"/>
        <v>39</v>
      </c>
      <c r="S414" s="131">
        <f t="shared" si="188"/>
        <v>45894</v>
      </c>
      <c r="T414" s="133"/>
      <c r="U414" s="132">
        <f t="shared" ca="1" si="189"/>
        <v>54</v>
      </c>
      <c r="V414" s="335">
        <f t="shared" si="182"/>
        <v>32</v>
      </c>
      <c r="W414" s="131"/>
      <c r="X414" s="297"/>
    </row>
    <row r="415" spans="1:24" ht="14.5" hidden="1">
      <c r="A415" s="14">
        <v>228</v>
      </c>
      <c r="B415" s="15" t="s">
        <v>59</v>
      </c>
      <c r="C415" s="15"/>
      <c r="D415" s="318" t="s">
        <v>288</v>
      </c>
      <c r="E415" s="146" t="s">
        <v>289</v>
      </c>
      <c r="F415" s="137" t="s">
        <v>154</v>
      </c>
      <c r="G415" s="240">
        <v>45926</v>
      </c>
      <c r="H415" s="320">
        <v>600</v>
      </c>
      <c r="I415" s="241"/>
      <c r="J415" s="241"/>
      <c r="K415" s="6">
        <f t="shared" si="183"/>
        <v>600</v>
      </c>
      <c r="L415" s="6">
        <f t="shared" si="184"/>
        <v>600</v>
      </c>
      <c r="M415" s="300"/>
      <c r="N415" s="132">
        <f t="shared" ca="1" si="149"/>
        <v>86</v>
      </c>
      <c r="O415" s="85">
        <f t="shared" si="185"/>
        <v>45879</v>
      </c>
      <c r="P415" s="131"/>
      <c r="Q415" s="131">
        <f t="shared" si="186"/>
        <v>2</v>
      </c>
      <c r="R415" s="132">
        <f t="shared" ca="1" si="187"/>
        <v>39</v>
      </c>
      <c r="S415" s="131">
        <f t="shared" si="188"/>
        <v>45894</v>
      </c>
      <c r="T415" s="133"/>
      <c r="U415" s="132">
        <f t="shared" ca="1" si="189"/>
        <v>54</v>
      </c>
      <c r="V415" s="335">
        <f t="shared" si="182"/>
        <v>32</v>
      </c>
      <c r="W415" s="131"/>
      <c r="X415" s="297"/>
    </row>
    <row r="416" spans="1:24" ht="14.5" hidden="1">
      <c r="A416" s="14">
        <v>228</v>
      </c>
      <c r="B416" s="15" t="s">
        <v>59</v>
      </c>
      <c r="C416" s="15"/>
      <c r="D416" s="318" t="s">
        <v>288</v>
      </c>
      <c r="E416" s="146" t="s">
        <v>289</v>
      </c>
      <c r="F416" s="137" t="s">
        <v>156</v>
      </c>
      <c r="G416" s="240">
        <v>45926</v>
      </c>
      <c r="H416" s="320">
        <v>600</v>
      </c>
      <c r="I416" s="241"/>
      <c r="J416" s="241"/>
      <c r="K416" s="6">
        <f t="shared" si="183"/>
        <v>600</v>
      </c>
      <c r="L416" s="6">
        <f t="shared" si="184"/>
        <v>600</v>
      </c>
      <c r="M416" s="300"/>
      <c r="N416" s="132">
        <f t="shared" ca="1" si="149"/>
        <v>86</v>
      </c>
      <c r="O416" s="85">
        <f t="shared" si="185"/>
        <v>45879</v>
      </c>
      <c r="P416" s="131"/>
      <c r="Q416" s="131">
        <f t="shared" si="186"/>
        <v>2</v>
      </c>
      <c r="R416" s="132">
        <f t="shared" ca="1" si="187"/>
        <v>39</v>
      </c>
      <c r="S416" s="131">
        <f t="shared" si="188"/>
        <v>45894</v>
      </c>
      <c r="T416" s="133"/>
      <c r="U416" s="132">
        <f t="shared" ca="1" si="189"/>
        <v>54</v>
      </c>
      <c r="V416" s="335">
        <f t="shared" si="182"/>
        <v>32</v>
      </c>
      <c r="W416" s="131"/>
      <c r="X416" s="297"/>
    </row>
    <row r="417" spans="1:25" ht="14.5" hidden="1">
      <c r="A417" s="14">
        <v>228</v>
      </c>
      <c r="B417" s="15" t="s">
        <v>59</v>
      </c>
      <c r="C417" s="15"/>
      <c r="D417" s="318" t="s">
        <v>956</v>
      </c>
      <c r="E417" s="146" t="s">
        <v>242</v>
      </c>
      <c r="F417" s="146" t="s">
        <v>162</v>
      </c>
      <c r="G417" s="240">
        <v>45926</v>
      </c>
      <c r="H417" s="320">
        <v>462.01679999999999</v>
      </c>
      <c r="I417" s="241"/>
      <c r="J417" s="241"/>
      <c r="K417" s="6">
        <f>+H417*94%-J417</f>
        <v>434.29579199999995</v>
      </c>
      <c r="L417" s="6">
        <f t="shared" si="184"/>
        <v>462.01679999999999</v>
      </c>
      <c r="M417" s="300" t="s">
        <v>957</v>
      </c>
      <c r="N417" s="132">
        <f t="shared" ca="1" si="149"/>
        <v>86</v>
      </c>
      <c r="O417" s="85">
        <f t="shared" si="185"/>
        <v>45879</v>
      </c>
      <c r="P417" s="131"/>
      <c r="Q417" s="131">
        <f t="shared" si="186"/>
        <v>2</v>
      </c>
      <c r="R417" s="132">
        <f t="shared" ca="1" si="187"/>
        <v>39</v>
      </c>
      <c r="S417" s="131">
        <f t="shared" si="188"/>
        <v>45894</v>
      </c>
      <c r="T417" s="133"/>
      <c r="U417" s="132">
        <f t="shared" ca="1" si="189"/>
        <v>54</v>
      </c>
      <c r="V417" s="335">
        <f t="shared" si="182"/>
        <v>32</v>
      </c>
      <c r="W417" s="131"/>
      <c r="X417" s="297"/>
    </row>
    <row r="418" spans="1:25" ht="14.5" hidden="1">
      <c r="A418" s="14">
        <v>228</v>
      </c>
      <c r="B418" s="15" t="s">
        <v>59</v>
      </c>
      <c r="C418" s="15"/>
      <c r="D418" s="318" t="s">
        <v>901</v>
      </c>
      <c r="E418" s="14" t="s">
        <v>242</v>
      </c>
      <c r="F418" s="137" t="s">
        <v>244</v>
      </c>
      <c r="G418" s="240">
        <v>45926</v>
      </c>
      <c r="H418" s="320">
        <v>619.23599999999999</v>
      </c>
      <c r="I418" s="241"/>
      <c r="J418" s="241"/>
      <c r="K418" s="6">
        <f t="shared" si="183"/>
        <v>619.23599999999999</v>
      </c>
      <c r="L418" s="6">
        <f t="shared" si="184"/>
        <v>619.23599999999999</v>
      </c>
      <c r="M418" s="300" t="s">
        <v>133</v>
      </c>
      <c r="N418" s="132">
        <f t="shared" ca="1" si="149"/>
        <v>86</v>
      </c>
      <c r="O418" s="85">
        <f t="shared" si="185"/>
        <v>45879</v>
      </c>
      <c r="P418" s="131"/>
      <c r="Q418" s="131">
        <f t="shared" si="186"/>
        <v>2</v>
      </c>
      <c r="R418" s="132">
        <f t="shared" ca="1" si="187"/>
        <v>39</v>
      </c>
      <c r="S418" s="131">
        <f t="shared" si="188"/>
        <v>45894</v>
      </c>
      <c r="T418" s="133"/>
      <c r="U418" s="132">
        <f t="shared" ca="1" si="189"/>
        <v>54</v>
      </c>
      <c r="V418" s="335">
        <f t="shared" si="182"/>
        <v>32</v>
      </c>
      <c r="W418" s="131"/>
      <c r="X418" s="297"/>
    </row>
    <row r="419" spans="1:25" ht="14.5" hidden="1">
      <c r="A419" s="14">
        <v>229</v>
      </c>
      <c r="B419" s="15" t="s">
        <v>59</v>
      </c>
      <c r="C419" s="15"/>
      <c r="D419" s="301" t="s">
        <v>248</v>
      </c>
      <c r="E419" s="146" t="s">
        <v>270</v>
      </c>
      <c r="F419" s="343" t="s">
        <v>162</v>
      </c>
      <c r="G419" s="240">
        <v>45940</v>
      </c>
      <c r="H419" s="320">
        <v>3650.9400599999999</v>
      </c>
      <c r="I419" s="241"/>
      <c r="J419" s="241"/>
      <c r="K419" s="6">
        <f>+H419*92%-J419</f>
        <v>3358.8648552</v>
      </c>
      <c r="L419" s="6">
        <f t="shared" si="184"/>
        <v>3650.9400599999999</v>
      </c>
      <c r="M419" s="300" t="s">
        <v>133</v>
      </c>
      <c r="N419" s="132">
        <f t="shared" ca="1" si="149"/>
        <v>100</v>
      </c>
      <c r="O419" s="85">
        <f t="shared" si="185"/>
        <v>45893</v>
      </c>
      <c r="P419" s="131"/>
      <c r="Q419" s="131">
        <f t="shared" si="186"/>
        <v>2</v>
      </c>
      <c r="R419" s="132">
        <f t="shared" ca="1" si="187"/>
        <v>53</v>
      </c>
      <c r="S419" s="131">
        <f t="shared" si="188"/>
        <v>45908</v>
      </c>
      <c r="T419" s="133"/>
      <c r="U419" s="132">
        <f t="shared" ca="1" si="189"/>
        <v>68</v>
      </c>
      <c r="V419" s="335">
        <f t="shared" si="182"/>
        <v>32</v>
      </c>
      <c r="W419" s="131"/>
      <c r="X419" s="297"/>
    </row>
    <row r="420" spans="1:25" ht="14.5" hidden="1">
      <c r="A420" s="14">
        <v>229</v>
      </c>
      <c r="B420" s="15" t="s">
        <v>59</v>
      </c>
      <c r="C420" s="15"/>
      <c r="D420" s="318" t="s">
        <v>901</v>
      </c>
      <c r="E420" s="14" t="s">
        <v>242</v>
      </c>
      <c r="F420" s="344" t="s">
        <v>244</v>
      </c>
      <c r="G420" s="240">
        <v>45940</v>
      </c>
      <c r="H420" s="320">
        <v>628.50600000000009</v>
      </c>
      <c r="I420" s="241"/>
      <c r="J420" s="241"/>
      <c r="K420" s="6">
        <f t="shared" si="183"/>
        <v>628.50600000000009</v>
      </c>
      <c r="L420" s="6">
        <f t="shared" si="184"/>
        <v>628.50600000000009</v>
      </c>
      <c r="M420" s="300" t="s">
        <v>133</v>
      </c>
      <c r="N420" s="132">
        <f t="shared" ca="1" si="149"/>
        <v>100</v>
      </c>
      <c r="O420" s="85">
        <f t="shared" si="185"/>
        <v>45893</v>
      </c>
      <c r="P420" s="131"/>
      <c r="Q420" s="131">
        <f t="shared" si="186"/>
        <v>2</v>
      </c>
      <c r="R420" s="132">
        <f t="shared" ca="1" si="187"/>
        <v>53</v>
      </c>
      <c r="S420" s="131">
        <f t="shared" si="188"/>
        <v>45908</v>
      </c>
      <c r="T420" s="133"/>
      <c r="U420" s="132">
        <f t="shared" ca="1" si="189"/>
        <v>68</v>
      </c>
      <c r="V420" s="335">
        <f t="shared" si="182"/>
        <v>32</v>
      </c>
      <c r="W420" s="131"/>
      <c r="X420" s="297"/>
    </row>
    <row r="421" spans="1:25" ht="14.5" hidden="1">
      <c r="A421" s="14">
        <v>229</v>
      </c>
      <c r="B421" s="15" t="s">
        <v>59</v>
      </c>
      <c r="C421" s="15"/>
      <c r="D421" s="318" t="s">
        <v>920</v>
      </c>
      <c r="E421" s="146" t="s">
        <v>242</v>
      </c>
      <c r="F421" s="344" t="s">
        <v>919</v>
      </c>
      <c r="G421" s="240">
        <v>45940</v>
      </c>
      <c r="H421" s="320">
        <v>2045.8519200000001</v>
      </c>
      <c r="I421" s="241"/>
      <c r="J421" s="241"/>
      <c r="K421" s="6">
        <f t="shared" si="183"/>
        <v>2045.8519200000001</v>
      </c>
      <c r="L421" s="6">
        <f t="shared" si="184"/>
        <v>2045.8519200000001</v>
      </c>
      <c r="M421" s="300" t="s">
        <v>133</v>
      </c>
      <c r="N421" s="132">
        <f t="shared" ca="1" si="149"/>
        <v>100</v>
      </c>
      <c r="O421" s="85">
        <f t="shared" si="185"/>
        <v>45893</v>
      </c>
      <c r="P421" s="131"/>
      <c r="Q421" s="131">
        <f t="shared" si="186"/>
        <v>2</v>
      </c>
      <c r="R421" s="132">
        <f t="shared" ca="1" si="187"/>
        <v>53</v>
      </c>
      <c r="S421" s="131">
        <f t="shared" si="188"/>
        <v>45908</v>
      </c>
      <c r="T421" s="133"/>
      <c r="U421" s="132">
        <f t="shared" ca="1" si="189"/>
        <v>68</v>
      </c>
      <c r="V421" s="335">
        <f t="shared" si="182"/>
        <v>32</v>
      </c>
      <c r="W421" s="131"/>
      <c r="X421" s="297"/>
    </row>
    <row r="422" spans="1:25" ht="14.5" hidden="1">
      <c r="A422" s="14">
        <v>229</v>
      </c>
      <c r="B422" s="15" t="s">
        <v>59</v>
      </c>
      <c r="C422" s="15"/>
      <c r="D422" s="318" t="s">
        <v>920</v>
      </c>
      <c r="E422" s="146" t="s">
        <v>242</v>
      </c>
      <c r="F422" s="344" t="s">
        <v>921</v>
      </c>
      <c r="G422" s="240">
        <v>45940</v>
      </c>
      <c r="H422" s="320">
        <v>2045.8519200000001</v>
      </c>
      <c r="I422" s="241"/>
      <c r="J422" s="241"/>
      <c r="K422" s="6">
        <f t="shared" si="183"/>
        <v>2045.8519200000001</v>
      </c>
      <c r="L422" s="6">
        <f t="shared" si="184"/>
        <v>2045.8519200000001</v>
      </c>
      <c r="M422" s="300" t="s">
        <v>133</v>
      </c>
      <c r="N422" s="132">
        <f t="shared" ca="1" si="149"/>
        <v>100</v>
      </c>
      <c r="O422" s="85">
        <f t="shared" si="185"/>
        <v>45893</v>
      </c>
      <c r="P422" s="131"/>
      <c r="Q422" s="131">
        <f t="shared" si="186"/>
        <v>2</v>
      </c>
      <c r="R422" s="132">
        <f t="shared" ca="1" si="187"/>
        <v>53</v>
      </c>
      <c r="S422" s="131">
        <f t="shared" si="188"/>
        <v>45908</v>
      </c>
      <c r="T422" s="133"/>
      <c r="U422" s="132">
        <f t="shared" ca="1" si="189"/>
        <v>68</v>
      </c>
      <c r="V422" s="335">
        <f t="shared" si="182"/>
        <v>32</v>
      </c>
      <c r="W422" s="131"/>
      <c r="X422" s="297"/>
    </row>
    <row r="423" spans="1:25" ht="14.5" hidden="1">
      <c r="A423" s="14">
        <v>230</v>
      </c>
      <c r="B423" s="15" t="s">
        <v>59</v>
      </c>
      <c r="C423" s="15"/>
      <c r="D423" s="318" t="s">
        <v>391</v>
      </c>
      <c r="E423" s="146" t="s">
        <v>392</v>
      </c>
      <c r="F423" s="344" t="s">
        <v>393</v>
      </c>
      <c r="G423" s="240">
        <v>45919</v>
      </c>
      <c r="H423" s="320">
        <v>616.51679999999999</v>
      </c>
      <c r="I423" s="241"/>
      <c r="J423" s="241"/>
      <c r="K423" s="6">
        <f t="shared" ref="K423:K464" si="190">+H423-J423</f>
        <v>616.51679999999999</v>
      </c>
      <c r="L423" s="6">
        <f t="shared" ref="L423:L465" si="191">+H423-I423</f>
        <v>616.51679999999999</v>
      </c>
      <c r="M423" s="300" t="s">
        <v>853</v>
      </c>
      <c r="N423" s="132">
        <f t="shared" ref="N423:N465" ca="1" si="192">G423-TODAY()</f>
        <v>79</v>
      </c>
      <c r="O423" s="85">
        <f t="shared" ref="O423:O465" si="193">S423-15</f>
        <v>45872</v>
      </c>
      <c r="P423" s="131"/>
      <c r="Q423" s="131">
        <f t="shared" ref="Q423:Q465" si="194">P423+2</f>
        <v>2</v>
      </c>
      <c r="R423" s="132">
        <f t="shared" ref="R423:R465" ca="1" si="195">+IF(P423="",O423-TODAY(),O423-P423)</f>
        <v>32</v>
      </c>
      <c r="S423" s="131">
        <f t="shared" ref="S423:S465" si="196">G423-32</f>
        <v>45887</v>
      </c>
      <c r="T423" s="133"/>
      <c r="U423" s="132">
        <f t="shared" ref="U423:U465" ca="1" si="197">+IF(T423="",S423-TODAY(),S423-T423)</f>
        <v>47</v>
      </c>
      <c r="V423" s="335">
        <f t="shared" ref="V423:V465" si="198">G423-S423</f>
        <v>32</v>
      </c>
      <c r="W423" s="131"/>
      <c r="X423" s="297"/>
      <c r="Y423" s="200"/>
    </row>
    <row r="424" spans="1:25" ht="14.5" hidden="1">
      <c r="A424" s="14">
        <v>230</v>
      </c>
      <c r="B424" s="15" t="s">
        <v>59</v>
      </c>
      <c r="C424" s="15"/>
      <c r="D424" s="318" t="s">
        <v>901</v>
      </c>
      <c r="E424" s="146" t="s">
        <v>242</v>
      </c>
      <c r="F424" s="344" t="s">
        <v>244</v>
      </c>
      <c r="G424" s="240">
        <v>45919</v>
      </c>
      <c r="H424" s="320">
        <v>632.21400000000006</v>
      </c>
      <c r="I424" s="241"/>
      <c r="J424" s="241"/>
      <c r="K424" s="6">
        <f t="shared" si="190"/>
        <v>632.21400000000006</v>
      </c>
      <c r="L424" s="6">
        <f t="shared" si="191"/>
        <v>632.21400000000006</v>
      </c>
      <c r="M424" s="300" t="s">
        <v>133</v>
      </c>
      <c r="N424" s="132">
        <f t="shared" ca="1" si="192"/>
        <v>79</v>
      </c>
      <c r="O424" s="85">
        <f t="shared" si="193"/>
        <v>45872</v>
      </c>
      <c r="P424" s="131"/>
      <c r="Q424" s="131">
        <f t="shared" si="194"/>
        <v>2</v>
      </c>
      <c r="R424" s="132">
        <f t="shared" ca="1" si="195"/>
        <v>32</v>
      </c>
      <c r="S424" s="131">
        <f t="shared" si="196"/>
        <v>45887</v>
      </c>
      <c r="T424" s="133"/>
      <c r="U424" s="132">
        <f t="shared" ca="1" si="197"/>
        <v>47</v>
      </c>
      <c r="V424" s="335">
        <f t="shared" si="198"/>
        <v>32</v>
      </c>
      <c r="W424" s="131"/>
      <c r="X424" s="297"/>
    </row>
    <row r="425" spans="1:25" ht="14.5" hidden="1">
      <c r="A425" s="14">
        <v>231</v>
      </c>
      <c r="B425" s="15" t="s">
        <v>59</v>
      </c>
      <c r="C425" s="15"/>
      <c r="D425" s="318" t="s">
        <v>248</v>
      </c>
      <c r="E425" s="146" t="s">
        <v>270</v>
      </c>
      <c r="F425" s="344" t="s">
        <v>162</v>
      </c>
      <c r="G425" s="240">
        <v>45926</v>
      </c>
      <c r="H425" s="320">
        <v>3650.9400599999999</v>
      </c>
      <c r="I425" s="241"/>
      <c r="J425" s="241"/>
      <c r="K425" s="6">
        <f t="shared" si="190"/>
        <v>3650.9400599999999</v>
      </c>
      <c r="L425" s="6">
        <f t="shared" si="191"/>
        <v>3650.9400599999999</v>
      </c>
      <c r="M425" s="300" t="s">
        <v>133</v>
      </c>
      <c r="N425" s="132">
        <f t="shared" ca="1" si="192"/>
        <v>86</v>
      </c>
      <c r="O425" s="85">
        <f t="shared" si="193"/>
        <v>45879</v>
      </c>
      <c r="P425" s="131"/>
      <c r="Q425" s="131">
        <f t="shared" si="194"/>
        <v>2</v>
      </c>
      <c r="R425" s="132">
        <f t="shared" ca="1" si="195"/>
        <v>39</v>
      </c>
      <c r="S425" s="131">
        <f t="shared" si="196"/>
        <v>45894</v>
      </c>
      <c r="T425" s="133"/>
      <c r="U425" s="132">
        <f t="shared" ca="1" si="197"/>
        <v>54</v>
      </c>
      <c r="V425" s="335">
        <f t="shared" si="198"/>
        <v>32</v>
      </c>
      <c r="W425" s="131"/>
      <c r="X425" s="297"/>
    </row>
    <row r="426" spans="1:25" ht="14.5" hidden="1">
      <c r="A426" s="14">
        <v>231</v>
      </c>
      <c r="B426" s="15" t="s">
        <v>59</v>
      </c>
      <c r="C426" s="15"/>
      <c r="D426" s="318" t="s">
        <v>956</v>
      </c>
      <c r="E426" s="146" t="s">
        <v>242</v>
      </c>
      <c r="F426" s="344" t="s">
        <v>162</v>
      </c>
      <c r="G426" s="240">
        <v>45926</v>
      </c>
      <c r="H426" s="320">
        <v>789.80399999999997</v>
      </c>
      <c r="I426" s="241"/>
      <c r="J426" s="241"/>
      <c r="K426" s="6">
        <f>+H426*94%-J426</f>
        <v>742.41575999999998</v>
      </c>
      <c r="L426" s="6">
        <f t="shared" si="191"/>
        <v>789.80399999999997</v>
      </c>
      <c r="M426" s="300" t="s">
        <v>894</v>
      </c>
      <c r="N426" s="132">
        <f t="shared" ca="1" si="192"/>
        <v>86</v>
      </c>
      <c r="O426" s="85">
        <f t="shared" si="193"/>
        <v>45879</v>
      </c>
      <c r="P426" s="131"/>
      <c r="Q426" s="131">
        <f t="shared" si="194"/>
        <v>2</v>
      </c>
      <c r="R426" s="132">
        <f t="shared" ca="1" si="195"/>
        <v>39</v>
      </c>
      <c r="S426" s="131">
        <f t="shared" si="196"/>
        <v>45894</v>
      </c>
      <c r="T426" s="133"/>
      <c r="U426" s="132">
        <f t="shared" ca="1" si="197"/>
        <v>54</v>
      </c>
      <c r="V426" s="335">
        <f t="shared" si="198"/>
        <v>32</v>
      </c>
      <c r="W426" s="131"/>
      <c r="X426" s="297"/>
      <c r="Y426" s="200"/>
    </row>
    <row r="427" spans="1:25" ht="14.5" hidden="1">
      <c r="A427" s="14">
        <v>231</v>
      </c>
      <c r="B427" s="15" t="s">
        <v>59</v>
      </c>
      <c r="C427" s="15"/>
      <c r="D427" s="318" t="s">
        <v>920</v>
      </c>
      <c r="E427" s="146" t="s">
        <v>242</v>
      </c>
      <c r="F427" s="344" t="s">
        <v>919</v>
      </c>
      <c r="G427" s="240">
        <v>45926</v>
      </c>
      <c r="H427" s="320">
        <v>479.66687999999999</v>
      </c>
      <c r="I427" s="241"/>
      <c r="J427" s="241"/>
      <c r="K427" s="6">
        <f t="shared" si="190"/>
        <v>479.66687999999999</v>
      </c>
      <c r="L427" s="6">
        <f t="shared" si="191"/>
        <v>479.66687999999999</v>
      </c>
      <c r="M427" s="300" t="s">
        <v>133</v>
      </c>
      <c r="N427" s="132">
        <f t="shared" ca="1" si="192"/>
        <v>86</v>
      </c>
      <c r="O427" s="85">
        <f t="shared" si="193"/>
        <v>45879</v>
      </c>
      <c r="P427" s="131"/>
      <c r="Q427" s="131">
        <f t="shared" si="194"/>
        <v>2</v>
      </c>
      <c r="R427" s="132">
        <f t="shared" ca="1" si="195"/>
        <v>39</v>
      </c>
      <c r="S427" s="131">
        <f t="shared" si="196"/>
        <v>45894</v>
      </c>
      <c r="T427" s="133"/>
      <c r="U427" s="132">
        <f t="shared" ca="1" si="197"/>
        <v>54</v>
      </c>
      <c r="V427" s="335">
        <f t="shared" si="198"/>
        <v>32</v>
      </c>
      <c r="W427" s="131"/>
      <c r="X427" s="297"/>
    </row>
    <row r="428" spans="1:25" ht="14.5" hidden="1">
      <c r="A428" s="14">
        <v>232</v>
      </c>
      <c r="B428" s="15" t="s">
        <v>59</v>
      </c>
      <c r="C428" s="15"/>
      <c r="D428" s="318" t="s">
        <v>193</v>
      </c>
      <c r="E428" s="146" t="s">
        <v>249</v>
      </c>
      <c r="F428" s="344" t="s">
        <v>162</v>
      </c>
      <c r="G428" s="240">
        <v>45926</v>
      </c>
      <c r="H428" s="320">
        <v>5617.62</v>
      </c>
      <c r="I428" s="241"/>
      <c r="J428" s="241"/>
      <c r="K428" s="6">
        <f t="shared" si="190"/>
        <v>5617.62</v>
      </c>
      <c r="L428" s="6">
        <f t="shared" si="191"/>
        <v>5617.62</v>
      </c>
      <c r="M428" s="300" t="s">
        <v>133</v>
      </c>
      <c r="N428" s="132">
        <f t="shared" ca="1" si="192"/>
        <v>86</v>
      </c>
      <c r="O428" s="85">
        <f t="shared" si="193"/>
        <v>45879</v>
      </c>
      <c r="P428" s="131"/>
      <c r="Q428" s="131">
        <f t="shared" si="194"/>
        <v>2</v>
      </c>
      <c r="R428" s="132">
        <f t="shared" ca="1" si="195"/>
        <v>39</v>
      </c>
      <c r="S428" s="131">
        <f t="shared" si="196"/>
        <v>45894</v>
      </c>
      <c r="T428" s="133"/>
      <c r="U428" s="132">
        <f t="shared" ca="1" si="197"/>
        <v>54</v>
      </c>
      <c r="V428" s="335">
        <f t="shared" si="198"/>
        <v>32</v>
      </c>
      <c r="W428" s="131"/>
      <c r="X428" s="297"/>
    </row>
    <row r="429" spans="1:25" ht="14.5" hidden="1">
      <c r="A429" s="14">
        <v>232</v>
      </c>
      <c r="B429" s="15" t="s">
        <v>59</v>
      </c>
      <c r="C429" s="15"/>
      <c r="D429" s="318" t="s">
        <v>288</v>
      </c>
      <c r="E429" s="146" t="s">
        <v>289</v>
      </c>
      <c r="F429" s="344" t="s">
        <v>155</v>
      </c>
      <c r="G429" s="240">
        <v>45926</v>
      </c>
      <c r="H429" s="320">
        <v>981</v>
      </c>
      <c r="I429" s="241"/>
      <c r="J429" s="241"/>
      <c r="K429" s="6">
        <f t="shared" si="190"/>
        <v>981</v>
      </c>
      <c r="L429" s="6">
        <f t="shared" si="191"/>
        <v>981</v>
      </c>
      <c r="M429" s="300"/>
      <c r="N429" s="132">
        <f t="shared" ca="1" si="192"/>
        <v>86</v>
      </c>
      <c r="O429" s="85">
        <f t="shared" si="193"/>
        <v>45879</v>
      </c>
      <c r="P429" s="131"/>
      <c r="Q429" s="131">
        <f t="shared" si="194"/>
        <v>2</v>
      </c>
      <c r="R429" s="132">
        <f t="shared" ca="1" si="195"/>
        <v>39</v>
      </c>
      <c r="S429" s="131">
        <f t="shared" si="196"/>
        <v>45894</v>
      </c>
      <c r="T429" s="133"/>
      <c r="U429" s="132">
        <f t="shared" ca="1" si="197"/>
        <v>54</v>
      </c>
      <c r="V429" s="335">
        <f t="shared" si="198"/>
        <v>32</v>
      </c>
      <c r="W429" s="131"/>
      <c r="X429" s="297"/>
    </row>
    <row r="430" spans="1:25" ht="14.5" hidden="1">
      <c r="A430" s="14">
        <v>232</v>
      </c>
      <c r="B430" s="15" t="s">
        <v>59</v>
      </c>
      <c r="C430" s="15"/>
      <c r="D430" s="318" t="s">
        <v>288</v>
      </c>
      <c r="E430" s="146" t="s">
        <v>289</v>
      </c>
      <c r="F430" s="344" t="s">
        <v>154</v>
      </c>
      <c r="G430" s="240">
        <v>45926</v>
      </c>
      <c r="H430" s="320">
        <v>900</v>
      </c>
      <c r="I430" s="241"/>
      <c r="J430" s="241"/>
      <c r="K430" s="6">
        <f t="shared" si="190"/>
        <v>900</v>
      </c>
      <c r="L430" s="6">
        <f t="shared" si="191"/>
        <v>900</v>
      </c>
      <c r="M430" s="300"/>
      <c r="N430" s="132">
        <f t="shared" ca="1" si="192"/>
        <v>86</v>
      </c>
      <c r="O430" s="85">
        <f t="shared" si="193"/>
        <v>45879</v>
      </c>
      <c r="P430" s="131"/>
      <c r="Q430" s="131">
        <f t="shared" si="194"/>
        <v>2</v>
      </c>
      <c r="R430" s="132">
        <f t="shared" ca="1" si="195"/>
        <v>39</v>
      </c>
      <c r="S430" s="131">
        <f t="shared" si="196"/>
        <v>45894</v>
      </c>
      <c r="T430" s="133"/>
      <c r="U430" s="132">
        <f t="shared" ca="1" si="197"/>
        <v>54</v>
      </c>
      <c r="V430" s="335">
        <f t="shared" si="198"/>
        <v>32</v>
      </c>
      <c r="W430" s="131"/>
      <c r="X430" s="297"/>
    </row>
    <row r="431" spans="1:25" ht="14.5" hidden="1">
      <c r="A431" s="14">
        <v>232</v>
      </c>
      <c r="B431" s="15" t="s">
        <v>59</v>
      </c>
      <c r="C431" s="15"/>
      <c r="D431" s="318" t="s">
        <v>288</v>
      </c>
      <c r="E431" s="146" t="s">
        <v>289</v>
      </c>
      <c r="F431" s="344" t="s">
        <v>156</v>
      </c>
      <c r="G431" s="240">
        <v>45926</v>
      </c>
      <c r="H431" s="320">
        <v>900</v>
      </c>
      <c r="I431" s="241"/>
      <c r="J431" s="241"/>
      <c r="K431" s="6">
        <f t="shared" si="190"/>
        <v>900</v>
      </c>
      <c r="L431" s="6">
        <f t="shared" si="191"/>
        <v>900</v>
      </c>
      <c r="M431" s="300"/>
      <c r="N431" s="132">
        <f t="shared" ca="1" si="192"/>
        <v>86</v>
      </c>
      <c r="O431" s="85">
        <f t="shared" si="193"/>
        <v>45879</v>
      </c>
      <c r="P431" s="131"/>
      <c r="Q431" s="131">
        <f t="shared" si="194"/>
        <v>2</v>
      </c>
      <c r="R431" s="132">
        <f t="shared" ca="1" si="195"/>
        <v>39</v>
      </c>
      <c r="S431" s="131">
        <f t="shared" si="196"/>
        <v>45894</v>
      </c>
      <c r="T431" s="133"/>
      <c r="U431" s="132">
        <f t="shared" ca="1" si="197"/>
        <v>54</v>
      </c>
      <c r="V431" s="335">
        <f t="shared" si="198"/>
        <v>32</v>
      </c>
      <c r="W431" s="131"/>
      <c r="X431" s="297"/>
    </row>
    <row r="432" spans="1:25" ht="14.5" hidden="1">
      <c r="A432" s="14">
        <v>232</v>
      </c>
      <c r="B432" s="15" t="s">
        <v>59</v>
      </c>
      <c r="C432" s="15"/>
      <c r="D432" s="318" t="s">
        <v>956</v>
      </c>
      <c r="E432" s="146" t="s">
        <v>242</v>
      </c>
      <c r="F432" s="344" t="s">
        <v>162</v>
      </c>
      <c r="G432" s="240">
        <v>45926</v>
      </c>
      <c r="H432" s="320">
        <v>177.98400000000001</v>
      </c>
      <c r="I432" s="241"/>
      <c r="J432" s="241"/>
      <c r="K432" s="6">
        <f>+H432*94%-J432</f>
        <v>167.30495999999999</v>
      </c>
      <c r="L432" s="6">
        <f t="shared" si="191"/>
        <v>177.98400000000001</v>
      </c>
      <c r="M432" s="300" t="s">
        <v>894</v>
      </c>
      <c r="N432" s="132">
        <f t="shared" ca="1" si="192"/>
        <v>86</v>
      </c>
      <c r="O432" s="85">
        <f t="shared" si="193"/>
        <v>45879</v>
      </c>
      <c r="P432" s="131"/>
      <c r="Q432" s="131">
        <f t="shared" si="194"/>
        <v>2</v>
      </c>
      <c r="R432" s="132">
        <f t="shared" ca="1" si="195"/>
        <v>39</v>
      </c>
      <c r="S432" s="131">
        <f t="shared" si="196"/>
        <v>45894</v>
      </c>
      <c r="T432" s="133"/>
      <c r="U432" s="132">
        <f t="shared" ca="1" si="197"/>
        <v>54</v>
      </c>
      <c r="V432" s="335">
        <f t="shared" si="198"/>
        <v>32</v>
      </c>
      <c r="W432" s="131"/>
      <c r="X432" s="297"/>
      <c r="Y432" s="200"/>
    </row>
    <row r="433" spans="1:25" ht="14.5" hidden="1">
      <c r="A433" s="14">
        <v>232</v>
      </c>
      <c r="B433" s="15" t="s">
        <v>59</v>
      </c>
      <c r="C433" s="15"/>
      <c r="D433" s="318" t="s">
        <v>391</v>
      </c>
      <c r="E433" s="146" t="s">
        <v>392</v>
      </c>
      <c r="F433" s="344" t="s">
        <v>393</v>
      </c>
      <c r="G433" s="240">
        <v>45926</v>
      </c>
      <c r="H433" s="320">
        <v>616.51679999999999</v>
      </c>
      <c r="I433" s="241"/>
      <c r="J433" s="241"/>
      <c r="K433" s="6">
        <f t="shared" si="190"/>
        <v>616.51679999999999</v>
      </c>
      <c r="L433" s="6">
        <f t="shared" si="191"/>
        <v>616.51679999999999</v>
      </c>
      <c r="M433" s="300" t="s">
        <v>853</v>
      </c>
      <c r="N433" s="132">
        <f t="shared" ca="1" si="192"/>
        <v>86</v>
      </c>
      <c r="O433" s="85">
        <f t="shared" si="193"/>
        <v>45879</v>
      </c>
      <c r="P433" s="131"/>
      <c r="Q433" s="131">
        <f t="shared" si="194"/>
        <v>2</v>
      </c>
      <c r="R433" s="132">
        <f t="shared" ca="1" si="195"/>
        <v>39</v>
      </c>
      <c r="S433" s="131">
        <f t="shared" si="196"/>
        <v>45894</v>
      </c>
      <c r="T433" s="133"/>
      <c r="U433" s="132">
        <f t="shared" ca="1" si="197"/>
        <v>54</v>
      </c>
      <c r="V433" s="335">
        <f t="shared" si="198"/>
        <v>32</v>
      </c>
      <c r="W433" s="131"/>
      <c r="X433" s="297"/>
      <c r="Y433" s="200"/>
    </row>
    <row r="434" spans="1:25" ht="14.5" hidden="1">
      <c r="A434" s="14">
        <v>232</v>
      </c>
      <c r="B434" s="15" t="s">
        <v>59</v>
      </c>
      <c r="C434" s="15"/>
      <c r="D434" s="318" t="s">
        <v>901</v>
      </c>
      <c r="E434" s="146" t="s">
        <v>242</v>
      </c>
      <c r="F434" s="344" t="s">
        <v>244</v>
      </c>
      <c r="G434" s="240">
        <v>45926</v>
      </c>
      <c r="H434" s="320">
        <v>613.67399999999998</v>
      </c>
      <c r="I434" s="241"/>
      <c r="J434" s="241"/>
      <c r="K434" s="6">
        <f t="shared" si="190"/>
        <v>613.67399999999998</v>
      </c>
      <c r="L434" s="6">
        <f t="shared" si="191"/>
        <v>613.67399999999998</v>
      </c>
      <c r="M434" s="300" t="s">
        <v>133</v>
      </c>
      <c r="N434" s="132">
        <f t="shared" ca="1" si="192"/>
        <v>86</v>
      </c>
      <c r="O434" s="85">
        <f t="shared" si="193"/>
        <v>45879</v>
      </c>
      <c r="P434" s="131"/>
      <c r="Q434" s="131">
        <f t="shared" si="194"/>
        <v>2</v>
      </c>
      <c r="R434" s="132">
        <f t="shared" ca="1" si="195"/>
        <v>39</v>
      </c>
      <c r="S434" s="131">
        <f t="shared" si="196"/>
        <v>45894</v>
      </c>
      <c r="T434" s="133"/>
      <c r="U434" s="132">
        <f t="shared" ca="1" si="197"/>
        <v>54</v>
      </c>
      <c r="V434" s="335">
        <f t="shared" si="198"/>
        <v>32</v>
      </c>
      <c r="W434" s="131"/>
      <c r="X434" s="297"/>
    </row>
    <row r="435" spans="1:25" ht="14.5" hidden="1">
      <c r="A435" s="14">
        <v>233</v>
      </c>
      <c r="B435" s="15" t="s">
        <v>59</v>
      </c>
      <c r="C435" s="15"/>
      <c r="D435" s="318" t="s">
        <v>193</v>
      </c>
      <c r="E435" s="146" t="s">
        <v>246</v>
      </c>
      <c r="F435" s="344" t="s">
        <v>162</v>
      </c>
      <c r="G435" s="240">
        <v>45933</v>
      </c>
      <c r="H435" s="320">
        <v>1050.1055999999999</v>
      </c>
      <c r="I435" s="241"/>
      <c r="J435" s="241"/>
      <c r="K435" s="6">
        <f t="shared" si="190"/>
        <v>1050.1055999999999</v>
      </c>
      <c r="L435" s="6">
        <f t="shared" si="191"/>
        <v>1050.1055999999999</v>
      </c>
      <c r="M435" s="300" t="s">
        <v>133</v>
      </c>
      <c r="N435" s="132">
        <f t="shared" ca="1" si="192"/>
        <v>93</v>
      </c>
      <c r="O435" s="85">
        <f t="shared" si="193"/>
        <v>45886</v>
      </c>
      <c r="P435" s="131"/>
      <c r="Q435" s="131">
        <f t="shared" si="194"/>
        <v>2</v>
      </c>
      <c r="R435" s="132">
        <f t="shared" ca="1" si="195"/>
        <v>46</v>
      </c>
      <c r="S435" s="131">
        <f t="shared" si="196"/>
        <v>45901</v>
      </c>
      <c r="T435" s="133"/>
      <c r="U435" s="132">
        <f t="shared" ca="1" si="197"/>
        <v>61</v>
      </c>
      <c r="V435" s="335">
        <f t="shared" si="198"/>
        <v>32</v>
      </c>
      <c r="W435" s="131"/>
      <c r="X435" s="297"/>
    </row>
    <row r="436" spans="1:25" ht="14.5" hidden="1">
      <c r="A436" s="14">
        <v>233</v>
      </c>
      <c r="B436" s="15" t="s">
        <v>59</v>
      </c>
      <c r="C436" s="15"/>
      <c r="D436" s="318" t="s">
        <v>901</v>
      </c>
      <c r="E436" s="146" t="s">
        <v>242</v>
      </c>
      <c r="F436" s="344" t="s">
        <v>244</v>
      </c>
      <c r="G436" s="240">
        <v>45933</v>
      </c>
      <c r="H436" s="320">
        <v>333.72</v>
      </c>
      <c r="I436" s="241"/>
      <c r="J436" s="241"/>
      <c r="K436" s="6">
        <f t="shared" si="190"/>
        <v>333.72</v>
      </c>
      <c r="L436" s="6">
        <f t="shared" si="191"/>
        <v>333.72</v>
      </c>
      <c r="M436" s="300" t="s">
        <v>133</v>
      </c>
      <c r="N436" s="132">
        <f t="shared" ca="1" si="192"/>
        <v>93</v>
      </c>
      <c r="O436" s="85">
        <f t="shared" si="193"/>
        <v>45886</v>
      </c>
      <c r="P436" s="131"/>
      <c r="Q436" s="131">
        <f t="shared" si="194"/>
        <v>2</v>
      </c>
      <c r="R436" s="132">
        <f t="shared" ca="1" si="195"/>
        <v>46</v>
      </c>
      <c r="S436" s="131">
        <f t="shared" si="196"/>
        <v>45901</v>
      </c>
      <c r="T436" s="133"/>
      <c r="U436" s="132">
        <f t="shared" ca="1" si="197"/>
        <v>61</v>
      </c>
      <c r="V436" s="335">
        <f t="shared" si="198"/>
        <v>32</v>
      </c>
      <c r="W436" s="131"/>
      <c r="X436" s="297"/>
    </row>
    <row r="437" spans="1:25" ht="14.5" hidden="1">
      <c r="A437" s="14">
        <v>233</v>
      </c>
      <c r="B437" s="15" t="s">
        <v>59</v>
      </c>
      <c r="C437" s="15"/>
      <c r="D437" s="318" t="s">
        <v>920</v>
      </c>
      <c r="E437" s="146" t="s">
        <v>242</v>
      </c>
      <c r="F437" s="344" t="s">
        <v>919</v>
      </c>
      <c r="G437" s="240">
        <v>45933</v>
      </c>
      <c r="H437" s="320">
        <v>1199.1672000000001</v>
      </c>
      <c r="I437" s="241"/>
      <c r="J437" s="241"/>
      <c r="K437" s="6">
        <f t="shared" si="190"/>
        <v>1199.1672000000001</v>
      </c>
      <c r="L437" s="6">
        <f t="shared" si="191"/>
        <v>1199.1672000000001</v>
      </c>
      <c r="M437" s="300" t="s">
        <v>133</v>
      </c>
      <c r="N437" s="132">
        <f t="shared" ca="1" si="192"/>
        <v>93</v>
      </c>
      <c r="O437" s="85">
        <f t="shared" si="193"/>
        <v>45886</v>
      </c>
      <c r="P437" s="131"/>
      <c r="Q437" s="131">
        <f t="shared" si="194"/>
        <v>2</v>
      </c>
      <c r="R437" s="132">
        <f t="shared" ca="1" si="195"/>
        <v>46</v>
      </c>
      <c r="S437" s="131">
        <f t="shared" si="196"/>
        <v>45901</v>
      </c>
      <c r="T437" s="133"/>
      <c r="U437" s="132">
        <f t="shared" ca="1" si="197"/>
        <v>61</v>
      </c>
      <c r="V437" s="335">
        <f t="shared" si="198"/>
        <v>32</v>
      </c>
      <c r="W437" s="131"/>
      <c r="X437" s="297"/>
    </row>
    <row r="438" spans="1:25" ht="14.5" hidden="1">
      <c r="A438" s="14">
        <v>233</v>
      </c>
      <c r="B438" s="15" t="s">
        <v>59</v>
      </c>
      <c r="C438" s="15"/>
      <c r="D438" s="318" t="s">
        <v>920</v>
      </c>
      <c r="E438" s="146" t="s">
        <v>242</v>
      </c>
      <c r="F438" s="344" t="s">
        <v>921</v>
      </c>
      <c r="G438" s="240">
        <v>45933</v>
      </c>
      <c r="H438" s="320">
        <v>1199.1672000000001</v>
      </c>
      <c r="I438" s="241"/>
      <c r="J438" s="241"/>
      <c r="K438" s="6">
        <f t="shared" si="190"/>
        <v>1199.1672000000001</v>
      </c>
      <c r="L438" s="6">
        <f t="shared" si="191"/>
        <v>1199.1672000000001</v>
      </c>
      <c r="M438" s="300" t="s">
        <v>133</v>
      </c>
      <c r="N438" s="132">
        <f t="shared" ca="1" si="192"/>
        <v>93</v>
      </c>
      <c r="O438" s="85">
        <f t="shared" si="193"/>
        <v>45886</v>
      </c>
      <c r="P438" s="131"/>
      <c r="Q438" s="131">
        <f t="shared" si="194"/>
        <v>2</v>
      </c>
      <c r="R438" s="132">
        <f t="shared" ca="1" si="195"/>
        <v>46</v>
      </c>
      <c r="S438" s="131">
        <f t="shared" si="196"/>
        <v>45901</v>
      </c>
      <c r="T438" s="133"/>
      <c r="U438" s="132">
        <f t="shared" ca="1" si="197"/>
        <v>61</v>
      </c>
      <c r="V438" s="335">
        <f t="shared" si="198"/>
        <v>32</v>
      </c>
      <c r="W438" s="131"/>
      <c r="X438" s="297"/>
    </row>
    <row r="439" spans="1:25" ht="14.5" hidden="1">
      <c r="A439" s="14">
        <v>234</v>
      </c>
      <c r="B439" s="15" t="s">
        <v>59</v>
      </c>
      <c r="C439" s="15"/>
      <c r="D439" s="318" t="s">
        <v>193</v>
      </c>
      <c r="E439" s="146" t="s">
        <v>246</v>
      </c>
      <c r="F439" s="344" t="s">
        <v>162</v>
      </c>
      <c r="G439" s="240">
        <v>45933</v>
      </c>
      <c r="H439" s="320">
        <v>1104.7986000000001</v>
      </c>
      <c r="I439" s="241"/>
      <c r="J439" s="241"/>
      <c r="K439" s="6">
        <f t="shared" si="190"/>
        <v>1104.7986000000001</v>
      </c>
      <c r="L439" s="6">
        <f t="shared" si="191"/>
        <v>1104.7986000000001</v>
      </c>
      <c r="M439" s="300" t="s">
        <v>133</v>
      </c>
      <c r="N439" s="132">
        <f t="shared" ca="1" si="192"/>
        <v>93</v>
      </c>
      <c r="O439" s="85">
        <f t="shared" si="193"/>
        <v>45886</v>
      </c>
      <c r="P439" s="131"/>
      <c r="Q439" s="131">
        <f t="shared" si="194"/>
        <v>2</v>
      </c>
      <c r="R439" s="132">
        <f t="shared" ca="1" si="195"/>
        <v>46</v>
      </c>
      <c r="S439" s="131">
        <f t="shared" si="196"/>
        <v>45901</v>
      </c>
      <c r="T439" s="133"/>
      <c r="U439" s="132">
        <f t="shared" ca="1" si="197"/>
        <v>61</v>
      </c>
      <c r="V439" s="335">
        <f t="shared" si="198"/>
        <v>32</v>
      </c>
      <c r="W439" s="131"/>
      <c r="X439" s="297"/>
    </row>
    <row r="440" spans="1:25" ht="14.5">
      <c r="A440" s="14">
        <v>234</v>
      </c>
      <c r="B440" s="15" t="s">
        <v>59</v>
      </c>
      <c r="C440" s="15"/>
      <c r="D440" s="318" t="s">
        <v>201</v>
      </c>
      <c r="E440" s="146" t="s">
        <v>247</v>
      </c>
      <c r="F440" s="344" t="s">
        <v>155</v>
      </c>
      <c r="G440" s="240">
        <v>45933</v>
      </c>
      <c r="H440" s="320">
        <v>2118.0095999999999</v>
      </c>
      <c r="I440" s="241"/>
      <c r="J440" s="241"/>
      <c r="K440" s="6">
        <f>+H440*94%-J440</f>
        <v>1990.9290239999998</v>
      </c>
      <c r="L440" s="6">
        <f t="shared" si="191"/>
        <v>2118.0095999999999</v>
      </c>
      <c r="M440" s="300" t="s">
        <v>955</v>
      </c>
      <c r="N440" s="132">
        <f t="shared" ca="1" si="192"/>
        <v>93</v>
      </c>
      <c r="O440" s="85">
        <f t="shared" si="193"/>
        <v>45886</v>
      </c>
      <c r="P440" s="131"/>
      <c r="Q440" s="131">
        <f t="shared" si="194"/>
        <v>2</v>
      </c>
      <c r="R440" s="132">
        <f t="shared" ca="1" si="195"/>
        <v>46</v>
      </c>
      <c r="S440" s="131">
        <f t="shared" si="196"/>
        <v>45901</v>
      </c>
      <c r="T440" s="133"/>
      <c r="U440" s="132">
        <f t="shared" ca="1" si="197"/>
        <v>61</v>
      </c>
      <c r="V440" s="335">
        <f t="shared" si="198"/>
        <v>32</v>
      </c>
      <c r="W440" s="131"/>
      <c r="X440" s="297"/>
    </row>
    <row r="441" spans="1:25" ht="14.5" hidden="1">
      <c r="A441" s="14">
        <v>234</v>
      </c>
      <c r="B441" s="15" t="s">
        <v>59</v>
      </c>
      <c r="C441" s="15"/>
      <c r="D441" s="318" t="s">
        <v>391</v>
      </c>
      <c r="E441" s="146" t="s">
        <v>392</v>
      </c>
      <c r="F441" s="344" t="s">
        <v>393</v>
      </c>
      <c r="G441" s="240">
        <v>45933</v>
      </c>
      <c r="H441" s="320">
        <v>627.14639999999997</v>
      </c>
      <c r="I441" s="241"/>
      <c r="J441" s="241"/>
      <c r="K441" s="6">
        <f t="shared" si="190"/>
        <v>627.14639999999997</v>
      </c>
      <c r="L441" s="6">
        <f t="shared" si="191"/>
        <v>627.14639999999997</v>
      </c>
      <c r="M441" s="300" t="s">
        <v>853</v>
      </c>
      <c r="N441" s="132">
        <f t="shared" ca="1" si="192"/>
        <v>93</v>
      </c>
      <c r="O441" s="85">
        <f t="shared" si="193"/>
        <v>45886</v>
      </c>
      <c r="P441" s="131"/>
      <c r="Q441" s="131">
        <f t="shared" si="194"/>
        <v>2</v>
      </c>
      <c r="R441" s="132">
        <f t="shared" ca="1" si="195"/>
        <v>46</v>
      </c>
      <c r="S441" s="131">
        <f t="shared" si="196"/>
        <v>45901</v>
      </c>
      <c r="T441" s="133"/>
      <c r="U441" s="132">
        <f t="shared" ca="1" si="197"/>
        <v>61</v>
      </c>
      <c r="V441" s="335">
        <f t="shared" si="198"/>
        <v>32</v>
      </c>
      <c r="W441" s="131"/>
      <c r="X441" s="297"/>
      <c r="Y441" s="200"/>
    </row>
    <row r="442" spans="1:25" ht="14.5" hidden="1">
      <c r="A442" s="14">
        <v>234</v>
      </c>
      <c r="B442" s="15" t="s">
        <v>59</v>
      </c>
      <c r="C442" s="15"/>
      <c r="D442" s="318" t="s">
        <v>920</v>
      </c>
      <c r="E442" s="146" t="s">
        <v>242</v>
      </c>
      <c r="F442" s="344" t="s">
        <v>919</v>
      </c>
      <c r="G442" s="240">
        <v>45933</v>
      </c>
      <c r="H442" s="320">
        <v>937.53072000000009</v>
      </c>
      <c r="I442" s="241"/>
      <c r="J442" s="241"/>
      <c r="K442" s="6">
        <f t="shared" si="190"/>
        <v>937.53072000000009</v>
      </c>
      <c r="L442" s="6">
        <f t="shared" si="191"/>
        <v>937.53072000000009</v>
      </c>
      <c r="M442" s="300" t="s">
        <v>133</v>
      </c>
      <c r="N442" s="132">
        <f t="shared" ca="1" si="192"/>
        <v>93</v>
      </c>
      <c r="O442" s="85">
        <f t="shared" si="193"/>
        <v>45886</v>
      </c>
      <c r="P442" s="131"/>
      <c r="Q442" s="131">
        <f t="shared" si="194"/>
        <v>2</v>
      </c>
      <c r="R442" s="132">
        <f t="shared" ca="1" si="195"/>
        <v>46</v>
      </c>
      <c r="S442" s="131">
        <f t="shared" si="196"/>
        <v>45901</v>
      </c>
      <c r="T442" s="133"/>
      <c r="U442" s="132">
        <f t="shared" ca="1" si="197"/>
        <v>61</v>
      </c>
      <c r="V442" s="335">
        <f t="shared" si="198"/>
        <v>32</v>
      </c>
      <c r="W442" s="131"/>
      <c r="X442" s="297"/>
    </row>
    <row r="443" spans="1:25" ht="14.5" hidden="1">
      <c r="A443" s="14">
        <v>234</v>
      </c>
      <c r="B443" s="15" t="s">
        <v>59</v>
      </c>
      <c r="C443" s="15"/>
      <c r="D443" s="318" t="s">
        <v>920</v>
      </c>
      <c r="E443" s="146" t="s">
        <v>242</v>
      </c>
      <c r="F443" s="344" t="s">
        <v>921</v>
      </c>
      <c r="G443" s="240">
        <v>45933</v>
      </c>
      <c r="H443" s="320">
        <v>937.53072000000009</v>
      </c>
      <c r="I443" s="241"/>
      <c r="J443" s="241"/>
      <c r="K443" s="6">
        <f t="shared" si="190"/>
        <v>937.53072000000009</v>
      </c>
      <c r="L443" s="6">
        <f t="shared" si="191"/>
        <v>937.53072000000009</v>
      </c>
      <c r="M443" s="300" t="s">
        <v>133</v>
      </c>
      <c r="N443" s="132">
        <f t="shared" ca="1" si="192"/>
        <v>93</v>
      </c>
      <c r="O443" s="85">
        <f t="shared" si="193"/>
        <v>45886</v>
      </c>
      <c r="P443" s="131"/>
      <c r="Q443" s="131">
        <f t="shared" si="194"/>
        <v>2</v>
      </c>
      <c r="R443" s="132">
        <f t="shared" ca="1" si="195"/>
        <v>46</v>
      </c>
      <c r="S443" s="131">
        <f t="shared" si="196"/>
        <v>45901</v>
      </c>
      <c r="T443" s="133"/>
      <c r="U443" s="132">
        <f t="shared" ca="1" si="197"/>
        <v>61</v>
      </c>
      <c r="V443" s="335">
        <f t="shared" si="198"/>
        <v>32</v>
      </c>
      <c r="W443" s="131"/>
      <c r="X443" s="297"/>
    </row>
    <row r="444" spans="1:25" ht="14.5" hidden="1">
      <c r="A444" s="14">
        <v>235</v>
      </c>
      <c r="B444" s="15" t="s">
        <v>59</v>
      </c>
      <c r="C444" s="15"/>
      <c r="D444" s="318" t="s">
        <v>189</v>
      </c>
      <c r="E444" s="146" t="s">
        <v>242</v>
      </c>
      <c r="F444" s="344" t="s">
        <v>90</v>
      </c>
      <c r="G444" s="240">
        <v>45940</v>
      </c>
      <c r="H444" s="320">
        <v>645.34032000000002</v>
      </c>
      <c r="I444" s="241"/>
      <c r="J444" s="241"/>
      <c r="K444" s="6">
        <f t="shared" si="190"/>
        <v>645.34032000000002</v>
      </c>
      <c r="L444" s="6">
        <f t="shared" si="191"/>
        <v>645.34032000000002</v>
      </c>
      <c r="M444" s="300" t="s">
        <v>389</v>
      </c>
      <c r="N444" s="132">
        <f t="shared" ca="1" si="192"/>
        <v>100</v>
      </c>
      <c r="O444" s="85">
        <f t="shared" si="193"/>
        <v>45893</v>
      </c>
      <c r="P444" s="131"/>
      <c r="Q444" s="131">
        <f t="shared" si="194"/>
        <v>2</v>
      </c>
      <c r="R444" s="132">
        <f t="shared" ca="1" si="195"/>
        <v>53</v>
      </c>
      <c r="S444" s="131">
        <f t="shared" si="196"/>
        <v>45908</v>
      </c>
      <c r="T444" s="133"/>
      <c r="U444" s="132">
        <f t="shared" ca="1" si="197"/>
        <v>68</v>
      </c>
      <c r="V444" s="335">
        <f t="shared" si="198"/>
        <v>32</v>
      </c>
      <c r="W444" s="131"/>
      <c r="X444" s="297"/>
    </row>
    <row r="445" spans="1:25" ht="14.5" hidden="1">
      <c r="A445" s="14">
        <v>235</v>
      </c>
      <c r="B445" s="15" t="s">
        <v>59</v>
      </c>
      <c r="C445" s="15"/>
      <c r="D445" s="318" t="s">
        <v>920</v>
      </c>
      <c r="E445" s="146" t="s">
        <v>242</v>
      </c>
      <c r="F445" s="344" t="s">
        <v>919</v>
      </c>
      <c r="G445" s="240">
        <v>45940</v>
      </c>
      <c r="H445" s="320">
        <v>2616.3647999999998</v>
      </c>
      <c r="I445" s="241"/>
      <c r="J445" s="241"/>
      <c r="K445" s="6">
        <f t="shared" si="190"/>
        <v>2616.3647999999998</v>
      </c>
      <c r="L445" s="6">
        <f t="shared" si="191"/>
        <v>2616.3647999999998</v>
      </c>
      <c r="M445" s="300" t="s">
        <v>133</v>
      </c>
      <c r="N445" s="132">
        <f t="shared" ca="1" si="192"/>
        <v>100</v>
      </c>
      <c r="O445" s="85">
        <f t="shared" si="193"/>
        <v>45893</v>
      </c>
      <c r="P445" s="131"/>
      <c r="Q445" s="131">
        <f t="shared" si="194"/>
        <v>2</v>
      </c>
      <c r="R445" s="132">
        <f t="shared" ca="1" si="195"/>
        <v>53</v>
      </c>
      <c r="S445" s="131">
        <f t="shared" si="196"/>
        <v>45908</v>
      </c>
      <c r="T445" s="133"/>
      <c r="U445" s="132">
        <f t="shared" ca="1" si="197"/>
        <v>68</v>
      </c>
      <c r="V445" s="335">
        <f t="shared" si="198"/>
        <v>32</v>
      </c>
      <c r="W445" s="131"/>
      <c r="X445" s="297"/>
    </row>
    <row r="446" spans="1:25" ht="14.5" hidden="1">
      <c r="A446" s="14">
        <v>235</v>
      </c>
      <c r="B446" s="15" t="s">
        <v>59</v>
      </c>
      <c r="C446" s="15"/>
      <c r="D446" s="318" t="s">
        <v>920</v>
      </c>
      <c r="E446" s="146" t="s">
        <v>242</v>
      </c>
      <c r="F446" s="344" t="s">
        <v>921</v>
      </c>
      <c r="G446" s="240">
        <v>45940</v>
      </c>
      <c r="H446" s="320">
        <v>2616.3647999999998</v>
      </c>
      <c r="I446" s="241"/>
      <c r="J446" s="241"/>
      <c r="K446" s="6">
        <f t="shared" si="190"/>
        <v>2616.3647999999998</v>
      </c>
      <c r="L446" s="6">
        <f t="shared" si="191"/>
        <v>2616.3647999999998</v>
      </c>
      <c r="M446" s="300" t="s">
        <v>133</v>
      </c>
      <c r="N446" s="132">
        <f t="shared" ca="1" si="192"/>
        <v>100</v>
      </c>
      <c r="O446" s="85">
        <f t="shared" si="193"/>
        <v>45893</v>
      </c>
      <c r="P446" s="131"/>
      <c r="Q446" s="131">
        <f t="shared" si="194"/>
        <v>2</v>
      </c>
      <c r="R446" s="132">
        <f t="shared" ca="1" si="195"/>
        <v>53</v>
      </c>
      <c r="S446" s="131">
        <f t="shared" si="196"/>
        <v>45908</v>
      </c>
      <c r="T446" s="133"/>
      <c r="U446" s="132">
        <f t="shared" ca="1" si="197"/>
        <v>68</v>
      </c>
      <c r="V446" s="335">
        <f t="shared" si="198"/>
        <v>32</v>
      </c>
      <c r="W446" s="131"/>
      <c r="X446" s="297"/>
    </row>
    <row r="447" spans="1:25" ht="14.5" hidden="1">
      <c r="A447" s="14">
        <v>236</v>
      </c>
      <c r="B447" s="15" t="s">
        <v>59</v>
      </c>
      <c r="C447" s="15"/>
      <c r="D447" s="318" t="s">
        <v>193</v>
      </c>
      <c r="E447" s="146" t="s">
        <v>249</v>
      </c>
      <c r="F447" s="344" t="s">
        <v>162</v>
      </c>
      <c r="G447" s="240">
        <v>45940</v>
      </c>
      <c r="H447" s="320">
        <v>5784.4800000000005</v>
      </c>
      <c r="I447" s="241"/>
      <c r="J447" s="241"/>
      <c r="K447" s="6">
        <f t="shared" si="190"/>
        <v>5784.4800000000005</v>
      </c>
      <c r="L447" s="6">
        <f t="shared" si="191"/>
        <v>5784.4800000000005</v>
      </c>
      <c r="M447" s="300" t="s">
        <v>133</v>
      </c>
      <c r="N447" s="132">
        <f t="shared" ca="1" si="192"/>
        <v>100</v>
      </c>
      <c r="O447" s="85">
        <f t="shared" si="193"/>
        <v>45893</v>
      </c>
      <c r="P447" s="131"/>
      <c r="Q447" s="131">
        <f t="shared" si="194"/>
        <v>2</v>
      </c>
      <c r="R447" s="132">
        <f t="shared" ca="1" si="195"/>
        <v>53</v>
      </c>
      <c r="S447" s="131">
        <f t="shared" si="196"/>
        <v>45908</v>
      </c>
      <c r="T447" s="133"/>
      <c r="U447" s="132">
        <f t="shared" ca="1" si="197"/>
        <v>68</v>
      </c>
      <c r="V447" s="335">
        <f t="shared" si="198"/>
        <v>32</v>
      </c>
      <c r="W447" s="131"/>
      <c r="X447" s="297"/>
    </row>
    <row r="448" spans="1:25" ht="14.5" hidden="1">
      <c r="A448" s="14">
        <v>236</v>
      </c>
      <c r="B448" s="15" t="s">
        <v>59</v>
      </c>
      <c r="C448" s="15"/>
      <c r="D448" s="318" t="s">
        <v>250</v>
      </c>
      <c r="E448" s="146" t="s">
        <v>269</v>
      </c>
      <c r="F448" s="344" t="s">
        <v>162</v>
      </c>
      <c r="G448" s="240">
        <v>45940</v>
      </c>
      <c r="H448" s="320">
        <v>5667.0599999999995</v>
      </c>
      <c r="I448" s="241"/>
      <c r="J448" s="241"/>
      <c r="K448" s="6">
        <f t="shared" si="190"/>
        <v>5667.0599999999995</v>
      </c>
      <c r="L448" s="6">
        <f t="shared" si="191"/>
        <v>5667.0599999999995</v>
      </c>
      <c r="M448" s="300" t="s">
        <v>397</v>
      </c>
      <c r="N448" s="132">
        <f t="shared" ca="1" si="192"/>
        <v>100</v>
      </c>
      <c r="O448" s="85">
        <f t="shared" si="193"/>
        <v>45893</v>
      </c>
      <c r="P448" s="131"/>
      <c r="Q448" s="131">
        <f t="shared" si="194"/>
        <v>2</v>
      </c>
      <c r="R448" s="132">
        <f t="shared" ca="1" si="195"/>
        <v>53</v>
      </c>
      <c r="S448" s="131">
        <f t="shared" si="196"/>
        <v>45908</v>
      </c>
      <c r="T448" s="133"/>
      <c r="U448" s="132">
        <f t="shared" ca="1" si="197"/>
        <v>68</v>
      </c>
      <c r="V448" s="335">
        <f t="shared" si="198"/>
        <v>32</v>
      </c>
      <c r="W448" s="131"/>
      <c r="X448" s="297"/>
    </row>
    <row r="449" spans="1:25" ht="14.5">
      <c r="A449" s="14">
        <v>236</v>
      </c>
      <c r="B449" s="15" t="s">
        <v>59</v>
      </c>
      <c r="C449" s="15"/>
      <c r="D449" s="318" t="s">
        <v>201</v>
      </c>
      <c r="E449" s="146" t="s">
        <v>247</v>
      </c>
      <c r="F449" s="344" t="s">
        <v>155</v>
      </c>
      <c r="G449" s="240">
        <v>45940</v>
      </c>
      <c r="H449" s="320">
        <v>5087.3760000000002</v>
      </c>
      <c r="I449" s="241"/>
      <c r="J449" s="241"/>
      <c r="K449" s="6">
        <f>+H449*94%-J449</f>
        <v>4782.1334399999996</v>
      </c>
      <c r="L449" s="6">
        <f t="shared" si="191"/>
        <v>5087.3760000000002</v>
      </c>
      <c r="M449" s="300" t="s">
        <v>955</v>
      </c>
      <c r="N449" s="132">
        <f t="shared" ca="1" si="192"/>
        <v>100</v>
      </c>
      <c r="O449" s="85">
        <f t="shared" si="193"/>
        <v>45893</v>
      </c>
      <c r="P449" s="131"/>
      <c r="Q449" s="131">
        <f t="shared" si="194"/>
        <v>2</v>
      </c>
      <c r="R449" s="132">
        <f t="shared" ca="1" si="195"/>
        <v>53</v>
      </c>
      <c r="S449" s="131">
        <f t="shared" si="196"/>
        <v>45908</v>
      </c>
      <c r="T449" s="133"/>
      <c r="U449" s="132">
        <f t="shared" ca="1" si="197"/>
        <v>68</v>
      </c>
      <c r="V449" s="335">
        <f t="shared" si="198"/>
        <v>32</v>
      </c>
      <c r="W449" s="131"/>
      <c r="X449" s="297"/>
    </row>
    <row r="450" spans="1:25" ht="14.5" hidden="1">
      <c r="A450" s="14">
        <v>237</v>
      </c>
      <c r="B450" s="15" t="s">
        <v>59</v>
      </c>
      <c r="C450" s="15"/>
      <c r="D450" s="318" t="s">
        <v>193</v>
      </c>
      <c r="E450" s="146" t="s">
        <v>249</v>
      </c>
      <c r="F450" s="344" t="s">
        <v>162</v>
      </c>
      <c r="G450" s="240">
        <v>45948</v>
      </c>
      <c r="H450" s="320">
        <v>4143.6900000000005</v>
      </c>
      <c r="I450" s="241"/>
      <c r="J450" s="241"/>
      <c r="K450" s="6">
        <f t="shared" si="190"/>
        <v>4143.6900000000005</v>
      </c>
      <c r="L450" s="6">
        <f t="shared" si="191"/>
        <v>4143.6900000000005</v>
      </c>
      <c r="M450" s="300" t="s">
        <v>133</v>
      </c>
      <c r="N450" s="132">
        <f t="shared" ca="1" si="192"/>
        <v>108</v>
      </c>
      <c r="O450" s="85">
        <f t="shared" si="193"/>
        <v>45901</v>
      </c>
      <c r="P450" s="131"/>
      <c r="Q450" s="131">
        <f t="shared" si="194"/>
        <v>2</v>
      </c>
      <c r="R450" s="132">
        <f t="shared" ca="1" si="195"/>
        <v>61</v>
      </c>
      <c r="S450" s="131">
        <f t="shared" si="196"/>
        <v>45916</v>
      </c>
      <c r="T450" s="133"/>
      <c r="U450" s="132">
        <f t="shared" ca="1" si="197"/>
        <v>76</v>
      </c>
      <c r="V450" s="335">
        <f t="shared" si="198"/>
        <v>32</v>
      </c>
      <c r="W450" s="131"/>
      <c r="X450" s="297"/>
    </row>
    <row r="451" spans="1:25" ht="14.5" hidden="1">
      <c r="A451" s="14">
        <v>237</v>
      </c>
      <c r="B451" s="15" t="s">
        <v>59</v>
      </c>
      <c r="C451" s="15"/>
      <c r="D451" s="318" t="s">
        <v>193</v>
      </c>
      <c r="E451" s="146" t="s">
        <v>246</v>
      </c>
      <c r="F451" s="344" t="s">
        <v>162</v>
      </c>
      <c r="G451" s="240">
        <v>45948</v>
      </c>
      <c r="H451" s="320">
        <v>1170.4302</v>
      </c>
      <c r="I451" s="241"/>
      <c r="J451" s="241"/>
      <c r="K451" s="6">
        <f t="shared" si="190"/>
        <v>1170.4302</v>
      </c>
      <c r="L451" s="6">
        <f t="shared" si="191"/>
        <v>1170.4302</v>
      </c>
      <c r="M451" s="300" t="s">
        <v>133</v>
      </c>
      <c r="N451" s="132">
        <f t="shared" ca="1" si="192"/>
        <v>108</v>
      </c>
      <c r="O451" s="85">
        <f t="shared" si="193"/>
        <v>45901</v>
      </c>
      <c r="P451" s="131"/>
      <c r="Q451" s="131">
        <f t="shared" si="194"/>
        <v>2</v>
      </c>
      <c r="R451" s="132">
        <f t="shared" ca="1" si="195"/>
        <v>61</v>
      </c>
      <c r="S451" s="131">
        <f t="shared" si="196"/>
        <v>45916</v>
      </c>
      <c r="T451" s="133"/>
      <c r="U451" s="132">
        <f t="shared" ca="1" si="197"/>
        <v>76</v>
      </c>
      <c r="V451" s="335">
        <f t="shared" si="198"/>
        <v>32</v>
      </c>
      <c r="W451" s="131"/>
      <c r="X451" s="297"/>
    </row>
    <row r="452" spans="1:25" ht="14.5" hidden="1">
      <c r="A452" s="14">
        <v>237</v>
      </c>
      <c r="B452" s="15" t="s">
        <v>59</v>
      </c>
      <c r="C452" s="15"/>
      <c r="D452" s="318" t="s">
        <v>901</v>
      </c>
      <c r="E452" s="146" t="s">
        <v>242</v>
      </c>
      <c r="F452" s="344" t="s">
        <v>244</v>
      </c>
      <c r="G452" s="240">
        <v>45948</v>
      </c>
      <c r="H452" s="320">
        <v>711.93600000000004</v>
      </c>
      <c r="I452" s="241"/>
      <c r="J452" s="241"/>
      <c r="K452" s="6">
        <f t="shared" si="190"/>
        <v>711.93600000000004</v>
      </c>
      <c r="L452" s="6">
        <f t="shared" si="191"/>
        <v>711.93600000000004</v>
      </c>
      <c r="M452" s="300" t="s">
        <v>133</v>
      </c>
      <c r="N452" s="132">
        <f t="shared" ca="1" si="192"/>
        <v>108</v>
      </c>
      <c r="O452" s="85">
        <f t="shared" si="193"/>
        <v>45901</v>
      </c>
      <c r="P452" s="131"/>
      <c r="Q452" s="131">
        <f t="shared" si="194"/>
        <v>2</v>
      </c>
      <c r="R452" s="132">
        <f t="shared" ca="1" si="195"/>
        <v>61</v>
      </c>
      <c r="S452" s="131">
        <f t="shared" si="196"/>
        <v>45916</v>
      </c>
      <c r="T452" s="133"/>
      <c r="U452" s="132">
        <f t="shared" ca="1" si="197"/>
        <v>76</v>
      </c>
      <c r="V452" s="335">
        <f t="shared" si="198"/>
        <v>32</v>
      </c>
      <c r="W452" s="131"/>
      <c r="X452" s="297"/>
    </row>
    <row r="453" spans="1:25" ht="14.5" hidden="1">
      <c r="A453" s="14">
        <v>237</v>
      </c>
      <c r="B453" s="15" t="s">
        <v>59</v>
      </c>
      <c r="C453" s="15"/>
      <c r="D453" s="318" t="s">
        <v>920</v>
      </c>
      <c r="E453" s="146" t="s">
        <v>242</v>
      </c>
      <c r="F453" s="344" t="s">
        <v>919</v>
      </c>
      <c r="G453" s="240">
        <v>45948</v>
      </c>
      <c r="H453" s="320">
        <v>2118.5287200000002</v>
      </c>
      <c r="I453" s="241"/>
      <c r="J453" s="241"/>
      <c r="K453" s="6">
        <f t="shared" si="190"/>
        <v>2118.5287200000002</v>
      </c>
      <c r="L453" s="6">
        <f t="shared" si="191"/>
        <v>2118.5287200000002</v>
      </c>
      <c r="M453" s="300" t="s">
        <v>133</v>
      </c>
      <c r="N453" s="132">
        <f t="shared" ca="1" si="192"/>
        <v>108</v>
      </c>
      <c r="O453" s="85">
        <f t="shared" si="193"/>
        <v>45901</v>
      </c>
      <c r="P453" s="131"/>
      <c r="Q453" s="131">
        <f t="shared" si="194"/>
        <v>2</v>
      </c>
      <c r="R453" s="132">
        <f t="shared" ca="1" si="195"/>
        <v>61</v>
      </c>
      <c r="S453" s="131">
        <f t="shared" si="196"/>
        <v>45916</v>
      </c>
      <c r="T453" s="133"/>
      <c r="U453" s="132">
        <f t="shared" ca="1" si="197"/>
        <v>76</v>
      </c>
      <c r="V453" s="335">
        <f t="shared" si="198"/>
        <v>32</v>
      </c>
      <c r="W453" s="131"/>
      <c r="X453" s="297"/>
    </row>
    <row r="454" spans="1:25" ht="14.5" hidden="1">
      <c r="A454" s="14">
        <v>237</v>
      </c>
      <c r="B454" s="15" t="s">
        <v>59</v>
      </c>
      <c r="C454" s="15"/>
      <c r="D454" s="318" t="s">
        <v>920</v>
      </c>
      <c r="E454" s="146" t="s">
        <v>242</v>
      </c>
      <c r="F454" s="344" t="s">
        <v>921</v>
      </c>
      <c r="G454" s="240">
        <v>45948</v>
      </c>
      <c r="H454" s="320">
        <v>2118.5287200000002</v>
      </c>
      <c r="I454" s="241"/>
      <c r="J454" s="241"/>
      <c r="K454" s="6">
        <f t="shared" si="190"/>
        <v>2118.5287200000002</v>
      </c>
      <c r="L454" s="6">
        <f t="shared" si="191"/>
        <v>2118.5287200000002</v>
      </c>
      <c r="M454" s="300" t="s">
        <v>133</v>
      </c>
      <c r="N454" s="132">
        <f t="shared" ca="1" si="192"/>
        <v>108</v>
      </c>
      <c r="O454" s="85">
        <f t="shared" si="193"/>
        <v>45901</v>
      </c>
      <c r="P454" s="131"/>
      <c r="Q454" s="131">
        <f t="shared" si="194"/>
        <v>2</v>
      </c>
      <c r="R454" s="132">
        <f t="shared" ca="1" si="195"/>
        <v>61</v>
      </c>
      <c r="S454" s="131">
        <f t="shared" si="196"/>
        <v>45916</v>
      </c>
      <c r="T454" s="133"/>
      <c r="U454" s="132">
        <f t="shared" ca="1" si="197"/>
        <v>76</v>
      </c>
      <c r="V454" s="335">
        <f t="shared" si="198"/>
        <v>32</v>
      </c>
      <c r="W454" s="131"/>
      <c r="X454" s="297"/>
    </row>
    <row r="455" spans="1:25" ht="14.5" hidden="1">
      <c r="A455" s="14">
        <v>238</v>
      </c>
      <c r="B455" s="15" t="s">
        <v>59</v>
      </c>
      <c r="C455" s="15"/>
      <c r="D455" s="318" t="s">
        <v>956</v>
      </c>
      <c r="E455" s="146" t="s">
        <v>242</v>
      </c>
      <c r="F455" s="344" t="s">
        <v>162</v>
      </c>
      <c r="G455" s="240">
        <v>45948</v>
      </c>
      <c r="H455" s="320">
        <v>130.52160000000001</v>
      </c>
      <c r="I455" s="241"/>
      <c r="J455" s="241"/>
      <c r="K455" s="6">
        <f>+H455*94%-J455</f>
        <v>122.690304</v>
      </c>
      <c r="L455" s="6">
        <f t="shared" si="191"/>
        <v>130.52160000000001</v>
      </c>
      <c r="M455" s="300" t="s">
        <v>894</v>
      </c>
      <c r="N455" s="132">
        <f t="shared" ca="1" si="192"/>
        <v>108</v>
      </c>
      <c r="O455" s="85">
        <f t="shared" si="193"/>
        <v>45901</v>
      </c>
      <c r="P455" s="131"/>
      <c r="Q455" s="131">
        <f t="shared" si="194"/>
        <v>2</v>
      </c>
      <c r="R455" s="132">
        <f t="shared" ca="1" si="195"/>
        <v>61</v>
      </c>
      <c r="S455" s="131">
        <f t="shared" si="196"/>
        <v>45916</v>
      </c>
      <c r="T455" s="133"/>
      <c r="U455" s="132">
        <f t="shared" ca="1" si="197"/>
        <v>76</v>
      </c>
      <c r="V455" s="335">
        <f t="shared" si="198"/>
        <v>32</v>
      </c>
      <c r="W455" s="131"/>
      <c r="X455" s="297"/>
      <c r="Y455" s="200"/>
    </row>
    <row r="456" spans="1:25" ht="14.5" hidden="1">
      <c r="A456" s="14">
        <v>238</v>
      </c>
      <c r="B456" s="15" t="s">
        <v>59</v>
      </c>
      <c r="C456" s="15"/>
      <c r="D456" s="318" t="s">
        <v>189</v>
      </c>
      <c r="E456" s="146" t="s">
        <v>242</v>
      </c>
      <c r="F456" s="344" t="s">
        <v>90</v>
      </c>
      <c r="G456" s="240">
        <v>45948</v>
      </c>
      <c r="H456" s="320">
        <v>509.47920000000005</v>
      </c>
      <c r="I456" s="241"/>
      <c r="J456" s="241"/>
      <c r="K456" s="6">
        <f t="shared" si="190"/>
        <v>509.47920000000005</v>
      </c>
      <c r="L456" s="6">
        <f t="shared" si="191"/>
        <v>509.47920000000005</v>
      </c>
      <c r="M456" s="300" t="s">
        <v>389</v>
      </c>
      <c r="N456" s="132">
        <f t="shared" ca="1" si="192"/>
        <v>108</v>
      </c>
      <c r="O456" s="85">
        <f t="shared" si="193"/>
        <v>45901</v>
      </c>
      <c r="P456" s="131"/>
      <c r="Q456" s="131">
        <f t="shared" si="194"/>
        <v>2</v>
      </c>
      <c r="R456" s="132">
        <f t="shared" ca="1" si="195"/>
        <v>61</v>
      </c>
      <c r="S456" s="131">
        <f t="shared" si="196"/>
        <v>45916</v>
      </c>
      <c r="T456" s="133"/>
      <c r="U456" s="132">
        <f t="shared" ca="1" si="197"/>
        <v>76</v>
      </c>
      <c r="V456" s="335">
        <f t="shared" si="198"/>
        <v>32</v>
      </c>
      <c r="W456" s="131"/>
      <c r="X456" s="297"/>
    </row>
    <row r="457" spans="1:25" ht="14.5" hidden="1">
      <c r="A457" s="14">
        <v>238</v>
      </c>
      <c r="B457" s="15" t="s">
        <v>59</v>
      </c>
      <c r="C457" s="15"/>
      <c r="D457" s="318" t="s">
        <v>920</v>
      </c>
      <c r="E457" s="146" t="s">
        <v>242</v>
      </c>
      <c r="F457" s="344" t="s">
        <v>919</v>
      </c>
      <c r="G457" s="240">
        <v>45948</v>
      </c>
      <c r="H457" s="320">
        <v>919.36152000000004</v>
      </c>
      <c r="I457" s="241"/>
      <c r="J457" s="241"/>
      <c r="K457" s="6">
        <f t="shared" si="190"/>
        <v>919.36152000000004</v>
      </c>
      <c r="L457" s="6">
        <f t="shared" si="191"/>
        <v>919.36152000000004</v>
      </c>
      <c r="M457" s="300" t="s">
        <v>133</v>
      </c>
      <c r="N457" s="132">
        <f t="shared" ca="1" si="192"/>
        <v>108</v>
      </c>
      <c r="O457" s="85">
        <f t="shared" si="193"/>
        <v>45901</v>
      </c>
      <c r="P457" s="131"/>
      <c r="Q457" s="131">
        <f t="shared" si="194"/>
        <v>2</v>
      </c>
      <c r="R457" s="132">
        <f t="shared" ca="1" si="195"/>
        <v>61</v>
      </c>
      <c r="S457" s="131">
        <f t="shared" si="196"/>
        <v>45916</v>
      </c>
      <c r="T457" s="133"/>
      <c r="U457" s="132">
        <f t="shared" ca="1" si="197"/>
        <v>76</v>
      </c>
      <c r="V457" s="335">
        <f t="shared" si="198"/>
        <v>32</v>
      </c>
      <c r="W457" s="131"/>
      <c r="X457" s="297"/>
    </row>
    <row r="458" spans="1:25" ht="14.5" hidden="1">
      <c r="A458" s="14">
        <v>238</v>
      </c>
      <c r="B458" s="15" t="s">
        <v>59</v>
      </c>
      <c r="C458" s="15"/>
      <c r="D458" s="318" t="s">
        <v>920</v>
      </c>
      <c r="E458" s="146" t="s">
        <v>242</v>
      </c>
      <c r="F458" s="344" t="s">
        <v>921</v>
      </c>
      <c r="G458" s="240">
        <v>45948</v>
      </c>
      <c r="H458" s="320">
        <v>1210.06872</v>
      </c>
      <c r="I458" s="241"/>
      <c r="J458" s="241"/>
      <c r="K458" s="6">
        <f t="shared" si="190"/>
        <v>1210.06872</v>
      </c>
      <c r="L458" s="6">
        <f t="shared" si="191"/>
        <v>1210.06872</v>
      </c>
      <c r="M458" s="300" t="s">
        <v>133</v>
      </c>
      <c r="N458" s="132">
        <f t="shared" ca="1" si="192"/>
        <v>108</v>
      </c>
      <c r="O458" s="85">
        <f t="shared" si="193"/>
        <v>45901</v>
      </c>
      <c r="P458" s="131"/>
      <c r="Q458" s="131">
        <f t="shared" si="194"/>
        <v>2</v>
      </c>
      <c r="R458" s="132">
        <f t="shared" ca="1" si="195"/>
        <v>61</v>
      </c>
      <c r="S458" s="131">
        <f t="shared" si="196"/>
        <v>45916</v>
      </c>
      <c r="T458" s="133"/>
      <c r="U458" s="132">
        <f t="shared" ca="1" si="197"/>
        <v>76</v>
      </c>
      <c r="V458" s="335">
        <f t="shared" si="198"/>
        <v>32</v>
      </c>
      <c r="W458" s="131"/>
      <c r="X458" s="297"/>
    </row>
    <row r="459" spans="1:25" ht="14.5" hidden="1">
      <c r="A459" s="14">
        <v>239</v>
      </c>
      <c r="B459" s="15" t="s">
        <v>59</v>
      </c>
      <c r="C459" s="15"/>
      <c r="D459" s="318" t="s">
        <v>956</v>
      </c>
      <c r="E459" s="146" t="s">
        <v>242</v>
      </c>
      <c r="F459" s="344" t="s">
        <v>162</v>
      </c>
      <c r="G459" s="240">
        <v>45948</v>
      </c>
      <c r="H459" s="320">
        <v>258.07679999999999</v>
      </c>
      <c r="I459" s="241"/>
      <c r="J459" s="241"/>
      <c r="K459" s="6">
        <f>+H459*94%-J459</f>
        <v>242.59219199999998</v>
      </c>
      <c r="L459" s="6">
        <f t="shared" si="191"/>
        <v>258.07679999999999</v>
      </c>
      <c r="M459" s="300" t="s">
        <v>894</v>
      </c>
      <c r="N459" s="132">
        <f t="shared" ca="1" si="192"/>
        <v>108</v>
      </c>
      <c r="O459" s="85">
        <f t="shared" si="193"/>
        <v>45901</v>
      </c>
      <c r="P459" s="131"/>
      <c r="Q459" s="131">
        <f t="shared" si="194"/>
        <v>2</v>
      </c>
      <c r="R459" s="132">
        <f t="shared" ca="1" si="195"/>
        <v>61</v>
      </c>
      <c r="S459" s="131">
        <f t="shared" si="196"/>
        <v>45916</v>
      </c>
      <c r="T459" s="133"/>
      <c r="U459" s="132">
        <f t="shared" ca="1" si="197"/>
        <v>76</v>
      </c>
      <c r="V459" s="335">
        <f t="shared" si="198"/>
        <v>32</v>
      </c>
      <c r="W459" s="131"/>
      <c r="X459" s="297"/>
      <c r="Y459" s="200"/>
    </row>
    <row r="460" spans="1:25" ht="14.5" hidden="1">
      <c r="A460" s="14">
        <v>239</v>
      </c>
      <c r="B460" s="15" t="s">
        <v>59</v>
      </c>
      <c r="C460" s="15"/>
      <c r="D460" s="318" t="s">
        <v>391</v>
      </c>
      <c r="E460" s="146" t="s">
        <v>392</v>
      </c>
      <c r="F460" s="344" t="s">
        <v>393</v>
      </c>
      <c r="G460" s="240">
        <v>45948</v>
      </c>
      <c r="H460" s="320">
        <v>178.04579999999999</v>
      </c>
      <c r="I460" s="241"/>
      <c r="J460" s="241"/>
      <c r="K460" s="6">
        <f t="shared" si="190"/>
        <v>178.04579999999999</v>
      </c>
      <c r="L460" s="6">
        <f t="shared" si="191"/>
        <v>178.04579999999999</v>
      </c>
      <c r="M460" s="300" t="s">
        <v>853</v>
      </c>
      <c r="N460" s="132">
        <f t="shared" ca="1" si="192"/>
        <v>108</v>
      </c>
      <c r="O460" s="85">
        <f t="shared" si="193"/>
        <v>45901</v>
      </c>
      <c r="P460" s="131"/>
      <c r="Q460" s="131">
        <f t="shared" si="194"/>
        <v>2</v>
      </c>
      <c r="R460" s="132">
        <f t="shared" ca="1" si="195"/>
        <v>61</v>
      </c>
      <c r="S460" s="131">
        <f t="shared" si="196"/>
        <v>45916</v>
      </c>
      <c r="T460" s="133"/>
      <c r="U460" s="132">
        <f t="shared" ca="1" si="197"/>
        <v>76</v>
      </c>
      <c r="V460" s="335">
        <f t="shared" si="198"/>
        <v>32</v>
      </c>
      <c r="W460" s="131"/>
      <c r="X460" s="297"/>
      <c r="Y460" s="200"/>
    </row>
    <row r="461" spans="1:25" ht="14.5" hidden="1">
      <c r="A461" s="14">
        <v>239</v>
      </c>
      <c r="B461" s="15" t="s">
        <v>59</v>
      </c>
      <c r="C461" s="15"/>
      <c r="D461" s="318" t="s">
        <v>901</v>
      </c>
      <c r="E461" s="146" t="s">
        <v>242</v>
      </c>
      <c r="F461" s="344" t="s">
        <v>244</v>
      </c>
      <c r="G461" s="240">
        <v>45948</v>
      </c>
      <c r="H461" s="320">
        <v>367.09199999999998</v>
      </c>
      <c r="I461" s="241"/>
      <c r="J461" s="241"/>
      <c r="K461" s="6">
        <f t="shared" si="190"/>
        <v>367.09199999999998</v>
      </c>
      <c r="L461" s="6">
        <f t="shared" si="191"/>
        <v>367.09199999999998</v>
      </c>
      <c r="M461" s="300" t="s">
        <v>133</v>
      </c>
      <c r="N461" s="132">
        <f t="shared" ca="1" si="192"/>
        <v>108</v>
      </c>
      <c r="O461" s="85">
        <f t="shared" si="193"/>
        <v>45901</v>
      </c>
      <c r="P461" s="131"/>
      <c r="Q461" s="131">
        <f t="shared" si="194"/>
        <v>2</v>
      </c>
      <c r="R461" s="132">
        <f t="shared" ca="1" si="195"/>
        <v>61</v>
      </c>
      <c r="S461" s="131">
        <f t="shared" si="196"/>
        <v>45916</v>
      </c>
      <c r="T461" s="133"/>
      <c r="U461" s="132">
        <f t="shared" ca="1" si="197"/>
        <v>76</v>
      </c>
      <c r="V461" s="335">
        <f t="shared" si="198"/>
        <v>32</v>
      </c>
      <c r="W461" s="131"/>
      <c r="X461" s="297"/>
    </row>
    <row r="462" spans="1:25" ht="14.5" hidden="1">
      <c r="A462" s="14">
        <v>239</v>
      </c>
      <c r="B462" s="15" t="s">
        <v>59</v>
      </c>
      <c r="C462" s="15"/>
      <c r="D462" s="318" t="s">
        <v>920</v>
      </c>
      <c r="E462" s="146" t="s">
        <v>242</v>
      </c>
      <c r="F462" s="344" t="s">
        <v>919</v>
      </c>
      <c r="G462" s="240">
        <v>45948</v>
      </c>
      <c r="H462" s="320">
        <v>446.96232000000003</v>
      </c>
      <c r="I462" s="241"/>
      <c r="J462" s="241"/>
      <c r="K462" s="6">
        <f t="shared" si="190"/>
        <v>446.96232000000003</v>
      </c>
      <c r="L462" s="6">
        <f t="shared" si="191"/>
        <v>446.96232000000003</v>
      </c>
      <c r="M462" s="300" t="s">
        <v>133</v>
      </c>
      <c r="N462" s="132">
        <f t="shared" ca="1" si="192"/>
        <v>108</v>
      </c>
      <c r="O462" s="85">
        <f t="shared" si="193"/>
        <v>45901</v>
      </c>
      <c r="P462" s="131"/>
      <c r="Q462" s="131">
        <f t="shared" si="194"/>
        <v>2</v>
      </c>
      <c r="R462" s="132">
        <f t="shared" ca="1" si="195"/>
        <v>61</v>
      </c>
      <c r="S462" s="131">
        <f t="shared" si="196"/>
        <v>45916</v>
      </c>
      <c r="T462" s="133"/>
      <c r="U462" s="132">
        <f t="shared" ca="1" si="197"/>
        <v>76</v>
      </c>
      <c r="V462" s="335">
        <f t="shared" si="198"/>
        <v>32</v>
      </c>
      <c r="W462" s="131"/>
      <c r="X462" s="297"/>
    </row>
    <row r="463" spans="1:25" ht="14.5" hidden="1">
      <c r="A463" s="14">
        <v>239</v>
      </c>
      <c r="B463" s="15" t="s">
        <v>59</v>
      </c>
      <c r="C463" s="15"/>
      <c r="D463" s="318" t="s">
        <v>920</v>
      </c>
      <c r="E463" s="146" t="s">
        <v>242</v>
      </c>
      <c r="F463" s="344" t="s">
        <v>921</v>
      </c>
      <c r="G463" s="240">
        <v>45948</v>
      </c>
      <c r="H463" s="320">
        <v>446.96232000000003</v>
      </c>
      <c r="I463" s="241"/>
      <c r="J463" s="241"/>
      <c r="K463" s="6">
        <f t="shared" si="190"/>
        <v>446.96232000000003</v>
      </c>
      <c r="L463" s="6">
        <f t="shared" si="191"/>
        <v>446.96232000000003</v>
      </c>
      <c r="M463" s="300" t="s">
        <v>133</v>
      </c>
      <c r="N463" s="132">
        <f t="shared" ca="1" si="192"/>
        <v>108</v>
      </c>
      <c r="O463" s="85">
        <f t="shared" si="193"/>
        <v>45901</v>
      </c>
      <c r="P463" s="131"/>
      <c r="Q463" s="131">
        <f t="shared" si="194"/>
        <v>2</v>
      </c>
      <c r="R463" s="132">
        <f t="shared" ca="1" si="195"/>
        <v>61</v>
      </c>
      <c r="S463" s="131">
        <f t="shared" si="196"/>
        <v>45916</v>
      </c>
      <c r="T463" s="133"/>
      <c r="U463" s="132">
        <f t="shared" ca="1" si="197"/>
        <v>76</v>
      </c>
      <c r="V463" s="335">
        <f t="shared" si="198"/>
        <v>32</v>
      </c>
      <c r="W463" s="131"/>
      <c r="X463" s="297"/>
    </row>
    <row r="464" spans="1:25" ht="14.5" hidden="1">
      <c r="A464" s="14">
        <v>240</v>
      </c>
      <c r="B464" s="15" t="s">
        <v>59</v>
      </c>
      <c r="C464" s="15"/>
      <c r="D464" s="318" t="s">
        <v>193</v>
      </c>
      <c r="E464" s="146" t="s">
        <v>249</v>
      </c>
      <c r="F464" s="344" t="s">
        <v>162</v>
      </c>
      <c r="G464" s="240">
        <v>45961</v>
      </c>
      <c r="H464" s="320">
        <v>3253.7700000000004</v>
      </c>
      <c r="I464" s="241"/>
      <c r="J464" s="241"/>
      <c r="K464" s="6">
        <f t="shared" si="190"/>
        <v>3253.7700000000004</v>
      </c>
      <c r="L464" s="6">
        <f t="shared" si="191"/>
        <v>3253.7700000000004</v>
      </c>
      <c r="M464" s="300" t="s">
        <v>133</v>
      </c>
      <c r="N464" s="132">
        <f t="shared" ca="1" si="192"/>
        <v>121</v>
      </c>
      <c r="O464" s="85">
        <f t="shared" si="193"/>
        <v>45914</v>
      </c>
      <c r="P464" s="131"/>
      <c r="Q464" s="131">
        <f t="shared" si="194"/>
        <v>2</v>
      </c>
      <c r="R464" s="132">
        <f t="shared" ca="1" si="195"/>
        <v>74</v>
      </c>
      <c r="S464" s="131">
        <f t="shared" si="196"/>
        <v>45929</v>
      </c>
      <c r="T464" s="133"/>
      <c r="U464" s="132">
        <f t="shared" ca="1" si="197"/>
        <v>89</v>
      </c>
      <c r="V464" s="335">
        <f t="shared" si="198"/>
        <v>32</v>
      </c>
      <c r="W464" s="131"/>
      <c r="X464" s="297"/>
    </row>
    <row r="465" spans="1:25" ht="14.5">
      <c r="A465" s="14">
        <v>240</v>
      </c>
      <c r="B465" s="15" t="s">
        <v>59</v>
      </c>
      <c r="C465" s="15"/>
      <c r="D465" s="318" t="s">
        <v>201</v>
      </c>
      <c r="E465" s="146" t="s">
        <v>247</v>
      </c>
      <c r="F465" s="344" t="s">
        <v>155</v>
      </c>
      <c r="G465" s="240">
        <v>45961</v>
      </c>
      <c r="H465" s="320">
        <v>2720.1887999999999</v>
      </c>
      <c r="I465" s="241"/>
      <c r="J465" s="241"/>
      <c r="K465" s="6">
        <f>+H465*94%-J465</f>
        <v>2556.9774719999996</v>
      </c>
      <c r="L465" s="6">
        <f t="shared" si="191"/>
        <v>2720.1887999999999</v>
      </c>
      <c r="M465" s="300" t="s">
        <v>955</v>
      </c>
      <c r="N465" s="132">
        <f t="shared" ca="1" si="192"/>
        <v>121</v>
      </c>
      <c r="O465" s="85">
        <f t="shared" si="193"/>
        <v>45914</v>
      </c>
      <c r="P465" s="131"/>
      <c r="Q465" s="131">
        <f t="shared" si="194"/>
        <v>2</v>
      </c>
      <c r="R465" s="132">
        <f t="shared" ca="1" si="195"/>
        <v>74</v>
      </c>
      <c r="S465" s="131">
        <f t="shared" si="196"/>
        <v>45929</v>
      </c>
      <c r="T465" s="133"/>
      <c r="U465" s="132">
        <f t="shared" ca="1" si="197"/>
        <v>89</v>
      </c>
      <c r="V465" s="335">
        <f t="shared" si="198"/>
        <v>32</v>
      </c>
      <c r="W465" s="131"/>
      <c r="X465" s="297"/>
    </row>
    <row r="466" spans="1:25" ht="14.5" hidden="1">
      <c r="A466" s="14">
        <v>240</v>
      </c>
      <c r="B466" s="15" t="s">
        <v>59</v>
      </c>
      <c r="C466" s="15"/>
      <c r="D466" s="318" t="s">
        <v>956</v>
      </c>
      <c r="E466" s="146" t="s">
        <v>242</v>
      </c>
      <c r="F466" s="344" t="s">
        <v>162</v>
      </c>
      <c r="G466" s="240">
        <v>45961</v>
      </c>
      <c r="H466" s="320">
        <v>662.99040000000002</v>
      </c>
      <c r="I466" s="241"/>
      <c r="J466" s="241"/>
      <c r="K466" s="6">
        <f>+H466*94%-J466</f>
        <v>623.21097599999996</v>
      </c>
      <c r="L466" s="6">
        <f t="shared" ref="L466:L479" si="199">+H466-I466</f>
        <v>662.99040000000002</v>
      </c>
      <c r="M466" s="300" t="s">
        <v>894</v>
      </c>
      <c r="N466" s="132">
        <f t="shared" ref="N466:N479" ca="1" si="200">G466-TODAY()</f>
        <v>121</v>
      </c>
      <c r="O466" s="85">
        <f t="shared" ref="O466:O479" si="201">S466-15</f>
        <v>45914</v>
      </c>
      <c r="P466" s="131"/>
      <c r="Q466" s="131">
        <f t="shared" ref="Q466:Q479" si="202">P466+2</f>
        <v>2</v>
      </c>
      <c r="R466" s="132">
        <f t="shared" ref="R466:R479" ca="1" si="203">+IF(P466="",O466-TODAY(),O466-P466)</f>
        <v>74</v>
      </c>
      <c r="S466" s="131">
        <f t="shared" ref="S466:S479" si="204">G466-32</f>
        <v>45929</v>
      </c>
      <c r="T466" s="133"/>
      <c r="U466" s="132">
        <f t="shared" ref="U466:U479" ca="1" si="205">+IF(T466="",S466-TODAY(),S466-T466)</f>
        <v>89</v>
      </c>
      <c r="V466" s="335">
        <f t="shared" ref="V466:V479" si="206">G466-S466</f>
        <v>32</v>
      </c>
      <c r="W466" s="131"/>
      <c r="X466" s="297"/>
      <c r="Y466" s="200"/>
    </row>
    <row r="467" spans="1:25" ht="14.5" hidden="1">
      <c r="A467" s="14">
        <v>240</v>
      </c>
      <c r="B467" s="15" t="s">
        <v>59</v>
      </c>
      <c r="C467" s="15"/>
      <c r="D467" s="318" t="s">
        <v>189</v>
      </c>
      <c r="E467" s="146" t="s">
        <v>242</v>
      </c>
      <c r="F467" s="344" t="s">
        <v>90</v>
      </c>
      <c r="G467" s="240">
        <v>45961</v>
      </c>
      <c r="H467" s="320">
        <v>101.89584000000001</v>
      </c>
      <c r="I467" s="241"/>
      <c r="J467" s="241"/>
      <c r="K467" s="6">
        <f t="shared" ref="K467:K479" si="207">+H467-J467</f>
        <v>101.89584000000001</v>
      </c>
      <c r="L467" s="6">
        <f t="shared" si="199"/>
        <v>101.89584000000001</v>
      </c>
      <c r="M467" s="300" t="s">
        <v>389</v>
      </c>
      <c r="N467" s="132">
        <f t="shared" ca="1" si="200"/>
        <v>121</v>
      </c>
      <c r="O467" s="85">
        <f t="shared" si="201"/>
        <v>45914</v>
      </c>
      <c r="P467" s="131"/>
      <c r="Q467" s="131">
        <f t="shared" si="202"/>
        <v>2</v>
      </c>
      <c r="R467" s="132">
        <f t="shared" ca="1" si="203"/>
        <v>74</v>
      </c>
      <c r="S467" s="131">
        <f t="shared" si="204"/>
        <v>45929</v>
      </c>
      <c r="T467" s="133"/>
      <c r="U467" s="132">
        <f t="shared" ca="1" si="205"/>
        <v>89</v>
      </c>
      <c r="V467" s="335">
        <f t="shared" si="206"/>
        <v>32</v>
      </c>
      <c r="W467" s="131"/>
      <c r="X467" s="297"/>
    </row>
    <row r="468" spans="1:25" ht="14.5" hidden="1">
      <c r="A468" s="14">
        <v>240</v>
      </c>
      <c r="B468" s="15" t="s">
        <v>59</v>
      </c>
      <c r="C468" s="15"/>
      <c r="D468" s="318" t="s">
        <v>391</v>
      </c>
      <c r="E468" s="146" t="s">
        <v>392</v>
      </c>
      <c r="F468" s="344" t="s">
        <v>393</v>
      </c>
      <c r="G468" s="240">
        <v>45961</v>
      </c>
      <c r="H468" s="320">
        <v>63.7776</v>
      </c>
      <c r="I468" s="241"/>
      <c r="J468" s="241"/>
      <c r="K468" s="6">
        <f t="shared" si="207"/>
        <v>63.7776</v>
      </c>
      <c r="L468" s="6">
        <f t="shared" si="199"/>
        <v>63.7776</v>
      </c>
      <c r="M468" s="300" t="s">
        <v>853</v>
      </c>
      <c r="N468" s="132">
        <f t="shared" ca="1" si="200"/>
        <v>121</v>
      </c>
      <c r="O468" s="85">
        <f t="shared" si="201"/>
        <v>45914</v>
      </c>
      <c r="P468" s="131"/>
      <c r="Q468" s="131">
        <f t="shared" si="202"/>
        <v>2</v>
      </c>
      <c r="R468" s="132">
        <f t="shared" ca="1" si="203"/>
        <v>74</v>
      </c>
      <c r="S468" s="131">
        <f t="shared" si="204"/>
        <v>45929</v>
      </c>
      <c r="T468" s="133"/>
      <c r="U468" s="132">
        <f t="shared" ca="1" si="205"/>
        <v>89</v>
      </c>
      <c r="V468" s="335">
        <f t="shared" si="206"/>
        <v>32</v>
      </c>
      <c r="W468" s="131"/>
      <c r="X468" s="297"/>
      <c r="Y468" s="200"/>
    </row>
    <row r="469" spans="1:25" ht="14.5" hidden="1">
      <c r="A469" s="14">
        <v>241</v>
      </c>
      <c r="B469" s="15" t="s">
        <v>59</v>
      </c>
      <c r="C469" s="15"/>
      <c r="D469" s="318" t="s">
        <v>248</v>
      </c>
      <c r="E469" s="146" t="s">
        <v>270</v>
      </c>
      <c r="F469" s="344" t="s">
        <v>162</v>
      </c>
      <c r="G469" s="240">
        <v>45975</v>
      </c>
      <c r="H469" s="320">
        <v>3650.9400599999999</v>
      </c>
      <c r="I469" s="241"/>
      <c r="J469" s="241"/>
      <c r="K469" s="6">
        <f t="shared" si="207"/>
        <v>3650.9400599999999</v>
      </c>
      <c r="L469" s="6">
        <f t="shared" si="199"/>
        <v>3650.9400599999999</v>
      </c>
      <c r="M469" s="300" t="s">
        <v>133</v>
      </c>
      <c r="N469" s="132">
        <f t="shared" ca="1" si="200"/>
        <v>135</v>
      </c>
      <c r="O469" s="85">
        <f t="shared" si="201"/>
        <v>45928</v>
      </c>
      <c r="P469" s="131"/>
      <c r="Q469" s="131">
        <f t="shared" si="202"/>
        <v>2</v>
      </c>
      <c r="R469" s="132">
        <f t="shared" ca="1" si="203"/>
        <v>88</v>
      </c>
      <c r="S469" s="131">
        <f t="shared" si="204"/>
        <v>45943</v>
      </c>
      <c r="T469" s="133"/>
      <c r="U469" s="132">
        <f t="shared" ca="1" si="205"/>
        <v>103</v>
      </c>
      <c r="V469" s="335">
        <f t="shared" si="206"/>
        <v>32</v>
      </c>
      <c r="W469" s="131"/>
      <c r="X469" s="297"/>
    </row>
    <row r="470" spans="1:25" ht="14.5" hidden="1">
      <c r="A470" s="14">
        <v>241</v>
      </c>
      <c r="B470" s="15" t="s">
        <v>59</v>
      </c>
      <c r="C470" s="15"/>
      <c r="D470" s="318" t="s">
        <v>391</v>
      </c>
      <c r="E470" s="146" t="s">
        <v>392</v>
      </c>
      <c r="F470" s="344" t="s">
        <v>393</v>
      </c>
      <c r="G470" s="240">
        <v>45975</v>
      </c>
      <c r="H470" s="320">
        <v>637.77599999999995</v>
      </c>
      <c r="I470" s="241"/>
      <c r="J470" s="241"/>
      <c r="K470" s="6">
        <f t="shared" si="207"/>
        <v>637.77599999999995</v>
      </c>
      <c r="L470" s="6">
        <f t="shared" si="199"/>
        <v>637.77599999999995</v>
      </c>
      <c r="M470" s="300" t="s">
        <v>853</v>
      </c>
      <c r="N470" s="132">
        <f t="shared" ca="1" si="200"/>
        <v>135</v>
      </c>
      <c r="O470" s="85">
        <f t="shared" si="201"/>
        <v>45928</v>
      </c>
      <c r="P470" s="131"/>
      <c r="Q470" s="131">
        <f t="shared" si="202"/>
        <v>2</v>
      </c>
      <c r="R470" s="132">
        <f t="shared" ca="1" si="203"/>
        <v>88</v>
      </c>
      <c r="S470" s="131">
        <f t="shared" si="204"/>
        <v>45943</v>
      </c>
      <c r="T470" s="133"/>
      <c r="U470" s="132">
        <f t="shared" ca="1" si="205"/>
        <v>103</v>
      </c>
      <c r="V470" s="335">
        <f t="shared" si="206"/>
        <v>32</v>
      </c>
      <c r="W470" s="131"/>
      <c r="X470" s="297"/>
      <c r="Y470" s="200"/>
    </row>
    <row r="471" spans="1:25" ht="14.5" hidden="1">
      <c r="A471" s="14">
        <v>241</v>
      </c>
      <c r="B471" s="15" t="s">
        <v>59</v>
      </c>
      <c r="C471" s="15"/>
      <c r="D471" s="318" t="s">
        <v>920</v>
      </c>
      <c r="E471" s="146" t="s">
        <v>242</v>
      </c>
      <c r="F471" s="344" t="s">
        <v>919</v>
      </c>
      <c r="G471" s="240">
        <v>45975</v>
      </c>
      <c r="H471" s="320">
        <v>381.55320000000006</v>
      </c>
      <c r="I471" s="241"/>
      <c r="J471" s="241"/>
      <c r="K471" s="6">
        <f t="shared" si="207"/>
        <v>381.55320000000006</v>
      </c>
      <c r="L471" s="6">
        <f t="shared" si="199"/>
        <v>381.55320000000006</v>
      </c>
      <c r="M471" s="300" t="s">
        <v>133</v>
      </c>
      <c r="N471" s="132">
        <f t="shared" ca="1" si="200"/>
        <v>135</v>
      </c>
      <c r="O471" s="85">
        <f t="shared" si="201"/>
        <v>45928</v>
      </c>
      <c r="P471" s="131"/>
      <c r="Q471" s="131">
        <f t="shared" si="202"/>
        <v>2</v>
      </c>
      <c r="R471" s="132">
        <f t="shared" ca="1" si="203"/>
        <v>88</v>
      </c>
      <c r="S471" s="131">
        <f t="shared" si="204"/>
        <v>45943</v>
      </c>
      <c r="T471" s="133"/>
      <c r="U471" s="132">
        <f t="shared" ca="1" si="205"/>
        <v>103</v>
      </c>
      <c r="V471" s="335">
        <f t="shared" si="206"/>
        <v>32</v>
      </c>
      <c r="W471" s="131"/>
      <c r="X471" s="297"/>
    </row>
    <row r="472" spans="1:25" ht="14.5" hidden="1">
      <c r="A472" s="14">
        <v>242</v>
      </c>
      <c r="B472" s="15" t="s">
        <v>59</v>
      </c>
      <c r="C472" s="15"/>
      <c r="D472" s="318" t="s">
        <v>956</v>
      </c>
      <c r="E472" s="146" t="s">
        <v>242</v>
      </c>
      <c r="F472" s="344" t="s">
        <v>162</v>
      </c>
      <c r="G472" s="240">
        <v>45905</v>
      </c>
      <c r="H472" s="320">
        <v>1866.6</v>
      </c>
      <c r="I472" s="241"/>
      <c r="J472" s="241"/>
      <c r="K472" s="6">
        <f t="shared" ref="K472:K473" si="208">+H472*94%-J472</f>
        <v>1754.6039999999998</v>
      </c>
      <c r="L472" s="6">
        <f t="shared" si="199"/>
        <v>1866.6</v>
      </c>
      <c r="M472" s="300" t="s">
        <v>894</v>
      </c>
      <c r="N472" s="132">
        <f t="shared" ca="1" si="200"/>
        <v>65</v>
      </c>
      <c r="O472" s="85">
        <f t="shared" si="201"/>
        <v>45858</v>
      </c>
      <c r="P472" s="131"/>
      <c r="Q472" s="131">
        <f t="shared" si="202"/>
        <v>2</v>
      </c>
      <c r="R472" s="132">
        <f t="shared" ca="1" si="203"/>
        <v>18</v>
      </c>
      <c r="S472" s="131">
        <f t="shared" si="204"/>
        <v>45873</v>
      </c>
      <c r="T472" s="133"/>
      <c r="U472" s="132">
        <f t="shared" ca="1" si="205"/>
        <v>33</v>
      </c>
      <c r="V472" s="335">
        <f t="shared" si="206"/>
        <v>32</v>
      </c>
      <c r="W472" s="131"/>
      <c r="X472" s="297"/>
      <c r="Y472" s="200"/>
    </row>
    <row r="473" spans="1:25" ht="14.5" hidden="1">
      <c r="A473" s="14">
        <v>243</v>
      </c>
      <c r="B473" s="15" t="s">
        <v>59</v>
      </c>
      <c r="C473" s="15"/>
      <c r="D473" s="318" t="s">
        <v>956</v>
      </c>
      <c r="E473" s="146" t="s">
        <v>242</v>
      </c>
      <c r="F473" s="344" t="s">
        <v>162</v>
      </c>
      <c r="G473" s="240">
        <v>45905</v>
      </c>
      <c r="H473" s="320">
        <v>1866.6</v>
      </c>
      <c r="I473" s="241"/>
      <c r="J473" s="241"/>
      <c r="K473" s="6">
        <f t="shared" si="208"/>
        <v>1754.6039999999998</v>
      </c>
      <c r="L473" s="6">
        <f t="shared" si="199"/>
        <v>1866.6</v>
      </c>
      <c r="M473" s="300" t="s">
        <v>894</v>
      </c>
      <c r="N473" s="132">
        <f t="shared" ca="1" si="200"/>
        <v>65</v>
      </c>
      <c r="O473" s="85">
        <f t="shared" si="201"/>
        <v>45858</v>
      </c>
      <c r="P473" s="131"/>
      <c r="Q473" s="131">
        <f t="shared" si="202"/>
        <v>2</v>
      </c>
      <c r="R473" s="132">
        <f t="shared" ca="1" si="203"/>
        <v>18</v>
      </c>
      <c r="S473" s="131">
        <f t="shared" si="204"/>
        <v>45873</v>
      </c>
      <c r="T473" s="133"/>
      <c r="U473" s="132">
        <f t="shared" ca="1" si="205"/>
        <v>33</v>
      </c>
      <c r="V473" s="335">
        <f t="shared" si="206"/>
        <v>32</v>
      </c>
      <c r="W473" s="131"/>
      <c r="X473" s="297"/>
      <c r="Y473" s="200"/>
    </row>
    <row r="474" spans="1:25" ht="14.5" hidden="1">
      <c r="A474" s="14"/>
      <c r="B474" s="15"/>
      <c r="C474" s="15"/>
      <c r="D474" s="318"/>
      <c r="E474" s="146"/>
      <c r="F474" s="14"/>
      <c r="G474" s="240"/>
      <c r="H474" s="320"/>
      <c r="I474" s="241"/>
      <c r="J474" s="241"/>
      <c r="K474" s="6">
        <f t="shared" si="207"/>
        <v>0</v>
      </c>
      <c r="L474" s="6">
        <f t="shared" si="199"/>
        <v>0</v>
      </c>
      <c r="M474" s="300"/>
      <c r="N474" s="132">
        <f t="shared" ca="1" si="200"/>
        <v>-45840</v>
      </c>
      <c r="O474" s="85">
        <f t="shared" si="201"/>
        <v>-47</v>
      </c>
      <c r="P474" s="131"/>
      <c r="Q474" s="131">
        <f t="shared" si="202"/>
        <v>2</v>
      </c>
      <c r="R474" s="132">
        <f t="shared" ca="1" si="203"/>
        <v>-45887</v>
      </c>
      <c r="S474" s="131">
        <f t="shared" si="204"/>
        <v>-32</v>
      </c>
      <c r="T474" s="133"/>
      <c r="U474" s="132">
        <f t="shared" ca="1" si="205"/>
        <v>-45872</v>
      </c>
      <c r="V474" s="335">
        <f t="shared" si="206"/>
        <v>32</v>
      </c>
      <c r="W474" s="131"/>
      <c r="X474" s="297"/>
    </row>
    <row r="475" spans="1:25" ht="14.5" hidden="1">
      <c r="A475" s="14"/>
      <c r="B475" s="15"/>
      <c r="C475" s="15"/>
      <c r="D475" s="318"/>
      <c r="E475" s="146"/>
      <c r="F475" s="14"/>
      <c r="G475" s="240"/>
      <c r="H475" s="320"/>
      <c r="I475" s="241"/>
      <c r="J475" s="241"/>
      <c r="K475" s="6">
        <f t="shared" si="207"/>
        <v>0</v>
      </c>
      <c r="L475" s="6">
        <f t="shared" si="199"/>
        <v>0</v>
      </c>
      <c r="M475" s="300"/>
      <c r="N475" s="132">
        <f t="shared" ca="1" si="200"/>
        <v>-45840</v>
      </c>
      <c r="O475" s="85">
        <f t="shared" si="201"/>
        <v>-47</v>
      </c>
      <c r="P475" s="131"/>
      <c r="Q475" s="131">
        <f t="shared" si="202"/>
        <v>2</v>
      </c>
      <c r="R475" s="132">
        <f t="shared" ca="1" si="203"/>
        <v>-45887</v>
      </c>
      <c r="S475" s="131">
        <f t="shared" si="204"/>
        <v>-32</v>
      </c>
      <c r="T475" s="133"/>
      <c r="U475" s="132">
        <f t="shared" ca="1" si="205"/>
        <v>-45872</v>
      </c>
      <c r="V475" s="335">
        <f t="shared" si="206"/>
        <v>32</v>
      </c>
      <c r="W475" s="131"/>
      <c r="X475" s="297"/>
    </row>
    <row r="476" spans="1:25" ht="14.5" hidden="1">
      <c r="A476" s="14"/>
      <c r="B476" s="15"/>
      <c r="C476" s="15"/>
      <c r="D476" s="318"/>
      <c r="E476" s="146"/>
      <c r="F476" s="14"/>
      <c r="G476" s="240"/>
      <c r="H476" s="320"/>
      <c r="I476" s="241"/>
      <c r="J476" s="241"/>
      <c r="K476" s="6">
        <f t="shared" si="207"/>
        <v>0</v>
      </c>
      <c r="L476" s="6">
        <f t="shared" si="199"/>
        <v>0</v>
      </c>
      <c r="M476" s="300"/>
      <c r="N476" s="132">
        <f t="shared" ca="1" si="200"/>
        <v>-45840</v>
      </c>
      <c r="O476" s="85">
        <f t="shared" si="201"/>
        <v>-47</v>
      </c>
      <c r="P476" s="131"/>
      <c r="Q476" s="131">
        <f t="shared" si="202"/>
        <v>2</v>
      </c>
      <c r="R476" s="132">
        <f t="shared" ca="1" si="203"/>
        <v>-45887</v>
      </c>
      <c r="S476" s="131">
        <f t="shared" si="204"/>
        <v>-32</v>
      </c>
      <c r="T476" s="133"/>
      <c r="U476" s="132">
        <f t="shared" ca="1" si="205"/>
        <v>-45872</v>
      </c>
      <c r="V476" s="335">
        <f t="shared" si="206"/>
        <v>32</v>
      </c>
      <c r="W476" s="131"/>
      <c r="X476" s="297"/>
    </row>
    <row r="477" spans="1:25" ht="14.5" hidden="1">
      <c r="A477" s="14"/>
      <c r="B477" s="15"/>
      <c r="C477" s="15"/>
      <c r="D477" s="318"/>
      <c r="E477" s="146"/>
      <c r="F477" s="14"/>
      <c r="G477" s="240"/>
      <c r="H477" s="320"/>
      <c r="I477" s="241"/>
      <c r="J477" s="241"/>
      <c r="K477" s="6">
        <f t="shared" si="207"/>
        <v>0</v>
      </c>
      <c r="L477" s="6">
        <f t="shared" si="199"/>
        <v>0</v>
      </c>
      <c r="M477" s="300"/>
      <c r="N477" s="132">
        <f t="shared" ca="1" si="200"/>
        <v>-45840</v>
      </c>
      <c r="O477" s="85">
        <f t="shared" si="201"/>
        <v>-47</v>
      </c>
      <c r="P477" s="131"/>
      <c r="Q477" s="131">
        <f t="shared" si="202"/>
        <v>2</v>
      </c>
      <c r="R477" s="132">
        <f t="shared" ca="1" si="203"/>
        <v>-45887</v>
      </c>
      <c r="S477" s="131">
        <f t="shared" si="204"/>
        <v>-32</v>
      </c>
      <c r="T477" s="133"/>
      <c r="U477" s="132">
        <f t="shared" ca="1" si="205"/>
        <v>-45872</v>
      </c>
      <c r="V477" s="335">
        <f t="shared" si="206"/>
        <v>32</v>
      </c>
      <c r="W477" s="131"/>
      <c r="X477" s="297"/>
    </row>
    <row r="478" spans="1:25" ht="14.5" hidden="1">
      <c r="A478" s="14"/>
      <c r="B478" s="15"/>
      <c r="C478" s="15"/>
      <c r="D478" s="318"/>
      <c r="E478" s="146"/>
      <c r="F478" s="14"/>
      <c r="G478" s="240"/>
      <c r="H478" s="320"/>
      <c r="I478" s="241"/>
      <c r="J478" s="241"/>
      <c r="K478" s="6">
        <f t="shared" si="207"/>
        <v>0</v>
      </c>
      <c r="L478" s="6">
        <f t="shared" si="199"/>
        <v>0</v>
      </c>
      <c r="M478" s="300"/>
      <c r="N478" s="132">
        <f t="shared" ca="1" si="200"/>
        <v>-45840</v>
      </c>
      <c r="O478" s="85">
        <f t="shared" si="201"/>
        <v>-47</v>
      </c>
      <c r="P478" s="131"/>
      <c r="Q478" s="131">
        <f t="shared" si="202"/>
        <v>2</v>
      </c>
      <c r="R478" s="132">
        <f t="shared" ca="1" si="203"/>
        <v>-45887</v>
      </c>
      <c r="S478" s="131">
        <f t="shared" si="204"/>
        <v>-32</v>
      </c>
      <c r="T478" s="133"/>
      <c r="U478" s="132">
        <f t="shared" ca="1" si="205"/>
        <v>-45872</v>
      </c>
      <c r="V478" s="335">
        <f t="shared" si="206"/>
        <v>32</v>
      </c>
      <c r="W478" s="131"/>
      <c r="X478" s="297"/>
    </row>
    <row r="479" spans="1:25" ht="14.5" hidden="1">
      <c r="A479" s="14"/>
      <c r="B479" s="15"/>
      <c r="C479" s="15"/>
      <c r="D479" s="318"/>
      <c r="E479" s="146"/>
      <c r="F479" s="14"/>
      <c r="G479" s="240"/>
      <c r="H479" s="320"/>
      <c r="I479" s="241"/>
      <c r="J479" s="241"/>
      <c r="K479" s="6">
        <f t="shared" si="207"/>
        <v>0</v>
      </c>
      <c r="L479" s="6">
        <f t="shared" si="199"/>
        <v>0</v>
      </c>
      <c r="M479" s="300"/>
      <c r="N479" s="132">
        <f t="shared" ca="1" si="200"/>
        <v>-45840</v>
      </c>
      <c r="O479" s="85">
        <f t="shared" si="201"/>
        <v>-47</v>
      </c>
      <c r="P479" s="131"/>
      <c r="Q479" s="131">
        <f t="shared" si="202"/>
        <v>2</v>
      </c>
      <c r="R479" s="132">
        <f t="shared" ca="1" si="203"/>
        <v>-45887</v>
      </c>
      <c r="S479" s="131">
        <f t="shared" si="204"/>
        <v>-32</v>
      </c>
      <c r="T479" s="133"/>
      <c r="U479" s="132">
        <f t="shared" ca="1" si="205"/>
        <v>-45872</v>
      </c>
      <c r="V479" s="335">
        <f t="shared" si="206"/>
        <v>32</v>
      </c>
      <c r="W479" s="131"/>
      <c r="X479" s="297"/>
    </row>
  </sheetData>
  <autoFilter ref="A2:Y479">
    <filterColumn colId="1">
      <filters>
        <filter val="JYSK"/>
      </filters>
    </filterColumn>
    <filterColumn colId="3">
      <filters>
        <filter val="Sandarve"/>
      </filters>
    </filterColumn>
    <filterColumn colId="19">
      <filters blank="1"/>
    </filterColumn>
  </autoFilter>
  <mergeCells count="5">
    <mergeCell ref="O1:R1"/>
    <mergeCell ref="S1:U1"/>
    <mergeCell ref="W1:X1"/>
    <mergeCell ref="V1:V2"/>
    <mergeCell ref="N1:N2"/>
  </mergeCells>
  <conditionalFormatting sqref="A3:J12 L3:X12 N13:X48 A13:H223 I13:J302 L16:M58 V49:V125 W50:X397 L80:L85 N82:S82 D226:D243 F226:G243 H226:H302 A226:C479 H303:J479 L398:X479">
    <cfRule type="expression" dxfId="92" priority="317">
      <formula>ROW()=CELL("row")</formula>
    </cfRule>
  </conditionalFormatting>
  <conditionalFormatting sqref="D244:G424 D425:F431 D432:G479">
    <cfRule type="expression" dxfId="91" priority="13">
      <formula>ROW()=CELL("row")</formula>
    </cfRule>
  </conditionalFormatting>
  <conditionalFormatting sqref="E224:E243">
    <cfRule type="expression" dxfId="90" priority="245">
      <formula>ROW()=CELL("row")</formula>
    </cfRule>
  </conditionalFormatting>
  <conditionalFormatting sqref="G425:G432">
    <cfRule type="expression" dxfId="89" priority="12">
      <formula>ROW()=CELL("row")</formula>
    </cfRule>
  </conditionalFormatting>
  <conditionalFormatting sqref="L13:L15">
    <cfRule type="expression" dxfId="88" priority="453">
      <formula>ROW()=CELL("row")</formula>
    </cfRule>
  </conditionalFormatting>
  <conditionalFormatting sqref="L65:L74 L89:L94 L108:L115 L117:L121 L196:L198">
    <cfRule type="expression" dxfId="87" priority="350">
      <formula>ROW()=CELL("row")</formula>
    </cfRule>
  </conditionalFormatting>
  <conditionalFormatting sqref="L152:L154 L185:L192">
    <cfRule type="expression" dxfId="86" priority="351">
      <formula>ROW()=CELL("row")</formula>
    </cfRule>
  </conditionalFormatting>
  <conditionalFormatting sqref="L60:M64 M117:M118 M134 L141:M145 M179 L180:M184">
    <cfRule type="expression" dxfId="85" priority="338">
      <formula>ROW()=CELL("row")</formula>
    </cfRule>
  </conditionalFormatting>
  <conditionalFormatting sqref="L76:M79 L86:M88 L122:M124 L125:L130 L131:M133 L134:L140 L173:M175 L176:L179 L193:M195 L199:M201 L202:L204 L205:M208">
    <cfRule type="expression" dxfId="84" priority="349">
      <formula>ROW()=CELL("row")</formula>
    </cfRule>
  </conditionalFormatting>
  <conditionalFormatting sqref="M15">
    <cfRule type="expression" dxfId="83" priority="392">
      <formula>ROW()=CELL("row")</formula>
    </cfRule>
  </conditionalFormatting>
  <conditionalFormatting sqref="M65 M67:M69 L95:M107 M169 M185 M209">
    <cfRule type="expression" dxfId="82" priority="285">
      <formula>ROW()=CELL("row")</formula>
    </cfRule>
  </conditionalFormatting>
  <conditionalFormatting sqref="M71:M73 M125:M129 L147:M150 L160:M168 M171:M172 M202:M203">
    <cfRule type="expression" dxfId="81" priority="193">
      <formula>ROW()=CELL("row")</formula>
    </cfRule>
  </conditionalFormatting>
  <conditionalFormatting sqref="M80:M81 M83:M85 M89:M90 M114:M115 M176:M177 M196:M197 M216:M218">
    <cfRule type="expression" dxfId="80" priority="335">
      <formula>ROW()=CELL("row")</formula>
    </cfRule>
  </conditionalFormatting>
  <conditionalFormatting sqref="M92:M94">
    <cfRule type="expression" dxfId="79" priority="331">
      <formula>ROW()=CELL("row")</formula>
    </cfRule>
  </conditionalFormatting>
  <conditionalFormatting sqref="M108:M112 M187:M188 M211">
    <cfRule type="expression" dxfId="78" priority="263">
      <formula>ROW()=CELL("row")</formula>
    </cfRule>
  </conditionalFormatting>
  <conditionalFormatting sqref="M121 M138:M140 M190:M192 M213:M214">
    <cfRule type="expression" dxfId="77" priority="247">
      <formula>ROW()=CELL("row")</formula>
    </cfRule>
  </conditionalFormatting>
  <conditionalFormatting sqref="M136">
    <cfRule type="expression" dxfId="76" priority="216">
      <formula>ROW()=CELL("row")</formula>
    </cfRule>
  </conditionalFormatting>
  <conditionalFormatting sqref="M153 L212:M212">
    <cfRule type="expression" dxfId="75" priority="347">
      <formula>ROW()=CELL("row")</formula>
    </cfRule>
  </conditionalFormatting>
  <conditionalFormatting sqref="M222:M348">
    <cfRule type="expression" dxfId="74" priority="65">
      <formula>ROW()=CELL("row")</formula>
    </cfRule>
  </conditionalFormatting>
  <conditionalFormatting sqref="N63 N66:N67 N95 Q99:S103 N101 N102:O102 N103 N105 N110:N111">
    <cfRule type="expression" dxfId="73" priority="393">
      <formula>ROW()=CELL("row")</formula>
    </cfRule>
  </conditionalFormatting>
  <conditionalFormatting sqref="N117:N145 T126:V126 Q127:S127 U127:V128 P128:S128 T129:V129 P130:S130 Q131:S131 P132:V132 P133:S133 U133:V133 Q134:V137 Q138:S139 U138:V139 Q140:V141 P142:V142 P143:S143 U143:V143 Q144:V145 L146:N146 P146:S147 U146:V147 N147:N150 Q148:V148 P149:S149 U149:V149 T150:V150 L151:N151 P151:V152 Q153:V153 P154:S155 U154:V155 Q158:R158 T158:V158 L159:N159 P159:S159 Q160:S161 N160:N213 P162:V162 T163:V163 Q164:V164 T166:V166 Q167:V167 P168:S168 U168:V168 P169:V169 T170:V171 P172:S172 U172:V172 P173:V173 Q174:S175 P176:V176 Q177:V177 T178:V178 P179:V179 T180:V180 P181:V182 Q183:V183 T184:V184 P185:S185 U185:V185 Q186:V187 P188:S188 U188:V188 Q189:V189 P190:V192 Q193:V193 P194:S194 U194:V194 P195:V195 L169:L172 L209:L211 T196:V197 U130:V131 U159:V161 U174:V175 U165:V165">
    <cfRule type="expression" dxfId="72" priority="419">
      <formula>ROW()=CELL("row")</formula>
    </cfRule>
  </conditionalFormatting>
  <conditionalFormatting sqref="N50:R51 U50:U51 O52:U53 N52:N56 O54:S54 U54:U55 Q55:S55 Q56:R56 T56:U63 N57:S58 L59:S59 N60:S62 Q63:S64 N64:O64 U64:U65 N65:R65 P66:R66 T66:U66 Q67:S67 U67 T68:U68 N68:S69 U69 N70 P70:R70 T70:U70 N71:S71 U71 N72:O72 Q72:S72 T72:U76 N73:N74 P73:R74 L75:N75 O75:S78 N76:N79 U77:U78 T79:U79 Q79:S81 N80:O81 U80:U82 N83:U84 Q85:S85 U85 N85:N89 O86:S89 T86:U90 N90:O90 Q90:S90 N91 P91:R91 U91 N92:U93 N94:S94 U94:U97 Q95:S95 N96:S98 T98:U101 N99:O100 U102 T103:U106 N104:S104 Q105:S105 N106:S106 N107:O107 Q107:S107 U107 N108:S109 T108:U117 Q110:S111 N112:S112 N113 P113:R113 N114:S114 N115:O115 Q115:S115 L116:S116 Q117:S118 P119:R120 U120 T121:U121 O121:S124 U122 T123:U123 U124 Q125:U125 T119:U119 U118">
    <cfRule type="expression" dxfId="71" priority="451">
      <formula>ROW()=CELL("row")</formula>
    </cfRule>
  </conditionalFormatting>
  <conditionalFormatting sqref="N49:S49 U49:X49">
    <cfRule type="expression" dxfId="70" priority="332">
      <formula>ROW()=CELL("row")</formula>
    </cfRule>
  </conditionalFormatting>
  <conditionalFormatting sqref="N270:V348">
    <cfRule type="expression" dxfId="69" priority="58">
      <formula>ROW()=CELL("row")</formula>
    </cfRule>
  </conditionalFormatting>
  <conditionalFormatting sqref="O63">
    <cfRule type="expression" dxfId="68" priority="380">
      <formula>ROW()=CELL("row")</formula>
    </cfRule>
  </conditionalFormatting>
  <conditionalFormatting sqref="O66:O67 O70 O73:O74 O91 O113 O117:O120">
    <cfRule type="expression" dxfId="67" priority="378">
      <formula>ROW()=CELL("row")</formula>
    </cfRule>
  </conditionalFormatting>
  <conditionalFormatting sqref="O151:O163 N152:N158 L155:M158 P156:V157 A224:D225 F224:H225">
    <cfRule type="expression" dxfId="66" priority="75">
      <formula>ROW()=CELL("row")</formula>
    </cfRule>
  </conditionalFormatting>
  <conditionalFormatting sqref="O55:P56 P63:P64 P72 O85:P85 P90 P107 P115 O125:P125 P144:P145 O164:P164">
    <cfRule type="expression" dxfId="65" priority="337">
      <formula>ROW()=CELL("row")</formula>
    </cfRule>
  </conditionalFormatting>
  <conditionalFormatting sqref="O110:P111 P117:P118 L349:V397">
    <cfRule type="expression" dxfId="64" priority="28">
      <formula>ROW()=CELL("row")</formula>
    </cfRule>
  </conditionalFormatting>
  <conditionalFormatting sqref="O126:S126 O127:O128 O129:S129 O130:O149 O150:S150 O165:S166 O167:O170 O171:S171 O172:O179 Q178:S178 O180:S180 O181:O183 O184:S184 O185:O195 L213:L348 N214:N269">
    <cfRule type="expression" dxfId="63" priority="373">
      <formula>ROW()=CELL("row")</formula>
    </cfRule>
  </conditionalFormatting>
  <conditionalFormatting sqref="O196:S201">
    <cfRule type="expression" dxfId="62" priority="46">
      <formula>ROW()=CELL("row")</formula>
    </cfRule>
  </conditionalFormatting>
  <conditionalFormatting sqref="O202:V205 O207:V233 O206:S206 U206:V206 O235:V237 O234:S234 U234:V234 O239:V258 O238:S238 U238:V238 O261:V263 O259:S260 U259:V260 O265:V269 O264:S264 U264:V264">
    <cfRule type="expression" dxfId="61" priority="17">
      <formula>ROW()=CELL("row")</formula>
    </cfRule>
  </conditionalFormatting>
  <conditionalFormatting sqref="P67 O79 O95:P95 O101:P101 O103:P103 O105:P105 P127 P153">
    <cfRule type="expression" dxfId="60" priority="346">
      <formula>ROW()=CELL("row")</formula>
    </cfRule>
  </conditionalFormatting>
  <conditionalFormatting sqref="P79:P81">
    <cfRule type="expression" dxfId="59" priority="191">
      <formula>ROW()=CELL("row")</formula>
    </cfRule>
  </conditionalFormatting>
  <conditionalFormatting sqref="P99:P100 P158">
    <cfRule type="expression" dxfId="58" priority="107">
      <formula>ROW()=CELL("row")</formula>
    </cfRule>
  </conditionalFormatting>
  <conditionalFormatting sqref="P102">
    <cfRule type="expression" dxfId="57" priority="292">
      <formula>ROW()=CELL("row")</formula>
    </cfRule>
  </conditionalFormatting>
  <conditionalFormatting sqref="P131 P134:P141 P160:P161 P174:P175">
    <cfRule type="expression" dxfId="56" priority="39">
      <formula>ROW()=CELL("row")</formula>
    </cfRule>
  </conditionalFormatting>
  <conditionalFormatting sqref="P148 P167 P186:P187 P189">
    <cfRule type="expression" dxfId="55" priority="155">
      <formula>ROW()=CELL("row")</formula>
    </cfRule>
  </conditionalFormatting>
  <conditionalFormatting sqref="P183">
    <cfRule type="expression" dxfId="54" priority="38">
      <formula>ROW()=CELL("row")</formula>
    </cfRule>
  </conditionalFormatting>
  <conditionalFormatting sqref="P193">
    <cfRule type="expression" dxfId="53" priority="204">
      <formula>ROW()=CELL("row")</formula>
    </cfRule>
  </conditionalFormatting>
  <conditionalFormatting sqref="P163:S163 P170:S170 P177:P178">
    <cfRule type="expression" dxfId="52" priority="77">
      <formula>ROW()=CELL("row")</formula>
    </cfRule>
  </conditionalFormatting>
  <conditionalFormatting sqref="Q3:Q479">
    <cfRule type="timePeriod" dxfId="51" priority="464" timePeriod="today">
      <formula>FLOOR(Q3,1)=TODAY()</formula>
    </cfRule>
  </conditionalFormatting>
  <conditionalFormatting sqref="S50:S51">
    <cfRule type="expression" dxfId="50" priority="375">
      <formula>ROW()=CELL("row")</formula>
    </cfRule>
  </conditionalFormatting>
  <conditionalFormatting sqref="S56">
    <cfRule type="expression" dxfId="49" priority="379">
      <formula>ROW()=CELL("row")</formula>
    </cfRule>
  </conditionalFormatting>
  <conditionalFormatting sqref="S65:S66">
    <cfRule type="expression" dxfId="48" priority="376">
      <formula>ROW()=CELL("row")</formula>
    </cfRule>
  </conditionalFormatting>
  <conditionalFormatting sqref="S70 S73:S74 S113 S119:S120">
    <cfRule type="expression" dxfId="47" priority="377">
      <formula>ROW()=CELL("row")</formula>
    </cfRule>
  </conditionalFormatting>
  <conditionalFormatting sqref="S158">
    <cfRule type="expression" dxfId="46" priority="148">
      <formula>ROW()=CELL("row")</formula>
    </cfRule>
  </conditionalFormatting>
  <conditionalFormatting sqref="T49:T51">
    <cfRule type="expression" dxfId="45" priority="273">
      <formula>ROW()=CELL("row")</formula>
    </cfRule>
  </conditionalFormatting>
  <conditionalFormatting sqref="T54:T55 T64:T65 T71 T77:T78 T94:T97 T102 T107 T124 T127:T128 T133 T138:T139 T143 T146:T147 T172 T185 T188 T194">
    <cfRule type="expression" dxfId="44" priority="82">
      <formula>ROW()=CELL("row")</formula>
    </cfRule>
  </conditionalFormatting>
  <conditionalFormatting sqref="T67 T69 T80:T82 T85 S91:T91 T120 T122 T149 T159 T168">
    <cfRule type="expression" dxfId="43" priority="211">
      <formula>ROW()=CELL("row")</formula>
    </cfRule>
  </conditionalFormatting>
  <conditionalFormatting sqref="T154:T155">
    <cfRule type="expression" dxfId="42" priority="93">
      <formula>ROW()=CELL("row")</formula>
    </cfRule>
  </conditionalFormatting>
  <conditionalFormatting sqref="T198:V198 T200:V201 U199:V199">
    <cfRule type="expression" dxfId="41" priority="20">
      <formula>ROW()=CELL("row")</formula>
    </cfRule>
  </conditionalFormatting>
  <conditionalFormatting sqref="U3:V479 N3:N479 R3:R479">
    <cfRule type="cellIs" dxfId="40" priority="388" operator="greaterThanOrEqual">
      <formula>0</formula>
    </cfRule>
    <cfRule type="cellIs" dxfId="39" priority="389" operator="lessThan">
      <formula>0</formula>
    </cfRule>
  </conditionalFormatting>
  <conditionalFormatting sqref="V13:V40">
    <cfRule type="expression" dxfId="38" priority="381">
      <formula>ROW()=CELL("row")</formula>
    </cfRule>
  </conditionalFormatting>
  <conditionalFormatting sqref="T259">
    <cfRule type="expression" dxfId="37" priority="7">
      <formula>ROW()=CELL("row")</formula>
    </cfRule>
  </conditionalFormatting>
  <conditionalFormatting sqref="T260 T238 T234 T206 T199">
    <cfRule type="expression" dxfId="36" priority="5">
      <formula>ROW()=CELL("row")</formula>
    </cfRule>
  </conditionalFormatting>
  <conditionalFormatting sqref="T264">
    <cfRule type="expression" dxfId="35" priority="4">
      <formula>ROW()=CELL("row")</formula>
    </cfRule>
  </conditionalFormatting>
  <conditionalFormatting sqref="T174:T175 T160:T161 T130:T131">
    <cfRule type="expression" dxfId="34" priority="3">
      <formula>ROW()=CELL("row")</formula>
    </cfRule>
  </conditionalFormatting>
  <conditionalFormatting sqref="T165 T118">
    <cfRule type="expression" dxfId="33" priority="1">
      <formula>ROW()=CELL("row")</formula>
    </cfRule>
  </conditionalFormatting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3:H38"/>
  <sheetViews>
    <sheetView workbookViewId="0">
      <selection activeCell="Q23" sqref="Q23"/>
    </sheetView>
  </sheetViews>
  <sheetFormatPr defaultRowHeight="14"/>
  <cols>
    <col min="1" max="1" width="27.4140625" bestFit="1" customWidth="1"/>
    <col min="2" max="2" width="16.83203125" bestFit="1" customWidth="1"/>
    <col min="3" max="3" width="6.83203125" bestFit="1" customWidth="1"/>
    <col min="4" max="4" width="7.4140625" bestFit="1" customWidth="1"/>
    <col min="5" max="5" width="6.4140625" bestFit="1" customWidth="1"/>
    <col min="6" max="6" width="7" bestFit="1" customWidth="1"/>
    <col min="7" max="7" width="9.1640625" bestFit="1" customWidth="1"/>
    <col min="8" max="9" width="11.4140625" bestFit="1" customWidth="1"/>
  </cols>
  <sheetData>
    <row r="3" spans="1:8" ht="42">
      <c r="A3" s="38" t="s">
        <v>405</v>
      </c>
      <c r="B3" s="36" t="s">
        <v>406</v>
      </c>
      <c r="C3" s="37"/>
      <c r="D3" s="37"/>
      <c r="E3" s="37"/>
      <c r="F3" s="37"/>
      <c r="G3" s="37"/>
      <c r="H3" s="37"/>
    </row>
    <row r="4" spans="1:8">
      <c r="A4" s="38" t="s">
        <v>167</v>
      </c>
      <c r="B4" s="37" t="s">
        <v>374</v>
      </c>
      <c r="C4" s="37" t="s">
        <v>373</v>
      </c>
      <c r="D4" s="37" t="s">
        <v>407</v>
      </c>
      <c r="E4" s="37" t="s">
        <v>371</v>
      </c>
      <c r="F4" s="37" t="s">
        <v>372</v>
      </c>
      <c r="G4" s="37" t="s">
        <v>408</v>
      </c>
      <c r="H4" s="37" t="s">
        <v>168</v>
      </c>
    </row>
    <row r="5" spans="1:8">
      <c r="A5" s="37" t="s">
        <v>390</v>
      </c>
      <c r="B5" s="39">
        <v>347.52</v>
      </c>
      <c r="C5" s="39"/>
      <c r="D5" s="39">
        <v>2890.9319999999998</v>
      </c>
      <c r="E5" s="39">
        <v>2873.556</v>
      </c>
      <c r="F5" s="39">
        <v>2645.4960000000001</v>
      </c>
      <c r="G5" s="39"/>
      <c r="H5" s="39">
        <v>8757.5040000000008</v>
      </c>
    </row>
    <row r="6" spans="1:8">
      <c r="A6" s="37" t="s">
        <v>245</v>
      </c>
      <c r="B6" s="39">
        <v>613.74399999999991</v>
      </c>
      <c r="C6" s="39"/>
      <c r="D6" s="39">
        <v>2635.8239999999996</v>
      </c>
      <c r="E6" s="39"/>
      <c r="F6" s="39"/>
      <c r="G6" s="39"/>
      <c r="H6" s="39">
        <v>3249.5679999999993</v>
      </c>
    </row>
    <row r="7" spans="1:8">
      <c r="A7" s="37" t="s">
        <v>187</v>
      </c>
      <c r="B7" s="39"/>
      <c r="C7" s="39"/>
      <c r="D7" s="39"/>
      <c r="E7" s="39">
        <v>6240</v>
      </c>
      <c r="F7" s="39"/>
      <c r="G7" s="39"/>
      <c r="H7" s="39">
        <v>6240</v>
      </c>
    </row>
    <row r="8" spans="1:8">
      <c r="A8" s="37" t="s">
        <v>192</v>
      </c>
      <c r="B8" s="39"/>
      <c r="C8" s="39"/>
      <c r="D8" s="39"/>
      <c r="E8" s="39">
        <v>93.812602739726032</v>
      </c>
      <c r="F8" s="39"/>
      <c r="G8" s="39">
        <v>115.72657534246576</v>
      </c>
      <c r="H8" s="39">
        <v>209.5391780821918</v>
      </c>
    </row>
    <row r="9" spans="1:8">
      <c r="A9" s="37" t="s">
        <v>409</v>
      </c>
      <c r="B9" s="39"/>
      <c r="C9" s="39"/>
      <c r="D9" s="39"/>
      <c r="E9" s="39"/>
      <c r="F9" s="39"/>
      <c r="G9" s="39">
        <v>850</v>
      </c>
      <c r="H9" s="39">
        <v>850</v>
      </c>
    </row>
    <row r="10" spans="1:8">
      <c r="A10" s="37" t="s">
        <v>395</v>
      </c>
      <c r="B10" s="39">
        <v>18144</v>
      </c>
      <c r="C10" s="39"/>
      <c r="D10" s="39">
        <v>43488</v>
      </c>
      <c r="E10" s="39">
        <v>18432</v>
      </c>
      <c r="F10" s="39"/>
      <c r="G10" s="39"/>
      <c r="H10" s="39">
        <v>80064</v>
      </c>
    </row>
    <row r="11" spans="1:8">
      <c r="A11" s="37" t="s">
        <v>193</v>
      </c>
      <c r="B11" s="39">
        <v>42260.999999999993</v>
      </c>
      <c r="C11" s="39">
        <v>5465.3759999999993</v>
      </c>
      <c r="D11" s="39">
        <v>29130.6</v>
      </c>
      <c r="E11" s="39">
        <v>5652.4349999999995</v>
      </c>
      <c r="F11" s="39"/>
      <c r="G11" s="39"/>
      <c r="H11" s="39">
        <v>82509.410999999993</v>
      </c>
    </row>
    <row r="12" spans="1:8">
      <c r="A12" s="37" t="s">
        <v>391</v>
      </c>
      <c r="B12" s="39">
        <v>481.65600000000001</v>
      </c>
      <c r="C12" s="39">
        <v>94.75200000000001</v>
      </c>
      <c r="D12" s="39"/>
      <c r="E12" s="39"/>
      <c r="F12" s="39"/>
      <c r="G12" s="39"/>
      <c r="H12" s="39">
        <v>576.40800000000002</v>
      </c>
    </row>
    <row r="13" spans="1:8">
      <c r="A13" s="37" t="s">
        <v>189</v>
      </c>
      <c r="B13" s="39">
        <v>19637.560000000001</v>
      </c>
      <c r="C13" s="39"/>
      <c r="D13" s="39">
        <v>15991.16</v>
      </c>
      <c r="E13" s="39">
        <v>3606.12</v>
      </c>
      <c r="F13" s="39"/>
      <c r="G13" s="39"/>
      <c r="H13" s="39">
        <v>39234.840000000004</v>
      </c>
    </row>
    <row r="14" spans="1:8">
      <c r="A14" s="37" t="s">
        <v>190</v>
      </c>
      <c r="B14" s="39">
        <v>8272</v>
      </c>
      <c r="C14" s="39">
        <v>1848</v>
      </c>
      <c r="D14" s="39">
        <v>4854.0800000000008</v>
      </c>
      <c r="E14" s="39">
        <v>3822.7200000000003</v>
      </c>
      <c r="F14" s="39">
        <v>498.08</v>
      </c>
      <c r="G14" s="39"/>
      <c r="H14" s="39">
        <v>19294.880000000005</v>
      </c>
    </row>
    <row r="15" spans="1:8">
      <c r="A15" s="37" t="s">
        <v>194</v>
      </c>
      <c r="B15" s="39">
        <v>7300</v>
      </c>
      <c r="C15" s="39"/>
      <c r="D15" s="39"/>
      <c r="E15" s="39"/>
      <c r="F15" s="39"/>
      <c r="G15" s="39"/>
      <c r="H15" s="39">
        <v>7300</v>
      </c>
    </row>
    <row r="16" spans="1:8">
      <c r="A16" s="37" t="s">
        <v>410</v>
      </c>
      <c r="B16" s="39">
        <v>36.82</v>
      </c>
      <c r="C16" s="39"/>
      <c r="D16" s="39"/>
      <c r="E16" s="39"/>
      <c r="F16" s="39"/>
      <c r="G16" s="39"/>
      <c r="H16" s="39">
        <v>36.82</v>
      </c>
    </row>
    <row r="17" spans="1:8">
      <c r="A17" s="37" t="s">
        <v>411</v>
      </c>
      <c r="B17" s="39">
        <v>8157</v>
      </c>
      <c r="C17" s="39"/>
      <c r="D17" s="39"/>
      <c r="E17" s="39"/>
      <c r="F17" s="39"/>
      <c r="G17" s="39"/>
      <c r="H17" s="39">
        <v>8157</v>
      </c>
    </row>
    <row r="18" spans="1:8">
      <c r="A18" s="37" t="s">
        <v>197</v>
      </c>
      <c r="B18" s="39">
        <v>8157</v>
      </c>
      <c r="C18" s="39"/>
      <c r="D18" s="39"/>
      <c r="E18" s="39"/>
      <c r="F18" s="39"/>
      <c r="G18" s="39"/>
      <c r="H18" s="39">
        <v>8157</v>
      </c>
    </row>
    <row r="19" spans="1:8">
      <c r="A19" s="37" t="s">
        <v>198</v>
      </c>
      <c r="B19" s="39">
        <v>28992</v>
      </c>
      <c r="C19" s="39">
        <v>7065.5999999999995</v>
      </c>
      <c r="D19" s="39">
        <v>23615.999999999996</v>
      </c>
      <c r="E19" s="39"/>
      <c r="F19" s="39"/>
      <c r="G19" s="39"/>
      <c r="H19" s="39">
        <v>59673.599999999991</v>
      </c>
    </row>
    <row r="20" spans="1:8">
      <c r="A20" s="37" t="s">
        <v>298</v>
      </c>
      <c r="B20" s="39">
        <v>3442.707818930041</v>
      </c>
      <c r="C20" s="39"/>
      <c r="D20" s="39"/>
      <c r="E20" s="39"/>
      <c r="F20" s="39"/>
      <c r="G20" s="39"/>
      <c r="H20" s="39">
        <v>3442.707818930041</v>
      </c>
    </row>
    <row r="21" spans="1:8">
      <c r="A21" s="37" t="s">
        <v>199</v>
      </c>
      <c r="B21" s="39"/>
      <c r="C21" s="39"/>
      <c r="D21" s="39"/>
      <c r="E21" s="39">
        <v>636.90123287671236</v>
      </c>
      <c r="F21" s="39"/>
      <c r="G21" s="39">
        <v>527.87068493150696</v>
      </c>
      <c r="H21" s="39">
        <v>1164.7719178082193</v>
      </c>
    </row>
    <row r="22" spans="1:8">
      <c r="A22" s="37" t="s">
        <v>412</v>
      </c>
      <c r="B22" s="39">
        <v>86535</v>
      </c>
      <c r="C22" s="39"/>
      <c r="D22" s="39"/>
      <c r="E22" s="39"/>
      <c r="F22" s="39"/>
      <c r="G22" s="39"/>
      <c r="H22" s="39">
        <v>86535</v>
      </c>
    </row>
    <row r="23" spans="1:8">
      <c r="A23" s="37" t="s">
        <v>413</v>
      </c>
      <c r="B23" s="39">
        <v>95</v>
      </c>
      <c r="C23" s="39"/>
      <c r="D23" s="39"/>
      <c r="E23" s="39"/>
      <c r="F23" s="39"/>
      <c r="G23" s="39"/>
      <c r="H23" s="39">
        <v>95</v>
      </c>
    </row>
    <row r="24" spans="1:8">
      <c r="A24" s="37" t="s">
        <v>414</v>
      </c>
      <c r="B24" s="39">
        <v>207</v>
      </c>
      <c r="C24" s="39"/>
      <c r="D24" s="39"/>
      <c r="E24" s="39"/>
      <c r="F24" s="39"/>
      <c r="G24" s="39"/>
      <c r="H24" s="39">
        <v>207</v>
      </c>
    </row>
    <row r="25" spans="1:8">
      <c r="A25" s="37" t="s">
        <v>201</v>
      </c>
      <c r="B25" s="39">
        <v>20442.240000000002</v>
      </c>
      <c r="C25" s="39"/>
      <c r="D25" s="39">
        <v>17297.280000000002</v>
      </c>
      <c r="E25" s="39">
        <v>6814.08</v>
      </c>
      <c r="F25" s="39"/>
      <c r="G25" s="39"/>
      <c r="H25" s="39">
        <v>44553.600000000006</v>
      </c>
    </row>
    <row r="26" spans="1:8">
      <c r="A26" s="37" t="s">
        <v>202</v>
      </c>
      <c r="B26" s="39">
        <v>4680.4230000000007</v>
      </c>
      <c r="C26" s="39"/>
      <c r="D26" s="39"/>
      <c r="E26" s="39"/>
      <c r="F26" s="39"/>
      <c r="G26" s="39"/>
      <c r="H26" s="39">
        <v>4680.4230000000007</v>
      </c>
    </row>
    <row r="27" spans="1:8">
      <c r="A27" s="37" t="s">
        <v>158</v>
      </c>
      <c r="B27" s="39">
        <v>12828.815999999999</v>
      </c>
      <c r="C27" s="39"/>
      <c r="D27" s="39">
        <v>8491.3920000000016</v>
      </c>
      <c r="E27" s="39">
        <v>7877.3760000000011</v>
      </c>
      <c r="F27" s="39">
        <v>672.048</v>
      </c>
      <c r="G27" s="39"/>
      <c r="H27" s="39">
        <v>29869.631999999998</v>
      </c>
    </row>
    <row r="28" spans="1:8">
      <c r="A28" s="37" t="s">
        <v>203</v>
      </c>
      <c r="B28" s="39">
        <v>81126</v>
      </c>
      <c r="C28" s="39"/>
      <c r="D28" s="39"/>
      <c r="E28" s="39"/>
      <c r="F28" s="39"/>
      <c r="G28" s="39"/>
      <c r="H28" s="39">
        <v>81126</v>
      </c>
    </row>
    <row r="29" spans="1:8">
      <c r="A29" s="37" t="s">
        <v>415</v>
      </c>
      <c r="B29" s="39"/>
      <c r="C29" s="39"/>
      <c r="D29" s="39"/>
      <c r="E29" s="39">
        <v>116.4</v>
      </c>
      <c r="F29" s="39"/>
      <c r="G29" s="39">
        <v>162.96</v>
      </c>
      <c r="H29" s="39">
        <v>279.36</v>
      </c>
    </row>
    <row r="30" spans="1:8">
      <c r="A30" s="37" t="s">
        <v>416</v>
      </c>
      <c r="B30" s="39"/>
      <c r="C30" s="39"/>
      <c r="D30" s="39"/>
      <c r="E30" s="39">
        <v>38.5</v>
      </c>
      <c r="F30" s="39"/>
      <c r="G30" s="39">
        <v>107.8</v>
      </c>
      <c r="H30" s="39">
        <v>146.30000000000001</v>
      </c>
    </row>
    <row r="31" spans="1:8">
      <c r="A31" s="37" t="s">
        <v>417</v>
      </c>
      <c r="B31" s="39"/>
      <c r="C31" s="39"/>
      <c r="D31" s="39"/>
      <c r="E31" s="39">
        <v>23.972602739726025</v>
      </c>
      <c r="F31" s="39"/>
      <c r="G31" s="39">
        <v>41.095890410958901</v>
      </c>
      <c r="H31" s="39">
        <v>65.06849315068493</v>
      </c>
    </row>
    <row r="32" spans="1:8">
      <c r="A32" s="37" t="s">
        <v>206</v>
      </c>
      <c r="B32" s="39">
        <v>453.68</v>
      </c>
      <c r="C32" s="39"/>
      <c r="D32" s="39"/>
      <c r="E32" s="39"/>
      <c r="F32" s="39"/>
      <c r="G32" s="39"/>
      <c r="H32" s="39">
        <v>453.68</v>
      </c>
    </row>
    <row r="33" spans="1:8">
      <c r="A33" s="37" t="s">
        <v>418</v>
      </c>
      <c r="B33" s="39">
        <v>99.216000000000008</v>
      </c>
      <c r="C33" s="39"/>
      <c r="D33" s="39"/>
      <c r="E33" s="39"/>
      <c r="F33" s="39"/>
      <c r="G33" s="39"/>
      <c r="H33" s="39">
        <v>99.216000000000008</v>
      </c>
    </row>
    <row r="34" spans="1:8">
      <c r="A34" s="37" t="s">
        <v>207</v>
      </c>
      <c r="B34" s="39"/>
      <c r="C34" s="39"/>
      <c r="D34" s="39"/>
      <c r="E34" s="39">
        <v>292.62191780821917</v>
      </c>
      <c r="F34" s="39"/>
      <c r="G34" s="39">
        <v>199.37123287671233</v>
      </c>
      <c r="H34" s="39">
        <v>491.99315068493149</v>
      </c>
    </row>
    <row r="35" spans="1:8">
      <c r="A35" s="37" t="s">
        <v>191</v>
      </c>
      <c r="B35" s="39"/>
      <c r="C35" s="39"/>
      <c r="D35" s="39">
        <v>20400</v>
      </c>
      <c r="E35" s="39">
        <v>32208.539999999997</v>
      </c>
      <c r="F35" s="39"/>
      <c r="G35" s="39"/>
      <c r="H35" s="39">
        <v>52608.539999999994</v>
      </c>
    </row>
    <row r="36" spans="1:8">
      <c r="A36" s="37" t="s">
        <v>208</v>
      </c>
      <c r="B36" s="39">
        <v>84372</v>
      </c>
      <c r="C36" s="39"/>
      <c r="D36" s="39"/>
      <c r="E36" s="39"/>
      <c r="F36" s="39"/>
      <c r="G36" s="39"/>
      <c r="H36" s="39">
        <v>84372</v>
      </c>
    </row>
    <row r="37" spans="1:8">
      <c r="A37" s="37" t="s">
        <v>209</v>
      </c>
      <c r="B37" s="39"/>
      <c r="C37" s="39"/>
      <c r="D37" s="39">
        <v>5729.0879999999997</v>
      </c>
      <c r="E37" s="39"/>
      <c r="F37" s="39"/>
      <c r="G37" s="39"/>
      <c r="H37" s="39">
        <v>5729.0879999999997</v>
      </c>
    </row>
    <row r="38" spans="1:8">
      <c r="A38" s="37" t="s">
        <v>168</v>
      </c>
      <c r="B38" s="39">
        <v>436682.38281893003</v>
      </c>
      <c r="C38" s="39">
        <v>14473.727999999999</v>
      </c>
      <c r="D38" s="39">
        <v>174524.356</v>
      </c>
      <c r="E38" s="39">
        <v>88729.035356164386</v>
      </c>
      <c r="F38" s="39">
        <v>3815.6239999999998</v>
      </c>
      <c r="G38" s="39">
        <v>2004.824383561644</v>
      </c>
      <c r="H38" s="39">
        <v>720229.95055865613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BV663"/>
  <sheetViews>
    <sheetView workbookViewId="0">
      <pane xSplit="18" ySplit="6" topLeftCell="S7" activePane="bottomRight" state="frozen"/>
      <selection pane="topRight" activeCell="S1" sqref="S1"/>
      <selection pane="bottomLeft" activeCell="A7" sqref="A7"/>
      <selection pane="bottomRight" activeCell="R21" sqref="R21"/>
    </sheetView>
  </sheetViews>
  <sheetFormatPr defaultColWidth="9.1640625" defaultRowHeight="14" outlineLevelCol="1"/>
  <cols>
    <col min="1" max="1" width="7.1640625" style="92" customWidth="1"/>
    <col min="2" max="2" width="4.4140625" style="92" customWidth="1"/>
    <col min="3" max="3" width="5.4140625" style="92" customWidth="1"/>
    <col min="4" max="4" width="2.83203125" style="92" customWidth="1"/>
    <col min="5" max="5" width="8.83203125" style="92" customWidth="1"/>
    <col min="6" max="6" width="6.4140625" style="92" customWidth="1" outlineLevel="1"/>
    <col min="7" max="7" width="6.83203125" style="92" customWidth="1" outlineLevel="1"/>
    <col min="8" max="8" width="5.83203125" style="92" customWidth="1" outlineLevel="1"/>
    <col min="9" max="9" width="8.83203125" style="92" customWidth="1" outlineLevel="1"/>
    <col min="10" max="10" width="8.58203125" style="92" customWidth="1"/>
    <col min="11" max="11" width="5.4140625" style="92" hidden="1" customWidth="1"/>
    <col min="12" max="12" width="6.1640625" style="92" hidden="1" customWidth="1"/>
    <col min="13" max="13" width="8.58203125" style="92" customWidth="1"/>
    <col min="14" max="14" width="7.83203125" style="92" customWidth="1"/>
    <col min="15" max="18" width="9.1640625" style="92" customWidth="1"/>
    <col min="19" max="26" width="9.1640625" style="92"/>
    <col min="27" max="34" width="9.1640625" style="92" hidden="1" customWidth="1"/>
    <col min="35" max="48" width="9.1640625" style="92" customWidth="1"/>
    <col min="49" max="16384" width="9.1640625" style="92"/>
  </cols>
  <sheetData>
    <row r="2" spans="1:74" ht="16.5" customHeight="1">
      <c r="G2" s="93" t="s">
        <v>419</v>
      </c>
      <c r="J2" s="94">
        <f>+J3/26</f>
        <v>86967.127692307709</v>
      </c>
      <c r="P2" s="95">
        <f>+P3/26</f>
        <v>86.298887098720087</v>
      </c>
    </row>
    <row r="3" spans="1:74" ht="14.5">
      <c r="A3" s="93"/>
      <c r="B3" s="93"/>
      <c r="C3" s="93"/>
      <c r="D3" s="93"/>
      <c r="E3" s="93"/>
      <c r="F3" s="93"/>
      <c r="G3" s="93" t="s">
        <v>222</v>
      </c>
      <c r="H3" s="93"/>
      <c r="I3" s="93"/>
      <c r="J3" s="96">
        <f>SUBTOTAL(9,J7:J652)</f>
        <v>2261145.3200000003</v>
      </c>
      <c r="K3" s="96">
        <f>SUBTOTAL(9,K7:K648)</f>
        <v>0</v>
      </c>
      <c r="L3" s="96">
        <f>SUBTOTAL(9,L7:L648)</f>
        <v>5000</v>
      </c>
      <c r="M3" s="96">
        <f>SUBTOTAL(9,M7:M652)</f>
        <v>2256145.3200000003</v>
      </c>
      <c r="N3" s="96">
        <f>SUBTOTAL(9,N7:N652)</f>
        <v>2261145.3200000003</v>
      </c>
      <c r="O3" s="93"/>
      <c r="P3" s="96">
        <f>SUBTOTAL(9,P7:P648)</f>
        <v>2243.7710645667221</v>
      </c>
      <c r="Q3" s="96">
        <f>SUBTOTAL(1,Q7:Q648)</f>
        <v>5.8909657320872277</v>
      </c>
      <c r="R3" s="93"/>
      <c r="S3" s="97"/>
      <c r="T3" s="97"/>
      <c r="U3" s="97"/>
      <c r="V3" s="97"/>
      <c r="W3" s="97"/>
      <c r="X3" s="98"/>
      <c r="Y3" s="98"/>
      <c r="Z3" s="98"/>
      <c r="AA3" s="96">
        <f t="shared" ref="AA3:BV3" si="0">SUBTOTAL(9,AA7:AA609)</f>
        <v>0</v>
      </c>
      <c r="AB3" s="96">
        <f t="shared" si="0"/>
        <v>0</v>
      </c>
      <c r="AC3" s="96">
        <f t="shared" si="0"/>
        <v>0</v>
      </c>
      <c r="AD3" s="96">
        <f t="shared" si="0"/>
        <v>0</v>
      </c>
      <c r="AE3" s="96">
        <f t="shared" si="0"/>
        <v>0</v>
      </c>
      <c r="AF3" s="96">
        <f t="shared" si="0"/>
        <v>0</v>
      </c>
      <c r="AG3" s="96">
        <f t="shared" si="0"/>
        <v>0</v>
      </c>
      <c r="AH3" s="96">
        <f t="shared" si="0"/>
        <v>0</v>
      </c>
      <c r="AI3" s="96">
        <f t="shared" si="0"/>
        <v>0</v>
      </c>
      <c r="AJ3" s="96">
        <f t="shared" si="0"/>
        <v>0</v>
      </c>
      <c r="AK3" s="96">
        <f t="shared" si="0"/>
        <v>0</v>
      </c>
      <c r="AL3" s="96">
        <f t="shared" si="0"/>
        <v>0</v>
      </c>
      <c r="AM3" s="96">
        <f t="shared" si="0"/>
        <v>0</v>
      </c>
      <c r="AN3" s="96">
        <f t="shared" si="0"/>
        <v>0</v>
      </c>
      <c r="AO3" s="96">
        <f t="shared" si="0"/>
        <v>0</v>
      </c>
      <c r="AP3" s="96">
        <f t="shared" si="0"/>
        <v>0</v>
      </c>
      <c r="AQ3" s="96">
        <f t="shared" si="0"/>
        <v>214438</v>
      </c>
      <c r="AR3" s="96">
        <f t="shared" si="0"/>
        <v>0</v>
      </c>
      <c r="AS3" s="96">
        <f t="shared" si="0"/>
        <v>413164</v>
      </c>
      <c r="AT3" s="96">
        <f t="shared" si="0"/>
        <v>0</v>
      </c>
      <c r="AU3" s="96">
        <f t="shared" si="0"/>
        <v>70268</v>
      </c>
      <c r="AV3" s="96">
        <f t="shared" si="0"/>
        <v>0</v>
      </c>
      <c r="AW3" s="96">
        <f t="shared" si="0"/>
        <v>387862</v>
      </c>
      <c r="AX3" s="96">
        <f t="shared" si="0"/>
        <v>0</v>
      </c>
      <c r="AY3" s="96">
        <f t="shared" si="0"/>
        <v>8472</v>
      </c>
      <c r="AZ3" s="96">
        <f t="shared" si="0"/>
        <v>0</v>
      </c>
      <c r="BA3" s="96">
        <f t="shared" si="0"/>
        <v>108490</v>
      </c>
      <c r="BB3" s="96">
        <f t="shared" si="0"/>
        <v>0</v>
      </c>
      <c r="BC3" s="96">
        <f t="shared" si="0"/>
        <v>97567</v>
      </c>
      <c r="BD3" s="96">
        <f t="shared" si="0"/>
        <v>0</v>
      </c>
      <c r="BE3" s="96">
        <f t="shared" si="0"/>
        <v>35808</v>
      </c>
      <c r="BF3" s="96">
        <f t="shared" si="0"/>
        <v>0</v>
      </c>
      <c r="BG3" s="96">
        <f t="shared" si="0"/>
        <v>103228</v>
      </c>
      <c r="BH3" s="96">
        <f t="shared" si="0"/>
        <v>0</v>
      </c>
      <c r="BI3" s="96">
        <f t="shared" si="0"/>
        <v>96183</v>
      </c>
      <c r="BJ3" s="96">
        <f t="shared" si="0"/>
        <v>0</v>
      </c>
      <c r="BK3" s="96">
        <f t="shared" si="0"/>
        <v>42502</v>
      </c>
      <c r="BL3" s="96">
        <f t="shared" si="0"/>
        <v>0</v>
      </c>
      <c r="BM3" s="96">
        <f t="shared" si="0"/>
        <v>24000</v>
      </c>
      <c r="BN3" s="96">
        <f t="shared" si="0"/>
        <v>0</v>
      </c>
      <c r="BO3" s="96">
        <f t="shared" si="0"/>
        <v>0</v>
      </c>
      <c r="BP3" s="96">
        <f t="shared" si="0"/>
        <v>0</v>
      </c>
      <c r="BQ3" s="96">
        <f t="shared" si="0"/>
        <v>0</v>
      </c>
      <c r="BR3" s="96">
        <f t="shared" si="0"/>
        <v>0</v>
      </c>
      <c r="BS3" s="96">
        <f t="shared" si="0"/>
        <v>0</v>
      </c>
      <c r="BT3" s="96">
        <f t="shared" si="0"/>
        <v>0</v>
      </c>
      <c r="BU3" s="96">
        <f t="shared" si="0"/>
        <v>0</v>
      </c>
      <c r="BV3" s="96">
        <f t="shared" si="0"/>
        <v>0</v>
      </c>
    </row>
    <row r="4" spans="1:74" ht="14.5">
      <c r="A4" s="380" t="s">
        <v>19</v>
      </c>
      <c r="B4" s="378" t="s">
        <v>223</v>
      </c>
      <c r="C4" s="378" t="s">
        <v>20</v>
      </c>
      <c r="D4" s="378" t="s">
        <v>420</v>
      </c>
      <c r="E4" s="378" t="s">
        <v>22</v>
      </c>
      <c r="F4" s="378" t="s">
        <v>224</v>
      </c>
      <c r="G4" s="376" t="s">
        <v>225</v>
      </c>
      <c r="H4" s="376" t="s">
        <v>421</v>
      </c>
      <c r="I4" s="376" t="s">
        <v>24</v>
      </c>
      <c r="J4" s="379" t="s">
        <v>422</v>
      </c>
      <c r="K4" s="377" t="s">
        <v>423</v>
      </c>
      <c r="L4" s="371" t="s">
        <v>228</v>
      </c>
      <c r="M4" s="371" t="s">
        <v>229</v>
      </c>
      <c r="N4" s="371" t="s">
        <v>230</v>
      </c>
      <c r="O4" s="377" t="s">
        <v>28</v>
      </c>
      <c r="P4" s="371" t="s">
        <v>424</v>
      </c>
      <c r="Q4" s="373" t="s">
        <v>425</v>
      </c>
      <c r="R4" s="371" t="s">
        <v>426</v>
      </c>
      <c r="S4" s="372" t="s">
        <v>104</v>
      </c>
      <c r="T4" s="372"/>
      <c r="U4" s="372"/>
      <c r="V4" s="372" t="s">
        <v>30</v>
      </c>
      <c r="W4" s="372"/>
      <c r="X4" s="372"/>
      <c r="Y4" s="372" t="s">
        <v>31</v>
      </c>
      <c r="Z4" s="372"/>
      <c r="AA4" s="370">
        <v>41</v>
      </c>
      <c r="AB4" s="370"/>
      <c r="AC4" s="370">
        <v>42</v>
      </c>
      <c r="AD4" s="370"/>
      <c r="AE4" s="370">
        <v>43</v>
      </c>
      <c r="AF4" s="370"/>
      <c r="AG4" s="370">
        <v>44</v>
      </c>
      <c r="AH4" s="370"/>
      <c r="AI4" s="370">
        <v>45</v>
      </c>
      <c r="AJ4" s="370"/>
      <c r="AK4" s="370">
        <v>46</v>
      </c>
      <c r="AL4" s="370"/>
      <c r="AM4" s="370">
        <v>47</v>
      </c>
      <c r="AN4" s="370"/>
      <c r="AO4" s="370">
        <f>AM4+1</f>
        <v>48</v>
      </c>
      <c r="AP4" s="370"/>
      <c r="AQ4" s="370">
        <f>+AO4+1</f>
        <v>49</v>
      </c>
      <c r="AR4" s="370"/>
      <c r="AS4" s="370">
        <f>+AQ4+1</f>
        <v>50</v>
      </c>
      <c r="AT4" s="370"/>
      <c r="AU4" s="370">
        <f>+AS4+1</f>
        <v>51</v>
      </c>
      <c r="AV4" s="370"/>
      <c r="AW4" s="370">
        <f>+AU4+1</f>
        <v>52</v>
      </c>
      <c r="AX4" s="370"/>
      <c r="AY4" s="370">
        <v>1</v>
      </c>
      <c r="AZ4" s="370"/>
      <c r="BA4" s="370">
        <f>+AY4+1</f>
        <v>2</v>
      </c>
      <c r="BB4" s="370"/>
      <c r="BC4" s="370">
        <f>+BA4+1</f>
        <v>3</v>
      </c>
      <c r="BD4" s="370"/>
      <c r="BE4" s="370">
        <f>+BC4+1</f>
        <v>4</v>
      </c>
      <c r="BF4" s="370"/>
      <c r="BG4" s="370">
        <f>+BE4+1</f>
        <v>5</v>
      </c>
      <c r="BH4" s="370"/>
      <c r="BI4" s="370">
        <f>+BG4+1</f>
        <v>6</v>
      </c>
      <c r="BJ4" s="370"/>
      <c r="BK4" s="370">
        <f>+BI4+1</f>
        <v>7</v>
      </c>
      <c r="BL4" s="370"/>
      <c r="BM4" s="370">
        <f>+BK4+1</f>
        <v>8</v>
      </c>
      <c r="BN4" s="370"/>
      <c r="BO4" s="370">
        <f>+BM4+1</f>
        <v>9</v>
      </c>
      <c r="BP4" s="370"/>
      <c r="BQ4" s="370">
        <f>+BO4+1</f>
        <v>10</v>
      </c>
      <c r="BR4" s="370"/>
      <c r="BS4" s="370">
        <f>+BQ4+1</f>
        <v>11</v>
      </c>
      <c r="BT4" s="370"/>
      <c r="BU4" s="370">
        <f>+BS4+1</f>
        <v>12</v>
      </c>
      <c r="BV4" s="370"/>
    </row>
    <row r="5" spans="1:74" ht="14.5">
      <c r="A5" s="380"/>
      <c r="B5" s="378"/>
      <c r="C5" s="378"/>
      <c r="D5" s="378"/>
      <c r="E5" s="378"/>
      <c r="F5" s="378"/>
      <c r="G5" s="376"/>
      <c r="H5" s="376"/>
      <c r="I5" s="376"/>
      <c r="J5" s="379"/>
      <c r="K5" s="377"/>
      <c r="L5" s="371"/>
      <c r="M5" s="371"/>
      <c r="N5" s="371"/>
      <c r="O5" s="377"/>
      <c r="P5" s="371"/>
      <c r="Q5" s="374"/>
      <c r="R5" s="371"/>
      <c r="S5" s="372"/>
      <c r="T5" s="372"/>
      <c r="U5" s="372"/>
      <c r="V5" s="372"/>
      <c r="W5" s="372"/>
      <c r="X5" s="372"/>
      <c r="Y5" s="372"/>
      <c r="Z5" s="372"/>
      <c r="AA5" s="370" t="s">
        <v>33</v>
      </c>
      <c r="AB5" s="370"/>
      <c r="AC5" s="370" t="s">
        <v>34</v>
      </c>
      <c r="AD5" s="370"/>
      <c r="AE5" s="370" t="s">
        <v>35</v>
      </c>
      <c r="AF5" s="370"/>
      <c r="AG5" s="370" t="s">
        <v>36</v>
      </c>
      <c r="AH5" s="370"/>
      <c r="AI5" s="370" t="s">
        <v>37</v>
      </c>
      <c r="AJ5" s="370"/>
      <c r="AK5" s="370" t="s">
        <v>38</v>
      </c>
      <c r="AL5" s="370"/>
      <c r="AM5" s="370" t="s">
        <v>39</v>
      </c>
      <c r="AN5" s="370"/>
      <c r="AO5" s="370" t="s">
        <v>40</v>
      </c>
      <c r="AP5" s="370"/>
      <c r="AQ5" s="370" t="s">
        <v>41</v>
      </c>
      <c r="AR5" s="370"/>
      <c r="AS5" s="370" t="s">
        <v>42</v>
      </c>
      <c r="AT5" s="370"/>
      <c r="AU5" s="370" t="s">
        <v>43</v>
      </c>
      <c r="AV5" s="370"/>
      <c r="AW5" s="370" t="s">
        <v>44</v>
      </c>
      <c r="AX5" s="370"/>
      <c r="AY5" s="370" t="s">
        <v>45</v>
      </c>
      <c r="AZ5" s="370"/>
      <c r="BA5" s="370" t="s">
        <v>46</v>
      </c>
      <c r="BB5" s="370"/>
      <c r="BC5" s="370" t="s">
        <v>47</v>
      </c>
      <c r="BD5" s="370"/>
      <c r="BE5" s="370" t="s">
        <v>48</v>
      </c>
      <c r="BF5" s="370"/>
      <c r="BG5" s="370" t="s">
        <v>49</v>
      </c>
      <c r="BH5" s="370"/>
      <c r="BI5" s="370" t="s">
        <v>231</v>
      </c>
      <c r="BJ5" s="370"/>
      <c r="BK5" s="370" t="s">
        <v>232</v>
      </c>
      <c r="BL5" s="370"/>
      <c r="BM5" s="370" t="s">
        <v>233</v>
      </c>
      <c r="BN5" s="370"/>
      <c r="BO5" s="370" t="s">
        <v>234</v>
      </c>
      <c r="BP5" s="370"/>
      <c r="BQ5" s="370" t="s">
        <v>235</v>
      </c>
      <c r="BR5" s="370"/>
      <c r="BS5" s="370" t="s">
        <v>236</v>
      </c>
      <c r="BT5" s="370"/>
      <c r="BU5" s="370" t="s">
        <v>427</v>
      </c>
      <c r="BV5" s="370"/>
    </row>
    <row r="6" spans="1:74" ht="21">
      <c r="A6" s="380"/>
      <c r="B6" s="378"/>
      <c r="C6" s="378"/>
      <c r="D6" s="378"/>
      <c r="E6" s="378"/>
      <c r="F6" s="378"/>
      <c r="G6" s="376"/>
      <c r="H6" s="376"/>
      <c r="I6" s="376"/>
      <c r="J6" s="379"/>
      <c r="K6" s="377"/>
      <c r="L6" s="371"/>
      <c r="M6" s="371"/>
      <c r="N6" s="371"/>
      <c r="O6" s="377"/>
      <c r="P6" s="371"/>
      <c r="Q6" s="375"/>
      <c r="R6" s="371"/>
      <c r="S6" s="47" t="s">
        <v>50</v>
      </c>
      <c r="T6" s="48" t="s">
        <v>32</v>
      </c>
      <c r="U6" s="48" t="s">
        <v>52</v>
      </c>
      <c r="V6" s="47" t="s">
        <v>50</v>
      </c>
      <c r="W6" s="48" t="s">
        <v>32</v>
      </c>
      <c r="X6" s="48" t="s">
        <v>52</v>
      </c>
      <c r="Y6" s="47" t="s">
        <v>53</v>
      </c>
      <c r="Z6" s="47" t="s">
        <v>54</v>
      </c>
      <c r="AA6" s="49" t="s">
        <v>50</v>
      </c>
      <c r="AB6" s="50" t="s">
        <v>32</v>
      </c>
      <c r="AC6" s="49" t="s">
        <v>50</v>
      </c>
      <c r="AD6" s="50" t="s">
        <v>32</v>
      </c>
      <c r="AE6" s="49" t="s">
        <v>50</v>
      </c>
      <c r="AF6" s="50" t="s">
        <v>32</v>
      </c>
      <c r="AG6" s="49" t="s">
        <v>50</v>
      </c>
      <c r="AH6" s="50" t="s">
        <v>32</v>
      </c>
      <c r="AI6" s="49" t="s">
        <v>50</v>
      </c>
      <c r="AJ6" s="50" t="s">
        <v>32</v>
      </c>
      <c r="AK6" s="49" t="s">
        <v>50</v>
      </c>
      <c r="AL6" s="50" t="s">
        <v>32</v>
      </c>
      <c r="AM6" s="49" t="s">
        <v>50</v>
      </c>
      <c r="AN6" s="50" t="s">
        <v>32</v>
      </c>
      <c r="AO6" s="49" t="s">
        <v>50</v>
      </c>
      <c r="AP6" s="50" t="s">
        <v>32</v>
      </c>
      <c r="AQ6" s="49" t="s">
        <v>50</v>
      </c>
      <c r="AR6" s="50" t="s">
        <v>32</v>
      </c>
      <c r="AS6" s="49" t="s">
        <v>50</v>
      </c>
      <c r="AT6" s="50" t="s">
        <v>32</v>
      </c>
      <c r="AU6" s="49" t="s">
        <v>50</v>
      </c>
      <c r="AV6" s="50" t="s">
        <v>32</v>
      </c>
      <c r="AW6" s="49" t="s">
        <v>50</v>
      </c>
      <c r="AX6" s="50" t="s">
        <v>32</v>
      </c>
      <c r="AY6" s="49" t="s">
        <v>50</v>
      </c>
      <c r="AZ6" s="50" t="s">
        <v>32</v>
      </c>
      <c r="BA6" s="49" t="s">
        <v>50</v>
      </c>
      <c r="BB6" s="50" t="s">
        <v>32</v>
      </c>
      <c r="BC6" s="49" t="s">
        <v>50</v>
      </c>
      <c r="BD6" s="50" t="s">
        <v>32</v>
      </c>
      <c r="BE6" s="49" t="s">
        <v>50</v>
      </c>
      <c r="BF6" s="50" t="s">
        <v>32</v>
      </c>
      <c r="BG6" s="49" t="s">
        <v>50</v>
      </c>
      <c r="BH6" s="50" t="s">
        <v>32</v>
      </c>
      <c r="BI6" s="49" t="s">
        <v>50</v>
      </c>
      <c r="BJ6" s="50" t="s">
        <v>32</v>
      </c>
      <c r="BK6" s="49" t="s">
        <v>50</v>
      </c>
      <c r="BL6" s="50" t="s">
        <v>32</v>
      </c>
      <c r="BM6" s="49" t="s">
        <v>50</v>
      </c>
      <c r="BN6" s="50" t="s">
        <v>32</v>
      </c>
      <c r="BO6" s="49" t="s">
        <v>50</v>
      </c>
      <c r="BP6" s="50" t="s">
        <v>32</v>
      </c>
      <c r="BQ6" s="49" t="s">
        <v>50</v>
      </c>
      <c r="BR6" s="50" t="s">
        <v>32</v>
      </c>
      <c r="BS6" s="49" t="s">
        <v>50</v>
      </c>
      <c r="BT6" s="50" t="s">
        <v>32</v>
      </c>
      <c r="BU6" s="49" t="s">
        <v>50</v>
      </c>
      <c r="BV6" s="50" t="s">
        <v>32</v>
      </c>
    </row>
    <row r="7" spans="1:74" ht="14.5">
      <c r="A7" s="51" t="s">
        <v>58</v>
      </c>
      <c r="B7" s="52">
        <v>294</v>
      </c>
      <c r="C7" s="52" t="s">
        <v>188</v>
      </c>
      <c r="D7" s="41">
        <f t="shared" ref="D7:D70" si="1">+WEEKNUM(I7)</f>
        <v>1</v>
      </c>
      <c r="E7" s="52" t="s">
        <v>157</v>
      </c>
      <c r="F7" s="52" t="s">
        <v>243</v>
      </c>
      <c r="G7" s="52" t="s">
        <v>162</v>
      </c>
      <c r="H7" s="52" t="s">
        <v>428</v>
      </c>
      <c r="I7" s="53">
        <v>45658</v>
      </c>
      <c r="J7" s="108">
        <v>2514</v>
      </c>
      <c r="K7" s="101"/>
      <c r="L7" s="101"/>
      <c r="M7" s="101">
        <f t="shared" ref="M7:M70" si="2">+J7-L7</f>
        <v>2514</v>
      </c>
      <c r="N7" s="54">
        <f t="shared" ref="N7:N70" si="3">+J7-K7</f>
        <v>2514</v>
      </c>
      <c r="O7" s="101" t="s">
        <v>429</v>
      </c>
      <c r="P7" s="102">
        <f t="shared" ref="P7:P70" si="4">J7/(R7*Q7)</f>
        <v>0.41899999999999998</v>
      </c>
      <c r="Q7" s="102">
        <v>6</v>
      </c>
      <c r="R7" s="99">
        <v>1000</v>
      </c>
      <c r="S7" s="55">
        <f t="shared" ref="S7:S38" si="5">+I7-(28)</f>
        <v>45630</v>
      </c>
      <c r="T7" s="55">
        <v>45620</v>
      </c>
      <c r="U7" s="56">
        <f t="shared" ref="U7:U70" ca="1" si="6">+IF(T7="",S7-TODAY(),S7-T7)</f>
        <v>10</v>
      </c>
      <c r="V7" s="55">
        <f t="shared" ref="V7:V70" si="7">+S7+16</f>
        <v>45646</v>
      </c>
      <c r="W7" s="55"/>
      <c r="X7" s="56">
        <f t="shared" ref="X7:X70" ca="1" si="8">+IF(W7="",V7-TODAY(),V7-W7)</f>
        <v>-194</v>
      </c>
      <c r="Y7" s="55"/>
      <c r="Z7" s="57"/>
      <c r="AA7" s="58" t="str">
        <f t="shared" ref="AA7:AA70" si="9">+IF($AA$4=WEEKNUM(S7),J7,"-")</f>
        <v>-</v>
      </c>
      <c r="AB7" s="59"/>
      <c r="AC7" s="58" t="str">
        <f t="shared" ref="AC7:AC70" si="10">+IF($AC$4=WEEKNUM(S7),J7,"")</f>
        <v/>
      </c>
      <c r="AD7" s="59"/>
      <c r="AE7" s="58" t="str">
        <f t="shared" ref="AE7:AE70" si="11">+IF($AE$4=WEEKNUM(S7),J7,"")</f>
        <v/>
      </c>
      <c r="AF7" s="59"/>
      <c r="AG7" s="58" t="str">
        <f t="shared" ref="AG7:AG70" si="12">+IF($AG$4=WEEKNUM(S7),J7,"")</f>
        <v/>
      </c>
      <c r="AH7" s="59"/>
      <c r="AI7" s="58" t="str">
        <f t="shared" ref="AI7:AI70" si="13">+IF($AI$4=WEEKNUM(S7),J7,"")</f>
        <v/>
      </c>
      <c r="AJ7" s="59"/>
      <c r="AK7" s="58" t="str">
        <f t="shared" ref="AK7:AK70" si="14">+IF($AK$4=WEEKNUM(S7),J7,"")</f>
        <v/>
      </c>
      <c r="AL7" s="59"/>
      <c r="AM7" s="58" t="str">
        <f t="shared" ref="AM7:AM70" si="15">+IF($AM$4=WEEKNUM(S7),J7,"")</f>
        <v/>
      </c>
      <c r="AN7" s="59"/>
      <c r="AO7" s="58" t="str">
        <f t="shared" ref="AO7:AO70" si="16">+IF($AO$4=WEEKNUM(S7),J7,"")</f>
        <v/>
      </c>
      <c r="AP7" s="59"/>
      <c r="AQ7" s="58">
        <f t="shared" ref="AQ7:AQ70" si="17">+IF($AQ$4=WEEKNUM(S7),J7,"")</f>
        <v>2514</v>
      </c>
      <c r="AR7" s="59"/>
      <c r="AS7" s="58" t="str">
        <f t="shared" ref="AS7:AS70" si="18">+IF($AS$4=WEEKNUM(S7),J7,"")</f>
        <v/>
      </c>
      <c r="AT7" s="59"/>
      <c r="AU7" s="58" t="str">
        <f t="shared" ref="AU7:AU70" si="19">+IF($AU$4=WEEKNUM(S7),J7,"")</f>
        <v/>
      </c>
      <c r="AV7" s="59"/>
      <c r="AW7" s="58" t="str">
        <f t="shared" ref="AW7:AW70" si="20">+IF($AW$4=WEEKNUM(S7),J7,"")</f>
        <v/>
      </c>
      <c r="AX7" s="59"/>
      <c r="AY7" s="58" t="str">
        <f t="shared" ref="AY7:AY70" si="21">+IF($AY$4=WEEKNUM(S7),J7,"")</f>
        <v/>
      </c>
      <c r="AZ7" s="59"/>
      <c r="BA7" s="58" t="str">
        <f t="shared" ref="BA7:BA70" si="22">+IF($BA$4=WEEKNUM(S7),J7,"")</f>
        <v/>
      </c>
      <c r="BB7" s="59"/>
      <c r="BC7" s="58" t="str">
        <f t="shared" ref="BC7:BC70" si="23">+IF($BC$4=WEEKNUM(S7),J7,"")</f>
        <v/>
      </c>
      <c r="BD7" s="59"/>
      <c r="BE7" s="58" t="str">
        <f t="shared" ref="BE7:BE70" si="24">+IF($BE$4=WEEKNUM(S7),J7,"")</f>
        <v/>
      </c>
      <c r="BF7" s="59"/>
      <c r="BG7" s="58" t="str">
        <f t="shared" ref="BG7:BG70" si="25">+IF($BG$4=WEEKNUM(S7),J7,"")</f>
        <v/>
      </c>
      <c r="BH7" s="59"/>
      <c r="BI7" s="58" t="str">
        <f t="shared" ref="BI7:BI70" si="26">+IF($BI$4=WEEKNUM(S7),J7,"")</f>
        <v/>
      </c>
      <c r="BJ7" s="59"/>
      <c r="BK7" s="58" t="str">
        <f t="shared" ref="BK7:BK70" si="27">+IF($BK$4=WEEKNUM(S7),J7,"")</f>
        <v/>
      </c>
      <c r="BL7" s="59"/>
      <c r="BM7" s="58" t="str">
        <f t="shared" ref="BM7:BM70" si="28">+IF($BM$4=WEEKNUM(S7),J7,"")</f>
        <v/>
      </c>
      <c r="BN7" s="59"/>
      <c r="BO7" s="58" t="str">
        <f t="shared" ref="BO7:BO70" si="29">+IF($BO$4=WEEKNUM(S7),J7,"")</f>
        <v/>
      </c>
      <c r="BP7" s="59"/>
      <c r="BQ7" s="58" t="str">
        <f t="shared" ref="BQ7:BQ70" si="30">+IF($BQ$4=WEEKNUM(S7),J7,"")</f>
        <v/>
      </c>
      <c r="BR7" s="59"/>
      <c r="BS7" s="58" t="str">
        <f t="shared" ref="BS7:BS70" si="31">+IF($BS$4=WEEKNUM(S7),J7,"")</f>
        <v/>
      </c>
      <c r="BT7" s="59"/>
      <c r="BU7" s="58" t="str">
        <f t="shared" ref="BU7:BU70" si="32">+IF($BU$4=WEEKNUM(S7),J7,"")</f>
        <v/>
      </c>
      <c r="BV7" s="59"/>
    </row>
    <row r="8" spans="1:74" ht="14.5">
      <c r="A8" s="51" t="s">
        <v>58</v>
      </c>
      <c r="B8" s="52">
        <v>294</v>
      </c>
      <c r="C8" s="52" t="s">
        <v>188</v>
      </c>
      <c r="D8" s="41">
        <f t="shared" si="1"/>
        <v>1</v>
      </c>
      <c r="E8" s="52" t="s">
        <v>390</v>
      </c>
      <c r="F8" s="52" t="s">
        <v>242</v>
      </c>
      <c r="G8" s="52" t="s">
        <v>162</v>
      </c>
      <c r="H8" s="52" t="s">
        <v>430</v>
      </c>
      <c r="I8" s="53">
        <v>45658</v>
      </c>
      <c r="J8" s="108">
        <v>1824</v>
      </c>
      <c r="K8" s="101"/>
      <c r="L8" s="101"/>
      <c r="M8" s="101">
        <f t="shared" si="2"/>
        <v>1824</v>
      </c>
      <c r="N8" s="54">
        <f t="shared" si="3"/>
        <v>1824</v>
      </c>
      <c r="O8" s="101" t="s">
        <v>431</v>
      </c>
      <c r="P8" s="102">
        <f t="shared" si="4"/>
        <v>2.5333333333333332</v>
      </c>
      <c r="Q8" s="102">
        <v>6</v>
      </c>
      <c r="R8" s="99">
        <v>120</v>
      </c>
      <c r="S8" s="55">
        <f t="shared" si="5"/>
        <v>45630</v>
      </c>
      <c r="T8" s="55">
        <v>45620</v>
      </c>
      <c r="U8" s="56">
        <f t="shared" ca="1" si="6"/>
        <v>10</v>
      </c>
      <c r="V8" s="55">
        <f t="shared" si="7"/>
        <v>45646</v>
      </c>
      <c r="W8" s="55"/>
      <c r="X8" s="56">
        <f t="shared" ca="1" si="8"/>
        <v>-194</v>
      </c>
      <c r="Y8" s="55"/>
      <c r="Z8" s="57"/>
      <c r="AA8" s="58" t="str">
        <f t="shared" si="9"/>
        <v>-</v>
      </c>
      <c r="AB8" s="59"/>
      <c r="AC8" s="58" t="str">
        <f t="shared" si="10"/>
        <v/>
      </c>
      <c r="AD8" s="59"/>
      <c r="AE8" s="58" t="str">
        <f t="shared" si="11"/>
        <v/>
      </c>
      <c r="AF8" s="59"/>
      <c r="AG8" s="58" t="str">
        <f t="shared" si="12"/>
        <v/>
      </c>
      <c r="AH8" s="59"/>
      <c r="AI8" s="58" t="str">
        <f t="shared" si="13"/>
        <v/>
      </c>
      <c r="AJ8" s="59"/>
      <c r="AK8" s="58" t="str">
        <f t="shared" si="14"/>
        <v/>
      </c>
      <c r="AL8" s="59"/>
      <c r="AM8" s="58" t="str">
        <f t="shared" si="15"/>
        <v/>
      </c>
      <c r="AN8" s="59"/>
      <c r="AO8" s="58" t="str">
        <f t="shared" si="16"/>
        <v/>
      </c>
      <c r="AP8" s="59"/>
      <c r="AQ8" s="58">
        <f t="shared" si="17"/>
        <v>1824</v>
      </c>
      <c r="AR8" s="59"/>
      <c r="AS8" s="58" t="str">
        <f t="shared" si="18"/>
        <v/>
      </c>
      <c r="AT8" s="59"/>
      <c r="AU8" s="58" t="str">
        <f t="shared" si="19"/>
        <v/>
      </c>
      <c r="AV8" s="59"/>
      <c r="AW8" s="58" t="str">
        <f t="shared" si="20"/>
        <v/>
      </c>
      <c r="AX8" s="59"/>
      <c r="AY8" s="58" t="str">
        <f t="shared" si="21"/>
        <v/>
      </c>
      <c r="AZ8" s="59"/>
      <c r="BA8" s="58" t="str">
        <f t="shared" si="22"/>
        <v/>
      </c>
      <c r="BB8" s="59"/>
      <c r="BC8" s="58" t="str">
        <f t="shared" si="23"/>
        <v/>
      </c>
      <c r="BD8" s="59"/>
      <c r="BE8" s="58" t="str">
        <f t="shared" si="24"/>
        <v/>
      </c>
      <c r="BF8" s="59"/>
      <c r="BG8" s="58" t="str">
        <f t="shared" si="25"/>
        <v/>
      </c>
      <c r="BH8" s="59"/>
      <c r="BI8" s="58" t="str">
        <f t="shared" si="26"/>
        <v/>
      </c>
      <c r="BJ8" s="59"/>
      <c r="BK8" s="58" t="str">
        <f t="shared" si="27"/>
        <v/>
      </c>
      <c r="BL8" s="59"/>
      <c r="BM8" s="58" t="str">
        <f t="shared" si="28"/>
        <v/>
      </c>
      <c r="BN8" s="59"/>
      <c r="BO8" s="58" t="str">
        <f t="shared" si="29"/>
        <v/>
      </c>
      <c r="BP8" s="59"/>
      <c r="BQ8" s="58" t="str">
        <f t="shared" si="30"/>
        <v/>
      </c>
      <c r="BR8" s="59"/>
      <c r="BS8" s="58" t="str">
        <f t="shared" si="31"/>
        <v/>
      </c>
      <c r="BT8" s="59"/>
      <c r="BU8" s="58" t="str">
        <f t="shared" si="32"/>
        <v/>
      </c>
      <c r="BV8" s="59"/>
    </row>
    <row r="9" spans="1:74" ht="14.5">
      <c r="A9" s="51" t="s">
        <v>58</v>
      </c>
      <c r="B9" s="52">
        <v>294</v>
      </c>
      <c r="C9" s="52" t="s">
        <v>188</v>
      </c>
      <c r="D9" s="41">
        <f t="shared" si="1"/>
        <v>1</v>
      </c>
      <c r="E9" s="52" t="s">
        <v>189</v>
      </c>
      <c r="F9" s="52" t="s">
        <v>242</v>
      </c>
      <c r="G9" s="52" t="s">
        <v>162</v>
      </c>
      <c r="H9" s="52" t="s">
        <v>432</v>
      </c>
      <c r="I9" s="53">
        <v>45658</v>
      </c>
      <c r="J9" s="108">
        <v>676</v>
      </c>
      <c r="K9" s="101"/>
      <c r="L9" s="101"/>
      <c r="M9" s="101">
        <f t="shared" si="2"/>
        <v>676</v>
      </c>
      <c r="N9" s="54">
        <f t="shared" si="3"/>
        <v>676</v>
      </c>
      <c r="O9" s="101" t="s">
        <v>178</v>
      </c>
      <c r="P9" s="102">
        <f t="shared" si="4"/>
        <v>0.93888888888888888</v>
      </c>
      <c r="Q9" s="102">
        <v>6</v>
      </c>
      <c r="R9" s="99">
        <v>120</v>
      </c>
      <c r="S9" s="55">
        <f t="shared" si="5"/>
        <v>45630</v>
      </c>
      <c r="T9" s="55">
        <v>45620</v>
      </c>
      <c r="U9" s="56">
        <f t="shared" ca="1" si="6"/>
        <v>10</v>
      </c>
      <c r="V9" s="55">
        <f t="shared" si="7"/>
        <v>45646</v>
      </c>
      <c r="W9" s="55"/>
      <c r="X9" s="56">
        <f t="shared" ca="1" si="8"/>
        <v>-194</v>
      </c>
      <c r="Y9" s="55"/>
      <c r="Z9" s="57"/>
      <c r="AA9" s="58" t="str">
        <f t="shared" si="9"/>
        <v>-</v>
      </c>
      <c r="AB9" s="59"/>
      <c r="AC9" s="58" t="str">
        <f t="shared" si="10"/>
        <v/>
      </c>
      <c r="AD9" s="59"/>
      <c r="AE9" s="58" t="str">
        <f t="shared" si="11"/>
        <v/>
      </c>
      <c r="AF9" s="59"/>
      <c r="AG9" s="58" t="str">
        <f t="shared" si="12"/>
        <v/>
      </c>
      <c r="AH9" s="59"/>
      <c r="AI9" s="58" t="str">
        <f t="shared" si="13"/>
        <v/>
      </c>
      <c r="AJ9" s="59"/>
      <c r="AK9" s="58" t="str">
        <f t="shared" si="14"/>
        <v/>
      </c>
      <c r="AL9" s="59"/>
      <c r="AM9" s="58" t="str">
        <f t="shared" si="15"/>
        <v/>
      </c>
      <c r="AN9" s="59"/>
      <c r="AO9" s="58" t="str">
        <f t="shared" si="16"/>
        <v/>
      </c>
      <c r="AP9" s="59"/>
      <c r="AQ9" s="58">
        <f t="shared" si="17"/>
        <v>676</v>
      </c>
      <c r="AR9" s="59"/>
      <c r="AS9" s="58" t="str">
        <f t="shared" si="18"/>
        <v/>
      </c>
      <c r="AT9" s="59"/>
      <c r="AU9" s="58" t="str">
        <f t="shared" si="19"/>
        <v/>
      </c>
      <c r="AV9" s="59"/>
      <c r="AW9" s="58" t="str">
        <f t="shared" si="20"/>
        <v/>
      </c>
      <c r="AX9" s="59"/>
      <c r="AY9" s="58" t="str">
        <f t="shared" si="21"/>
        <v/>
      </c>
      <c r="AZ9" s="59"/>
      <c r="BA9" s="58" t="str">
        <f t="shared" si="22"/>
        <v/>
      </c>
      <c r="BB9" s="59"/>
      <c r="BC9" s="58" t="str">
        <f t="shared" si="23"/>
        <v/>
      </c>
      <c r="BD9" s="59"/>
      <c r="BE9" s="58" t="str">
        <f t="shared" si="24"/>
        <v/>
      </c>
      <c r="BF9" s="59"/>
      <c r="BG9" s="58" t="str">
        <f t="shared" si="25"/>
        <v/>
      </c>
      <c r="BH9" s="59"/>
      <c r="BI9" s="58" t="str">
        <f t="shared" si="26"/>
        <v/>
      </c>
      <c r="BJ9" s="59"/>
      <c r="BK9" s="58" t="str">
        <f t="shared" si="27"/>
        <v/>
      </c>
      <c r="BL9" s="59"/>
      <c r="BM9" s="58" t="str">
        <f t="shared" si="28"/>
        <v/>
      </c>
      <c r="BN9" s="59"/>
      <c r="BO9" s="58" t="str">
        <f t="shared" si="29"/>
        <v/>
      </c>
      <c r="BP9" s="59"/>
      <c r="BQ9" s="58" t="str">
        <f t="shared" si="30"/>
        <v/>
      </c>
      <c r="BR9" s="59"/>
      <c r="BS9" s="58" t="str">
        <f t="shared" si="31"/>
        <v/>
      </c>
      <c r="BT9" s="59"/>
      <c r="BU9" s="58" t="str">
        <f t="shared" si="32"/>
        <v/>
      </c>
      <c r="BV9" s="59"/>
    </row>
    <row r="10" spans="1:74" ht="14.5">
      <c r="A10" s="51" t="s">
        <v>58</v>
      </c>
      <c r="B10" s="52">
        <v>294</v>
      </c>
      <c r="C10" s="52" t="s">
        <v>188</v>
      </c>
      <c r="D10" s="41">
        <f t="shared" si="1"/>
        <v>1</v>
      </c>
      <c r="E10" s="52" t="s">
        <v>391</v>
      </c>
      <c r="F10" s="52" t="s">
        <v>392</v>
      </c>
      <c r="G10" s="52" t="s">
        <v>393</v>
      </c>
      <c r="H10" s="52" t="s">
        <v>433</v>
      </c>
      <c r="I10" s="53">
        <v>45658</v>
      </c>
      <c r="J10" s="108">
        <v>1488</v>
      </c>
      <c r="K10" s="101"/>
      <c r="L10" s="101"/>
      <c r="M10" s="101">
        <f t="shared" si="2"/>
        <v>1488</v>
      </c>
      <c r="N10" s="54">
        <f t="shared" si="3"/>
        <v>1488</v>
      </c>
      <c r="O10" s="101" t="s">
        <v>178</v>
      </c>
      <c r="P10" s="102">
        <f t="shared" si="4"/>
        <v>3.1</v>
      </c>
      <c r="Q10" s="102">
        <v>6</v>
      </c>
      <c r="R10" s="99">
        <v>80</v>
      </c>
      <c r="S10" s="55">
        <f t="shared" si="5"/>
        <v>45630</v>
      </c>
      <c r="T10" s="55">
        <v>45620</v>
      </c>
      <c r="U10" s="56">
        <f t="shared" ca="1" si="6"/>
        <v>10</v>
      </c>
      <c r="V10" s="55">
        <f t="shared" si="7"/>
        <v>45646</v>
      </c>
      <c r="W10" s="55"/>
      <c r="X10" s="56">
        <f t="shared" ca="1" si="8"/>
        <v>-194</v>
      </c>
      <c r="Y10" s="55"/>
      <c r="Z10" s="57"/>
      <c r="AA10" s="58" t="str">
        <f t="shared" si="9"/>
        <v>-</v>
      </c>
      <c r="AB10" s="59"/>
      <c r="AC10" s="58" t="str">
        <f t="shared" si="10"/>
        <v/>
      </c>
      <c r="AD10" s="59"/>
      <c r="AE10" s="58" t="str">
        <f t="shared" si="11"/>
        <v/>
      </c>
      <c r="AF10" s="59"/>
      <c r="AG10" s="58" t="str">
        <f t="shared" si="12"/>
        <v/>
      </c>
      <c r="AH10" s="59"/>
      <c r="AI10" s="58" t="str">
        <f t="shared" si="13"/>
        <v/>
      </c>
      <c r="AJ10" s="59"/>
      <c r="AK10" s="58" t="str">
        <f t="shared" si="14"/>
        <v/>
      </c>
      <c r="AL10" s="59"/>
      <c r="AM10" s="58" t="str">
        <f t="shared" si="15"/>
        <v/>
      </c>
      <c r="AN10" s="59"/>
      <c r="AO10" s="58" t="str">
        <f t="shared" si="16"/>
        <v/>
      </c>
      <c r="AP10" s="59"/>
      <c r="AQ10" s="58">
        <f t="shared" si="17"/>
        <v>1488</v>
      </c>
      <c r="AR10" s="59"/>
      <c r="AS10" s="58" t="str">
        <f t="shared" si="18"/>
        <v/>
      </c>
      <c r="AT10" s="59"/>
      <c r="AU10" s="58" t="str">
        <f t="shared" si="19"/>
        <v/>
      </c>
      <c r="AV10" s="59"/>
      <c r="AW10" s="58" t="str">
        <f t="shared" si="20"/>
        <v/>
      </c>
      <c r="AX10" s="59"/>
      <c r="AY10" s="58" t="str">
        <f t="shared" si="21"/>
        <v/>
      </c>
      <c r="AZ10" s="59"/>
      <c r="BA10" s="58" t="str">
        <f t="shared" si="22"/>
        <v/>
      </c>
      <c r="BB10" s="59"/>
      <c r="BC10" s="58" t="str">
        <f t="shared" si="23"/>
        <v/>
      </c>
      <c r="BD10" s="59"/>
      <c r="BE10" s="58" t="str">
        <f t="shared" si="24"/>
        <v/>
      </c>
      <c r="BF10" s="59"/>
      <c r="BG10" s="58" t="str">
        <f t="shared" si="25"/>
        <v/>
      </c>
      <c r="BH10" s="59"/>
      <c r="BI10" s="58" t="str">
        <f t="shared" si="26"/>
        <v/>
      </c>
      <c r="BJ10" s="59"/>
      <c r="BK10" s="58" t="str">
        <f t="shared" si="27"/>
        <v/>
      </c>
      <c r="BL10" s="59"/>
      <c r="BM10" s="58" t="str">
        <f t="shared" si="28"/>
        <v/>
      </c>
      <c r="BN10" s="59"/>
      <c r="BO10" s="58" t="str">
        <f t="shared" si="29"/>
        <v/>
      </c>
      <c r="BP10" s="59"/>
      <c r="BQ10" s="58" t="str">
        <f t="shared" si="30"/>
        <v/>
      </c>
      <c r="BR10" s="59"/>
      <c r="BS10" s="58" t="str">
        <f t="shared" si="31"/>
        <v/>
      </c>
      <c r="BT10" s="59"/>
      <c r="BU10" s="58" t="str">
        <f t="shared" si="32"/>
        <v/>
      </c>
      <c r="BV10" s="59"/>
    </row>
    <row r="11" spans="1:74" ht="14.5">
      <c r="A11" s="51" t="s">
        <v>58</v>
      </c>
      <c r="B11" s="52">
        <v>317</v>
      </c>
      <c r="C11" s="52" t="s">
        <v>188</v>
      </c>
      <c r="D11" s="41">
        <f t="shared" si="1"/>
        <v>1</v>
      </c>
      <c r="E11" s="52" t="s">
        <v>390</v>
      </c>
      <c r="F11" s="52" t="s">
        <v>242</v>
      </c>
      <c r="G11" s="52" t="s">
        <v>162</v>
      </c>
      <c r="H11" s="52" t="s">
        <v>430</v>
      </c>
      <c r="I11" s="53">
        <v>45659</v>
      </c>
      <c r="J11" s="108">
        <v>3000</v>
      </c>
      <c r="K11" s="101"/>
      <c r="L11" s="101"/>
      <c r="M11" s="101">
        <f t="shared" si="2"/>
        <v>3000</v>
      </c>
      <c r="N11" s="54">
        <f t="shared" si="3"/>
        <v>3000</v>
      </c>
      <c r="O11" s="101" t="s">
        <v>431</v>
      </c>
      <c r="P11" s="102">
        <f t="shared" si="4"/>
        <v>4.166666666666667</v>
      </c>
      <c r="Q11" s="102">
        <v>6</v>
      </c>
      <c r="R11" s="99">
        <v>120</v>
      </c>
      <c r="S11" s="55">
        <f t="shared" si="5"/>
        <v>45631</v>
      </c>
      <c r="T11" s="55">
        <v>45606</v>
      </c>
      <c r="U11" s="56">
        <f t="shared" ca="1" si="6"/>
        <v>25</v>
      </c>
      <c r="V11" s="55">
        <f t="shared" si="7"/>
        <v>45647</v>
      </c>
      <c r="W11" s="55"/>
      <c r="X11" s="56">
        <f t="shared" ca="1" si="8"/>
        <v>-193</v>
      </c>
      <c r="Y11" s="55"/>
      <c r="Z11" s="57"/>
      <c r="AA11" s="58" t="str">
        <f t="shared" si="9"/>
        <v>-</v>
      </c>
      <c r="AB11" s="59"/>
      <c r="AC11" s="58" t="str">
        <f t="shared" si="10"/>
        <v/>
      </c>
      <c r="AD11" s="59"/>
      <c r="AE11" s="58" t="str">
        <f t="shared" si="11"/>
        <v/>
      </c>
      <c r="AF11" s="59"/>
      <c r="AG11" s="58" t="str">
        <f t="shared" si="12"/>
        <v/>
      </c>
      <c r="AH11" s="59"/>
      <c r="AI11" s="58" t="str">
        <f t="shared" si="13"/>
        <v/>
      </c>
      <c r="AJ11" s="59"/>
      <c r="AK11" s="58" t="str">
        <f t="shared" si="14"/>
        <v/>
      </c>
      <c r="AL11" s="59"/>
      <c r="AM11" s="58" t="str">
        <f t="shared" si="15"/>
        <v/>
      </c>
      <c r="AN11" s="59"/>
      <c r="AO11" s="58" t="str">
        <f t="shared" si="16"/>
        <v/>
      </c>
      <c r="AP11" s="59"/>
      <c r="AQ11" s="58">
        <f t="shared" si="17"/>
        <v>3000</v>
      </c>
      <c r="AR11" s="59"/>
      <c r="AS11" s="58" t="str">
        <f t="shared" si="18"/>
        <v/>
      </c>
      <c r="AT11" s="59"/>
      <c r="AU11" s="58" t="str">
        <f t="shared" si="19"/>
        <v/>
      </c>
      <c r="AV11" s="59"/>
      <c r="AW11" s="58" t="str">
        <f t="shared" si="20"/>
        <v/>
      </c>
      <c r="AX11" s="59"/>
      <c r="AY11" s="58" t="str">
        <f t="shared" si="21"/>
        <v/>
      </c>
      <c r="AZ11" s="59"/>
      <c r="BA11" s="58" t="str">
        <f t="shared" si="22"/>
        <v/>
      </c>
      <c r="BB11" s="59"/>
      <c r="BC11" s="58" t="str">
        <f t="shared" si="23"/>
        <v/>
      </c>
      <c r="BD11" s="59"/>
      <c r="BE11" s="58" t="str">
        <f t="shared" si="24"/>
        <v/>
      </c>
      <c r="BF11" s="59"/>
      <c r="BG11" s="58" t="str">
        <f t="shared" si="25"/>
        <v/>
      </c>
      <c r="BH11" s="59"/>
      <c r="BI11" s="58" t="str">
        <f t="shared" si="26"/>
        <v/>
      </c>
      <c r="BJ11" s="59"/>
      <c r="BK11" s="58" t="str">
        <f t="shared" si="27"/>
        <v/>
      </c>
      <c r="BL11" s="59"/>
      <c r="BM11" s="58" t="str">
        <f t="shared" si="28"/>
        <v/>
      </c>
      <c r="BN11" s="59"/>
      <c r="BO11" s="58" t="str">
        <f t="shared" si="29"/>
        <v/>
      </c>
      <c r="BP11" s="59"/>
      <c r="BQ11" s="58" t="str">
        <f t="shared" si="30"/>
        <v/>
      </c>
      <c r="BR11" s="59"/>
      <c r="BS11" s="58" t="str">
        <f t="shared" si="31"/>
        <v/>
      </c>
      <c r="BT11" s="59"/>
      <c r="BU11" s="58" t="str">
        <f t="shared" si="32"/>
        <v/>
      </c>
      <c r="BV11" s="59"/>
    </row>
    <row r="12" spans="1:74" ht="14.5">
      <c r="A12" s="51" t="s">
        <v>58</v>
      </c>
      <c r="B12" s="52">
        <v>317</v>
      </c>
      <c r="C12" s="52" t="s">
        <v>188</v>
      </c>
      <c r="D12" s="41">
        <f t="shared" si="1"/>
        <v>1</v>
      </c>
      <c r="E12" s="52" t="s">
        <v>391</v>
      </c>
      <c r="F12" s="52" t="s">
        <v>392</v>
      </c>
      <c r="G12" s="52" t="s">
        <v>393</v>
      </c>
      <c r="H12" s="52" t="s">
        <v>433</v>
      </c>
      <c r="I12" s="53">
        <v>45659</v>
      </c>
      <c r="J12" s="108">
        <v>2820</v>
      </c>
      <c r="K12" s="101"/>
      <c r="L12" s="101"/>
      <c r="M12" s="101">
        <f t="shared" si="2"/>
        <v>2820</v>
      </c>
      <c r="N12" s="54">
        <f t="shared" si="3"/>
        <v>2820</v>
      </c>
      <c r="O12" s="101" t="s">
        <v>178</v>
      </c>
      <c r="P12" s="102">
        <f t="shared" si="4"/>
        <v>5.875</v>
      </c>
      <c r="Q12" s="102">
        <v>6</v>
      </c>
      <c r="R12" s="99">
        <v>80</v>
      </c>
      <c r="S12" s="55">
        <f t="shared" si="5"/>
        <v>45631</v>
      </c>
      <c r="T12" s="55">
        <v>45606</v>
      </c>
      <c r="U12" s="56">
        <f t="shared" ca="1" si="6"/>
        <v>25</v>
      </c>
      <c r="V12" s="55">
        <f t="shared" si="7"/>
        <v>45647</v>
      </c>
      <c r="W12" s="55"/>
      <c r="X12" s="56">
        <f t="shared" ca="1" si="8"/>
        <v>-193</v>
      </c>
      <c r="Y12" s="55"/>
      <c r="Z12" s="57"/>
      <c r="AA12" s="58" t="str">
        <f t="shared" si="9"/>
        <v>-</v>
      </c>
      <c r="AB12" s="59"/>
      <c r="AC12" s="58" t="str">
        <f t="shared" si="10"/>
        <v/>
      </c>
      <c r="AD12" s="59"/>
      <c r="AE12" s="58" t="str">
        <f t="shared" si="11"/>
        <v/>
      </c>
      <c r="AF12" s="59"/>
      <c r="AG12" s="58" t="str">
        <f t="shared" si="12"/>
        <v/>
      </c>
      <c r="AH12" s="59"/>
      <c r="AI12" s="58" t="str">
        <f t="shared" si="13"/>
        <v/>
      </c>
      <c r="AJ12" s="59"/>
      <c r="AK12" s="58" t="str">
        <f t="shared" si="14"/>
        <v/>
      </c>
      <c r="AL12" s="59"/>
      <c r="AM12" s="58" t="str">
        <f t="shared" si="15"/>
        <v/>
      </c>
      <c r="AN12" s="59"/>
      <c r="AO12" s="58" t="str">
        <f t="shared" si="16"/>
        <v/>
      </c>
      <c r="AP12" s="59"/>
      <c r="AQ12" s="58">
        <f t="shared" si="17"/>
        <v>2820</v>
      </c>
      <c r="AR12" s="59"/>
      <c r="AS12" s="58" t="str">
        <f t="shared" si="18"/>
        <v/>
      </c>
      <c r="AT12" s="59"/>
      <c r="AU12" s="58" t="str">
        <f t="shared" si="19"/>
        <v/>
      </c>
      <c r="AV12" s="59"/>
      <c r="AW12" s="58" t="str">
        <f t="shared" si="20"/>
        <v/>
      </c>
      <c r="AX12" s="59"/>
      <c r="AY12" s="58" t="str">
        <f t="shared" si="21"/>
        <v/>
      </c>
      <c r="AZ12" s="59"/>
      <c r="BA12" s="58" t="str">
        <f t="shared" si="22"/>
        <v/>
      </c>
      <c r="BB12" s="59"/>
      <c r="BC12" s="58" t="str">
        <f t="shared" si="23"/>
        <v/>
      </c>
      <c r="BD12" s="59"/>
      <c r="BE12" s="58" t="str">
        <f t="shared" si="24"/>
        <v/>
      </c>
      <c r="BF12" s="59"/>
      <c r="BG12" s="58" t="str">
        <f t="shared" si="25"/>
        <v/>
      </c>
      <c r="BH12" s="59"/>
      <c r="BI12" s="58" t="str">
        <f t="shared" si="26"/>
        <v/>
      </c>
      <c r="BJ12" s="59"/>
      <c r="BK12" s="58" t="str">
        <f t="shared" si="27"/>
        <v/>
      </c>
      <c r="BL12" s="59"/>
      <c r="BM12" s="58" t="str">
        <f t="shared" si="28"/>
        <v/>
      </c>
      <c r="BN12" s="59"/>
      <c r="BO12" s="58" t="str">
        <f t="shared" si="29"/>
        <v/>
      </c>
      <c r="BP12" s="59"/>
      <c r="BQ12" s="58" t="str">
        <f t="shared" si="30"/>
        <v/>
      </c>
      <c r="BR12" s="59"/>
      <c r="BS12" s="58" t="str">
        <f t="shared" si="31"/>
        <v/>
      </c>
      <c r="BT12" s="59"/>
      <c r="BU12" s="58" t="str">
        <f t="shared" si="32"/>
        <v/>
      </c>
      <c r="BV12" s="59"/>
    </row>
    <row r="13" spans="1:74" ht="14.5">
      <c r="A13" s="51" t="s">
        <v>58</v>
      </c>
      <c r="B13" s="52">
        <v>349</v>
      </c>
      <c r="C13" s="52" t="s">
        <v>188</v>
      </c>
      <c r="D13" s="41">
        <f t="shared" si="1"/>
        <v>1</v>
      </c>
      <c r="E13" s="52" t="s">
        <v>193</v>
      </c>
      <c r="F13" s="52" t="s">
        <v>246</v>
      </c>
      <c r="G13" s="52" t="s">
        <v>162</v>
      </c>
      <c r="H13" s="52" t="s">
        <v>434</v>
      </c>
      <c r="I13" s="53">
        <v>45659</v>
      </c>
      <c r="J13" s="108">
        <v>3465</v>
      </c>
      <c r="K13" s="101"/>
      <c r="L13" s="101"/>
      <c r="M13" s="101">
        <f t="shared" si="2"/>
        <v>3465</v>
      </c>
      <c r="N13" s="54">
        <f t="shared" si="3"/>
        <v>3465</v>
      </c>
      <c r="O13" s="101" t="s">
        <v>178</v>
      </c>
      <c r="P13" s="102">
        <f t="shared" si="4"/>
        <v>9.9</v>
      </c>
      <c r="Q13" s="102">
        <v>1</v>
      </c>
      <c r="R13" s="99">
        <v>350</v>
      </c>
      <c r="S13" s="55">
        <f t="shared" si="5"/>
        <v>45631</v>
      </c>
      <c r="T13" s="55">
        <v>45620</v>
      </c>
      <c r="U13" s="56">
        <f t="shared" ca="1" si="6"/>
        <v>11</v>
      </c>
      <c r="V13" s="55">
        <f t="shared" si="7"/>
        <v>45647</v>
      </c>
      <c r="W13" s="55"/>
      <c r="X13" s="56">
        <f t="shared" ca="1" si="8"/>
        <v>-193</v>
      </c>
      <c r="Y13" s="55"/>
      <c r="Z13" s="57"/>
      <c r="AA13" s="58" t="str">
        <f t="shared" si="9"/>
        <v>-</v>
      </c>
      <c r="AB13" s="59"/>
      <c r="AC13" s="58" t="str">
        <f t="shared" si="10"/>
        <v/>
      </c>
      <c r="AD13" s="59"/>
      <c r="AE13" s="58" t="str">
        <f t="shared" si="11"/>
        <v/>
      </c>
      <c r="AF13" s="59"/>
      <c r="AG13" s="58" t="str">
        <f t="shared" si="12"/>
        <v/>
      </c>
      <c r="AH13" s="59"/>
      <c r="AI13" s="58" t="str">
        <f t="shared" si="13"/>
        <v/>
      </c>
      <c r="AJ13" s="59"/>
      <c r="AK13" s="58" t="str">
        <f t="shared" si="14"/>
        <v/>
      </c>
      <c r="AL13" s="59"/>
      <c r="AM13" s="58" t="str">
        <f t="shared" si="15"/>
        <v/>
      </c>
      <c r="AN13" s="59"/>
      <c r="AO13" s="58" t="str">
        <f t="shared" si="16"/>
        <v/>
      </c>
      <c r="AP13" s="59"/>
      <c r="AQ13" s="58">
        <f t="shared" si="17"/>
        <v>3465</v>
      </c>
      <c r="AR13" s="59"/>
      <c r="AS13" s="58" t="str">
        <f t="shared" si="18"/>
        <v/>
      </c>
      <c r="AT13" s="59"/>
      <c r="AU13" s="58" t="str">
        <f t="shared" si="19"/>
        <v/>
      </c>
      <c r="AV13" s="59"/>
      <c r="AW13" s="58" t="str">
        <f t="shared" si="20"/>
        <v/>
      </c>
      <c r="AX13" s="59"/>
      <c r="AY13" s="58" t="str">
        <f t="shared" si="21"/>
        <v/>
      </c>
      <c r="AZ13" s="59"/>
      <c r="BA13" s="58" t="str">
        <f t="shared" si="22"/>
        <v/>
      </c>
      <c r="BB13" s="59"/>
      <c r="BC13" s="58" t="str">
        <f t="shared" si="23"/>
        <v/>
      </c>
      <c r="BD13" s="59"/>
      <c r="BE13" s="58" t="str">
        <f t="shared" si="24"/>
        <v/>
      </c>
      <c r="BF13" s="59"/>
      <c r="BG13" s="58" t="str">
        <f t="shared" si="25"/>
        <v/>
      </c>
      <c r="BH13" s="59"/>
      <c r="BI13" s="58" t="str">
        <f t="shared" si="26"/>
        <v/>
      </c>
      <c r="BJ13" s="59"/>
      <c r="BK13" s="58" t="str">
        <f t="shared" si="27"/>
        <v/>
      </c>
      <c r="BL13" s="59"/>
      <c r="BM13" s="58" t="str">
        <f t="shared" si="28"/>
        <v/>
      </c>
      <c r="BN13" s="59"/>
      <c r="BO13" s="58" t="str">
        <f t="shared" si="29"/>
        <v/>
      </c>
      <c r="BP13" s="59"/>
      <c r="BQ13" s="58" t="str">
        <f t="shared" si="30"/>
        <v/>
      </c>
      <c r="BR13" s="59"/>
      <c r="BS13" s="58" t="str">
        <f t="shared" si="31"/>
        <v/>
      </c>
      <c r="BT13" s="59"/>
      <c r="BU13" s="58" t="str">
        <f t="shared" si="32"/>
        <v/>
      </c>
      <c r="BV13" s="59"/>
    </row>
    <row r="14" spans="1:74" ht="14.5">
      <c r="A14" s="51" t="s">
        <v>58</v>
      </c>
      <c r="B14" s="52">
        <v>349</v>
      </c>
      <c r="C14" s="52" t="s">
        <v>188</v>
      </c>
      <c r="D14" s="41">
        <f t="shared" si="1"/>
        <v>1</v>
      </c>
      <c r="E14" s="52" t="s">
        <v>81</v>
      </c>
      <c r="F14" s="52" t="s">
        <v>290</v>
      </c>
      <c r="G14" s="52" t="s">
        <v>291</v>
      </c>
      <c r="H14" s="52" t="s">
        <v>435</v>
      </c>
      <c r="I14" s="53">
        <v>45659</v>
      </c>
      <c r="J14" s="108">
        <v>1536</v>
      </c>
      <c r="K14" s="101"/>
      <c r="L14" s="101"/>
      <c r="M14" s="101">
        <f t="shared" si="2"/>
        <v>1536</v>
      </c>
      <c r="N14" s="54">
        <f t="shared" si="3"/>
        <v>1536</v>
      </c>
      <c r="O14" s="101" t="s">
        <v>436</v>
      </c>
      <c r="P14" s="102">
        <f t="shared" si="4"/>
        <v>0.16666666666666666</v>
      </c>
      <c r="Q14" s="102">
        <v>6</v>
      </c>
      <c r="R14" s="99">
        <v>1536</v>
      </c>
      <c r="S14" s="55">
        <f t="shared" si="5"/>
        <v>45631</v>
      </c>
      <c r="T14" s="55"/>
      <c r="U14" s="56">
        <f t="shared" ca="1" si="6"/>
        <v>-209</v>
      </c>
      <c r="V14" s="55">
        <f t="shared" si="7"/>
        <v>45647</v>
      </c>
      <c r="W14" s="55"/>
      <c r="X14" s="56">
        <f t="shared" ca="1" si="8"/>
        <v>-193</v>
      </c>
      <c r="Y14" s="55"/>
      <c r="Z14" s="57"/>
      <c r="AA14" s="58" t="str">
        <f t="shared" si="9"/>
        <v>-</v>
      </c>
      <c r="AB14" s="59"/>
      <c r="AC14" s="58" t="str">
        <f t="shared" si="10"/>
        <v/>
      </c>
      <c r="AD14" s="59"/>
      <c r="AE14" s="58" t="str">
        <f t="shared" si="11"/>
        <v/>
      </c>
      <c r="AF14" s="59"/>
      <c r="AG14" s="58" t="str">
        <f t="shared" si="12"/>
        <v/>
      </c>
      <c r="AH14" s="59"/>
      <c r="AI14" s="58" t="str">
        <f t="shared" si="13"/>
        <v/>
      </c>
      <c r="AJ14" s="59"/>
      <c r="AK14" s="58" t="str">
        <f t="shared" si="14"/>
        <v/>
      </c>
      <c r="AL14" s="59"/>
      <c r="AM14" s="58" t="str">
        <f t="shared" si="15"/>
        <v/>
      </c>
      <c r="AN14" s="59"/>
      <c r="AO14" s="58" t="str">
        <f t="shared" si="16"/>
        <v/>
      </c>
      <c r="AP14" s="59"/>
      <c r="AQ14" s="58">
        <f t="shared" si="17"/>
        <v>1536</v>
      </c>
      <c r="AR14" s="59"/>
      <c r="AS14" s="58" t="str">
        <f t="shared" si="18"/>
        <v/>
      </c>
      <c r="AT14" s="59"/>
      <c r="AU14" s="58" t="str">
        <f t="shared" si="19"/>
        <v/>
      </c>
      <c r="AV14" s="59"/>
      <c r="AW14" s="58" t="str">
        <f t="shared" si="20"/>
        <v/>
      </c>
      <c r="AX14" s="59"/>
      <c r="AY14" s="58" t="str">
        <f t="shared" si="21"/>
        <v/>
      </c>
      <c r="AZ14" s="59"/>
      <c r="BA14" s="58" t="str">
        <f t="shared" si="22"/>
        <v/>
      </c>
      <c r="BB14" s="59"/>
      <c r="BC14" s="58" t="str">
        <f t="shared" si="23"/>
        <v/>
      </c>
      <c r="BD14" s="59"/>
      <c r="BE14" s="58" t="str">
        <f t="shared" si="24"/>
        <v/>
      </c>
      <c r="BF14" s="59"/>
      <c r="BG14" s="58" t="str">
        <f t="shared" si="25"/>
        <v/>
      </c>
      <c r="BH14" s="59"/>
      <c r="BI14" s="58" t="str">
        <f t="shared" si="26"/>
        <v/>
      </c>
      <c r="BJ14" s="59"/>
      <c r="BK14" s="58" t="str">
        <f t="shared" si="27"/>
        <v/>
      </c>
      <c r="BL14" s="59"/>
      <c r="BM14" s="58" t="str">
        <f t="shared" si="28"/>
        <v/>
      </c>
      <c r="BN14" s="59"/>
      <c r="BO14" s="58" t="str">
        <f t="shared" si="29"/>
        <v/>
      </c>
      <c r="BP14" s="59"/>
      <c r="BQ14" s="58" t="str">
        <f t="shared" si="30"/>
        <v/>
      </c>
      <c r="BR14" s="59"/>
      <c r="BS14" s="58" t="str">
        <f t="shared" si="31"/>
        <v/>
      </c>
      <c r="BT14" s="59"/>
      <c r="BU14" s="58" t="str">
        <f t="shared" si="32"/>
        <v/>
      </c>
      <c r="BV14" s="59"/>
    </row>
    <row r="15" spans="1:74" ht="14.5">
      <c r="A15" s="51" t="s">
        <v>58</v>
      </c>
      <c r="B15" s="52">
        <v>349</v>
      </c>
      <c r="C15" s="52" t="s">
        <v>188</v>
      </c>
      <c r="D15" s="41">
        <f t="shared" si="1"/>
        <v>1</v>
      </c>
      <c r="E15" s="52" t="s">
        <v>81</v>
      </c>
      <c r="F15" s="52" t="s">
        <v>290</v>
      </c>
      <c r="G15" s="52" t="s">
        <v>293</v>
      </c>
      <c r="H15" s="52" t="s">
        <v>435</v>
      </c>
      <c r="I15" s="53">
        <v>45659</v>
      </c>
      <c r="J15" s="108">
        <v>1536</v>
      </c>
      <c r="K15" s="101"/>
      <c r="L15" s="101"/>
      <c r="M15" s="101">
        <f t="shared" si="2"/>
        <v>1536</v>
      </c>
      <c r="N15" s="54">
        <f t="shared" si="3"/>
        <v>1536</v>
      </c>
      <c r="O15" s="101" t="s">
        <v>436</v>
      </c>
      <c r="P15" s="102">
        <f t="shared" si="4"/>
        <v>0.16666666666666666</v>
      </c>
      <c r="Q15" s="102">
        <v>6</v>
      </c>
      <c r="R15" s="99">
        <v>1536</v>
      </c>
      <c r="S15" s="55">
        <f t="shared" si="5"/>
        <v>45631</v>
      </c>
      <c r="T15" s="55"/>
      <c r="U15" s="56">
        <f t="shared" ca="1" si="6"/>
        <v>-209</v>
      </c>
      <c r="V15" s="55">
        <f t="shared" si="7"/>
        <v>45647</v>
      </c>
      <c r="W15" s="55"/>
      <c r="X15" s="56">
        <f t="shared" ca="1" si="8"/>
        <v>-193</v>
      </c>
      <c r="Y15" s="55"/>
      <c r="Z15" s="57"/>
      <c r="AA15" s="58" t="str">
        <f t="shared" si="9"/>
        <v>-</v>
      </c>
      <c r="AB15" s="59"/>
      <c r="AC15" s="58" t="str">
        <f t="shared" si="10"/>
        <v/>
      </c>
      <c r="AD15" s="59"/>
      <c r="AE15" s="58" t="str">
        <f t="shared" si="11"/>
        <v/>
      </c>
      <c r="AF15" s="59"/>
      <c r="AG15" s="58" t="str">
        <f t="shared" si="12"/>
        <v/>
      </c>
      <c r="AH15" s="59"/>
      <c r="AI15" s="58" t="str">
        <f t="shared" si="13"/>
        <v/>
      </c>
      <c r="AJ15" s="59"/>
      <c r="AK15" s="58" t="str">
        <f t="shared" si="14"/>
        <v/>
      </c>
      <c r="AL15" s="59"/>
      <c r="AM15" s="58" t="str">
        <f t="shared" si="15"/>
        <v/>
      </c>
      <c r="AN15" s="59"/>
      <c r="AO15" s="58" t="str">
        <f t="shared" si="16"/>
        <v/>
      </c>
      <c r="AP15" s="59"/>
      <c r="AQ15" s="58">
        <f t="shared" si="17"/>
        <v>1536</v>
      </c>
      <c r="AR15" s="59"/>
      <c r="AS15" s="58" t="str">
        <f t="shared" si="18"/>
        <v/>
      </c>
      <c r="AT15" s="59"/>
      <c r="AU15" s="58" t="str">
        <f t="shared" si="19"/>
        <v/>
      </c>
      <c r="AV15" s="59"/>
      <c r="AW15" s="58" t="str">
        <f t="shared" si="20"/>
        <v/>
      </c>
      <c r="AX15" s="59"/>
      <c r="AY15" s="58" t="str">
        <f t="shared" si="21"/>
        <v/>
      </c>
      <c r="AZ15" s="59"/>
      <c r="BA15" s="58" t="str">
        <f t="shared" si="22"/>
        <v/>
      </c>
      <c r="BB15" s="59"/>
      <c r="BC15" s="58" t="str">
        <f t="shared" si="23"/>
        <v/>
      </c>
      <c r="BD15" s="59"/>
      <c r="BE15" s="58" t="str">
        <f t="shared" si="24"/>
        <v/>
      </c>
      <c r="BF15" s="59"/>
      <c r="BG15" s="58" t="str">
        <f t="shared" si="25"/>
        <v/>
      </c>
      <c r="BH15" s="59"/>
      <c r="BI15" s="58" t="str">
        <f t="shared" si="26"/>
        <v/>
      </c>
      <c r="BJ15" s="59"/>
      <c r="BK15" s="58" t="str">
        <f t="shared" si="27"/>
        <v/>
      </c>
      <c r="BL15" s="59"/>
      <c r="BM15" s="58" t="str">
        <f t="shared" si="28"/>
        <v/>
      </c>
      <c r="BN15" s="59"/>
      <c r="BO15" s="58" t="str">
        <f t="shared" si="29"/>
        <v/>
      </c>
      <c r="BP15" s="59"/>
      <c r="BQ15" s="58" t="str">
        <f t="shared" si="30"/>
        <v/>
      </c>
      <c r="BR15" s="59"/>
      <c r="BS15" s="58" t="str">
        <f t="shared" si="31"/>
        <v/>
      </c>
      <c r="BT15" s="59"/>
      <c r="BU15" s="58" t="str">
        <f t="shared" si="32"/>
        <v/>
      </c>
      <c r="BV15" s="59"/>
    </row>
    <row r="16" spans="1:74" ht="14.5">
      <c r="A16" s="51" t="s">
        <v>58</v>
      </c>
      <c r="B16" s="52">
        <v>349</v>
      </c>
      <c r="C16" s="52" t="s">
        <v>188</v>
      </c>
      <c r="D16" s="41">
        <f t="shared" si="1"/>
        <v>1</v>
      </c>
      <c r="E16" s="52" t="s">
        <v>81</v>
      </c>
      <c r="F16" s="52" t="s">
        <v>290</v>
      </c>
      <c r="G16" s="52" t="s">
        <v>294</v>
      </c>
      <c r="H16" s="52" t="s">
        <v>435</v>
      </c>
      <c r="I16" s="53">
        <v>45659</v>
      </c>
      <c r="J16" s="108">
        <v>1536</v>
      </c>
      <c r="K16" s="101"/>
      <c r="L16" s="101"/>
      <c r="M16" s="101">
        <f t="shared" si="2"/>
        <v>1536</v>
      </c>
      <c r="N16" s="54">
        <f t="shared" si="3"/>
        <v>1536</v>
      </c>
      <c r="O16" s="101" t="s">
        <v>436</v>
      </c>
      <c r="P16" s="102">
        <f t="shared" si="4"/>
        <v>0.16666666666666666</v>
      </c>
      <c r="Q16" s="102">
        <v>6</v>
      </c>
      <c r="R16" s="99">
        <v>1536</v>
      </c>
      <c r="S16" s="55">
        <f t="shared" si="5"/>
        <v>45631</v>
      </c>
      <c r="T16" s="55"/>
      <c r="U16" s="56">
        <f t="shared" ca="1" si="6"/>
        <v>-209</v>
      </c>
      <c r="V16" s="55">
        <f t="shared" si="7"/>
        <v>45647</v>
      </c>
      <c r="W16" s="55"/>
      <c r="X16" s="56">
        <f t="shared" ca="1" si="8"/>
        <v>-193</v>
      </c>
      <c r="Y16" s="55"/>
      <c r="Z16" s="57"/>
      <c r="AA16" s="58" t="str">
        <f t="shared" si="9"/>
        <v>-</v>
      </c>
      <c r="AB16" s="59"/>
      <c r="AC16" s="58" t="str">
        <f t="shared" si="10"/>
        <v/>
      </c>
      <c r="AD16" s="59"/>
      <c r="AE16" s="58" t="str">
        <f t="shared" si="11"/>
        <v/>
      </c>
      <c r="AF16" s="59"/>
      <c r="AG16" s="58" t="str">
        <f t="shared" si="12"/>
        <v/>
      </c>
      <c r="AH16" s="59"/>
      <c r="AI16" s="58" t="str">
        <f t="shared" si="13"/>
        <v/>
      </c>
      <c r="AJ16" s="59"/>
      <c r="AK16" s="58" t="str">
        <f t="shared" si="14"/>
        <v/>
      </c>
      <c r="AL16" s="59"/>
      <c r="AM16" s="58" t="str">
        <f t="shared" si="15"/>
        <v/>
      </c>
      <c r="AN16" s="59"/>
      <c r="AO16" s="58" t="str">
        <f t="shared" si="16"/>
        <v/>
      </c>
      <c r="AP16" s="59"/>
      <c r="AQ16" s="58">
        <f t="shared" si="17"/>
        <v>1536</v>
      </c>
      <c r="AR16" s="59"/>
      <c r="AS16" s="58" t="str">
        <f t="shared" si="18"/>
        <v/>
      </c>
      <c r="AT16" s="59"/>
      <c r="AU16" s="58" t="str">
        <f t="shared" si="19"/>
        <v/>
      </c>
      <c r="AV16" s="59"/>
      <c r="AW16" s="58" t="str">
        <f t="shared" si="20"/>
        <v/>
      </c>
      <c r="AX16" s="59"/>
      <c r="AY16" s="58" t="str">
        <f t="shared" si="21"/>
        <v/>
      </c>
      <c r="AZ16" s="59"/>
      <c r="BA16" s="58" t="str">
        <f t="shared" si="22"/>
        <v/>
      </c>
      <c r="BB16" s="59"/>
      <c r="BC16" s="58" t="str">
        <f t="shared" si="23"/>
        <v/>
      </c>
      <c r="BD16" s="59"/>
      <c r="BE16" s="58" t="str">
        <f t="shared" si="24"/>
        <v/>
      </c>
      <c r="BF16" s="59"/>
      <c r="BG16" s="58" t="str">
        <f t="shared" si="25"/>
        <v/>
      </c>
      <c r="BH16" s="59"/>
      <c r="BI16" s="58" t="str">
        <f t="shared" si="26"/>
        <v/>
      </c>
      <c r="BJ16" s="59"/>
      <c r="BK16" s="58" t="str">
        <f t="shared" si="27"/>
        <v/>
      </c>
      <c r="BL16" s="59"/>
      <c r="BM16" s="58" t="str">
        <f t="shared" si="28"/>
        <v/>
      </c>
      <c r="BN16" s="59"/>
      <c r="BO16" s="58" t="str">
        <f t="shared" si="29"/>
        <v/>
      </c>
      <c r="BP16" s="59"/>
      <c r="BQ16" s="58" t="str">
        <f t="shared" si="30"/>
        <v/>
      </c>
      <c r="BR16" s="59"/>
      <c r="BS16" s="58" t="str">
        <f t="shared" si="31"/>
        <v/>
      </c>
      <c r="BT16" s="59"/>
      <c r="BU16" s="58" t="str">
        <f t="shared" si="32"/>
        <v/>
      </c>
      <c r="BV16" s="59"/>
    </row>
    <row r="17" spans="1:74" ht="14.5">
      <c r="A17" s="51" t="s">
        <v>58</v>
      </c>
      <c r="B17" s="52">
        <v>349</v>
      </c>
      <c r="C17" s="52" t="s">
        <v>188</v>
      </c>
      <c r="D17" s="41">
        <f t="shared" si="1"/>
        <v>1</v>
      </c>
      <c r="E17" s="52" t="s">
        <v>390</v>
      </c>
      <c r="F17" s="52" t="s">
        <v>242</v>
      </c>
      <c r="G17" s="52" t="s">
        <v>162</v>
      </c>
      <c r="H17" s="52" t="s">
        <v>430</v>
      </c>
      <c r="I17" s="53">
        <v>45659</v>
      </c>
      <c r="J17" s="108">
        <v>2340</v>
      </c>
      <c r="K17" s="101"/>
      <c r="L17" s="101"/>
      <c r="M17" s="101">
        <f t="shared" si="2"/>
        <v>2340</v>
      </c>
      <c r="N17" s="54">
        <f t="shared" si="3"/>
        <v>2340</v>
      </c>
      <c r="O17" s="101" t="s">
        <v>431</v>
      </c>
      <c r="P17" s="102">
        <f t="shared" si="4"/>
        <v>3.25</v>
      </c>
      <c r="Q17" s="102">
        <v>6</v>
      </c>
      <c r="R17" s="99">
        <v>120</v>
      </c>
      <c r="S17" s="55">
        <f t="shared" si="5"/>
        <v>45631</v>
      </c>
      <c r="T17" s="55">
        <v>45620</v>
      </c>
      <c r="U17" s="56">
        <f t="shared" ca="1" si="6"/>
        <v>11</v>
      </c>
      <c r="V17" s="55">
        <f t="shared" si="7"/>
        <v>45647</v>
      </c>
      <c r="W17" s="55"/>
      <c r="X17" s="56">
        <f t="shared" ca="1" si="8"/>
        <v>-193</v>
      </c>
      <c r="Y17" s="55"/>
      <c r="Z17" s="57"/>
      <c r="AA17" s="58" t="str">
        <f t="shared" si="9"/>
        <v>-</v>
      </c>
      <c r="AB17" s="59"/>
      <c r="AC17" s="58" t="str">
        <f t="shared" si="10"/>
        <v/>
      </c>
      <c r="AD17" s="59"/>
      <c r="AE17" s="58" t="str">
        <f t="shared" si="11"/>
        <v/>
      </c>
      <c r="AF17" s="59"/>
      <c r="AG17" s="58" t="str">
        <f t="shared" si="12"/>
        <v/>
      </c>
      <c r="AH17" s="59"/>
      <c r="AI17" s="58" t="str">
        <f t="shared" si="13"/>
        <v/>
      </c>
      <c r="AJ17" s="59"/>
      <c r="AK17" s="58" t="str">
        <f t="shared" si="14"/>
        <v/>
      </c>
      <c r="AL17" s="59"/>
      <c r="AM17" s="58" t="str">
        <f t="shared" si="15"/>
        <v/>
      </c>
      <c r="AN17" s="59"/>
      <c r="AO17" s="58" t="str">
        <f t="shared" si="16"/>
        <v/>
      </c>
      <c r="AP17" s="59"/>
      <c r="AQ17" s="58">
        <f t="shared" si="17"/>
        <v>2340</v>
      </c>
      <c r="AR17" s="59"/>
      <c r="AS17" s="58" t="str">
        <f t="shared" si="18"/>
        <v/>
      </c>
      <c r="AT17" s="59"/>
      <c r="AU17" s="58" t="str">
        <f t="shared" si="19"/>
        <v/>
      </c>
      <c r="AV17" s="59"/>
      <c r="AW17" s="58" t="str">
        <f t="shared" si="20"/>
        <v/>
      </c>
      <c r="AX17" s="59"/>
      <c r="AY17" s="58" t="str">
        <f t="shared" si="21"/>
        <v/>
      </c>
      <c r="AZ17" s="59"/>
      <c r="BA17" s="58" t="str">
        <f t="shared" si="22"/>
        <v/>
      </c>
      <c r="BB17" s="59"/>
      <c r="BC17" s="58" t="str">
        <f t="shared" si="23"/>
        <v/>
      </c>
      <c r="BD17" s="59"/>
      <c r="BE17" s="58" t="str">
        <f t="shared" si="24"/>
        <v/>
      </c>
      <c r="BF17" s="59"/>
      <c r="BG17" s="58" t="str">
        <f t="shared" si="25"/>
        <v/>
      </c>
      <c r="BH17" s="59"/>
      <c r="BI17" s="58" t="str">
        <f t="shared" si="26"/>
        <v/>
      </c>
      <c r="BJ17" s="59"/>
      <c r="BK17" s="58" t="str">
        <f t="shared" si="27"/>
        <v/>
      </c>
      <c r="BL17" s="59"/>
      <c r="BM17" s="58" t="str">
        <f t="shared" si="28"/>
        <v/>
      </c>
      <c r="BN17" s="59"/>
      <c r="BO17" s="58" t="str">
        <f t="shared" si="29"/>
        <v/>
      </c>
      <c r="BP17" s="59"/>
      <c r="BQ17" s="58" t="str">
        <f t="shared" si="30"/>
        <v/>
      </c>
      <c r="BR17" s="59"/>
      <c r="BS17" s="58" t="str">
        <f t="shared" si="31"/>
        <v/>
      </c>
      <c r="BT17" s="59"/>
      <c r="BU17" s="58" t="str">
        <f t="shared" si="32"/>
        <v/>
      </c>
      <c r="BV17" s="59"/>
    </row>
    <row r="18" spans="1:74" ht="14.5">
      <c r="A18" s="51" t="s">
        <v>58</v>
      </c>
      <c r="B18" s="52">
        <v>349</v>
      </c>
      <c r="C18" s="52" t="s">
        <v>188</v>
      </c>
      <c r="D18" s="41">
        <f t="shared" si="1"/>
        <v>1</v>
      </c>
      <c r="E18" s="52" t="s">
        <v>245</v>
      </c>
      <c r="F18" s="52" t="s">
        <v>242</v>
      </c>
      <c r="G18" s="52" t="s">
        <v>244</v>
      </c>
      <c r="H18" s="52" t="s">
        <v>432</v>
      </c>
      <c r="I18" s="53">
        <v>45659</v>
      </c>
      <c r="J18" s="108">
        <v>288</v>
      </c>
      <c r="K18" s="101"/>
      <c r="L18" s="101"/>
      <c r="M18" s="101">
        <f t="shared" si="2"/>
        <v>288</v>
      </c>
      <c r="N18" s="54">
        <f t="shared" si="3"/>
        <v>288</v>
      </c>
      <c r="O18" s="101" t="s">
        <v>431</v>
      </c>
      <c r="P18" s="102">
        <f t="shared" si="4"/>
        <v>0.4</v>
      </c>
      <c r="Q18" s="102">
        <v>6</v>
      </c>
      <c r="R18" s="99">
        <v>120</v>
      </c>
      <c r="S18" s="55">
        <f t="shared" si="5"/>
        <v>45631</v>
      </c>
      <c r="T18" s="55">
        <v>45620</v>
      </c>
      <c r="U18" s="56">
        <f t="shared" ca="1" si="6"/>
        <v>11</v>
      </c>
      <c r="V18" s="55">
        <f t="shared" si="7"/>
        <v>45647</v>
      </c>
      <c r="W18" s="55"/>
      <c r="X18" s="56">
        <f t="shared" ca="1" si="8"/>
        <v>-193</v>
      </c>
      <c r="Y18" s="55"/>
      <c r="Z18" s="57"/>
      <c r="AA18" s="58" t="str">
        <f t="shared" si="9"/>
        <v>-</v>
      </c>
      <c r="AB18" s="59"/>
      <c r="AC18" s="58" t="str">
        <f t="shared" si="10"/>
        <v/>
      </c>
      <c r="AD18" s="59"/>
      <c r="AE18" s="58" t="str">
        <f t="shared" si="11"/>
        <v/>
      </c>
      <c r="AF18" s="59"/>
      <c r="AG18" s="58" t="str">
        <f t="shared" si="12"/>
        <v/>
      </c>
      <c r="AH18" s="59"/>
      <c r="AI18" s="58" t="str">
        <f t="shared" si="13"/>
        <v/>
      </c>
      <c r="AJ18" s="59"/>
      <c r="AK18" s="58" t="str">
        <f t="shared" si="14"/>
        <v/>
      </c>
      <c r="AL18" s="59"/>
      <c r="AM18" s="58" t="str">
        <f t="shared" si="15"/>
        <v/>
      </c>
      <c r="AN18" s="59"/>
      <c r="AO18" s="58" t="str">
        <f t="shared" si="16"/>
        <v/>
      </c>
      <c r="AP18" s="59"/>
      <c r="AQ18" s="58">
        <f t="shared" si="17"/>
        <v>288</v>
      </c>
      <c r="AR18" s="59"/>
      <c r="AS18" s="58" t="str">
        <f t="shared" si="18"/>
        <v/>
      </c>
      <c r="AT18" s="59"/>
      <c r="AU18" s="58" t="str">
        <f t="shared" si="19"/>
        <v/>
      </c>
      <c r="AV18" s="59"/>
      <c r="AW18" s="58" t="str">
        <f t="shared" si="20"/>
        <v/>
      </c>
      <c r="AX18" s="59"/>
      <c r="AY18" s="58" t="str">
        <f t="shared" si="21"/>
        <v/>
      </c>
      <c r="AZ18" s="59"/>
      <c r="BA18" s="58" t="str">
        <f t="shared" si="22"/>
        <v/>
      </c>
      <c r="BB18" s="59"/>
      <c r="BC18" s="58" t="str">
        <f t="shared" si="23"/>
        <v/>
      </c>
      <c r="BD18" s="59"/>
      <c r="BE18" s="58" t="str">
        <f t="shared" si="24"/>
        <v/>
      </c>
      <c r="BF18" s="59"/>
      <c r="BG18" s="58" t="str">
        <f t="shared" si="25"/>
        <v/>
      </c>
      <c r="BH18" s="59"/>
      <c r="BI18" s="58" t="str">
        <f t="shared" si="26"/>
        <v/>
      </c>
      <c r="BJ18" s="59"/>
      <c r="BK18" s="58" t="str">
        <f t="shared" si="27"/>
        <v/>
      </c>
      <c r="BL18" s="59"/>
      <c r="BM18" s="58" t="str">
        <f t="shared" si="28"/>
        <v/>
      </c>
      <c r="BN18" s="59"/>
      <c r="BO18" s="58" t="str">
        <f t="shared" si="29"/>
        <v/>
      </c>
      <c r="BP18" s="59"/>
      <c r="BQ18" s="58" t="str">
        <f t="shared" si="30"/>
        <v/>
      </c>
      <c r="BR18" s="59"/>
      <c r="BS18" s="58" t="str">
        <f t="shared" si="31"/>
        <v/>
      </c>
      <c r="BT18" s="59"/>
      <c r="BU18" s="58" t="str">
        <f t="shared" si="32"/>
        <v/>
      </c>
      <c r="BV18" s="59"/>
    </row>
    <row r="19" spans="1:74" ht="14.5">
      <c r="A19" s="51" t="s">
        <v>58</v>
      </c>
      <c r="B19" s="52">
        <v>349</v>
      </c>
      <c r="C19" s="52" t="s">
        <v>188</v>
      </c>
      <c r="D19" s="41">
        <f t="shared" si="1"/>
        <v>1</v>
      </c>
      <c r="E19" s="52" t="s">
        <v>158</v>
      </c>
      <c r="F19" s="52" t="s">
        <v>242</v>
      </c>
      <c r="G19" s="52" t="s">
        <v>155</v>
      </c>
      <c r="H19" s="52" t="s">
        <v>432</v>
      </c>
      <c r="I19" s="53">
        <v>45659</v>
      </c>
      <c r="J19" s="108">
        <v>300</v>
      </c>
      <c r="K19" s="101"/>
      <c r="L19" s="101"/>
      <c r="M19" s="101">
        <f t="shared" si="2"/>
        <v>300</v>
      </c>
      <c r="N19" s="54">
        <f t="shared" si="3"/>
        <v>300</v>
      </c>
      <c r="O19" s="101" t="s">
        <v>437</v>
      </c>
      <c r="P19" s="102">
        <f t="shared" si="4"/>
        <v>0.41666666666666669</v>
      </c>
      <c r="Q19" s="102">
        <v>6</v>
      </c>
      <c r="R19" s="99">
        <v>120</v>
      </c>
      <c r="S19" s="55">
        <f t="shared" si="5"/>
        <v>45631</v>
      </c>
      <c r="T19" s="55">
        <v>45620</v>
      </c>
      <c r="U19" s="56">
        <f t="shared" ca="1" si="6"/>
        <v>11</v>
      </c>
      <c r="V19" s="55">
        <f t="shared" si="7"/>
        <v>45647</v>
      </c>
      <c r="W19" s="55"/>
      <c r="X19" s="56">
        <f t="shared" ca="1" si="8"/>
        <v>-193</v>
      </c>
      <c r="Y19" s="55"/>
      <c r="Z19" s="57"/>
      <c r="AA19" s="58" t="str">
        <f t="shared" si="9"/>
        <v>-</v>
      </c>
      <c r="AB19" s="59"/>
      <c r="AC19" s="58" t="str">
        <f t="shared" si="10"/>
        <v/>
      </c>
      <c r="AD19" s="59"/>
      <c r="AE19" s="58" t="str">
        <f t="shared" si="11"/>
        <v/>
      </c>
      <c r="AF19" s="59"/>
      <c r="AG19" s="58" t="str">
        <f t="shared" si="12"/>
        <v/>
      </c>
      <c r="AH19" s="59"/>
      <c r="AI19" s="58" t="str">
        <f t="shared" si="13"/>
        <v/>
      </c>
      <c r="AJ19" s="59"/>
      <c r="AK19" s="58" t="str">
        <f t="shared" si="14"/>
        <v/>
      </c>
      <c r="AL19" s="59"/>
      <c r="AM19" s="58" t="str">
        <f t="shared" si="15"/>
        <v/>
      </c>
      <c r="AN19" s="59"/>
      <c r="AO19" s="58" t="str">
        <f t="shared" si="16"/>
        <v/>
      </c>
      <c r="AP19" s="59"/>
      <c r="AQ19" s="58">
        <f t="shared" si="17"/>
        <v>300</v>
      </c>
      <c r="AR19" s="59"/>
      <c r="AS19" s="58" t="str">
        <f t="shared" si="18"/>
        <v/>
      </c>
      <c r="AT19" s="59"/>
      <c r="AU19" s="58" t="str">
        <f t="shared" si="19"/>
        <v/>
      </c>
      <c r="AV19" s="59"/>
      <c r="AW19" s="58" t="str">
        <f t="shared" si="20"/>
        <v/>
      </c>
      <c r="AX19" s="59"/>
      <c r="AY19" s="58" t="str">
        <f t="shared" si="21"/>
        <v/>
      </c>
      <c r="AZ19" s="59"/>
      <c r="BA19" s="58" t="str">
        <f t="shared" si="22"/>
        <v/>
      </c>
      <c r="BB19" s="59"/>
      <c r="BC19" s="58" t="str">
        <f t="shared" si="23"/>
        <v/>
      </c>
      <c r="BD19" s="59"/>
      <c r="BE19" s="58" t="str">
        <f t="shared" si="24"/>
        <v/>
      </c>
      <c r="BF19" s="59"/>
      <c r="BG19" s="58" t="str">
        <f t="shared" si="25"/>
        <v/>
      </c>
      <c r="BH19" s="59"/>
      <c r="BI19" s="58" t="str">
        <f t="shared" si="26"/>
        <v/>
      </c>
      <c r="BJ19" s="59"/>
      <c r="BK19" s="58" t="str">
        <f t="shared" si="27"/>
        <v/>
      </c>
      <c r="BL19" s="59"/>
      <c r="BM19" s="58" t="str">
        <f t="shared" si="28"/>
        <v/>
      </c>
      <c r="BN19" s="59"/>
      <c r="BO19" s="58" t="str">
        <f t="shared" si="29"/>
        <v/>
      </c>
      <c r="BP19" s="59"/>
      <c r="BQ19" s="58" t="str">
        <f t="shared" si="30"/>
        <v/>
      </c>
      <c r="BR19" s="59"/>
      <c r="BS19" s="58" t="str">
        <f t="shared" si="31"/>
        <v/>
      </c>
      <c r="BT19" s="59"/>
      <c r="BU19" s="58" t="str">
        <f t="shared" si="32"/>
        <v/>
      </c>
      <c r="BV19" s="59"/>
    </row>
    <row r="20" spans="1:74" ht="14.5">
      <c r="A20" s="51" t="s">
        <v>58</v>
      </c>
      <c r="B20" s="52">
        <v>349</v>
      </c>
      <c r="C20" s="52" t="s">
        <v>188</v>
      </c>
      <c r="D20" s="41">
        <f t="shared" si="1"/>
        <v>1</v>
      </c>
      <c r="E20" s="52" t="s">
        <v>189</v>
      </c>
      <c r="F20" s="52" t="s">
        <v>242</v>
      </c>
      <c r="G20" s="52" t="s">
        <v>162</v>
      </c>
      <c r="H20" s="52" t="s">
        <v>432</v>
      </c>
      <c r="I20" s="53">
        <v>45659</v>
      </c>
      <c r="J20" s="108">
        <v>1336</v>
      </c>
      <c r="K20" s="101"/>
      <c r="L20" s="101"/>
      <c r="M20" s="101">
        <f t="shared" si="2"/>
        <v>1336</v>
      </c>
      <c r="N20" s="54">
        <f t="shared" si="3"/>
        <v>1336</v>
      </c>
      <c r="O20" s="101" t="s">
        <v>178</v>
      </c>
      <c r="P20" s="102">
        <f t="shared" si="4"/>
        <v>1.8555555555555556</v>
      </c>
      <c r="Q20" s="102">
        <v>6</v>
      </c>
      <c r="R20" s="99">
        <v>120</v>
      </c>
      <c r="S20" s="55">
        <f t="shared" si="5"/>
        <v>45631</v>
      </c>
      <c r="T20" s="55">
        <v>45620</v>
      </c>
      <c r="U20" s="56">
        <f t="shared" ca="1" si="6"/>
        <v>11</v>
      </c>
      <c r="V20" s="55">
        <f t="shared" si="7"/>
        <v>45647</v>
      </c>
      <c r="W20" s="55"/>
      <c r="X20" s="56">
        <f t="shared" ca="1" si="8"/>
        <v>-193</v>
      </c>
      <c r="Y20" s="55"/>
      <c r="Z20" s="57"/>
      <c r="AA20" s="58" t="str">
        <f t="shared" si="9"/>
        <v>-</v>
      </c>
      <c r="AB20" s="59"/>
      <c r="AC20" s="58" t="str">
        <f t="shared" si="10"/>
        <v/>
      </c>
      <c r="AD20" s="59"/>
      <c r="AE20" s="58" t="str">
        <f t="shared" si="11"/>
        <v/>
      </c>
      <c r="AF20" s="59"/>
      <c r="AG20" s="58" t="str">
        <f t="shared" si="12"/>
        <v/>
      </c>
      <c r="AH20" s="59"/>
      <c r="AI20" s="58" t="str">
        <f t="shared" si="13"/>
        <v/>
      </c>
      <c r="AJ20" s="59"/>
      <c r="AK20" s="58" t="str">
        <f t="shared" si="14"/>
        <v/>
      </c>
      <c r="AL20" s="59"/>
      <c r="AM20" s="58" t="str">
        <f t="shared" si="15"/>
        <v/>
      </c>
      <c r="AN20" s="59"/>
      <c r="AO20" s="58" t="str">
        <f t="shared" si="16"/>
        <v/>
      </c>
      <c r="AP20" s="59"/>
      <c r="AQ20" s="58">
        <f t="shared" si="17"/>
        <v>1336</v>
      </c>
      <c r="AR20" s="59"/>
      <c r="AS20" s="58" t="str">
        <f t="shared" si="18"/>
        <v/>
      </c>
      <c r="AT20" s="59"/>
      <c r="AU20" s="58" t="str">
        <f t="shared" si="19"/>
        <v/>
      </c>
      <c r="AV20" s="59"/>
      <c r="AW20" s="58" t="str">
        <f t="shared" si="20"/>
        <v/>
      </c>
      <c r="AX20" s="59"/>
      <c r="AY20" s="58" t="str">
        <f t="shared" si="21"/>
        <v/>
      </c>
      <c r="AZ20" s="59"/>
      <c r="BA20" s="58" t="str">
        <f t="shared" si="22"/>
        <v/>
      </c>
      <c r="BB20" s="59"/>
      <c r="BC20" s="58" t="str">
        <f t="shared" si="23"/>
        <v/>
      </c>
      <c r="BD20" s="59"/>
      <c r="BE20" s="58" t="str">
        <f t="shared" si="24"/>
        <v/>
      </c>
      <c r="BF20" s="59"/>
      <c r="BG20" s="58" t="str">
        <f t="shared" si="25"/>
        <v/>
      </c>
      <c r="BH20" s="59"/>
      <c r="BI20" s="58" t="str">
        <f t="shared" si="26"/>
        <v/>
      </c>
      <c r="BJ20" s="59"/>
      <c r="BK20" s="58" t="str">
        <f t="shared" si="27"/>
        <v/>
      </c>
      <c r="BL20" s="59"/>
      <c r="BM20" s="58" t="str">
        <f t="shared" si="28"/>
        <v/>
      </c>
      <c r="BN20" s="59"/>
      <c r="BO20" s="58" t="str">
        <f t="shared" si="29"/>
        <v/>
      </c>
      <c r="BP20" s="59"/>
      <c r="BQ20" s="58" t="str">
        <f t="shared" si="30"/>
        <v/>
      </c>
      <c r="BR20" s="59"/>
      <c r="BS20" s="58" t="str">
        <f t="shared" si="31"/>
        <v/>
      </c>
      <c r="BT20" s="59"/>
      <c r="BU20" s="58" t="str">
        <f t="shared" si="32"/>
        <v/>
      </c>
      <c r="BV20" s="59"/>
    </row>
    <row r="21" spans="1:74" ht="14.5">
      <c r="A21" s="51" t="s">
        <v>58</v>
      </c>
      <c r="B21" s="52">
        <v>354</v>
      </c>
      <c r="C21" s="52" t="s">
        <v>188</v>
      </c>
      <c r="D21" s="41">
        <f t="shared" si="1"/>
        <v>1</v>
      </c>
      <c r="E21" s="52" t="s">
        <v>390</v>
      </c>
      <c r="F21" s="52" t="s">
        <v>242</v>
      </c>
      <c r="G21" s="52" t="s">
        <v>162</v>
      </c>
      <c r="H21" s="52" t="s">
        <v>430</v>
      </c>
      <c r="I21" s="53">
        <v>45659</v>
      </c>
      <c r="J21" s="108">
        <v>2112</v>
      </c>
      <c r="K21" s="101"/>
      <c r="L21" s="101"/>
      <c r="M21" s="101">
        <f t="shared" si="2"/>
        <v>2112</v>
      </c>
      <c r="N21" s="54">
        <f t="shared" si="3"/>
        <v>2112</v>
      </c>
      <c r="O21" s="101" t="s">
        <v>431</v>
      </c>
      <c r="P21" s="102">
        <f t="shared" si="4"/>
        <v>2.9333333333333331</v>
      </c>
      <c r="Q21" s="102">
        <v>6</v>
      </c>
      <c r="R21" s="99">
        <v>120</v>
      </c>
      <c r="S21" s="55">
        <f t="shared" si="5"/>
        <v>45631</v>
      </c>
      <c r="T21" s="55">
        <v>45627</v>
      </c>
      <c r="U21" s="56">
        <f t="shared" ca="1" si="6"/>
        <v>4</v>
      </c>
      <c r="V21" s="55">
        <f t="shared" si="7"/>
        <v>45647</v>
      </c>
      <c r="W21" s="55"/>
      <c r="X21" s="56">
        <f t="shared" ca="1" si="8"/>
        <v>-193</v>
      </c>
      <c r="Y21" s="55"/>
      <c r="Z21" s="57"/>
      <c r="AA21" s="58" t="str">
        <f t="shared" si="9"/>
        <v>-</v>
      </c>
      <c r="AB21" s="59"/>
      <c r="AC21" s="58" t="str">
        <f t="shared" si="10"/>
        <v/>
      </c>
      <c r="AD21" s="59"/>
      <c r="AE21" s="58" t="str">
        <f t="shared" si="11"/>
        <v/>
      </c>
      <c r="AF21" s="59"/>
      <c r="AG21" s="58" t="str">
        <f t="shared" si="12"/>
        <v/>
      </c>
      <c r="AH21" s="59"/>
      <c r="AI21" s="58" t="str">
        <f t="shared" si="13"/>
        <v/>
      </c>
      <c r="AJ21" s="59"/>
      <c r="AK21" s="58" t="str">
        <f t="shared" si="14"/>
        <v/>
      </c>
      <c r="AL21" s="59"/>
      <c r="AM21" s="58" t="str">
        <f t="shared" si="15"/>
        <v/>
      </c>
      <c r="AN21" s="59"/>
      <c r="AO21" s="58" t="str">
        <f t="shared" si="16"/>
        <v/>
      </c>
      <c r="AP21" s="59"/>
      <c r="AQ21" s="58">
        <f t="shared" si="17"/>
        <v>2112</v>
      </c>
      <c r="AR21" s="59"/>
      <c r="AS21" s="58" t="str">
        <f t="shared" si="18"/>
        <v/>
      </c>
      <c r="AT21" s="59"/>
      <c r="AU21" s="58" t="str">
        <f t="shared" si="19"/>
        <v/>
      </c>
      <c r="AV21" s="59"/>
      <c r="AW21" s="58" t="str">
        <f t="shared" si="20"/>
        <v/>
      </c>
      <c r="AX21" s="59"/>
      <c r="AY21" s="58" t="str">
        <f t="shared" si="21"/>
        <v/>
      </c>
      <c r="AZ21" s="59"/>
      <c r="BA21" s="58" t="str">
        <f t="shared" si="22"/>
        <v/>
      </c>
      <c r="BB21" s="59"/>
      <c r="BC21" s="58" t="str">
        <f t="shared" si="23"/>
        <v/>
      </c>
      <c r="BD21" s="59"/>
      <c r="BE21" s="58" t="str">
        <f t="shared" si="24"/>
        <v/>
      </c>
      <c r="BF21" s="59"/>
      <c r="BG21" s="58" t="str">
        <f t="shared" si="25"/>
        <v/>
      </c>
      <c r="BH21" s="59"/>
      <c r="BI21" s="58" t="str">
        <f t="shared" si="26"/>
        <v/>
      </c>
      <c r="BJ21" s="59"/>
      <c r="BK21" s="58" t="str">
        <f t="shared" si="27"/>
        <v/>
      </c>
      <c r="BL21" s="59"/>
      <c r="BM21" s="58" t="str">
        <f t="shared" si="28"/>
        <v/>
      </c>
      <c r="BN21" s="59"/>
      <c r="BO21" s="58" t="str">
        <f t="shared" si="29"/>
        <v/>
      </c>
      <c r="BP21" s="59"/>
      <c r="BQ21" s="58" t="str">
        <f t="shared" si="30"/>
        <v/>
      </c>
      <c r="BR21" s="59"/>
      <c r="BS21" s="58" t="str">
        <f t="shared" si="31"/>
        <v/>
      </c>
      <c r="BT21" s="59"/>
      <c r="BU21" s="58" t="str">
        <f t="shared" si="32"/>
        <v/>
      </c>
      <c r="BV21" s="59"/>
    </row>
    <row r="22" spans="1:74" ht="14.5">
      <c r="A22" s="51" t="s">
        <v>58</v>
      </c>
      <c r="B22" s="52">
        <v>354</v>
      </c>
      <c r="C22" s="52" t="s">
        <v>188</v>
      </c>
      <c r="D22" s="41">
        <f t="shared" si="1"/>
        <v>1</v>
      </c>
      <c r="E22" s="52" t="s">
        <v>189</v>
      </c>
      <c r="F22" s="52" t="s">
        <v>242</v>
      </c>
      <c r="G22" s="52" t="s">
        <v>162</v>
      </c>
      <c r="H22" s="52" t="s">
        <v>432</v>
      </c>
      <c r="I22" s="53">
        <v>45659</v>
      </c>
      <c r="J22" s="108">
        <v>1040</v>
      </c>
      <c r="K22" s="101"/>
      <c r="L22" s="101"/>
      <c r="M22" s="101">
        <f t="shared" si="2"/>
        <v>1040</v>
      </c>
      <c r="N22" s="54">
        <f t="shared" si="3"/>
        <v>1040</v>
      </c>
      <c r="O22" s="101" t="s">
        <v>178</v>
      </c>
      <c r="P22" s="102">
        <f t="shared" si="4"/>
        <v>1.4444444444444444</v>
      </c>
      <c r="Q22" s="102">
        <v>6</v>
      </c>
      <c r="R22" s="99">
        <v>120</v>
      </c>
      <c r="S22" s="55">
        <f t="shared" si="5"/>
        <v>45631</v>
      </c>
      <c r="T22" s="55">
        <v>45627</v>
      </c>
      <c r="U22" s="56">
        <f t="shared" ca="1" si="6"/>
        <v>4</v>
      </c>
      <c r="V22" s="55">
        <f t="shared" si="7"/>
        <v>45647</v>
      </c>
      <c r="W22" s="55"/>
      <c r="X22" s="56">
        <f t="shared" ca="1" si="8"/>
        <v>-193</v>
      </c>
      <c r="Y22" s="55"/>
      <c r="Z22" s="57"/>
      <c r="AA22" s="58" t="str">
        <f t="shared" si="9"/>
        <v>-</v>
      </c>
      <c r="AB22" s="59"/>
      <c r="AC22" s="58" t="str">
        <f t="shared" si="10"/>
        <v/>
      </c>
      <c r="AD22" s="59"/>
      <c r="AE22" s="58" t="str">
        <f t="shared" si="11"/>
        <v/>
      </c>
      <c r="AF22" s="59"/>
      <c r="AG22" s="58" t="str">
        <f t="shared" si="12"/>
        <v/>
      </c>
      <c r="AH22" s="59"/>
      <c r="AI22" s="58" t="str">
        <f t="shared" si="13"/>
        <v/>
      </c>
      <c r="AJ22" s="59"/>
      <c r="AK22" s="58" t="str">
        <f t="shared" si="14"/>
        <v/>
      </c>
      <c r="AL22" s="59"/>
      <c r="AM22" s="58" t="str">
        <f t="shared" si="15"/>
        <v/>
      </c>
      <c r="AN22" s="59"/>
      <c r="AO22" s="58" t="str">
        <f t="shared" si="16"/>
        <v/>
      </c>
      <c r="AP22" s="59"/>
      <c r="AQ22" s="58">
        <f t="shared" si="17"/>
        <v>1040</v>
      </c>
      <c r="AR22" s="59"/>
      <c r="AS22" s="58" t="str">
        <f t="shared" si="18"/>
        <v/>
      </c>
      <c r="AT22" s="59"/>
      <c r="AU22" s="58" t="str">
        <f t="shared" si="19"/>
        <v/>
      </c>
      <c r="AV22" s="59"/>
      <c r="AW22" s="58" t="str">
        <f t="shared" si="20"/>
        <v/>
      </c>
      <c r="AX22" s="59"/>
      <c r="AY22" s="58" t="str">
        <f t="shared" si="21"/>
        <v/>
      </c>
      <c r="AZ22" s="59"/>
      <c r="BA22" s="58" t="str">
        <f t="shared" si="22"/>
        <v/>
      </c>
      <c r="BB22" s="59"/>
      <c r="BC22" s="58" t="str">
        <f t="shared" si="23"/>
        <v/>
      </c>
      <c r="BD22" s="59"/>
      <c r="BE22" s="58" t="str">
        <f t="shared" si="24"/>
        <v/>
      </c>
      <c r="BF22" s="59"/>
      <c r="BG22" s="58" t="str">
        <f t="shared" si="25"/>
        <v/>
      </c>
      <c r="BH22" s="59"/>
      <c r="BI22" s="58" t="str">
        <f t="shared" si="26"/>
        <v/>
      </c>
      <c r="BJ22" s="59"/>
      <c r="BK22" s="58" t="str">
        <f t="shared" si="27"/>
        <v/>
      </c>
      <c r="BL22" s="59"/>
      <c r="BM22" s="58" t="str">
        <f t="shared" si="28"/>
        <v/>
      </c>
      <c r="BN22" s="59"/>
      <c r="BO22" s="58" t="str">
        <f t="shared" si="29"/>
        <v/>
      </c>
      <c r="BP22" s="59"/>
      <c r="BQ22" s="58" t="str">
        <f t="shared" si="30"/>
        <v/>
      </c>
      <c r="BR22" s="59"/>
      <c r="BS22" s="58" t="str">
        <f t="shared" si="31"/>
        <v/>
      </c>
      <c r="BT22" s="59"/>
      <c r="BU22" s="58" t="str">
        <f t="shared" si="32"/>
        <v/>
      </c>
      <c r="BV22" s="59"/>
    </row>
    <row r="23" spans="1:74" ht="14.5">
      <c r="A23" s="51" t="s">
        <v>58</v>
      </c>
      <c r="B23" s="52">
        <v>354</v>
      </c>
      <c r="C23" s="52" t="s">
        <v>188</v>
      </c>
      <c r="D23" s="41">
        <f t="shared" si="1"/>
        <v>1</v>
      </c>
      <c r="E23" s="52" t="s">
        <v>190</v>
      </c>
      <c r="F23" s="52" t="s">
        <v>242</v>
      </c>
      <c r="G23" s="52" t="s">
        <v>244</v>
      </c>
      <c r="H23" s="52" t="s">
        <v>438</v>
      </c>
      <c r="I23" s="53">
        <v>45659</v>
      </c>
      <c r="J23" s="108">
        <v>1368</v>
      </c>
      <c r="K23" s="101"/>
      <c r="L23" s="101"/>
      <c r="M23" s="101">
        <f t="shared" si="2"/>
        <v>1368</v>
      </c>
      <c r="N23" s="54">
        <f t="shared" si="3"/>
        <v>1368</v>
      </c>
      <c r="O23" s="101" t="s">
        <v>439</v>
      </c>
      <c r="P23" s="102">
        <f t="shared" si="4"/>
        <v>1.9</v>
      </c>
      <c r="Q23" s="102">
        <v>6</v>
      </c>
      <c r="R23" s="99">
        <v>120</v>
      </c>
      <c r="S23" s="55">
        <f t="shared" si="5"/>
        <v>45631</v>
      </c>
      <c r="T23" s="55">
        <v>45627</v>
      </c>
      <c r="U23" s="56">
        <f t="shared" ca="1" si="6"/>
        <v>4</v>
      </c>
      <c r="V23" s="55">
        <f t="shared" si="7"/>
        <v>45647</v>
      </c>
      <c r="W23" s="55"/>
      <c r="X23" s="56">
        <f t="shared" ca="1" si="8"/>
        <v>-193</v>
      </c>
      <c r="Y23" s="55"/>
      <c r="Z23" s="57"/>
      <c r="AA23" s="58" t="str">
        <f t="shared" si="9"/>
        <v>-</v>
      </c>
      <c r="AB23" s="59"/>
      <c r="AC23" s="58" t="str">
        <f t="shared" si="10"/>
        <v/>
      </c>
      <c r="AD23" s="59"/>
      <c r="AE23" s="58" t="str">
        <f t="shared" si="11"/>
        <v/>
      </c>
      <c r="AF23" s="59"/>
      <c r="AG23" s="58" t="str">
        <f t="shared" si="12"/>
        <v/>
      </c>
      <c r="AH23" s="59"/>
      <c r="AI23" s="58" t="str">
        <f t="shared" si="13"/>
        <v/>
      </c>
      <c r="AJ23" s="59"/>
      <c r="AK23" s="58" t="str">
        <f t="shared" si="14"/>
        <v/>
      </c>
      <c r="AL23" s="59"/>
      <c r="AM23" s="58" t="str">
        <f t="shared" si="15"/>
        <v/>
      </c>
      <c r="AN23" s="59"/>
      <c r="AO23" s="58" t="str">
        <f t="shared" si="16"/>
        <v/>
      </c>
      <c r="AP23" s="59"/>
      <c r="AQ23" s="58">
        <f t="shared" si="17"/>
        <v>1368</v>
      </c>
      <c r="AR23" s="59"/>
      <c r="AS23" s="58" t="str">
        <f t="shared" si="18"/>
        <v/>
      </c>
      <c r="AT23" s="59"/>
      <c r="AU23" s="58" t="str">
        <f t="shared" si="19"/>
        <v/>
      </c>
      <c r="AV23" s="59"/>
      <c r="AW23" s="58" t="str">
        <f t="shared" si="20"/>
        <v/>
      </c>
      <c r="AX23" s="59"/>
      <c r="AY23" s="58" t="str">
        <f t="shared" si="21"/>
        <v/>
      </c>
      <c r="AZ23" s="59"/>
      <c r="BA23" s="58" t="str">
        <f t="shared" si="22"/>
        <v/>
      </c>
      <c r="BB23" s="59"/>
      <c r="BC23" s="58" t="str">
        <f t="shared" si="23"/>
        <v/>
      </c>
      <c r="BD23" s="59"/>
      <c r="BE23" s="58" t="str">
        <f t="shared" si="24"/>
        <v/>
      </c>
      <c r="BF23" s="59"/>
      <c r="BG23" s="58" t="str">
        <f t="shared" si="25"/>
        <v/>
      </c>
      <c r="BH23" s="59"/>
      <c r="BI23" s="58" t="str">
        <f t="shared" si="26"/>
        <v/>
      </c>
      <c r="BJ23" s="59"/>
      <c r="BK23" s="58" t="str">
        <f t="shared" si="27"/>
        <v/>
      </c>
      <c r="BL23" s="59"/>
      <c r="BM23" s="58" t="str">
        <f t="shared" si="28"/>
        <v/>
      </c>
      <c r="BN23" s="59"/>
      <c r="BO23" s="58" t="str">
        <f t="shared" si="29"/>
        <v/>
      </c>
      <c r="BP23" s="59"/>
      <c r="BQ23" s="58" t="str">
        <f t="shared" si="30"/>
        <v/>
      </c>
      <c r="BR23" s="59"/>
      <c r="BS23" s="58" t="str">
        <f t="shared" si="31"/>
        <v/>
      </c>
      <c r="BT23" s="59"/>
      <c r="BU23" s="58" t="str">
        <f t="shared" si="32"/>
        <v/>
      </c>
      <c r="BV23" s="59"/>
    </row>
    <row r="24" spans="1:74" ht="14.5">
      <c r="A24" s="51" t="s">
        <v>58</v>
      </c>
      <c r="B24" s="52">
        <v>355</v>
      </c>
      <c r="C24" s="52" t="s">
        <v>188</v>
      </c>
      <c r="D24" s="41">
        <f t="shared" si="1"/>
        <v>1</v>
      </c>
      <c r="E24" s="52" t="s">
        <v>193</v>
      </c>
      <c r="F24" s="52" t="s">
        <v>300</v>
      </c>
      <c r="G24" s="52" t="s">
        <v>162</v>
      </c>
      <c r="H24" s="52" t="s">
        <v>440</v>
      </c>
      <c r="I24" s="53">
        <v>45659</v>
      </c>
      <c r="J24" s="108">
        <v>2080</v>
      </c>
      <c r="K24" s="101"/>
      <c r="L24" s="101"/>
      <c r="M24" s="101">
        <f t="shared" si="2"/>
        <v>2080</v>
      </c>
      <c r="N24" s="54">
        <f t="shared" si="3"/>
        <v>2080</v>
      </c>
      <c r="O24" s="101" t="s">
        <v>178</v>
      </c>
      <c r="P24" s="102">
        <f t="shared" si="4"/>
        <v>2.8888888888888888</v>
      </c>
      <c r="Q24" s="102">
        <v>6</v>
      </c>
      <c r="R24" s="99">
        <v>120</v>
      </c>
      <c r="S24" s="55">
        <f t="shared" si="5"/>
        <v>45631</v>
      </c>
      <c r="T24" s="55">
        <v>45627</v>
      </c>
      <c r="U24" s="56">
        <f t="shared" ca="1" si="6"/>
        <v>4</v>
      </c>
      <c r="V24" s="55">
        <f t="shared" si="7"/>
        <v>45647</v>
      </c>
      <c r="W24" s="55"/>
      <c r="X24" s="56">
        <f t="shared" ca="1" si="8"/>
        <v>-193</v>
      </c>
      <c r="Y24" s="55"/>
      <c r="Z24" s="57"/>
      <c r="AA24" s="58" t="str">
        <f t="shared" si="9"/>
        <v>-</v>
      </c>
      <c r="AB24" s="59"/>
      <c r="AC24" s="58" t="str">
        <f t="shared" si="10"/>
        <v/>
      </c>
      <c r="AD24" s="59"/>
      <c r="AE24" s="58" t="str">
        <f t="shared" si="11"/>
        <v/>
      </c>
      <c r="AF24" s="59"/>
      <c r="AG24" s="58" t="str">
        <f t="shared" si="12"/>
        <v/>
      </c>
      <c r="AH24" s="59"/>
      <c r="AI24" s="58" t="str">
        <f t="shared" si="13"/>
        <v/>
      </c>
      <c r="AJ24" s="59"/>
      <c r="AK24" s="58" t="str">
        <f t="shared" si="14"/>
        <v/>
      </c>
      <c r="AL24" s="59"/>
      <c r="AM24" s="58" t="str">
        <f t="shared" si="15"/>
        <v/>
      </c>
      <c r="AN24" s="59"/>
      <c r="AO24" s="58" t="str">
        <f t="shared" si="16"/>
        <v/>
      </c>
      <c r="AP24" s="59"/>
      <c r="AQ24" s="58">
        <f t="shared" si="17"/>
        <v>2080</v>
      </c>
      <c r="AR24" s="59"/>
      <c r="AS24" s="58" t="str">
        <f t="shared" si="18"/>
        <v/>
      </c>
      <c r="AT24" s="59"/>
      <c r="AU24" s="58" t="str">
        <f t="shared" si="19"/>
        <v/>
      </c>
      <c r="AV24" s="59"/>
      <c r="AW24" s="58" t="str">
        <f t="shared" si="20"/>
        <v/>
      </c>
      <c r="AX24" s="59"/>
      <c r="AY24" s="58" t="str">
        <f t="shared" si="21"/>
        <v/>
      </c>
      <c r="AZ24" s="59"/>
      <c r="BA24" s="58" t="str">
        <f t="shared" si="22"/>
        <v/>
      </c>
      <c r="BB24" s="59"/>
      <c r="BC24" s="58" t="str">
        <f t="shared" si="23"/>
        <v/>
      </c>
      <c r="BD24" s="59"/>
      <c r="BE24" s="58" t="str">
        <f t="shared" si="24"/>
        <v/>
      </c>
      <c r="BF24" s="59"/>
      <c r="BG24" s="58" t="str">
        <f t="shared" si="25"/>
        <v/>
      </c>
      <c r="BH24" s="59"/>
      <c r="BI24" s="58" t="str">
        <f t="shared" si="26"/>
        <v/>
      </c>
      <c r="BJ24" s="59"/>
      <c r="BK24" s="58" t="str">
        <f t="shared" si="27"/>
        <v/>
      </c>
      <c r="BL24" s="59"/>
      <c r="BM24" s="58" t="str">
        <f t="shared" si="28"/>
        <v/>
      </c>
      <c r="BN24" s="59"/>
      <c r="BO24" s="58" t="str">
        <f t="shared" si="29"/>
        <v/>
      </c>
      <c r="BP24" s="59"/>
      <c r="BQ24" s="58" t="str">
        <f t="shared" si="30"/>
        <v/>
      </c>
      <c r="BR24" s="59"/>
      <c r="BS24" s="58" t="str">
        <f t="shared" si="31"/>
        <v/>
      </c>
      <c r="BT24" s="59"/>
      <c r="BU24" s="58" t="str">
        <f t="shared" si="32"/>
        <v/>
      </c>
      <c r="BV24" s="59"/>
    </row>
    <row r="25" spans="1:74" ht="14.5">
      <c r="A25" s="51" t="s">
        <v>58</v>
      </c>
      <c r="B25" s="52">
        <v>355</v>
      </c>
      <c r="C25" s="52" t="s">
        <v>188</v>
      </c>
      <c r="D25" s="41">
        <f t="shared" si="1"/>
        <v>1</v>
      </c>
      <c r="E25" s="52" t="s">
        <v>201</v>
      </c>
      <c r="F25" s="52" t="s">
        <v>247</v>
      </c>
      <c r="G25" s="52" t="s">
        <v>441</v>
      </c>
      <c r="H25" s="52" t="s">
        <v>442</v>
      </c>
      <c r="I25" s="53">
        <v>45659</v>
      </c>
      <c r="J25" s="108">
        <v>15984</v>
      </c>
      <c r="K25" s="101"/>
      <c r="L25" s="101"/>
      <c r="M25" s="101">
        <f t="shared" si="2"/>
        <v>15984</v>
      </c>
      <c r="N25" s="54">
        <f t="shared" si="3"/>
        <v>15984</v>
      </c>
      <c r="O25" s="101" t="s">
        <v>443</v>
      </c>
      <c r="P25" s="102">
        <f t="shared" si="4"/>
        <v>9.1337142857142855</v>
      </c>
      <c r="Q25" s="102">
        <v>5</v>
      </c>
      <c r="R25" s="99">
        <v>350</v>
      </c>
      <c r="S25" s="55">
        <f t="shared" si="5"/>
        <v>45631</v>
      </c>
      <c r="T25" s="55">
        <v>45627</v>
      </c>
      <c r="U25" s="56">
        <f t="shared" ca="1" si="6"/>
        <v>4</v>
      </c>
      <c r="V25" s="55">
        <f t="shared" si="7"/>
        <v>45647</v>
      </c>
      <c r="W25" s="55"/>
      <c r="X25" s="56">
        <f t="shared" ca="1" si="8"/>
        <v>-193</v>
      </c>
      <c r="Y25" s="55"/>
      <c r="Z25" s="57"/>
      <c r="AA25" s="58" t="str">
        <f t="shared" si="9"/>
        <v>-</v>
      </c>
      <c r="AB25" s="59"/>
      <c r="AC25" s="58" t="str">
        <f t="shared" si="10"/>
        <v/>
      </c>
      <c r="AD25" s="59"/>
      <c r="AE25" s="58" t="str">
        <f t="shared" si="11"/>
        <v/>
      </c>
      <c r="AF25" s="59"/>
      <c r="AG25" s="58" t="str">
        <f t="shared" si="12"/>
        <v/>
      </c>
      <c r="AH25" s="59"/>
      <c r="AI25" s="58" t="str">
        <f t="shared" si="13"/>
        <v/>
      </c>
      <c r="AJ25" s="59"/>
      <c r="AK25" s="58" t="str">
        <f t="shared" si="14"/>
        <v/>
      </c>
      <c r="AL25" s="59"/>
      <c r="AM25" s="58" t="str">
        <f t="shared" si="15"/>
        <v/>
      </c>
      <c r="AN25" s="59"/>
      <c r="AO25" s="58" t="str">
        <f t="shared" si="16"/>
        <v/>
      </c>
      <c r="AP25" s="59"/>
      <c r="AQ25" s="58">
        <f t="shared" si="17"/>
        <v>15984</v>
      </c>
      <c r="AR25" s="59"/>
      <c r="AS25" s="58" t="str">
        <f t="shared" si="18"/>
        <v/>
      </c>
      <c r="AT25" s="59"/>
      <c r="AU25" s="58" t="str">
        <f t="shared" si="19"/>
        <v/>
      </c>
      <c r="AV25" s="59"/>
      <c r="AW25" s="58" t="str">
        <f t="shared" si="20"/>
        <v/>
      </c>
      <c r="AX25" s="59"/>
      <c r="AY25" s="58" t="str">
        <f t="shared" si="21"/>
        <v/>
      </c>
      <c r="AZ25" s="59"/>
      <c r="BA25" s="58" t="str">
        <f t="shared" si="22"/>
        <v/>
      </c>
      <c r="BB25" s="59"/>
      <c r="BC25" s="58" t="str">
        <f t="shared" si="23"/>
        <v/>
      </c>
      <c r="BD25" s="59"/>
      <c r="BE25" s="58" t="str">
        <f t="shared" si="24"/>
        <v/>
      </c>
      <c r="BF25" s="59"/>
      <c r="BG25" s="58" t="str">
        <f t="shared" si="25"/>
        <v/>
      </c>
      <c r="BH25" s="59"/>
      <c r="BI25" s="58" t="str">
        <f t="shared" si="26"/>
        <v/>
      </c>
      <c r="BJ25" s="59"/>
      <c r="BK25" s="58" t="str">
        <f t="shared" si="27"/>
        <v/>
      </c>
      <c r="BL25" s="59"/>
      <c r="BM25" s="58" t="str">
        <f t="shared" si="28"/>
        <v/>
      </c>
      <c r="BN25" s="59"/>
      <c r="BO25" s="58" t="str">
        <f t="shared" si="29"/>
        <v/>
      </c>
      <c r="BP25" s="59"/>
      <c r="BQ25" s="58" t="str">
        <f t="shared" si="30"/>
        <v/>
      </c>
      <c r="BR25" s="59"/>
      <c r="BS25" s="58" t="str">
        <f t="shared" si="31"/>
        <v/>
      </c>
      <c r="BT25" s="59"/>
      <c r="BU25" s="58" t="str">
        <f t="shared" si="32"/>
        <v/>
      </c>
      <c r="BV25" s="59"/>
    </row>
    <row r="26" spans="1:74" ht="14.5">
      <c r="A26" s="51" t="s">
        <v>58</v>
      </c>
      <c r="B26" s="52">
        <v>355</v>
      </c>
      <c r="C26" s="52" t="s">
        <v>188</v>
      </c>
      <c r="D26" s="41">
        <f t="shared" si="1"/>
        <v>1</v>
      </c>
      <c r="E26" s="52" t="s">
        <v>158</v>
      </c>
      <c r="F26" s="52" t="s">
        <v>242</v>
      </c>
      <c r="G26" s="52" t="s">
        <v>154</v>
      </c>
      <c r="H26" s="52" t="s">
        <v>432</v>
      </c>
      <c r="I26" s="53">
        <v>45659</v>
      </c>
      <c r="J26" s="108">
        <v>1336</v>
      </c>
      <c r="K26" s="101"/>
      <c r="L26" s="101"/>
      <c r="M26" s="101">
        <f t="shared" si="2"/>
        <v>1336</v>
      </c>
      <c r="N26" s="54">
        <f t="shared" si="3"/>
        <v>1336</v>
      </c>
      <c r="O26" s="101" t="s">
        <v>439</v>
      </c>
      <c r="P26" s="102">
        <f t="shared" si="4"/>
        <v>1.8555555555555556</v>
      </c>
      <c r="Q26" s="102">
        <v>6</v>
      </c>
      <c r="R26" s="99">
        <v>120</v>
      </c>
      <c r="S26" s="55">
        <f t="shared" si="5"/>
        <v>45631</v>
      </c>
      <c r="T26" s="55">
        <v>45627</v>
      </c>
      <c r="U26" s="56">
        <f t="shared" ca="1" si="6"/>
        <v>4</v>
      </c>
      <c r="V26" s="55">
        <f t="shared" si="7"/>
        <v>45647</v>
      </c>
      <c r="W26" s="55"/>
      <c r="X26" s="56">
        <f t="shared" ca="1" si="8"/>
        <v>-193</v>
      </c>
      <c r="Y26" s="55"/>
      <c r="Z26" s="57"/>
      <c r="AA26" s="58" t="str">
        <f t="shared" si="9"/>
        <v>-</v>
      </c>
      <c r="AB26" s="59"/>
      <c r="AC26" s="58" t="str">
        <f t="shared" si="10"/>
        <v/>
      </c>
      <c r="AD26" s="59"/>
      <c r="AE26" s="58" t="str">
        <f t="shared" si="11"/>
        <v/>
      </c>
      <c r="AF26" s="59"/>
      <c r="AG26" s="58" t="str">
        <f t="shared" si="12"/>
        <v/>
      </c>
      <c r="AH26" s="59"/>
      <c r="AI26" s="58" t="str">
        <f t="shared" si="13"/>
        <v/>
      </c>
      <c r="AJ26" s="59"/>
      <c r="AK26" s="58" t="str">
        <f t="shared" si="14"/>
        <v/>
      </c>
      <c r="AL26" s="59"/>
      <c r="AM26" s="58" t="str">
        <f t="shared" si="15"/>
        <v/>
      </c>
      <c r="AN26" s="59"/>
      <c r="AO26" s="58" t="str">
        <f t="shared" si="16"/>
        <v/>
      </c>
      <c r="AP26" s="59"/>
      <c r="AQ26" s="58">
        <f t="shared" si="17"/>
        <v>1336</v>
      </c>
      <c r="AR26" s="59"/>
      <c r="AS26" s="58" t="str">
        <f t="shared" si="18"/>
        <v/>
      </c>
      <c r="AT26" s="59"/>
      <c r="AU26" s="58" t="str">
        <f t="shared" si="19"/>
        <v/>
      </c>
      <c r="AV26" s="59"/>
      <c r="AW26" s="58" t="str">
        <f t="shared" si="20"/>
        <v/>
      </c>
      <c r="AX26" s="59"/>
      <c r="AY26" s="58" t="str">
        <f t="shared" si="21"/>
        <v/>
      </c>
      <c r="AZ26" s="59"/>
      <c r="BA26" s="58" t="str">
        <f t="shared" si="22"/>
        <v/>
      </c>
      <c r="BB26" s="59"/>
      <c r="BC26" s="58" t="str">
        <f t="shared" si="23"/>
        <v/>
      </c>
      <c r="BD26" s="59"/>
      <c r="BE26" s="58" t="str">
        <f t="shared" si="24"/>
        <v/>
      </c>
      <c r="BF26" s="59"/>
      <c r="BG26" s="58" t="str">
        <f t="shared" si="25"/>
        <v/>
      </c>
      <c r="BH26" s="59"/>
      <c r="BI26" s="58" t="str">
        <f t="shared" si="26"/>
        <v/>
      </c>
      <c r="BJ26" s="59"/>
      <c r="BK26" s="58" t="str">
        <f t="shared" si="27"/>
        <v/>
      </c>
      <c r="BL26" s="59"/>
      <c r="BM26" s="58" t="str">
        <f t="shared" si="28"/>
        <v/>
      </c>
      <c r="BN26" s="59"/>
      <c r="BO26" s="58" t="str">
        <f t="shared" si="29"/>
        <v/>
      </c>
      <c r="BP26" s="59"/>
      <c r="BQ26" s="58" t="str">
        <f t="shared" si="30"/>
        <v/>
      </c>
      <c r="BR26" s="59"/>
      <c r="BS26" s="58" t="str">
        <f t="shared" si="31"/>
        <v/>
      </c>
      <c r="BT26" s="59"/>
      <c r="BU26" s="58" t="str">
        <f t="shared" si="32"/>
        <v/>
      </c>
      <c r="BV26" s="59"/>
    </row>
    <row r="27" spans="1:74" ht="14.5">
      <c r="A27" s="51" t="s">
        <v>58</v>
      </c>
      <c r="B27" s="52">
        <v>355</v>
      </c>
      <c r="C27" s="52" t="s">
        <v>188</v>
      </c>
      <c r="D27" s="41">
        <f t="shared" si="1"/>
        <v>1</v>
      </c>
      <c r="E27" s="52" t="s">
        <v>158</v>
      </c>
      <c r="F27" s="52" t="s">
        <v>242</v>
      </c>
      <c r="G27" s="52" t="s">
        <v>155</v>
      </c>
      <c r="H27" s="52" t="s">
        <v>432</v>
      </c>
      <c r="I27" s="53">
        <v>45659</v>
      </c>
      <c r="J27" s="108">
        <v>224</v>
      </c>
      <c r="K27" s="101"/>
      <c r="L27" s="101"/>
      <c r="M27" s="101">
        <f t="shared" si="2"/>
        <v>224</v>
      </c>
      <c r="N27" s="54">
        <f t="shared" si="3"/>
        <v>224</v>
      </c>
      <c r="O27" s="101" t="s">
        <v>439</v>
      </c>
      <c r="P27" s="102">
        <f t="shared" si="4"/>
        <v>0.31111111111111112</v>
      </c>
      <c r="Q27" s="102">
        <v>6</v>
      </c>
      <c r="R27" s="99">
        <v>120</v>
      </c>
      <c r="S27" s="55">
        <f t="shared" si="5"/>
        <v>45631</v>
      </c>
      <c r="T27" s="55">
        <v>45627</v>
      </c>
      <c r="U27" s="56">
        <f t="shared" ca="1" si="6"/>
        <v>4</v>
      </c>
      <c r="V27" s="55">
        <f t="shared" si="7"/>
        <v>45647</v>
      </c>
      <c r="W27" s="55"/>
      <c r="X27" s="56">
        <f t="shared" ca="1" si="8"/>
        <v>-193</v>
      </c>
      <c r="Y27" s="55"/>
      <c r="Z27" s="57"/>
      <c r="AA27" s="58" t="str">
        <f t="shared" si="9"/>
        <v>-</v>
      </c>
      <c r="AB27" s="59"/>
      <c r="AC27" s="58" t="str">
        <f t="shared" si="10"/>
        <v/>
      </c>
      <c r="AD27" s="59"/>
      <c r="AE27" s="58" t="str">
        <f t="shared" si="11"/>
        <v/>
      </c>
      <c r="AF27" s="59"/>
      <c r="AG27" s="58" t="str">
        <f t="shared" si="12"/>
        <v/>
      </c>
      <c r="AH27" s="59"/>
      <c r="AI27" s="58" t="str">
        <f t="shared" si="13"/>
        <v/>
      </c>
      <c r="AJ27" s="59"/>
      <c r="AK27" s="58" t="str">
        <f t="shared" si="14"/>
        <v/>
      </c>
      <c r="AL27" s="59"/>
      <c r="AM27" s="58" t="str">
        <f t="shared" si="15"/>
        <v/>
      </c>
      <c r="AN27" s="59"/>
      <c r="AO27" s="58" t="str">
        <f t="shared" si="16"/>
        <v/>
      </c>
      <c r="AP27" s="59"/>
      <c r="AQ27" s="58">
        <f t="shared" si="17"/>
        <v>224</v>
      </c>
      <c r="AR27" s="59"/>
      <c r="AS27" s="58" t="str">
        <f t="shared" si="18"/>
        <v/>
      </c>
      <c r="AT27" s="59"/>
      <c r="AU27" s="58" t="str">
        <f t="shared" si="19"/>
        <v/>
      </c>
      <c r="AV27" s="59"/>
      <c r="AW27" s="58" t="str">
        <f t="shared" si="20"/>
        <v/>
      </c>
      <c r="AX27" s="59"/>
      <c r="AY27" s="58" t="str">
        <f t="shared" si="21"/>
        <v/>
      </c>
      <c r="AZ27" s="59"/>
      <c r="BA27" s="58" t="str">
        <f t="shared" si="22"/>
        <v/>
      </c>
      <c r="BB27" s="59"/>
      <c r="BC27" s="58" t="str">
        <f t="shared" si="23"/>
        <v/>
      </c>
      <c r="BD27" s="59"/>
      <c r="BE27" s="58" t="str">
        <f t="shared" si="24"/>
        <v/>
      </c>
      <c r="BF27" s="59"/>
      <c r="BG27" s="58" t="str">
        <f t="shared" si="25"/>
        <v/>
      </c>
      <c r="BH27" s="59"/>
      <c r="BI27" s="58" t="str">
        <f t="shared" si="26"/>
        <v/>
      </c>
      <c r="BJ27" s="59"/>
      <c r="BK27" s="58" t="str">
        <f t="shared" si="27"/>
        <v/>
      </c>
      <c r="BL27" s="59"/>
      <c r="BM27" s="58" t="str">
        <f t="shared" si="28"/>
        <v/>
      </c>
      <c r="BN27" s="59"/>
      <c r="BO27" s="58" t="str">
        <f t="shared" si="29"/>
        <v/>
      </c>
      <c r="BP27" s="59"/>
      <c r="BQ27" s="58" t="str">
        <f t="shared" si="30"/>
        <v/>
      </c>
      <c r="BR27" s="59"/>
      <c r="BS27" s="58" t="str">
        <f t="shared" si="31"/>
        <v/>
      </c>
      <c r="BT27" s="59"/>
      <c r="BU27" s="58" t="str">
        <f t="shared" si="32"/>
        <v/>
      </c>
      <c r="BV27" s="59"/>
    </row>
    <row r="28" spans="1:74" ht="14.5">
      <c r="A28" s="51" t="s">
        <v>58</v>
      </c>
      <c r="B28" s="52">
        <v>355</v>
      </c>
      <c r="C28" s="52" t="s">
        <v>188</v>
      </c>
      <c r="D28" s="41">
        <f t="shared" si="1"/>
        <v>1</v>
      </c>
      <c r="E28" s="52" t="s">
        <v>444</v>
      </c>
      <c r="F28" s="52" t="s">
        <v>242</v>
      </c>
      <c r="G28" s="52" t="s">
        <v>162</v>
      </c>
      <c r="H28" s="52" t="s">
        <v>432</v>
      </c>
      <c r="I28" s="53">
        <v>45659</v>
      </c>
      <c r="J28" s="108">
        <v>856</v>
      </c>
      <c r="K28" s="101"/>
      <c r="L28" s="101"/>
      <c r="M28" s="101">
        <f t="shared" si="2"/>
        <v>856</v>
      </c>
      <c r="N28" s="54">
        <f t="shared" si="3"/>
        <v>856</v>
      </c>
      <c r="O28" s="101" t="s">
        <v>439</v>
      </c>
      <c r="P28" s="102">
        <f t="shared" si="4"/>
        <v>1.1888888888888889</v>
      </c>
      <c r="Q28" s="102">
        <v>6</v>
      </c>
      <c r="R28" s="99">
        <v>120</v>
      </c>
      <c r="S28" s="55">
        <f t="shared" si="5"/>
        <v>45631</v>
      </c>
      <c r="T28" s="55">
        <v>45627</v>
      </c>
      <c r="U28" s="56">
        <f t="shared" ca="1" si="6"/>
        <v>4</v>
      </c>
      <c r="V28" s="55">
        <f t="shared" si="7"/>
        <v>45647</v>
      </c>
      <c r="W28" s="55"/>
      <c r="X28" s="56">
        <f t="shared" ca="1" si="8"/>
        <v>-193</v>
      </c>
      <c r="Y28" s="55"/>
      <c r="Z28" s="57"/>
      <c r="AA28" s="58" t="str">
        <f t="shared" si="9"/>
        <v>-</v>
      </c>
      <c r="AB28" s="59"/>
      <c r="AC28" s="58" t="str">
        <f t="shared" si="10"/>
        <v/>
      </c>
      <c r="AD28" s="59"/>
      <c r="AE28" s="58" t="str">
        <f t="shared" si="11"/>
        <v/>
      </c>
      <c r="AF28" s="59"/>
      <c r="AG28" s="58" t="str">
        <f t="shared" si="12"/>
        <v/>
      </c>
      <c r="AH28" s="59"/>
      <c r="AI28" s="58" t="str">
        <f t="shared" si="13"/>
        <v/>
      </c>
      <c r="AJ28" s="59"/>
      <c r="AK28" s="58" t="str">
        <f t="shared" si="14"/>
        <v/>
      </c>
      <c r="AL28" s="59"/>
      <c r="AM28" s="58" t="str">
        <f t="shared" si="15"/>
        <v/>
      </c>
      <c r="AN28" s="59"/>
      <c r="AO28" s="58" t="str">
        <f t="shared" si="16"/>
        <v/>
      </c>
      <c r="AP28" s="59"/>
      <c r="AQ28" s="58">
        <f t="shared" si="17"/>
        <v>856</v>
      </c>
      <c r="AR28" s="59"/>
      <c r="AS28" s="58" t="str">
        <f t="shared" si="18"/>
        <v/>
      </c>
      <c r="AT28" s="59"/>
      <c r="AU28" s="58" t="str">
        <f t="shared" si="19"/>
        <v/>
      </c>
      <c r="AV28" s="59"/>
      <c r="AW28" s="58" t="str">
        <f t="shared" si="20"/>
        <v/>
      </c>
      <c r="AX28" s="59"/>
      <c r="AY28" s="58" t="str">
        <f t="shared" si="21"/>
        <v/>
      </c>
      <c r="AZ28" s="59"/>
      <c r="BA28" s="58" t="str">
        <f t="shared" si="22"/>
        <v/>
      </c>
      <c r="BB28" s="59"/>
      <c r="BC28" s="58" t="str">
        <f t="shared" si="23"/>
        <v/>
      </c>
      <c r="BD28" s="59"/>
      <c r="BE28" s="58" t="str">
        <f t="shared" si="24"/>
        <v/>
      </c>
      <c r="BF28" s="59"/>
      <c r="BG28" s="58" t="str">
        <f t="shared" si="25"/>
        <v/>
      </c>
      <c r="BH28" s="59"/>
      <c r="BI28" s="58" t="str">
        <f t="shared" si="26"/>
        <v/>
      </c>
      <c r="BJ28" s="59"/>
      <c r="BK28" s="58" t="str">
        <f t="shared" si="27"/>
        <v/>
      </c>
      <c r="BL28" s="59"/>
      <c r="BM28" s="58" t="str">
        <f t="shared" si="28"/>
        <v/>
      </c>
      <c r="BN28" s="59"/>
      <c r="BO28" s="58" t="str">
        <f t="shared" si="29"/>
        <v/>
      </c>
      <c r="BP28" s="59"/>
      <c r="BQ28" s="58" t="str">
        <f t="shared" si="30"/>
        <v/>
      </c>
      <c r="BR28" s="59"/>
      <c r="BS28" s="58" t="str">
        <f t="shared" si="31"/>
        <v/>
      </c>
      <c r="BT28" s="59"/>
      <c r="BU28" s="58" t="str">
        <f t="shared" si="32"/>
        <v/>
      </c>
      <c r="BV28" s="59"/>
    </row>
    <row r="29" spans="1:74" ht="14.5">
      <c r="A29" s="51" t="s">
        <v>58</v>
      </c>
      <c r="B29" s="52">
        <v>355</v>
      </c>
      <c r="C29" s="52" t="s">
        <v>188</v>
      </c>
      <c r="D29" s="41">
        <f t="shared" si="1"/>
        <v>1</v>
      </c>
      <c r="E29" s="52" t="s">
        <v>158</v>
      </c>
      <c r="F29" s="52" t="s">
        <v>242</v>
      </c>
      <c r="G29" s="52" t="s">
        <v>255</v>
      </c>
      <c r="H29" s="52" t="s">
        <v>445</v>
      </c>
      <c r="I29" s="53">
        <v>45659</v>
      </c>
      <c r="J29" s="108">
        <v>596</v>
      </c>
      <c r="K29" s="101"/>
      <c r="L29" s="101"/>
      <c r="M29" s="101">
        <f t="shared" si="2"/>
        <v>596</v>
      </c>
      <c r="N29" s="54">
        <f t="shared" si="3"/>
        <v>596</v>
      </c>
      <c r="O29" s="101" t="s">
        <v>439</v>
      </c>
      <c r="P29" s="102">
        <f t="shared" si="4"/>
        <v>0.82777777777777772</v>
      </c>
      <c r="Q29" s="102">
        <v>6</v>
      </c>
      <c r="R29" s="99">
        <v>120</v>
      </c>
      <c r="S29" s="55">
        <f t="shared" si="5"/>
        <v>45631</v>
      </c>
      <c r="T29" s="55">
        <v>45627</v>
      </c>
      <c r="U29" s="56">
        <f t="shared" ca="1" si="6"/>
        <v>4</v>
      </c>
      <c r="V29" s="55">
        <f t="shared" si="7"/>
        <v>45647</v>
      </c>
      <c r="W29" s="55"/>
      <c r="X29" s="56">
        <f t="shared" ca="1" si="8"/>
        <v>-193</v>
      </c>
      <c r="Y29" s="55"/>
      <c r="Z29" s="57"/>
      <c r="AA29" s="58" t="str">
        <f t="shared" si="9"/>
        <v>-</v>
      </c>
      <c r="AB29" s="59"/>
      <c r="AC29" s="58" t="str">
        <f t="shared" si="10"/>
        <v/>
      </c>
      <c r="AD29" s="59"/>
      <c r="AE29" s="58" t="str">
        <f t="shared" si="11"/>
        <v/>
      </c>
      <c r="AF29" s="59"/>
      <c r="AG29" s="58" t="str">
        <f t="shared" si="12"/>
        <v/>
      </c>
      <c r="AH29" s="59"/>
      <c r="AI29" s="58" t="str">
        <f t="shared" si="13"/>
        <v/>
      </c>
      <c r="AJ29" s="59"/>
      <c r="AK29" s="58" t="str">
        <f t="shared" si="14"/>
        <v/>
      </c>
      <c r="AL29" s="59"/>
      <c r="AM29" s="58" t="str">
        <f t="shared" si="15"/>
        <v/>
      </c>
      <c r="AN29" s="59"/>
      <c r="AO29" s="58" t="str">
        <f t="shared" si="16"/>
        <v/>
      </c>
      <c r="AP29" s="59"/>
      <c r="AQ29" s="58">
        <f t="shared" si="17"/>
        <v>596</v>
      </c>
      <c r="AR29" s="59"/>
      <c r="AS29" s="58" t="str">
        <f t="shared" si="18"/>
        <v/>
      </c>
      <c r="AT29" s="59"/>
      <c r="AU29" s="58" t="str">
        <f t="shared" si="19"/>
        <v/>
      </c>
      <c r="AV29" s="59"/>
      <c r="AW29" s="58" t="str">
        <f t="shared" si="20"/>
        <v/>
      </c>
      <c r="AX29" s="59"/>
      <c r="AY29" s="58" t="str">
        <f t="shared" si="21"/>
        <v/>
      </c>
      <c r="AZ29" s="59"/>
      <c r="BA29" s="58" t="str">
        <f t="shared" si="22"/>
        <v/>
      </c>
      <c r="BB29" s="59"/>
      <c r="BC29" s="58" t="str">
        <f t="shared" si="23"/>
        <v/>
      </c>
      <c r="BD29" s="59"/>
      <c r="BE29" s="58" t="str">
        <f t="shared" si="24"/>
        <v/>
      </c>
      <c r="BF29" s="59"/>
      <c r="BG29" s="58" t="str">
        <f t="shared" si="25"/>
        <v/>
      </c>
      <c r="BH29" s="59"/>
      <c r="BI29" s="58" t="str">
        <f t="shared" si="26"/>
        <v/>
      </c>
      <c r="BJ29" s="59"/>
      <c r="BK29" s="58" t="str">
        <f t="shared" si="27"/>
        <v/>
      </c>
      <c r="BL29" s="59"/>
      <c r="BM29" s="58" t="str">
        <f t="shared" si="28"/>
        <v/>
      </c>
      <c r="BN29" s="59"/>
      <c r="BO29" s="58" t="str">
        <f t="shared" si="29"/>
        <v/>
      </c>
      <c r="BP29" s="59"/>
      <c r="BQ29" s="58" t="str">
        <f t="shared" si="30"/>
        <v/>
      </c>
      <c r="BR29" s="59"/>
      <c r="BS29" s="58" t="str">
        <f t="shared" si="31"/>
        <v/>
      </c>
      <c r="BT29" s="59"/>
      <c r="BU29" s="58" t="str">
        <f t="shared" si="32"/>
        <v/>
      </c>
      <c r="BV29" s="59"/>
    </row>
    <row r="30" spans="1:74" ht="14.5">
      <c r="A30" s="51" t="s">
        <v>446</v>
      </c>
      <c r="B30" s="52" t="s">
        <v>447</v>
      </c>
      <c r="C30" s="52" t="s">
        <v>60</v>
      </c>
      <c r="D30" s="41">
        <f t="shared" si="1"/>
        <v>1</v>
      </c>
      <c r="E30" s="52" t="s">
        <v>187</v>
      </c>
      <c r="F30" s="52" t="s">
        <v>448</v>
      </c>
      <c r="G30" s="52" t="s">
        <v>164</v>
      </c>
      <c r="H30" s="52" t="s">
        <v>449</v>
      </c>
      <c r="I30" s="53">
        <v>45660</v>
      </c>
      <c r="J30" s="108">
        <v>9000</v>
      </c>
      <c r="K30" s="101"/>
      <c r="L30" s="101">
        <v>3000</v>
      </c>
      <c r="M30" s="101">
        <f t="shared" si="2"/>
        <v>6000</v>
      </c>
      <c r="N30" s="54">
        <f t="shared" si="3"/>
        <v>9000</v>
      </c>
      <c r="O30" s="101" t="s">
        <v>429</v>
      </c>
      <c r="P30" s="102">
        <f t="shared" si="4"/>
        <v>1.3636363636363635</v>
      </c>
      <c r="Q30" s="102">
        <v>6</v>
      </c>
      <c r="R30" s="99">
        <v>1100</v>
      </c>
      <c r="S30" s="55">
        <f t="shared" si="5"/>
        <v>45632</v>
      </c>
      <c r="T30" s="55">
        <v>45634</v>
      </c>
      <c r="U30" s="56">
        <f t="shared" ca="1" si="6"/>
        <v>-2</v>
      </c>
      <c r="V30" s="55">
        <f t="shared" si="7"/>
        <v>45648</v>
      </c>
      <c r="W30" s="55"/>
      <c r="X30" s="56">
        <f t="shared" ca="1" si="8"/>
        <v>-192</v>
      </c>
      <c r="Y30" s="55"/>
      <c r="Z30" s="57"/>
      <c r="AA30" s="58" t="str">
        <f t="shared" si="9"/>
        <v>-</v>
      </c>
      <c r="AB30" s="59"/>
      <c r="AC30" s="58" t="str">
        <f t="shared" si="10"/>
        <v/>
      </c>
      <c r="AD30" s="59"/>
      <c r="AE30" s="58" t="str">
        <f t="shared" si="11"/>
        <v/>
      </c>
      <c r="AF30" s="59"/>
      <c r="AG30" s="58" t="str">
        <f t="shared" si="12"/>
        <v/>
      </c>
      <c r="AH30" s="59"/>
      <c r="AI30" s="58" t="str">
        <f t="shared" si="13"/>
        <v/>
      </c>
      <c r="AJ30" s="59"/>
      <c r="AK30" s="58" t="str">
        <f t="shared" si="14"/>
        <v/>
      </c>
      <c r="AL30" s="59"/>
      <c r="AM30" s="58" t="str">
        <f t="shared" si="15"/>
        <v/>
      </c>
      <c r="AN30" s="59"/>
      <c r="AO30" s="58" t="str">
        <f t="shared" si="16"/>
        <v/>
      </c>
      <c r="AP30" s="59"/>
      <c r="AQ30" s="58">
        <f t="shared" si="17"/>
        <v>9000</v>
      </c>
      <c r="AR30" s="59"/>
      <c r="AS30" s="58" t="str">
        <f t="shared" si="18"/>
        <v/>
      </c>
      <c r="AT30" s="59"/>
      <c r="AU30" s="58" t="str">
        <f t="shared" si="19"/>
        <v/>
      </c>
      <c r="AV30" s="59"/>
      <c r="AW30" s="58" t="str">
        <f t="shared" si="20"/>
        <v/>
      </c>
      <c r="AX30" s="59"/>
      <c r="AY30" s="58" t="str">
        <f t="shared" si="21"/>
        <v/>
      </c>
      <c r="AZ30" s="59"/>
      <c r="BA30" s="58" t="str">
        <f t="shared" si="22"/>
        <v/>
      </c>
      <c r="BB30" s="59"/>
      <c r="BC30" s="58" t="str">
        <f t="shared" si="23"/>
        <v/>
      </c>
      <c r="BD30" s="59"/>
      <c r="BE30" s="58" t="str">
        <f t="shared" si="24"/>
        <v/>
      </c>
      <c r="BF30" s="59"/>
      <c r="BG30" s="58" t="str">
        <f t="shared" si="25"/>
        <v/>
      </c>
      <c r="BH30" s="59"/>
      <c r="BI30" s="58" t="str">
        <f t="shared" si="26"/>
        <v/>
      </c>
      <c r="BJ30" s="59"/>
      <c r="BK30" s="58" t="str">
        <f t="shared" si="27"/>
        <v/>
      </c>
      <c r="BL30" s="59"/>
      <c r="BM30" s="58" t="str">
        <f t="shared" si="28"/>
        <v/>
      </c>
      <c r="BN30" s="59"/>
      <c r="BO30" s="58" t="str">
        <f t="shared" si="29"/>
        <v/>
      </c>
      <c r="BP30" s="59"/>
      <c r="BQ30" s="58" t="str">
        <f t="shared" si="30"/>
        <v/>
      </c>
      <c r="BR30" s="59"/>
      <c r="BS30" s="58" t="str">
        <f t="shared" si="31"/>
        <v/>
      </c>
      <c r="BT30" s="59"/>
      <c r="BU30" s="58" t="str">
        <f t="shared" si="32"/>
        <v/>
      </c>
      <c r="BV30" s="59"/>
    </row>
    <row r="31" spans="1:74" ht="14.5">
      <c r="A31" s="51" t="s">
        <v>446</v>
      </c>
      <c r="B31" s="52" t="s">
        <v>447</v>
      </c>
      <c r="C31" s="52" t="s">
        <v>60</v>
      </c>
      <c r="D31" s="41">
        <f t="shared" si="1"/>
        <v>1</v>
      </c>
      <c r="E31" s="52" t="s">
        <v>187</v>
      </c>
      <c r="F31" s="52" t="s">
        <v>448</v>
      </c>
      <c r="G31" s="52" t="s">
        <v>155</v>
      </c>
      <c r="H31" s="52" t="s">
        <v>449</v>
      </c>
      <c r="I31" s="53">
        <v>45660</v>
      </c>
      <c r="J31" s="108">
        <v>9000</v>
      </c>
      <c r="K31" s="101"/>
      <c r="L31" s="101">
        <v>2000</v>
      </c>
      <c r="M31" s="101">
        <f t="shared" si="2"/>
        <v>7000</v>
      </c>
      <c r="N31" s="54">
        <f t="shared" si="3"/>
        <v>9000</v>
      </c>
      <c r="O31" s="101" t="s">
        <v>429</v>
      </c>
      <c r="P31" s="102">
        <f t="shared" si="4"/>
        <v>1.3636363636363635</v>
      </c>
      <c r="Q31" s="102">
        <v>6</v>
      </c>
      <c r="R31" s="99">
        <v>1100</v>
      </c>
      <c r="S31" s="55">
        <f t="shared" si="5"/>
        <v>45632</v>
      </c>
      <c r="T31" s="55">
        <v>45634</v>
      </c>
      <c r="U31" s="56">
        <f t="shared" ca="1" si="6"/>
        <v>-2</v>
      </c>
      <c r="V31" s="55">
        <f t="shared" si="7"/>
        <v>45648</v>
      </c>
      <c r="W31" s="55"/>
      <c r="X31" s="56">
        <f t="shared" ca="1" si="8"/>
        <v>-192</v>
      </c>
      <c r="Y31" s="55"/>
      <c r="Z31" s="57"/>
      <c r="AA31" s="58" t="str">
        <f t="shared" si="9"/>
        <v>-</v>
      </c>
      <c r="AB31" s="59"/>
      <c r="AC31" s="58" t="str">
        <f t="shared" si="10"/>
        <v/>
      </c>
      <c r="AD31" s="59"/>
      <c r="AE31" s="58" t="str">
        <f t="shared" si="11"/>
        <v/>
      </c>
      <c r="AF31" s="59"/>
      <c r="AG31" s="58" t="str">
        <f t="shared" si="12"/>
        <v/>
      </c>
      <c r="AH31" s="59"/>
      <c r="AI31" s="58" t="str">
        <f t="shared" si="13"/>
        <v/>
      </c>
      <c r="AJ31" s="59"/>
      <c r="AK31" s="58" t="str">
        <f t="shared" si="14"/>
        <v/>
      </c>
      <c r="AL31" s="59"/>
      <c r="AM31" s="58" t="str">
        <f t="shared" si="15"/>
        <v/>
      </c>
      <c r="AN31" s="59"/>
      <c r="AO31" s="58" t="str">
        <f t="shared" si="16"/>
        <v/>
      </c>
      <c r="AP31" s="59"/>
      <c r="AQ31" s="58">
        <f t="shared" si="17"/>
        <v>9000</v>
      </c>
      <c r="AR31" s="59"/>
      <c r="AS31" s="58" t="str">
        <f t="shared" si="18"/>
        <v/>
      </c>
      <c r="AT31" s="59"/>
      <c r="AU31" s="58" t="str">
        <f t="shared" si="19"/>
        <v/>
      </c>
      <c r="AV31" s="59"/>
      <c r="AW31" s="58" t="str">
        <f t="shared" si="20"/>
        <v/>
      </c>
      <c r="AX31" s="59"/>
      <c r="AY31" s="58" t="str">
        <f t="shared" si="21"/>
        <v/>
      </c>
      <c r="AZ31" s="59"/>
      <c r="BA31" s="58" t="str">
        <f t="shared" si="22"/>
        <v/>
      </c>
      <c r="BB31" s="59"/>
      <c r="BC31" s="58" t="str">
        <f t="shared" si="23"/>
        <v/>
      </c>
      <c r="BD31" s="59"/>
      <c r="BE31" s="58" t="str">
        <f t="shared" si="24"/>
        <v/>
      </c>
      <c r="BF31" s="59"/>
      <c r="BG31" s="58" t="str">
        <f t="shared" si="25"/>
        <v/>
      </c>
      <c r="BH31" s="59"/>
      <c r="BI31" s="58" t="str">
        <f t="shared" si="26"/>
        <v/>
      </c>
      <c r="BJ31" s="59"/>
      <c r="BK31" s="58" t="str">
        <f t="shared" si="27"/>
        <v/>
      </c>
      <c r="BL31" s="59"/>
      <c r="BM31" s="58" t="str">
        <f t="shared" si="28"/>
        <v/>
      </c>
      <c r="BN31" s="59"/>
      <c r="BO31" s="58" t="str">
        <f t="shared" si="29"/>
        <v/>
      </c>
      <c r="BP31" s="59"/>
      <c r="BQ31" s="58" t="str">
        <f t="shared" si="30"/>
        <v/>
      </c>
      <c r="BR31" s="59"/>
      <c r="BS31" s="58" t="str">
        <f t="shared" si="31"/>
        <v/>
      </c>
      <c r="BT31" s="59"/>
      <c r="BU31" s="58" t="str">
        <f t="shared" si="32"/>
        <v/>
      </c>
      <c r="BV31" s="59"/>
    </row>
    <row r="32" spans="1:74" ht="14.5">
      <c r="A32" s="51" t="s">
        <v>446</v>
      </c>
      <c r="B32" s="52" t="s">
        <v>447</v>
      </c>
      <c r="C32" s="52" t="s">
        <v>60</v>
      </c>
      <c r="D32" s="41">
        <f t="shared" si="1"/>
        <v>1</v>
      </c>
      <c r="E32" s="52" t="s">
        <v>187</v>
      </c>
      <c r="F32" s="52" t="s">
        <v>448</v>
      </c>
      <c r="G32" s="52" t="s">
        <v>450</v>
      </c>
      <c r="H32" s="52" t="s">
        <v>449</v>
      </c>
      <c r="I32" s="53">
        <v>45660</v>
      </c>
      <c r="J32" s="108">
        <v>6000</v>
      </c>
      <c r="K32" s="101"/>
      <c r="L32" s="101"/>
      <c r="M32" s="101">
        <f t="shared" si="2"/>
        <v>6000</v>
      </c>
      <c r="N32" s="54">
        <f t="shared" si="3"/>
        <v>6000</v>
      </c>
      <c r="O32" s="101" t="s">
        <v>429</v>
      </c>
      <c r="P32" s="102">
        <f t="shared" si="4"/>
        <v>0.90909090909090906</v>
      </c>
      <c r="Q32" s="102">
        <v>6</v>
      </c>
      <c r="R32" s="99">
        <v>1100</v>
      </c>
      <c r="S32" s="55">
        <f t="shared" si="5"/>
        <v>45632</v>
      </c>
      <c r="T32" s="55">
        <v>45634</v>
      </c>
      <c r="U32" s="56">
        <f t="shared" ca="1" si="6"/>
        <v>-2</v>
      </c>
      <c r="V32" s="55">
        <f t="shared" si="7"/>
        <v>45648</v>
      </c>
      <c r="W32" s="55"/>
      <c r="X32" s="56">
        <f t="shared" ca="1" si="8"/>
        <v>-192</v>
      </c>
      <c r="Y32" s="55"/>
      <c r="Z32" s="57"/>
      <c r="AA32" s="58" t="str">
        <f t="shared" si="9"/>
        <v>-</v>
      </c>
      <c r="AB32" s="59"/>
      <c r="AC32" s="58" t="str">
        <f t="shared" si="10"/>
        <v/>
      </c>
      <c r="AD32" s="59"/>
      <c r="AE32" s="58" t="str">
        <f t="shared" si="11"/>
        <v/>
      </c>
      <c r="AF32" s="59"/>
      <c r="AG32" s="58" t="str">
        <f t="shared" si="12"/>
        <v/>
      </c>
      <c r="AH32" s="59"/>
      <c r="AI32" s="58" t="str">
        <f t="shared" si="13"/>
        <v/>
      </c>
      <c r="AJ32" s="59"/>
      <c r="AK32" s="58" t="str">
        <f t="shared" si="14"/>
        <v/>
      </c>
      <c r="AL32" s="59"/>
      <c r="AM32" s="58" t="str">
        <f t="shared" si="15"/>
        <v/>
      </c>
      <c r="AN32" s="59"/>
      <c r="AO32" s="58" t="str">
        <f t="shared" si="16"/>
        <v/>
      </c>
      <c r="AP32" s="59"/>
      <c r="AQ32" s="58">
        <f t="shared" si="17"/>
        <v>6000</v>
      </c>
      <c r="AR32" s="59"/>
      <c r="AS32" s="58" t="str">
        <f t="shared" si="18"/>
        <v/>
      </c>
      <c r="AT32" s="59"/>
      <c r="AU32" s="58" t="str">
        <f t="shared" si="19"/>
        <v/>
      </c>
      <c r="AV32" s="59"/>
      <c r="AW32" s="58" t="str">
        <f t="shared" si="20"/>
        <v/>
      </c>
      <c r="AX32" s="59"/>
      <c r="AY32" s="58" t="str">
        <f t="shared" si="21"/>
        <v/>
      </c>
      <c r="AZ32" s="59"/>
      <c r="BA32" s="58" t="str">
        <f t="shared" si="22"/>
        <v/>
      </c>
      <c r="BB32" s="59"/>
      <c r="BC32" s="58" t="str">
        <f t="shared" si="23"/>
        <v/>
      </c>
      <c r="BD32" s="59"/>
      <c r="BE32" s="58" t="str">
        <f t="shared" si="24"/>
        <v/>
      </c>
      <c r="BF32" s="59"/>
      <c r="BG32" s="58" t="str">
        <f t="shared" si="25"/>
        <v/>
      </c>
      <c r="BH32" s="59"/>
      <c r="BI32" s="58" t="str">
        <f t="shared" si="26"/>
        <v/>
      </c>
      <c r="BJ32" s="59"/>
      <c r="BK32" s="58" t="str">
        <f t="shared" si="27"/>
        <v/>
      </c>
      <c r="BL32" s="59"/>
      <c r="BM32" s="58" t="str">
        <f t="shared" si="28"/>
        <v/>
      </c>
      <c r="BN32" s="59"/>
      <c r="BO32" s="58" t="str">
        <f t="shared" si="29"/>
        <v/>
      </c>
      <c r="BP32" s="59"/>
      <c r="BQ32" s="58" t="str">
        <f t="shared" si="30"/>
        <v/>
      </c>
      <c r="BR32" s="59"/>
      <c r="BS32" s="58" t="str">
        <f t="shared" si="31"/>
        <v/>
      </c>
      <c r="BT32" s="59"/>
      <c r="BU32" s="58" t="str">
        <f t="shared" si="32"/>
        <v/>
      </c>
      <c r="BV32" s="59"/>
    </row>
    <row r="33" spans="1:74" ht="14.5">
      <c r="A33" s="51" t="s">
        <v>58</v>
      </c>
      <c r="B33" s="52">
        <v>336</v>
      </c>
      <c r="C33" s="52" t="s">
        <v>188</v>
      </c>
      <c r="D33" s="41">
        <f t="shared" si="1"/>
        <v>1</v>
      </c>
      <c r="E33" s="52" t="s">
        <v>189</v>
      </c>
      <c r="F33" s="52" t="s">
        <v>242</v>
      </c>
      <c r="G33" s="52" t="s">
        <v>162</v>
      </c>
      <c r="H33" s="52" t="s">
        <v>432</v>
      </c>
      <c r="I33" s="53">
        <v>45661</v>
      </c>
      <c r="J33" s="108">
        <v>2232</v>
      </c>
      <c r="K33" s="101"/>
      <c r="L33" s="101"/>
      <c r="M33" s="101">
        <f t="shared" si="2"/>
        <v>2232</v>
      </c>
      <c r="N33" s="54">
        <f t="shared" si="3"/>
        <v>2232</v>
      </c>
      <c r="O33" s="101" t="s">
        <v>178</v>
      </c>
      <c r="P33" s="102">
        <f t="shared" si="4"/>
        <v>3.1</v>
      </c>
      <c r="Q33" s="102">
        <v>6</v>
      </c>
      <c r="R33" s="99">
        <v>120</v>
      </c>
      <c r="S33" s="55">
        <f t="shared" si="5"/>
        <v>45633</v>
      </c>
      <c r="T33" s="55">
        <v>45612</v>
      </c>
      <c r="U33" s="56">
        <f t="shared" ca="1" si="6"/>
        <v>21</v>
      </c>
      <c r="V33" s="55">
        <f t="shared" si="7"/>
        <v>45649</v>
      </c>
      <c r="W33" s="55"/>
      <c r="X33" s="56">
        <f t="shared" ca="1" si="8"/>
        <v>-191</v>
      </c>
      <c r="Y33" s="55"/>
      <c r="Z33" s="57"/>
      <c r="AA33" s="58" t="str">
        <f t="shared" si="9"/>
        <v>-</v>
      </c>
      <c r="AB33" s="59"/>
      <c r="AC33" s="58" t="str">
        <f t="shared" si="10"/>
        <v/>
      </c>
      <c r="AD33" s="59"/>
      <c r="AE33" s="58" t="str">
        <f t="shared" si="11"/>
        <v/>
      </c>
      <c r="AF33" s="59"/>
      <c r="AG33" s="58" t="str">
        <f t="shared" si="12"/>
        <v/>
      </c>
      <c r="AH33" s="59"/>
      <c r="AI33" s="58" t="str">
        <f t="shared" si="13"/>
        <v/>
      </c>
      <c r="AJ33" s="59"/>
      <c r="AK33" s="58" t="str">
        <f t="shared" si="14"/>
        <v/>
      </c>
      <c r="AL33" s="59"/>
      <c r="AM33" s="58" t="str">
        <f t="shared" si="15"/>
        <v/>
      </c>
      <c r="AN33" s="59"/>
      <c r="AO33" s="58" t="str">
        <f t="shared" si="16"/>
        <v/>
      </c>
      <c r="AP33" s="59"/>
      <c r="AQ33" s="58">
        <f t="shared" si="17"/>
        <v>2232</v>
      </c>
      <c r="AR33" s="59"/>
      <c r="AS33" s="58" t="str">
        <f t="shared" si="18"/>
        <v/>
      </c>
      <c r="AT33" s="59"/>
      <c r="AU33" s="58" t="str">
        <f t="shared" si="19"/>
        <v/>
      </c>
      <c r="AV33" s="59"/>
      <c r="AW33" s="58" t="str">
        <f t="shared" si="20"/>
        <v/>
      </c>
      <c r="AX33" s="59"/>
      <c r="AY33" s="58" t="str">
        <f t="shared" si="21"/>
        <v/>
      </c>
      <c r="AZ33" s="59"/>
      <c r="BA33" s="58" t="str">
        <f t="shared" si="22"/>
        <v/>
      </c>
      <c r="BB33" s="59"/>
      <c r="BC33" s="58" t="str">
        <f t="shared" si="23"/>
        <v/>
      </c>
      <c r="BD33" s="59"/>
      <c r="BE33" s="58" t="str">
        <f t="shared" si="24"/>
        <v/>
      </c>
      <c r="BF33" s="59"/>
      <c r="BG33" s="58" t="str">
        <f t="shared" si="25"/>
        <v/>
      </c>
      <c r="BH33" s="59"/>
      <c r="BI33" s="58" t="str">
        <f t="shared" si="26"/>
        <v/>
      </c>
      <c r="BJ33" s="59"/>
      <c r="BK33" s="58" t="str">
        <f t="shared" si="27"/>
        <v/>
      </c>
      <c r="BL33" s="59"/>
      <c r="BM33" s="58" t="str">
        <f t="shared" si="28"/>
        <v/>
      </c>
      <c r="BN33" s="59"/>
      <c r="BO33" s="58" t="str">
        <f t="shared" si="29"/>
        <v/>
      </c>
      <c r="BP33" s="59"/>
      <c r="BQ33" s="58" t="str">
        <f t="shared" si="30"/>
        <v/>
      </c>
      <c r="BR33" s="59"/>
      <c r="BS33" s="58" t="str">
        <f t="shared" si="31"/>
        <v/>
      </c>
      <c r="BT33" s="59"/>
      <c r="BU33" s="58" t="str">
        <f t="shared" si="32"/>
        <v/>
      </c>
      <c r="BV33" s="59"/>
    </row>
    <row r="34" spans="1:74" ht="14.5">
      <c r="A34" s="51" t="s">
        <v>58</v>
      </c>
      <c r="B34" s="52">
        <v>336</v>
      </c>
      <c r="C34" s="52" t="s">
        <v>188</v>
      </c>
      <c r="D34" s="41">
        <f t="shared" si="1"/>
        <v>1</v>
      </c>
      <c r="E34" s="52" t="s">
        <v>190</v>
      </c>
      <c r="F34" s="52" t="s">
        <v>242</v>
      </c>
      <c r="G34" s="52" t="s">
        <v>244</v>
      </c>
      <c r="H34" s="52" t="s">
        <v>438</v>
      </c>
      <c r="I34" s="53">
        <v>45661</v>
      </c>
      <c r="J34" s="108">
        <v>1468</v>
      </c>
      <c r="K34" s="101"/>
      <c r="L34" s="101"/>
      <c r="M34" s="101">
        <f t="shared" si="2"/>
        <v>1468</v>
      </c>
      <c r="N34" s="54">
        <f t="shared" si="3"/>
        <v>1468</v>
      </c>
      <c r="O34" s="101" t="s">
        <v>439</v>
      </c>
      <c r="P34" s="102">
        <f t="shared" si="4"/>
        <v>2.0388888888888888</v>
      </c>
      <c r="Q34" s="102">
        <v>6</v>
      </c>
      <c r="R34" s="99">
        <v>120</v>
      </c>
      <c r="S34" s="55">
        <f t="shared" si="5"/>
        <v>45633</v>
      </c>
      <c r="T34" s="55">
        <v>45612</v>
      </c>
      <c r="U34" s="56">
        <f t="shared" ca="1" si="6"/>
        <v>21</v>
      </c>
      <c r="V34" s="55">
        <f t="shared" si="7"/>
        <v>45649</v>
      </c>
      <c r="W34" s="55"/>
      <c r="X34" s="56">
        <f t="shared" ca="1" si="8"/>
        <v>-191</v>
      </c>
      <c r="Y34" s="55"/>
      <c r="Z34" s="57"/>
      <c r="AA34" s="58" t="str">
        <f t="shared" si="9"/>
        <v>-</v>
      </c>
      <c r="AB34" s="59"/>
      <c r="AC34" s="58" t="str">
        <f t="shared" si="10"/>
        <v/>
      </c>
      <c r="AD34" s="59"/>
      <c r="AE34" s="58" t="str">
        <f t="shared" si="11"/>
        <v/>
      </c>
      <c r="AF34" s="59"/>
      <c r="AG34" s="58" t="str">
        <f t="shared" si="12"/>
        <v/>
      </c>
      <c r="AH34" s="59"/>
      <c r="AI34" s="58" t="str">
        <f t="shared" si="13"/>
        <v/>
      </c>
      <c r="AJ34" s="59"/>
      <c r="AK34" s="58" t="str">
        <f t="shared" si="14"/>
        <v/>
      </c>
      <c r="AL34" s="59"/>
      <c r="AM34" s="58" t="str">
        <f t="shared" si="15"/>
        <v/>
      </c>
      <c r="AN34" s="59"/>
      <c r="AO34" s="58" t="str">
        <f t="shared" si="16"/>
        <v/>
      </c>
      <c r="AP34" s="59"/>
      <c r="AQ34" s="58">
        <f t="shared" si="17"/>
        <v>1468</v>
      </c>
      <c r="AR34" s="59"/>
      <c r="AS34" s="58" t="str">
        <f t="shared" si="18"/>
        <v/>
      </c>
      <c r="AT34" s="59"/>
      <c r="AU34" s="58" t="str">
        <f t="shared" si="19"/>
        <v/>
      </c>
      <c r="AV34" s="59"/>
      <c r="AW34" s="58" t="str">
        <f t="shared" si="20"/>
        <v/>
      </c>
      <c r="AX34" s="59"/>
      <c r="AY34" s="58" t="str">
        <f t="shared" si="21"/>
        <v/>
      </c>
      <c r="AZ34" s="59"/>
      <c r="BA34" s="58" t="str">
        <f t="shared" si="22"/>
        <v/>
      </c>
      <c r="BB34" s="59"/>
      <c r="BC34" s="58" t="str">
        <f t="shared" si="23"/>
        <v/>
      </c>
      <c r="BD34" s="59"/>
      <c r="BE34" s="58" t="str">
        <f t="shared" si="24"/>
        <v/>
      </c>
      <c r="BF34" s="59"/>
      <c r="BG34" s="58" t="str">
        <f t="shared" si="25"/>
        <v/>
      </c>
      <c r="BH34" s="59"/>
      <c r="BI34" s="58" t="str">
        <f t="shared" si="26"/>
        <v/>
      </c>
      <c r="BJ34" s="59"/>
      <c r="BK34" s="58" t="str">
        <f t="shared" si="27"/>
        <v/>
      </c>
      <c r="BL34" s="59"/>
      <c r="BM34" s="58" t="str">
        <f t="shared" si="28"/>
        <v/>
      </c>
      <c r="BN34" s="59"/>
      <c r="BO34" s="58" t="str">
        <f t="shared" si="29"/>
        <v/>
      </c>
      <c r="BP34" s="59"/>
      <c r="BQ34" s="58" t="str">
        <f t="shared" si="30"/>
        <v/>
      </c>
      <c r="BR34" s="59"/>
      <c r="BS34" s="58" t="str">
        <f t="shared" si="31"/>
        <v/>
      </c>
      <c r="BT34" s="59"/>
      <c r="BU34" s="58" t="str">
        <f t="shared" si="32"/>
        <v/>
      </c>
      <c r="BV34" s="59"/>
    </row>
    <row r="35" spans="1:74" ht="14.5">
      <c r="A35" s="51" t="s">
        <v>58</v>
      </c>
      <c r="B35" s="52">
        <v>336</v>
      </c>
      <c r="C35" s="52" t="s">
        <v>188</v>
      </c>
      <c r="D35" s="41">
        <f t="shared" si="1"/>
        <v>1</v>
      </c>
      <c r="E35" s="52" t="s">
        <v>135</v>
      </c>
      <c r="F35" s="52" t="s">
        <v>256</v>
      </c>
      <c r="G35" s="52" t="s">
        <v>451</v>
      </c>
      <c r="H35" s="52" t="s">
        <v>452</v>
      </c>
      <c r="I35" s="53">
        <v>45661</v>
      </c>
      <c r="J35" s="108">
        <v>7200</v>
      </c>
      <c r="K35" s="101"/>
      <c r="L35" s="101"/>
      <c r="M35" s="101">
        <f t="shared" si="2"/>
        <v>7200</v>
      </c>
      <c r="N35" s="54">
        <f t="shared" si="3"/>
        <v>7200</v>
      </c>
      <c r="O35" s="101" t="s">
        <v>178</v>
      </c>
      <c r="P35" s="102">
        <f t="shared" si="4"/>
        <v>3.4285714285714284</v>
      </c>
      <c r="Q35" s="102">
        <v>6</v>
      </c>
      <c r="R35" s="99">
        <v>350</v>
      </c>
      <c r="S35" s="55">
        <f t="shared" si="5"/>
        <v>45633</v>
      </c>
      <c r="T35" s="55">
        <v>45612</v>
      </c>
      <c r="U35" s="56">
        <f t="shared" ca="1" si="6"/>
        <v>21</v>
      </c>
      <c r="V35" s="55">
        <f t="shared" si="7"/>
        <v>45649</v>
      </c>
      <c r="W35" s="55"/>
      <c r="X35" s="56">
        <f t="shared" ca="1" si="8"/>
        <v>-191</v>
      </c>
      <c r="Y35" s="55"/>
      <c r="Z35" s="57"/>
      <c r="AA35" s="58" t="str">
        <f t="shared" si="9"/>
        <v>-</v>
      </c>
      <c r="AB35" s="59"/>
      <c r="AC35" s="58" t="str">
        <f t="shared" si="10"/>
        <v/>
      </c>
      <c r="AD35" s="59"/>
      <c r="AE35" s="58" t="str">
        <f t="shared" si="11"/>
        <v/>
      </c>
      <c r="AF35" s="59"/>
      <c r="AG35" s="58" t="str">
        <f t="shared" si="12"/>
        <v/>
      </c>
      <c r="AH35" s="59"/>
      <c r="AI35" s="58" t="str">
        <f t="shared" si="13"/>
        <v/>
      </c>
      <c r="AJ35" s="59"/>
      <c r="AK35" s="58" t="str">
        <f t="shared" si="14"/>
        <v/>
      </c>
      <c r="AL35" s="59"/>
      <c r="AM35" s="58" t="str">
        <f t="shared" si="15"/>
        <v/>
      </c>
      <c r="AN35" s="59"/>
      <c r="AO35" s="58" t="str">
        <f t="shared" si="16"/>
        <v/>
      </c>
      <c r="AP35" s="59"/>
      <c r="AQ35" s="58">
        <f t="shared" si="17"/>
        <v>7200</v>
      </c>
      <c r="AR35" s="59"/>
      <c r="AS35" s="58" t="str">
        <f t="shared" si="18"/>
        <v/>
      </c>
      <c r="AT35" s="59"/>
      <c r="AU35" s="58" t="str">
        <f t="shared" si="19"/>
        <v/>
      </c>
      <c r="AV35" s="59"/>
      <c r="AW35" s="58" t="str">
        <f t="shared" si="20"/>
        <v/>
      </c>
      <c r="AX35" s="59"/>
      <c r="AY35" s="58" t="str">
        <f t="shared" si="21"/>
        <v/>
      </c>
      <c r="AZ35" s="59"/>
      <c r="BA35" s="58" t="str">
        <f t="shared" si="22"/>
        <v/>
      </c>
      <c r="BB35" s="59"/>
      <c r="BC35" s="58" t="str">
        <f t="shared" si="23"/>
        <v/>
      </c>
      <c r="BD35" s="59"/>
      <c r="BE35" s="58" t="str">
        <f t="shared" si="24"/>
        <v/>
      </c>
      <c r="BF35" s="59"/>
      <c r="BG35" s="58" t="str">
        <f t="shared" si="25"/>
        <v/>
      </c>
      <c r="BH35" s="59"/>
      <c r="BI35" s="58" t="str">
        <f t="shared" si="26"/>
        <v/>
      </c>
      <c r="BJ35" s="59"/>
      <c r="BK35" s="58" t="str">
        <f t="shared" si="27"/>
        <v/>
      </c>
      <c r="BL35" s="59"/>
      <c r="BM35" s="58" t="str">
        <f t="shared" si="28"/>
        <v/>
      </c>
      <c r="BN35" s="59"/>
      <c r="BO35" s="58" t="str">
        <f t="shared" si="29"/>
        <v/>
      </c>
      <c r="BP35" s="59"/>
      <c r="BQ35" s="58" t="str">
        <f t="shared" si="30"/>
        <v/>
      </c>
      <c r="BR35" s="59"/>
      <c r="BS35" s="58" t="str">
        <f t="shared" si="31"/>
        <v/>
      </c>
      <c r="BT35" s="59"/>
      <c r="BU35" s="58" t="str">
        <f t="shared" si="32"/>
        <v/>
      </c>
      <c r="BV35" s="59"/>
    </row>
    <row r="36" spans="1:74" ht="14.5">
      <c r="A36" s="51" t="s">
        <v>58</v>
      </c>
      <c r="B36" s="52">
        <v>287</v>
      </c>
      <c r="C36" s="52" t="s">
        <v>188</v>
      </c>
      <c r="D36" s="41">
        <f t="shared" si="1"/>
        <v>1</v>
      </c>
      <c r="E36" s="52" t="s">
        <v>136</v>
      </c>
      <c r="F36" s="52" t="s">
        <v>247</v>
      </c>
      <c r="G36" s="52" t="s">
        <v>162</v>
      </c>
      <c r="H36" s="52" t="s">
        <v>442</v>
      </c>
      <c r="I36" s="53">
        <v>45661</v>
      </c>
      <c r="J36" s="108">
        <v>3008</v>
      </c>
      <c r="K36" s="101"/>
      <c r="L36" s="101"/>
      <c r="M36" s="101">
        <f t="shared" si="2"/>
        <v>3008</v>
      </c>
      <c r="N36" s="54">
        <f t="shared" si="3"/>
        <v>3008</v>
      </c>
      <c r="O36" s="101" t="s">
        <v>443</v>
      </c>
      <c r="P36" s="102">
        <f t="shared" si="4"/>
        <v>1.7188571428571429</v>
      </c>
      <c r="Q36" s="102">
        <v>5</v>
      </c>
      <c r="R36" s="99">
        <v>350</v>
      </c>
      <c r="S36" s="55">
        <f t="shared" si="5"/>
        <v>45633</v>
      </c>
      <c r="T36" s="55">
        <v>45620</v>
      </c>
      <c r="U36" s="56">
        <f t="shared" ca="1" si="6"/>
        <v>13</v>
      </c>
      <c r="V36" s="55">
        <f t="shared" si="7"/>
        <v>45649</v>
      </c>
      <c r="W36" s="55"/>
      <c r="X36" s="56">
        <f t="shared" ca="1" si="8"/>
        <v>-191</v>
      </c>
      <c r="Y36" s="55"/>
      <c r="Z36" s="57"/>
      <c r="AA36" s="58" t="str">
        <f t="shared" si="9"/>
        <v>-</v>
      </c>
      <c r="AB36" s="59"/>
      <c r="AC36" s="58" t="str">
        <f t="shared" si="10"/>
        <v/>
      </c>
      <c r="AD36" s="59"/>
      <c r="AE36" s="58" t="str">
        <f t="shared" si="11"/>
        <v/>
      </c>
      <c r="AF36" s="59"/>
      <c r="AG36" s="58" t="str">
        <f t="shared" si="12"/>
        <v/>
      </c>
      <c r="AH36" s="59"/>
      <c r="AI36" s="58" t="str">
        <f t="shared" si="13"/>
        <v/>
      </c>
      <c r="AJ36" s="59"/>
      <c r="AK36" s="58" t="str">
        <f t="shared" si="14"/>
        <v/>
      </c>
      <c r="AL36" s="59"/>
      <c r="AM36" s="58" t="str">
        <f t="shared" si="15"/>
        <v/>
      </c>
      <c r="AN36" s="59"/>
      <c r="AO36" s="58" t="str">
        <f t="shared" si="16"/>
        <v/>
      </c>
      <c r="AP36" s="59"/>
      <c r="AQ36" s="58">
        <f t="shared" si="17"/>
        <v>3008</v>
      </c>
      <c r="AR36" s="59"/>
      <c r="AS36" s="58" t="str">
        <f t="shared" si="18"/>
        <v/>
      </c>
      <c r="AT36" s="59"/>
      <c r="AU36" s="58" t="str">
        <f t="shared" si="19"/>
        <v/>
      </c>
      <c r="AV36" s="59"/>
      <c r="AW36" s="58" t="str">
        <f t="shared" si="20"/>
        <v/>
      </c>
      <c r="AX36" s="59"/>
      <c r="AY36" s="58" t="str">
        <f t="shared" si="21"/>
        <v/>
      </c>
      <c r="AZ36" s="59"/>
      <c r="BA36" s="58" t="str">
        <f t="shared" si="22"/>
        <v/>
      </c>
      <c r="BB36" s="59"/>
      <c r="BC36" s="58" t="str">
        <f t="shared" si="23"/>
        <v/>
      </c>
      <c r="BD36" s="59"/>
      <c r="BE36" s="58" t="str">
        <f t="shared" si="24"/>
        <v/>
      </c>
      <c r="BF36" s="59"/>
      <c r="BG36" s="58" t="str">
        <f t="shared" si="25"/>
        <v/>
      </c>
      <c r="BH36" s="59"/>
      <c r="BI36" s="58" t="str">
        <f t="shared" si="26"/>
        <v/>
      </c>
      <c r="BJ36" s="59"/>
      <c r="BK36" s="58" t="str">
        <f t="shared" si="27"/>
        <v/>
      </c>
      <c r="BL36" s="59"/>
      <c r="BM36" s="58" t="str">
        <f t="shared" si="28"/>
        <v/>
      </c>
      <c r="BN36" s="59"/>
      <c r="BO36" s="58" t="str">
        <f t="shared" si="29"/>
        <v/>
      </c>
      <c r="BP36" s="59"/>
      <c r="BQ36" s="58" t="str">
        <f t="shared" si="30"/>
        <v/>
      </c>
      <c r="BR36" s="59"/>
      <c r="BS36" s="58" t="str">
        <f t="shared" si="31"/>
        <v/>
      </c>
      <c r="BT36" s="59"/>
      <c r="BU36" s="58" t="str">
        <f t="shared" si="32"/>
        <v/>
      </c>
      <c r="BV36" s="59"/>
    </row>
    <row r="37" spans="1:74" ht="14.5">
      <c r="A37" s="51" t="s">
        <v>58</v>
      </c>
      <c r="B37" s="52">
        <v>287</v>
      </c>
      <c r="C37" s="52" t="s">
        <v>188</v>
      </c>
      <c r="D37" s="41">
        <f t="shared" si="1"/>
        <v>1</v>
      </c>
      <c r="E37" s="52" t="s">
        <v>136</v>
      </c>
      <c r="F37" s="52" t="s">
        <v>247</v>
      </c>
      <c r="G37" s="52" t="s">
        <v>155</v>
      </c>
      <c r="H37" s="52" t="s">
        <v>442</v>
      </c>
      <c r="I37" s="53">
        <v>45661</v>
      </c>
      <c r="J37" s="108">
        <v>3008</v>
      </c>
      <c r="K37" s="101"/>
      <c r="L37" s="101"/>
      <c r="M37" s="101">
        <f t="shared" si="2"/>
        <v>3008</v>
      </c>
      <c r="N37" s="54">
        <f t="shared" si="3"/>
        <v>3008</v>
      </c>
      <c r="O37" s="101" t="s">
        <v>443</v>
      </c>
      <c r="P37" s="102">
        <f t="shared" si="4"/>
        <v>1.7188571428571429</v>
      </c>
      <c r="Q37" s="102">
        <v>5</v>
      </c>
      <c r="R37" s="99">
        <v>350</v>
      </c>
      <c r="S37" s="55">
        <f t="shared" si="5"/>
        <v>45633</v>
      </c>
      <c r="T37" s="55">
        <v>45620</v>
      </c>
      <c r="U37" s="56">
        <f t="shared" ca="1" si="6"/>
        <v>13</v>
      </c>
      <c r="V37" s="55">
        <f t="shared" si="7"/>
        <v>45649</v>
      </c>
      <c r="W37" s="55"/>
      <c r="X37" s="56">
        <f t="shared" ca="1" si="8"/>
        <v>-191</v>
      </c>
      <c r="Y37" s="55"/>
      <c r="Z37" s="57"/>
      <c r="AA37" s="58" t="str">
        <f t="shared" si="9"/>
        <v>-</v>
      </c>
      <c r="AB37" s="59"/>
      <c r="AC37" s="58" t="str">
        <f t="shared" si="10"/>
        <v/>
      </c>
      <c r="AD37" s="59"/>
      <c r="AE37" s="58" t="str">
        <f t="shared" si="11"/>
        <v/>
      </c>
      <c r="AF37" s="59"/>
      <c r="AG37" s="58" t="str">
        <f t="shared" si="12"/>
        <v/>
      </c>
      <c r="AH37" s="59"/>
      <c r="AI37" s="58" t="str">
        <f t="shared" si="13"/>
        <v/>
      </c>
      <c r="AJ37" s="59"/>
      <c r="AK37" s="58" t="str">
        <f t="shared" si="14"/>
        <v/>
      </c>
      <c r="AL37" s="59"/>
      <c r="AM37" s="58" t="str">
        <f t="shared" si="15"/>
        <v/>
      </c>
      <c r="AN37" s="59"/>
      <c r="AO37" s="58" t="str">
        <f t="shared" si="16"/>
        <v/>
      </c>
      <c r="AP37" s="59"/>
      <c r="AQ37" s="58">
        <f t="shared" si="17"/>
        <v>3008</v>
      </c>
      <c r="AR37" s="59"/>
      <c r="AS37" s="58" t="str">
        <f t="shared" si="18"/>
        <v/>
      </c>
      <c r="AT37" s="59"/>
      <c r="AU37" s="58" t="str">
        <f t="shared" si="19"/>
        <v/>
      </c>
      <c r="AV37" s="59"/>
      <c r="AW37" s="58" t="str">
        <f t="shared" si="20"/>
        <v/>
      </c>
      <c r="AX37" s="59"/>
      <c r="AY37" s="58" t="str">
        <f t="shared" si="21"/>
        <v/>
      </c>
      <c r="AZ37" s="59"/>
      <c r="BA37" s="58" t="str">
        <f t="shared" si="22"/>
        <v/>
      </c>
      <c r="BB37" s="59"/>
      <c r="BC37" s="58" t="str">
        <f t="shared" si="23"/>
        <v/>
      </c>
      <c r="BD37" s="59"/>
      <c r="BE37" s="58" t="str">
        <f t="shared" si="24"/>
        <v/>
      </c>
      <c r="BF37" s="59"/>
      <c r="BG37" s="58" t="str">
        <f t="shared" si="25"/>
        <v/>
      </c>
      <c r="BH37" s="59"/>
      <c r="BI37" s="58" t="str">
        <f t="shared" si="26"/>
        <v/>
      </c>
      <c r="BJ37" s="59"/>
      <c r="BK37" s="58" t="str">
        <f t="shared" si="27"/>
        <v/>
      </c>
      <c r="BL37" s="59"/>
      <c r="BM37" s="58" t="str">
        <f t="shared" si="28"/>
        <v/>
      </c>
      <c r="BN37" s="59"/>
      <c r="BO37" s="58" t="str">
        <f t="shared" si="29"/>
        <v/>
      </c>
      <c r="BP37" s="59"/>
      <c r="BQ37" s="58" t="str">
        <f t="shared" si="30"/>
        <v/>
      </c>
      <c r="BR37" s="59"/>
      <c r="BS37" s="58" t="str">
        <f t="shared" si="31"/>
        <v/>
      </c>
      <c r="BT37" s="59"/>
      <c r="BU37" s="58" t="str">
        <f t="shared" si="32"/>
        <v/>
      </c>
      <c r="BV37" s="59"/>
    </row>
    <row r="38" spans="1:74" ht="14.5">
      <c r="A38" s="51" t="s">
        <v>58</v>
      </c>
      <c r="B38" s="52">
        <v>287</v>
      </c>
      <c r="C38" s="52" t="s">
        <v>188</v>
      </c>
      <c r="D38" s="41">
        <f t="shared" si="1"/>
        <v>1</v>
      </c>
      <c r="E38" s="52" t="s">
        <v>136</v>
      </c>
      <c r="F38" s="52" t="s">
        <v>247</v>
      </c>
      <c r="G38" s="52" t="s">
        <v>164</v>
      </c>
      <c r="H38" s="52" t="s">
        <v>442</v>
      </c>
      <c r="I38" s="53">
        <v>45661</v>
      </c>
      <c r="J38" s="108">
        <v>3008</v>
      </c>
      <c r="K38" s="101"/>
      <c r="L38" s="101"/>
      <c r="M38" s="101">
        <f t="shared" si="2"/>
        <v>3008</v>
      </c>
      <c r="N38" s="54">
        <f t="shared" si="3"/>
        <v>3008</v>
      </c>
      <c r="O38" s="101" t="s">
        <v>443</v>
      </c>
      <c r="P38" s="102">
        <f t="shared" si="4"/>
        <v>1.7188571428571429</v>
      </c>
      <c r="Q38" s="102">
        <v>5</v>
      </c>
      <c r="R38" s="99">
        <v>350</v>
      </c>
      <c r="S38" s="55">
        <f t="shared" si="5"/>
        <v>45633</v>
      </c>
      <c r="T38" s="55">
        <v>45620</v>
      </c>
      <c r="U38" s="56">
        <f t="shared" ca="1" si="6"/>
        <v>13</v>
      </c>
      <c r="V38" s="55">
        <f t="shared" si="7"/>
        <v>45649</v>
      </c>
      <c r="W38" s="55"/>
      <c r="X38" s="56">
        <f t="shared" ca="1" si="8"/>
        <v>-191</v>
      </c>
      <c r="Y38" s="55"/>
      <c r="Z38" s="57"/>
      <c r="AA38" s="58" t="str">
        <f t="shared" si="9"/>
        <v>-</v>
      </c>
      <c r="AB38" s="59"/>
      <c r="AC38" s="58" t="str">
        <f t="shared" si="10"/>
        <v/>
      </c>
      <c r="AD38" s="59"/>
      <c r="AE38" s="58" t="str">
        <f t="shared" si="11"/>
        <v/>
      </c>
      <c r="AF38" s="59"/>
      <c r="AG38" s="58" t="str">
        <f t="shared" si="12"/>
        <v/>
      </c>
      <c r="AH38" s="59"/>
      <c r="AI38" s="58" t="str">
        <f t="shared" si="13"/>
        <v/>
      </c>
      <c r="AJ38" s="59"/>
      <c r="AK38" s="58" t="str">
        <f t="shared" si="14"/>
        <v/>
      </c>
      <c r="AL38" s="59"/>
      <c r="AM38" s="58" t="str">
        <f t="shared" si="15"/>
        <v/>
      </c>
      <c r="AN38" s="59"/>
      <c r="AO38" s="58" t="str">
        <f t="shared" si="16"/>
        <v/>
      </c>
      <c r="AP38" s="59"/>
      <c r="AQ38" s="58">
        <f t="shared" si="17"/>
        <v>3008</v>
      </c>
      <c r="AR38" s="59"/>
      <c r="AS38" s="58" t="str">
        <f t="shared" si="18"/>
        <v/>
      </c>
      <c r="AT38" s="59"/>
      <c r="AU38" s="58" t="str">
        <f t="shared" si="19"/>
        <v/>
      </c>
      <c r="AV38" s="59"/>
      <c r="AW38" s="58" t="str">
        <f t="shared" si="20"/>
        <v/>
      </c>
      <c r="AX38" s="59"/>
      <c r="AY38" s="58" t="str">
        <f t="shared" si="21"/>
        <v/>
      </c>
      <c r="AZ38" s="59"/>
      <c r="BA38" s="58" t="str">
        <f t="shared" si="22"/>
        <v/>
      </c>
      <c r="BB38" s="59"/>
      <c r="BC38" s="58" t="str">
        <f t="shared" si="23"/>
        <v/>
      </c>
      <c r="BD38" s="59"/>
      <c r="BE38" s="58" t="str">
        <f t="shared" si="24"/>
        <v/>
      </c>
      <c r="BF38" s="59"/>
      <c r="BG38" s="58" t="str">
        <f t="shared" si="25"/>
        <v/>
      </c>
      <c r="BH38" s="59"/>
      <c r="BI38" s="58" t="str">
        <f t="shared" si="26"/>
        <v/>
      </c>
      <c r="BJ38" s="59"/>
      <c r="BK38" s="58" t="str">
        <f t="shared" si="27"/>
        <v/>
      </c>
      <c r="BL38" s="59"/>
      <c r="BM38" s="58" t="str">
        <f t="shared" si="28"/>
        <v/>
      </c>
      <c r="BN38" s="59"/>
      <c r="BO38" s="58" t="str">
        <f t="shared" si="29"/>
        <v/>
      </c>
      <c r="BP38" s="59"/>
      <c r="BQ38" s="58" t="str">
        <f t="shared" si="30"/>
        <v/>
      </c>
      <c r="BR38" s="59"/>
      <c r="BS38" s="58" t="str">
        <f t="shared" si="31"/>
        <v/>
      </c>
      <c r="BT38" s="59"/>
      <c r="BU38" s="58" t="str">
        <f t="shared" si="32"/>
        <v/>
      </c>
      <c r="BV38" s="59"/>
    </row>
    <row r="39" spans="1:74" ht="14.5">
      <c r="A39" s="51" t="s">
        <v>58</v>
      </c>
      <c r="B39" s="52">
        <v>287</v>
      </c>
      <c r="C39" s="52" t="s">
        <v>188</v>
      </c>
      <c r="D39" s="41">
        <f t="shared" si="1"/>
        <v>1</v>
      </c>
      <c r="E39" s="52" t="s">
        <v>157</v>
      </c>
      <c r="F39" s="52" t="s">
        <v>243</v>
      </c>
      <c r="G39" s="52" t="s">
        <v>155</v>
      </c>
      <c r="H39" s="52" t="s">
        <v>428</v>
      </c>
      <c r="I39" s="53">
        <v>45661</v>
      </c>
      <c r="J39" s="108">
        <v>3708</v>
      </c>
      <c r="K39" s="101"/>
      <c r="L39" s="101"/>
      <c r="M39" s="101">
        <f t="shared" si="2"/>
        <v>3708</v>
      </c>
      <c r="N39" s="54">
        <f t="shared" si="3"/>
        <v>3708</v>
      </c>
      <c r="O39" s="101" t="s">
        <v>429</v>
      </c>
      <c r="P39" s="102">
        <f t="shared" si="4"/>
        <v>0.61799999999999999</v>
      </c>
      <c r="Q39" s="102">
        <v>6</v>
      </c>
      <c r="R39" s="99">
        <v>1000</v>
      </c>
      <c r="S39" s="55">
        <f t="shared" ref="S39:S55" si="33">+I39-(28)</f>
        <v>45633</v>
      </c>
      <c r="T39" s="55">
        <v>45620</v>
      </c>
      <c r="U39" s="56">
        <f t="shared" ca="1" si="6"/>
        <v>13</v>
      </c>
      <c r="V39" s="55">
        <f t="shared" si="7"/>
        <v>45649</v>
      </c>
      <c r="W39" s="55"/>
      <c r="X39" s="56">
        <f t="shared" ca="1" si="8"/>
        <v>-191</v>
      </c>
      <c r="Y39" s="55"/>
      <c r="Z39" s="57"/>
      <c r="AA39" s="58" t="str">
        <f t="shared" si="9"/>
        <v>-</v>
      </c>
      <c r="AB39" s="59"/>
      <c r="AC39" s="58" t="str">
        <f t="shared" si="10"/>
        <v/>
      </c>
      <c r="AD39" s="59"/>
      <c r="AE39" s="58" t="str">
        <f t="shared" si="11"/>
        <v/>
      </c>
      <c r="AF39" s="59"/>
      <c r="AG39" s="58" t="str">
        <f t="shared" si="12"/>
        <v/>
      </c>
      <c r="AH39" s="59"/>
      <c r="AI39" s="58" t="str">
        <f t="shared" si="13"/>
        <v/>
      </c>
      <c r="AJ39" s="59"/>
      <c r="AK39" s="58" t="str">
        <f t="shared" si="14"/>
        <v/>
      </c>
      <c r="AL39" s="59"/>
      <c r="AM39" s="58" t="str">
        <f t="shared" si="15"/>
        <v/>
      </c>
      <c r="AN39" s="59"/>
      <c r="AO39" s="58" t="str">
        <f t="shared" si="16"/>
        <v/>
      </c>
      <c r="AP39" s="59"/>
      <c r="AQ39" s="58">
        <f t="shared" si="17"/>
        <v>3708</v>
      </c>
      <c r="AR39" s="59"/>
      <c r="AS39" s="58" t="str">
        <f t="shared" si="18"/>
        <v/>
      </c>
      <c r="AT39" s="59"/>
      <c r="AU39" s="58" t="str">
        <f t="shared" si="19"/>
        <v/>
      </c>
      <c r="AV39" s="59"/>
      <c r="AW39" s="58" t="str">
        <f t="shared" si="20"/>
        <v/>
      </c>
      <c r="AX39" s="59"/>
      <c r="AY39" s="58" t="str">
        <f t="shared" si="21"/>
        <v/>
      </c>
      <c r="AZ39" s="59"/>
      <c r="BA39" s="58" t="str">
        <f t="shared" si="22"/>
        <v/>
      </c>
      <c r="BB39" s="59"/>
      <c r="BC39" s="58" t="str">
        <f t="shared" si="23"/>
        <v/>
      </c>
      <c r="BD39" s="59"/>
      <c r="BE39" s="58" t="str">
        <f t="shared" si="24"/>
        <v/>
      </c>
      <c r="BF39" s="59"/>
      <c r="BG39" s="58" t="str">
        <f t="shared" si="25"/>
        <v/>
      </c>
      <c r="BH39" s="59"/>
      <c r="BI39" s="58" t="str">
        <f t="shared" si="26"/>
        <v/>
      </c>
      <c r="BJ39" s="59"/>
      <c r="BK39" s="58" t="str">
        <f t="shared" si="27"/>
        <v/>
      </c>
      <c r="BL39" s="59"/>
      <c r="BM39" s="58" t="str">
        <f t="shared" si="28"/>
        <v/>
      </c>
      <c r="BN39" s="59"/>
      <c r="BO39" s="58" t="str">
        <f t="shared" si="29"/>
        <v/>
      </c>
      <c r="BP39" s="59"/>
      <c r="BQ39" s="58" t="str">
        <f t="shared" si="30"/>
        <v/>
      </c>
      <c r="BR39" s="59"/>
      <c r="BS39" s="58" t="str">
        <f t="shared" si="31"/>
        <v/>
      </c>
      <c r="BT39" s="59"/>
      <c r="BU39" s="58" t="str">
        <f t="shared" si="32"/>
        <v/>
      </c>
      <c r="BV39" s="59"/>
    </row>
    <row r="40" spans="1:74" ht="14.5">
      <c r="A40" s="51" t="s">
        <v>58</v>
      </c>
      <c r="B40" s="52">
        <v>287</v>
      </c>
      <c r="C40" s="52" t="s">
        <v>188</v>
      </c>
      <c r="D40" s="41">
        <f t="shared" si="1"/>
        <v>1</v>
      </c>
      <c r="E40" s="52" t="s">
        <v>189</v>
      </c>
      <c r="F40" s="52" t="s">
        <v>242</v>
      </c>
      <c r="G40" s="52" t="s">
        <v>162</v>
      </c>
      <c r="H40" s="52" t="s">
        <v>432</v>
      </c>
      <c r="I40" s="53">
        <v>45661</v>
      </c>
      <c r="J40" s="108">
        <v>76</v>
      </c>
      <c r="K40" s="101"/>
      <c r="L40" s="101"/>
      <c r="M40" s="101">
        <f t="shared" si="2"/>
        <v>76</v>
      </c>
      <c r="N40" s="54">
        <f t="shared" si="3"/>
        <v>76</v>
      </c>
      <c r="O40" s="101" t="s">
        <v>178</v>
      </c>
      <c r="P40" s="102">
        <f t="shared" si="4"/>
        <v>0.10555555555555556</v>
      </c>
      <c r="Q40" s="102">
        <v>6</v>
      </c>
      <c r="R40" s="99">
        <v>120</v>
      </c>
      <c r="S40" s="55">
        <f t="shared" si="33"/>
        <v>45633</v>
      </c>
      <c r="T40" s="55">
        <v>45620</v>
      </c>
      <c r="U40" s="56">
        <f t="shared" ca="1" si="6"/>
        <v>13</v>
      </c>
      <c r="V40" s="55">
        <f t="shared" si="7"/>
        <v>45649</v>
      </c>
      <c r="W40" s="55"/>
      <c r="X40" s="56">
        <f t="shared" ca="1" si="8"/>
        <v>-191</v>
      </c>
      <c r="Y40" s="55"/>
      <c r="Z40" s="57"/>
      <c r="AA40" s="58" t="str">
        <f t="shared" si="9"/>
        <v>-</v>
      </c>
      <c r="AB40" s="59"/>
      <c r="AC40" s="58" t="str">
        <f t="shared" si="10"/>
        <v/>
      </c>
      <c r="AD40" s="59"/>
      <c r="AE40" s="58" t="str">
        <f t="shared" si="11"/>
        <v/>
      </c>
      <c r="AF40" s="59"/>
      <c r="AG40" s="58" t="str">
        <f t="shared" si="12"/>
        <v/>
      </c>
      <c r="AH40" s="59"/>
      <c r="AI40" s="58" t="str">
        <f t="shared" si="13"/>
        <v/>
      </c>
      <c r="AJ40" s="59"/>
      <c r="AK40" s="58" t="str">
        <f t="shared" si="14"/>
        <v/>
      </c>
      <c r="AL40" s="59"/>
      <c r="AM40" s="58" t="str">
        <f t="shared" si="15"/>
        <v/>
      </c>
      <c r="AN40" s="59"/>
      <c r="AO40" s="58" t="str">
        <f t="shared" si="16"/>
        <v/>
      </c>
      <c r="AP40" s="59"/>
      <c r="AQ40" s="58">
        <f t="shared" si="17"/>
        <v>76</v>
      </c>
      <c r="AR40" s="59"/>
      <c r="AS40" s="58" t="str">
        <f t="shared" si="18"/>
        <v/>
      </c>
      <c r="AT40" s="59"/>
      <c r="AU40" s="58" t="str">
        <f t="shared" si="19"/>
        <v/>
      </c>
      <c r="AV40" s="59"/>
      <c r="AW40" s="58" t="str">
        <f t="shared" si="20"/>
        <v/>
      </c>
      <c r="AX40" s="59"/>
      <c r="AY40" s="58" t="str">
        <f t="shared" si="21"/>
        <v/>
      </c>
      <c r="AZ40" s="59"/>
      <c r="BA40" s="58" t="str">
        <f t="shared" si="22"/>
        <v/>
      </c>
      <c r="BB40" s="59"/>
      <c r="BC40" s="58" t="str">
        <f t="shared" si="23"/>
        <v/>
      </c>
      <c r="BD40" s="59"/>
      <c r="BE40" s="58" t="str">
        <f t="shared" si="24"/>
        <v/>
      </c>
      <c r="BF40" s="59"/>
      <c r="BG40" s="58" t="str">
        <f t="shared" si="25"/>
        <v/>
      </c>
      <c r="BH40" s="59"/>
      <c r="BI40" s="58" t="str">
        <f t="shared" si="26"/>
        <v/>
      </c>
      <c r="BJ40" s="59"/>
      <c r="BK40" s="58" t="str">
        <f t="shared" si="27"/>
        <v/>
      </c>
      <c r="BL40" s="59"/>
      <c r="BM40" s="58" t="str">
        <f t="shared" si="28"/>
        <v/>
      </c>
      <c r="BN40" s="59"/>
      <c r="BO40" s="58" t="str">
        <f t="shared" si="29"/>
        <v/>
      </c>
      <c r="BP40" s="59"/>
      <c r="BQ40" s="58" t="str">
        <f t="shared" si="30"/>
        <v/>
      </c>
      <c r="BR40" s="59"/>
      <c r="BS40" s="58" t="str">
        <f t="shared" si="31"/>
        <v/>
      </c>
      <c r="BT40" s="59"/>
      <c r="BU40" s="58" t="str">
        <f t="shared" si="32"/>
        <v/>
      </c>
      <c r="BV40" s="59"/>
    </row>
    <row r="41" spans="1:74" ht="14.5">
      <c r="A41" s="51" t="s">
        <v>58</v>
      </c>
      <c r="B41" s="52">
        <v>287</v>
      </c>
      <c r="C41" s="52" t="s">
        <v>188</v>
      </c>
      <c r="D41" s="41">
        <f t="shared" si="1"/>
        <v>1</v>
      </c>
      <c r="E41" s="52" t="s">
        <v>391</v>
      </c>
      <c r="F41" s="52" t="s">
        <v>242</v>
      </c>
      <c r="G41" s="52" t="s">
        <v>393</v>
      </c>
      <c r="H41" s="52" t="s">
        <v>433</v>
      </c>
      <c r="I41" s="53">
        <v>45661</v>
      </c>
      <c r="J41" s="108">
        <v>594</v>
      </c>
      <c r="K41" s="101"/>
      <c r="L41" s="101"/>
      <c r="M41" s="101">
        <f t="shared" si="2"/>
        <v>594</v>
      </c>
      <c r="N41" s="54">
        <f t="shared" si="3"/>
        <v>594</v>
      </c>
      <c r="O41" s="101" t="s">
        <v>439</v>
      </c>
      <c r="P41" s="102">
        <f t="shared" si="4"/>
        <v>1.2375</v>
      </c>
      <c r="Q41" s="102">
        <v>6</v>
      </c>
      <c r="R41" s="99">
        <v>80</v>
      </c>
      <c r="S41" s="55">
        <f t="shared" si="33"/>
        <v>45633</v>
      </c>
      <c r="T41" s="55">
        <v>45620</v>
      </c>
      <c r="U41" s="56">
        <f t="shared" ca="1" si="6"/>
        <v>13</v>
      </c>
      <c r="V41" s="55">
        <f t="shared" si="7"/>
        <v>45649</v>
      </c>
      <c r="W41" s="55"/>
      <c r="X41" s="56">
        <f t="shared" ca="1" si="8"/>
        <v>-191</v>
      </c>
      <c r="Y41" s="55"/>
      <c r="Z41" s="57"/>
      <c r="AA41" s="58" t="str">
        <f t="shared" si="9"/>
        <v>-</v>
      </c>
      <c r="AB41" s="59"/>
      <c r="AC41" s="58" t="str">
        <f t="shared" si="10"/>
        <v/>
      </c>
      <c r="AD41" s="59"/>
      <c r="AE41" s="58" t="str">
        <f t="shared" si="11"/>
        <v/>
      </c>
      <c r="AF41" s="59"/>
      <c r="AG41" s="58" t="str">
        <f t="shared" si="12"/>
        <v/>
      </c>
      <c r="AH41" s="59"/>
      <c r="AI41" s="58" t="str">
        <f t="shared" si="13"/>
        <v/>
      </c>
      <c r="AJ41" s="59"/>
      <c r="AK41" s="58" t="str">
        <f t="shared" si="14"/>
        <v/>
      </c>
      <c r="AL41" s="59"/>
      <c r="AM41" s="58" t="str">
        <f t="shared" si="15"/>
        <v/>
      </c>
      <c r="AN41" s="59"/>
      <c r="AO41" s="58" t="str">
        <f t="shared" si="16"/>
        <v/>
      </c>
      <c r="AP41" s="59"/>
      <c r="AQ41" s="58">
        <f t="shared" si="17"/>
        <v>594</v>
      </c>
      <c r="AR41" s="59"/>
      <c r="AS41" s="58" t="str">
        <f t="shared" si="18"/>
        <v/>
      </c>
      <c r="AT41" s="59"/>
      <c r="AU41" s="58" t="str">
        <f t="shared" si="19"/>
        <v/>
      </c>
      <c r="AV41" s="59"/>
      <c r="AW41" s="58" t="str">
        <f t="shared" si="20"/>
        <v/>
      </c>
      <c r="AX41" s="59"/>
      <c r="AY41" s="58" t="str">
        <f t="shared" si="21"/>
        <v/>
      </c>
      <c r="AZ41" s="59"/>
      <c r="BA41" s="58" t="str">
        <f t="shared" si="22"/>
        <v/>
      </c>
      <c r="BB41" s="59"/>
      <c r="BC41" s="58" t="str">
        <f t="shared" si="23"/>
        <v/>
      </c>
      <c r="BD41" s="59"/>
      <c r="BE41" s="58" t="str">
        <f t="shared" si="24"/>
        <v/>
      </c>
      <c r="BF41" s="59"/>
      <c r="BG41" s="58" t="str">
        <f t="shared" si="25"/>
        <v/>
      </c>
      <c r="BH41" s="59"/>
      <c r="BI41" s="58" t="str">
        <f t="shared" si="26"/>
        <v/>
      </c>
      <c r="BJ41" s="59"/>
      <c r="BK41" s="58" t="str">
        <f t="shared" si="27"/>
        <v/>
      </c>
      <c r="BL41" s="59"/>
      <c r="BM41" s="58" t="str">
        <f t="shared" si="28"/>
        <v/>
      </c>
      <c r="BN41" s="59"/>
      <c r="BO41" s="58" t="str">
        <f t="shared" si="29"/>
        <v/>
      </c>
      <c r="BP41" s="59"/>
      <c r="BQ41" s="58" t="str">
        <f t="shared" si="30"/>
        <v/>
      </c>
      <c r="BR41" s="59"/>
      <c r="BS41" s="58" t="str">
        <f t="shared" si="31"/>
        <v/>
      </c>
      <c r="BT41" s="59"/>
      <c r="BU41" s="58" t="str">
        <f t="shared" si="32"/>
        <v/>
      </c>
      <c r="BV41" s="59"/>
    </row>
    <row r="42" spans="1:74" ht="14.5">
      <c r="A42" s="51" t="s">
        <v>58</v>
      </c>
      <c r="B42" s="52">
        <v>287</v>
      </c>
      <c r="C42" s="52" t="s">
        <v>188</v>
      </c>
      <c r="D42" s="41">
        <f t="shared" si="1"/>
        <v>1</v>
      </c>
      <c r="E42" s="52" t="s">
        <v>158</v>
      </c>
      <c r="F42" s="52" t="s">
        <v>242</v>
      </c>
      <c r="G42" s="52" t="s">
        <v>255</v>
      </c>
      <c r="H42" s="52" t="s">
        <v>432</v>
      </c>
      <c r="I42" s="53">
        <v>45661</v>
      </c>
      <c r="J42" s="108">
        <v>1336</v>
      </c>
      <c r="K42" s="101"/>
      <c r="L42" s="101"/>
      <c r="M42" s="101">
        <f t="shared" si="2"/>
        <v>1336</v>
      </c>
      <c r="N42" s="54">
        <f t="shared" si="3"/>
        <v>1336</v>
      </c>
      <c r="O42" s="101" t="s">
        <v>437</v>
      </c>
      <c r="P42" s="102">
        <f t="shared" si="4"/>
        <v>1.8555555555555556</v>
      </c>
      <c r="Q42" s="102">
        <v>6</v>
      </c>
      <c r="R42" s="99">
        <v>120</v>
      </c>
      <c r="S42" s="55">
        <f t="shared" si="33"/>
        <v>45633</v>
      </c>
      <c r="T42" s="55">
        <v>45620</v>
      </c>
      <c r="U42" s="56">
        <f t="shared" ca="1" si="6"/>
        <v>13</v>
      </c>
      <c r="V42" s="55">
        <f t="shared" si="7"/>
        <v>45649</v>
      </c>
      <c r="W42" s="55"/>
      <c r="X42" s="56">
        <f t="shared" ca="1" si="8"/>
        <v>-191</v>
      </c>
      <c r="Y42" s="55"/>
      <c r="Z42" s="57"/>
      <c r="AA42" s="58" t="str">
        <f t="shared" si="9"/>
        <v>-</v>
      </c>
      <c r="AB42" s="59"/>
      <c r="AC42" s="58" t="str">
        <f t="shared" si="10"/>
        <v/>
      </c>
      <c r="AD42" s="59"/>
      <c r="AE42" s="58" t="str">
        <f t="shared" si="11"/>
        <v/>
      </c>
      <c r="AF42" s="59"/>
      <c r="AG42" s="58" t="str">
        <f t="shared" si="12"/>
        <v/>
      </c>
      <c r="AH42" s="59"/>
      <c r="AI42" s="58" t="str">
        <f t="shared" si="13"/>
        <v/>
      </c>
      <c r="AJ42" s="59"/>
      <c r="AK42" s="58" t="str">
        <f t="shared" si="14"/>
        <v/>
      </c>
      <c r="AL42" s="59"/>
      <c r="AM42" s="58" t="str">
        <f t="shared" si="15"/>
        <v/>
      </c>
      <c r="AN42" s="59"/>
      <c r="AO42" s="58" t="str">
        <f t="shared" si="16"/>
        <v/>
      </c>
      <c r="AP42" s="59"/>
      <c r="AQ42" s="58">
        <f t="shared" si="17"/>
        <v>1336</v>
      </c>
      <c r="AR42" s="59"/>
      <c r="AS42" s="58" t="str">
        <f t="shared" si="18"/>
        <v/>
      </c>
      <c r="AT42" s="59"/>
      <c r="AU42" s="58" t="str">
        <f t="shared" si="19"/>
        <v/>
      </c>
      <c r="AV42" s="59"/>
      <c r="AW42" s="58" t="str">
        <f t="shared" si="20"/>
        <v/>
      </c>
      <c r="AX42" s="59"/>
      <c r="AY42" s="58" t="str">
        <f t="shared" si="21"/>
        <v/>
      </c>
      <c r="AZ42" s="59"/>
      <c r="BA42" s="58" t="str">
        <f t="shared" si="22"/>
        <v/>
      </c>
      <c r="BB42" s="59"/>
      <c r="BC42" s="58" t="str">
        <f t="shared" si="23"/>
        <v/>
      </c>
      <c r="BD42" s="59"/>
      <c r="BE42" s="58" t="str">
        <f t="shared" si="24"/>
        <v/>
      </c>
      <c r="BF42" s="59"/>
      <c r="BG42" s="58" t="str">
        <f t="shared" si="25"/>
        <v/>
      </c>
      <c r="BH42" s="59"/>
      <c r="BI42" s="58" t="str">
        <f t="shared" si="26"/>
        <v/>
      </c>
      <c r="BJ42" s="59"/>
      <c r="BK42" s="58" t="str">
        <f t="shared" si="27"/>
        <v/>
      </c>
      <c r="BL42" s="59"/>
      <c r="BM42" s="58" t="str">
        <f t="shared" si="28"/>
        <v/>
      </c>
      <c r="BN42" s="59"/>
      <c r="BO42" s="58" t="str">
        <f t="shared" si="29"/>
        <v/>
      </c>
      <c r="BP42" s="59"/>
      <c r="BQ42" s="58" t="str">
        <f t="shared" si="30"/>
        <v/>
      </c>
      <c r="BR42" s="59"/>
      <c r="BS42" s="58" t="str">
        <f t="shared" si="31"/>
        <v/>
      </c>
      <c r="BT42" s="59"/>
      <c r="BU42" s="58" t="str">
        <f t="shared" si="32"/>
        <v/>
      </c>
      <c r="BV42" s="59"/>
    </row>
    <row r="43" spans="1:74" ht="14.5">
      <c r="A43" s="51" t="s">
        <v>58</v>
      </c>
      <c r="B43" s="52">
        <v>287</v>
      </c>
      <c r="C43" s="52" t="s">
        <v>188</v>
      </c>
      <c r="D43" s="41">
        <f t="shared" si="1"/>
        <v>1</v>
      </c>
      <c r="E43" s="52" t="s">
        <v>190</v>
      </c>
      <c r="F43" s="52" t="s">
        <v>242</v>
      </c>
      <c r="G43" s="52" t="s">
        <v>244</v>
      </c>
      <c r="H43" s="52" t="s">
        <v>453</v>
      </c>
      <c r="I43" s="53">
        <v>45661</v>
      </c>
      <c r="J43" s="108">
        <v>428</v>
      </c>
      <c r="K43" s="101"/>
      <c r="L43" s="101"/>
      <c r="M43" s="101">
        <f t="shared" si="2"/>
        <v>428</v>
      </c>
      <c r="N43" s="54">
        <f t="shared" si="3"/>
        <v>428</v>
      </c>
      <c r="O43" s="101" t="s">
        <v>431</v>
      </c>
      <c r="P43" s="102">
        <f t="shared" si="4"/>
        <v>0.59444444444444444</v>
      </c>
      <c r="Q43" s="102">
        <v>6</v>
      </c>
      <c r="R43" s="99">
        <v>120</v>
      </c>
      <c r="S43" s="55">
        <f t="shared" si="33"/>
        <v>45633</v>
      </c>
      <c r="T43" s="55">
        <v>45620</v>
      </c>
      <c r="U43" s="56">
        <f t="shared" ca="1" si="6"/>
        <v>13</v>
      </c>
      <c r="V43" s="55">
        <f t="shared" si="7"/>
        <v>45649</v>
      </c>
      <c r="W43" s="55"/>
      <c r="X43" s="56">
        <f t="shared" ca="1" si="8"/>
        <v>-191</v>
      </c>
      <c r="Y43" s="55"/>
      <c r="Z43" s="57"/>
      <c r="AA43" s="58" t="str">
        <f t="shared" si="9"/>
        <v>-</v>
      </c>
      <c r="AB43" s="59"/>
      <c r="AC43" s="58" t="str">
        <f t="shared" si="10"/>
        <v/>
      </c>
      <c r="AD43" s="59"/>
      <c r="AE43" s="58" t="str">
        <f t="shared" si="11"/>
        <v/>
      </c>
      <c r="AF43" s="59"/>
      <c r="AG43" s="58" t="str">
        <f t="shared" si="12"/>
        <v/>
      </c>
      <c r="AH43" s="59"/>
      <c r="AI43" s="58" t="str">
        <f t="shared" si="13"/>
        <v/>
      </c>
      <c r="AJ43" s="59"/>
      <c r="AK43" s="58" t="str">
        <f t="shared" si="14"/>
        <v/>
      </c>
      <c r="AL43" s="59"/>
      <c r="AM43" s="58" t="str">
        <f t="shared" si="15"/>
        <v/>
      </c>
      <c r="AN43" s="59"/>
      <c r="AO43" s="58" t="str">
        <f t="shared" si="16"/>
        <v/>
      </c>
      <c r="AP43" s="59"/>
      <c r="AQ43" s="58">
        <f t="shared" si="17"/>
        <v>428</v>
      </c>
      <c r="AR43" s="59"/>
      <c r="AS43" s="58" t="str">
        <f t="shared" si="18"/>
        <v/>
      </c>
      <c r="AT43" s="59"/>
      <c r="AU43" s="58" t="str">
        <f t="shared" si="19"/>
        <v/>
      </c>
      <c r="AV43" s="59"/>
      <c r="AW43" s="58" t="str">
        <f t="shared" si="20"/>
        <v/>
      </c>
      <c r="AX43" s="59"/>
      <c r="AY43" s="58" t="str">
        <f t="shared" si="21"/>
        <v/>
      </c>
      <c r="AZ43" s="59"/>
      <c r="BA43" s="58" t="str">
        <f t="shared" si="22"/>
        <v/>
      </c>
      <c r="BB43" s="59"/>
      <c r="BC43" s="58" t="str">
        <f t="shared" si="23"/>
        <v/>
      </c>
      <c r="BD43" s="59"/>
      <c r="BE43" s="58" t="str">
        <f t="shared" si="24"/>
        <v/>
      </c>
      <c r="BF43" s="59"/>
      <c r="BG43" s="58" t="str">
        <f t="shared" si="25"/>
        <v/>
      </c>
      <c r="BH43" s="59"/>
      <c r="BI43" s="58" t="str">
        <f t="shared" si="26"/>
        <v/>
      </c>
      <c r="BJ43" s="59"/>
      <c r="BK43" s="58" t="str">
        <f t="shared" si="27"/>
        <v/>
      </c>
      <c r="BL43" s="59"/>
      <c r="BM43" s="58" t="str">
        <f t="shared" si="28"/>
        <v/>
      </c>
      <c r="BN43" s="59"/>
      <c r="BO43" s="58" t="str">
        <f t="shared" si="29"/>
        <v/>
      </c>
      <c r="BP43" s="59"/>
      <c r="BQ43" s="58" t="str">
        <f t="shared" si="30"/>
        <v/>
      </c>
      <c r="BR43" s="59"/>
      <c r="BS43" s="58" t="str">
        <f t="shared" si="31"/>
        <v/>
      </c>
      <c r="BT43" s="59"/>
      <c r="BU43" s="58" t="str">
        <f t="shared" si="32"/>
        <v/>
      </c>
      <c r="BV43" s="59"/>
    </row>
    <row r="44" spans="1:74" ht="14.5">
      <c r="A44" s="51" t="s">
        <v>58</v>
      </c>
      <c r="B44" s="52">
        <v>297</v>
      </c>
      <c r="C44" s="52" t="s">
        <v>188</v>
      </c>
      <c r="D44" s="41">
        <f t="shared" si="1"/>
        <v>1</v>
      </c>
      <c r="E44" s="52" t="s">
        <v>201</v>
      </c>
      <c r="F44" s="52" t="s">
        <v>247</v>
      </c>
      <c r="G44" s="52" t="s">
        <v>155</v>
      </c>
      <c r="H44" s="52" t="s">
        <v>442</v>
      </c>
      <c r="I44" s="53">
        <v>45661</v>
      </c>
      <c r="J44" s="108">
        <v>14256</v>
      </c>
      <c r="K44" s="101"/>
      <c r="L44" s="101"/>
      <c r="M44" s="101">
        <f t="shared" si="2"/>
        <v>14256</v>
      </c>
      <c r="N44" s="54">
        <f t="shared" si="3"/>
        <v>14256</v>
      </c>
      <c r="O44" s="101" t="s">
        <v>443</v>
      </c>
      <c r="P44" s="102">
        <f t="shared" si="4"/>
        <v>8.1462857142857139</v>
      </c>
      <c r="Q44" s="102">
        <v>5</v>
      </c>
      <c r="R44" s="99">
        <v>350</v>
      </c>
      <c r="S44" s="55">
        <f t="shared" si="33"/>
        <v>45633</v>
      </c>
      <c r="T44" s="55">
        <v>45620</v>
      </c>
      <c r="U44" s="56">
        <f t="shared" ca="1" si="6"/>
        <v>13</v>
      </c>
      <c r="V44" s="55">
        <f t="shared" si="7"/>
        <v>45649</v>
      </c>
      <c r="W44" s="55"/>
      <c r="X44" s="56">
        <f t="shared" ca="1" si="8"/>
        <v>-191</v>
      </c>
      <c r="Y44" s="55"/>
      <c r="Z44" s="57"/>
      <c r="AA44" s="58" t="str">
        <f t="shared" si="9"/>
        <v>-</v>
      </c>
      <c r="AB44" s="59"/>
      <c r="AC44" s="58" t="str">
        <f t="shared" si="10"/>
        <v/>
      </c>
      <c r="AD44" s="59"/>
      <c r="AE44" s="58" t="str">
        <f t="shared" si="11"/>
        <v/>
      </c>
      <c r="AF44" s="59"/>
      <c r="AG44" s="58" t="str">
        <f t="shared" si="12"/>
        <v/>
      </c>
      <c r="AH44" s="59"/>
      <c r="AI44" s="58" t="str">
        <f t="shared" si="13"/>
        <v/>
      </c>
      <c r="AJ44" s="59"/>
      <c r="AK44" s="58" t="str">
        <f t="shared" si="14"/>
        <v/>
      </c>
      <c r="AL44" s="59"/>
      <c r="AM44" s="58" t="str">
        <f t="shared" si="15"/>
        <v/>
      </c>
      <c r="AN44" s="59"/>
      <c r="AO44" s="58" t="str">
        <f t="shared" si="16"/>
        <v/>
      </c>
      <c r="AP44" s="59"/>
      <c r="AQ44" s="58">
        <f t="shared" si="17"/>
        <v>14256</v>
      </c>
      <c r="AR44" s="59"/>
      <c r="AS44" s="58" t="str">
        <f t="shared" si="18"/>
        <v/>
      </c>
      <c r="AT44" s="59"/>
      <c r="AU44" s="58" t="str">
        <f t="shared" si="19"/>
        <v/>
      </c>
      <c r="AV44" s="59"/>
      <c r="AW44" s="58" t="str">
        <f t="shared" si="20"/>
        <v/>
      </c>
      <c r="AX44" s="59"/>
      <c r="AY44" s="58" t="str">
        <f t="shared" si="21"/>
        <v/>
      </c>
      <c r="AZ44" s="59"/>
      <c r="BA44" s="58" t="str">
        <f t="shared" si="22"/>
        <v/>
      </c>
      <c r="BB44" s="59"/>
      <c r="BC44" s="58" t="str">
        <f t="shared" si="23"/>
        <v/>
      </c>
      <c r="BD44" s="59"/>
      <c r="BE44" s="58" t="str">
        <f t="shared" si="24"/>
        <v/>
      </c>
      <c r="BF44" s="59"/>
      <c r="BG44" s="58" t="str">
        <f t="shared" si="25"/>
        <v/>
      </c>
      <c r="BH44" s="59"/>
      <c r="BI44" s="58" t="str">
        <f t="shared" si="26"/>
        <v/>
      </c>
      <c r="BJ44" s="59"/>
      <c r="BK44" s="58" t="str">
        <f t="shared" si="27"/>
        <v/>
      </c>
      <c r="BL44" s="59"/>
      <c r="BM44" s="58" t="str">
        <f t="shared" si="28"/>
        <v/>
      </c>
      <c r="BN44" s="59"/>
      <c r="BO44" s="58" t="str">
        <f t="shared" si="29"/>
        <v/>
      </c>
      <c r="BP44" s="59"/>
      <c r="BQ44" s="58" t="str">
        <f t="shared" si="30"/>
        <v/>
      </c>
      <c r="BR44" s="59"/>
      <c r="BS44" s="58" t="str">
        <f t="shared" si="31"/>
        <v/>
      </c>
      <c r="BT44" s="59"/>
      <c r="BU44" s="58" t="str">
        <f t="shared" si="32"/>
        <v/>
      </c>
      <c r="BV44" s="59"/>
    </row>
    <row r="45" spans="1:74" ht="14.5">
      <c r="A45" s="51" t="s">
        <v>58</v>
      </c>
      <c r="B45" s="52">
        <v>297</v>
      </c>
      <c r="C45" s="52" t="s">
        <v>188</v>
      </c>
      <c r="D45" s="41">
        <f t="shared" si="1"/>
        <v>1</v>
      </c>
      <c r="E45" s="52" t="s">
        <v>157</v>
      </c>
      <c r="F45" s="52" t="s">
        <v>243</v>
      </c>
      <c r="G45" s="52" t="s">
        <v>162</v>
      </c>
      <c r="H45" s="52" t="s">
        <v>428</v>
      </c>
      <c r="I45" s="53">
        <v>45661</v>
      </c>
      <c r="J45" s="108">
        <v>3708</v>
      </c>
      <c r="K45" s="101"/>
      <c r="L45" s="101"/>
      <c r="M45" s="101">
        <f t="shared" si="2"/>
        <v>3708</v>
      </c>
      <c r="N45" s="54">
        <f t="shared" si="3"/>
        <v>3708</v>
      </c>
      <c r="O45" s="101" t="s">
        <v>429</v>
      </c>
      <c r="P45" s="102">
        <f t="shared" si="4"/>
        <v>0.61799999999999999</v>
      </c>
      <c r="Q45" s="102">
        <v>6</v>
      </c>
      <c r="R45" s="99">
        <v>1000</v>
      </c>
      <c r="S45" s="55">
        <f t="shared" si="33"/>
        <v>45633</v>
      </c>
      <c r="T45" s="55">
        <v>45620</v>
      </c>
      <c r="U45" s="56">
        <f t="shared" ca="1" si="6"/>
        <v>13</v>
      </c>
      <c r="V45" s="55">
        <f t="shared" si="7"/>
        <v>45649</v>
      </c>
      <c r="W45" s="55"/>
      <c r="X45" s="56">
        <f t="shared" ca="1" si="8"/>
        <v>-191</v>
      </c>
      <c r="Y45" s="55"/>
      <c r="Z45" s="57"/>
      <c r="AA45" s="58" t="str">
        <f t="shared" si="9"/>
        <v>-</v>
      </c>
      <c r="AB45" s="59"/>
      <c r="AC45" s="58" t="str">
        <f t="shared" si="10"/>
        <v/>
      </c>
      <c r="AD45" s="59"/>
      <c r="AE45" s="58" t="str">
        <f t="shared" si="11"/>
        <v/>
      </c>
      <c r="AF45" s="59"/>
      <c r="AG45" s="58" t="str">
        <f t="shared" si="12"/>
        <v/>
      </c>
      <c r="AH45" s="59"/>
      <c r="AI45" s="58" t="str">
        <f t="shared" si="13"/>
        <v/>
      </c>
      <c r="AJ45" s="59"/>
      <c r="AK45" s="58" t="str">
        <f t="shared" si="14"/>
        <v/>
      </c>
      <c r="AL45" s="59"/>
      <c r="AM45" s="58" t="str">
        <f t="shared" si="15"/>
        <v/>
      </c>
      <c r="AN45" s="59"/>
      <c r="AO45" s="58" t="str">
        <f t="shared" si="16"/>
        <v/>
      </c>
      <c r="AP45" s="59"/>
      <c r="AQ45" s="58">
        <f t="shared" si="17"/>
        <v>3708</v>
      </c>
      <c r="AR45" s="59"/>
      <c r="AS45" s="58" t="str">
        <f t="shared" si="18"/>
        <v/>
      </c>
      <c r="AT45" s="59"/>
      <c r="AU45" s="58" t="str">
        <f t="shared" si="19"/>
        <v/>
      </c>
      <c r="AV45" s="59"/>
      <c r="AW45" s="58" t="str">
        <f t="shared" si="20"/>
        <v/>
      </c>
      <c r="AX45" s="59"/>
      <c r="AY45" s="58" t="str">
        <f t="shared" si="21"/>
        <v/>
      </c>
      <c r="AZ45" s="59"/>
      <c r="BA45" s="58" t="str">
        <f t="shared" si="22"/>
        <v/>
      </c>
      <c r="BB45" s="59"/>
      <c r="BC45" s="58" t="str">
        <f t="shared" si="23"/>
        <v/>
      </c>
      <c r="BD45" s="59"/>
      <c r="BE45" s="58" t="str">
        <f t="shared" si="24"/>
        <v/>
      </c>
      <c r="BF45" s="59"/>
      <c r="BG45" s="58" t="str">
        <f t="shared" si="25"/>
        <v/>
      </c>
      <c r="BH45" s="59"/>
      <c r="BI45" s="58" t="str">
        <f t="shared" si="26"/>
        <v/>
      </c>
      <c r="BJ45" s="59"/>
      <c r="BK45" s="58" t="str">
        <f t="shared" si="27"/>
        <v/>
      </c>
      <c r="BL45" s="59"/>
      <c r="BM45" s="58" t="str">
        <f t="shared" si="28"/>
        <v/>
      </c>
      <c r="BN45" s="59"/>
      <c r="BO45" s="58" t="str">
        <f t="shared" si="29"/>
        <v/>
      </c>
      <c r="BP45" s="59"/>
      <c r="BQ45" s="58" t="str">
        <f t="shared" si="30"/>
        <v/>
      </c>
      <c r="BR45" s="59"/>
      <c r="BS45" s="58" t="str">
        <f t="shared" si="31"/>
        <v/>
      </c>
      <c r="BT45" s="59"/>
      <c r="BU45" s="58" t="str">
        <f t="shared" si="32"/>
        <v/>
      </c>
      <c r="BV45" s="59"/>
    </row>
    <row r="46" spans="1:74" ht="14.5">
      <c r="A46" s="51" t="s">
        <v>58</v>
      </c>
      <c r="B46" s="52">
        <v>297</v>
      </c>
      <c r="C46" s="52" t="s">
        <v>188</v>
      </c>
      <c r="D46" s="41">
        <f t="shared" si="1"/>
        <v>1</v>
      </c>
      <c r="E46" s="52" t="s">
        <v>391</v>
      </c>
      <c r="F46" s="52" t="s">
        <v>392</v>
      </c>
      <c r="G46" s="52" t="s">
        <v>393</v>
      </c>
      <c r="H46" s="52" t="s">
        <v>433</v>
      </c>
      <c r="I46" s="53">
        <v>45661</v>
      </c>
      <c r="J46" s="108">
        <v>1320</v>
      </c>
      <c r="K46" s="101"/>
      <c r="L46" s="101"/>
      <c r="M46" s="101">
        <f t="shared" si="2"/>
        <v>1320</v>
      </c>
      <c r="N46" s="54">
        <f t="shared" si="3"/>
        <v>1320</v>
      </c>
      <c r="O46" s="101" t="s">
        <v>178</v>
      </c>
      <c r="P46" s="102">
        <f t="shared" si="4"/>
        <v>2.75</v>
      </c>
      <c r="Q46" s="102">
        <v>6</v>
      </c>
      <c r="R46" s="99">
        <v>80</v>
      </c>
      <c r="S46" s="55">
        <f t="shared" si="33"/>
        <v>45633</v>
      </c>
      <c r="T46" s="55">
        <v>45620</v>
      </c>
      <c r="U46" s="56">
        <f t="shared" ca="1" si="6"/>
        <v>13</v>
      </c>
      <c r="V46" s="55">
        <f t="shared" si="7"/>
        <v>45649</v>
      </c>
      <c r="W46" s="55"/>
      <c r="X46" s="56">
        <f t="shared" ca="1" si="8"/>
        <v>-191</v>
      </c>
      <c r="Y46" s="55"/>
      <c r="Z46" s="57"/>
      <c r="AA46" s="58" t="str">
        <f t="shared" si="9"/>
        <v>-</v>
      </c>
      <c r="AB46" s="59"/>
      <c r="AC46" s="58" t="str">
        <f t="shared" si="10"/>
        <v/>
      </c>
      <c r="AD46" s="59"/>
      <c r="AE46" s="58" t="str">
        <f t="shared" si="11"/>
        <v/>
      </c>
      <c r="AF46" s="59"/>
      <c r="AG46" s="58" t="str">
        <f t="shared" si="12"/>
        <v/>
      </c>
      <c r="AH46" s="59"/>
      <c r="AI46" s="58" t="str">
        <f t="shared" si="13"/>
        <v/>
      </c>
      <c r="AJ46" s="59"/>
      <c r="AK46" s="58" t="str">
        <f t="shared" si="14"/>
        <v/>
      </c>
      <c r="AL46" s="59"/>
      <c r="AM46" s="58" t="str">
        <f t="shared" si="15"/>
        <v/>
      </c>
      <c r="AN46" s="59"/>
      <c r="AO46" s="58" t="str">
        <f t="shared" si="16"/>
        <v/>
      </c>
      <c r="AP46" s="59"/>
      <c r="AQ46" s="58">
        <f t="shared" si="17"/>
        <v>1320</v>
      </c>
      <c r="AR46" s="59"/>
      <c r="AS46" s="58" t="str">
        <f t="shared" si="18"/>
        <v/>
      </c>
      <c r="AT46" s="59"/>
      <c r="AU46" s="58" t="str">
        <f t="shared" si="19"/>
        <v/>
      </c>
      <c r="AV46" s="59"/>
      <c r="AW46" s="58" t="str">
        <f t="shared" si="20"/>
        <v/>
      </c>
      <c r="AX46" s="59"/>
      <c r="AY46" s="58" t="str">
        <f t="shared" si="21"/>
        <v/>
      </c>
      <c r="AZ46" s="59"/>
      <c r="BA46" s="58" t="str">
        <f t="shared" si="22"/>
        <v/>
      </c>
      <c r="BB46" s="59"/>
      <c r="BC46" s="58" t="str">
        <f t="shared" si="23"/>
        <v/>
      </c>
      <c r="BD46" s="59"/>
      <c r="BE46" s="58" t="str">
        <f t="shared" si="24"/>
        <v/>
      </c>
      <c r="BF46" s="59"/>
      <c r="BG46" s="58" t="str">
        <f t="shared" si="25"/>
        <v/>
      </c>
      <c r="BH46" s="59"/>
      <c r="BI46" s="58" t="str">
        <f t="shared" si="26"/>
        <v/>
      </c>
      <c r="BJ46" s="59"/>
      <c r="BK46" s="58" t="str">
        <f t="shared" si="27"/>
        <v/>
      </c>
      <c r="BL46" s="59"/>
      <c r="BM46" s="58" t="str">
        <f t="shared" si="28"/>
        <v/>
      </c>
      <c r="BN46" s="59"/>
      <c r="BO46" s="58" t="str">
        <f t="shared" si="29"/>
        <v/>
      </c>
      <c r="BP46" s="59"/>
      <c r="BQ46" s="58" t="str">
        <f t="shared" si="30"/>
        <v/>
      </c>
      <c r="BR46" s="59"/>
      <c r="BS46" s="58" t="str">
        <f t="shared" si="31"/>
        <v/>
      </c>
      <c r="BT46" s="59"/>
      <c r="BU46" s="58" t="str">
        <f t="shared" si="32"/>
        <v/>
      </c>
      <c r="BV46" s="59"/>
    </row>
    <row r="47" spans="1:74" ht="14.5">
      <c r="A47" s="51" t="s">
        <v>58</v>
      </c>
      <c r="B47" s="52">
        <v>297</v>
      </c>
      <c r="C47" s="52" t="s">
        <v>188</v>
      </c>
      <c r="D47" s="41">
        <f t="shared" si="1"/>
        <v>1</v>
      </c>
      <c r="E47" s="52" t="s">
        <v>158</v>
      </c>
      <c r="F47" s="52" t="s">
        <v>242</v>
      </c>
      <c r="G47" s="52" t="s">
        <v>156</v>
      </c>
      <c r="H47" s="52" t="s">
        <v>432</v>
      </c>
      <c r="I47" s="53">
        <v>45661</v>
      </c>
      <c r="J47" s="108">
        <v>1344</v>
      </c>
      <c r="K47" s="101"/>
      <c r="L47" s="101"/>
      <c r="M47" s="101">
        <f t="shared" si="2"/>
        <v>1344</v>
      </c>
      <c r="N47" s="54">
        <f t="shared" si="3"/>
        <v>1344</v>
      </c>
      <c r="O47" s="101" t="s">
        <v>439</v>
      </c>
      <c r="P47" s="102">
        <f t="shared" si="4"/>
        <v>1.8666666666666667</v>
      </c>
      <c r="Q47" s="102">
        <v>6</v>
      </c>
      <c r="R47" s="99">
        <v>120</v>
      </c>
      <c r="S47" s="55">
        <f t="shared" si="33"/>
        <v>45633</v>
      </c>
      <c r="T47" s="55">
        <v>45620</v>
      </c>
      <c r="U47" s="56">
        <f t="shared" ca="1" si="6"/>
        <v>13</v>
      </c>
      <c r="V47" s="55">
        <f t="shared" si="7"/>
        <v>45649</v>
      </c>
      <c r="W47" s="55"/>
      <c r="X47" s="56">
        <f t="shared" ca="1" si="8"/>
        <v>-191</v>
      </c>
      <c r="Y47" s="55"/>
      <c r="Z47" s="57"/>
      <c r="AA47" s="58" t="str">
        <f t="shared" si="9"/>
        <v>-</v>
      </c>
      <c r="AB47" s="59"/>
      <c r="AC47" s="58" t="str">
        <f t="shared" si="10"/>
        <v/>
      </c>
      <c r="AD47" s="59"/>
      <c r="AE47" s="58" t="str">
        <f t="shared" si="11"/>
        <v/>
      </c>
      <c r="AF47" s="59"/>
      <c r="AG47" s="58" t="str">
        <f t="shared" si="12"/>
        <v/>
      </c>
      <c r="AH47" s="59"/>
      <c r="AI47" s="58" t="str">
        <f t="shared" si="13"/>
        <v/>
      </c>
      <c r="AJ47" s="59"/>
      <c r="AK47" s="58" t="str">
        <f t="shared" si="14"/>
        <v/>
      </c>
      <c r="AL47" s="59"/>
      <c r="AM47" s="58" t="str">
        <f t="shared" si="15"/>
        <v/>
      </c>
      <c r="AN47" s="59"/>
      <c r="AO47" s="58" t="str">
        <f t="shared" si="16"/>
        <v/>
      </c>
      <c r="AP47" s="59"/>
      <c r="AQ47" s="58">
        <f t="shared" si="17"/>
        <v>1344</v>
      </c>
      <c r="AR47" s="59"/>
      <c r="AS47" s="58" t="str">
        <f t="shared" si="18"/>
        <v/>
      </c>
      <c r="AT47" s="59"/>
      <c r="AU47" s="58" t="str">
        <f t="shared" si="19"/>
        <v/>
      </c>
      <c r="AV47" s="59"/>
      <c r="AW47" s="58" t="str">
        <f t="shared" si="20"/>
        <v/>
      </c>
      <c r="AX47" s="59"/>
      <c r="AY47" s="58" t="str">
        <f t="shared" si="21"/>
        <v/>
      </c>
      <c r="AZ47" s="59"/>
      <c r="BA47" s="58" t="str">
        <f t="shared" si="22"/>
        <v/>
      </c>
      <c r="BB47" s="59"/>
      <c r="BC47" s="58" t="str">
        <f t="shared" si="23"/>
        <v/>
      </c>
      <c r="BD47" s="59"/>
      <c r="BE47" s="58" t="str">
        <f t="shared" si="24"/>
        <v/>
      </c>
      <c r="BF47" s="59"/>
      <c r="BG47" s="58" t="str">
        <f t="shared" si="25"/>
        <v/>
      </c>
      <c r="BH47" s="59"/>
      <c r="BI47" s="58" t="str">
        <f t="shared" si="26"/>
        <v/>
      </c>
      <c r="BJ47" s="59"/>
      <c r="BK47" s="58" t="str">
        <f t="shared" si="27"/>
        <v/>
      </c>
      <c r="BL47" s="59"/>
      <c r="BM47" s="58" t="str">
        <f t="shared" si="28"/>
        <v/>
      </c>
      <c r="BN47" s="59"/>
      <c r="BO47" s="58" t="str">
        <f t="shared" si="29"/>
        <v/>
      </c>
      <c r="BP47" s="59"/>
      <c r="BQ47" s="58" t="str">
        <f t="shared" si="30"/>
        <v/>
      </c>
      <c r="BR47" s="59"/>
      <c r="BS47" s="58" t="str">
        <f t="shared" si="31"/>
        <v/>
      </c>
      <c r="BT47" s="59"/>
      <c r="BU47" s="58" t="str">
        <f t="shared" si="32"/>
        <v/>
      </c>
      <c r="BV47" s="59"/>
    </row>
    <row r="48" spans="1:74" ht="14.5">
      <c r="A48" s="51" t="s">
        <v>58</v>
      </c>
      <c r="B48" s="52">
        <v>388</v>
      </c>
      <c r="C48" s="52" t="s">
        <v>188</v>
      </c>
      <c r="D48" s="41">
        <f t="shared" si="1"/>
        <v>1</v>
      </c>
      <c r="E48" s="52" t="s">
        <v>158</v>
      </c>
      <c r="F48" s="52" t="s">
        <v>242</v>
      </c>
      <c r="G48" s="52" t="s">
        <v>154</v>
      </c>
      <c r="H48" s="52" t="s">
        <v>432</v>
      </c>
      <c r="I48" s="53">
        <v>45661</v>
      </c>
      <c r="J48" s="108">
        <v>684</v>
      </c>
      <c r="K48" s="101"/>
      <c r="L48" s="101"/>
      <c r="M48" s="101">
        <f t="shared" si="2"/>
        <v>684</v>
      </c>
      <c r="N48" s="54">
        <f t="shared" si="3"/>
        <v>684</v>
      </c>
      <c r="O48" s="101" t="s">
        <v>437</v>
      </c>
      <c r="P48" s="102">
        <f t="shared" si="4"/>
        <v>0.95</v>
      </c>
      <c r="Q48" s="102">
        <v>6</v>
      </c>
      <c r="R48" s="99">
        <v>120</v>
      </c>
      <c r="S48" s="55">
        <f t="shared" si="33"/>
        <v>45633</v>
      </c>
      <c r="T48" s="55">
        <v>45620</v>
      </c>
      <c r="U48" s="56">
        <f t="shared" ca="1" si="6"/>
        <v>13</v>
      </c>
      <c r="V48" s="55">
        <f t="shared" si="7"/>
        <v>45649</v>
      </c>
      <c r="W48" s="55"/>
      <c r="X48" s="56">
        <f t="shared" ca="1" si="8"/>
        <v>-191</v>
      </c>
      <c r="Y48" s="55"/>
      <c r="Z48" s="57"/>
      <c r="AA48" s="58" t="str">
        <f t="shared" si="9"/>
        <v>-</v>
      </c>
      <c r="AB48" s="59"/>
      <c r="AC48" s="58" t="str">
        <f t="shared" si="10"/>
        <v/>
      </c>
      <c r="AD48" s="59"/>
      <c r="AE48" s="58" t="str">
        <f t="shared" si="11"/>
        <v/>
      </c>
      <c r="AF48" s="59"/>
      <c r="AG48" s="58" t="str">
        <f t="shared" si="12"/>
        <v/>
      </c>
      <c r="AH48" s="59"/>
      <c r="AI48" s="58" t="str">
        <f t="shared" si="13"/>
        <v/>
      </c>
      <c r="AJ48" s="59"/>
      <c r="AK48" s="58" t="str">
        <f t="shared" si="14"/>
        <v/>
      </c>
      <c r="AL48" s="59"/>
      <c r="AM48" s="58" t="str">
        <f t="shared" si="15"/>
        <v/>
      </c>
      <c r="AN48" s="59"/>
      <c r="AO48" s="58" t="str">
        <f t="shared" si="16"/>
        <v/>
      </c>
      <c r="AP48" s="59"/>
      <c r="AQ48" s="58">
        <f t="shared" si="17"/>
        <v>684</v>
      </c>
      <c r="AR48" s="59"/>
      <c r="AS48" s="58" t="str">
        <f t="shared" si="18"/>
        <v/>
      </c>
      <c r="AT48" s="59"/>
      <c r="AU48" s="58" t="str">
        <f t="shared" si="19"/>
        <v/>
      </c>
      <c r="AV48" s="59"/>
      <c r="AW48" s="58" t="str">
        <f t="shared" si="20"/>
        <v/>
      </c>
      <c r="AX48" s="59"/>
      <c r="AY48" s="58" t="str">
        <f t="shared" si="21"/>
        <v/>
      </c>
      <c r="AZ48" s="59"/>
      <c r="BA48" s="58" t="str">
        <f t="shared" si="22"/>
        <v/>
      </c>
      <c r="BB48" s="59"/>
      <c r="BC48" s="58" t="str">
        <f t="shared" si="23"/>
        <v/>
      </c>
      <c r="BD48" s="59"/>
      <c r="BE48" s="58" t="str">
        <f t="shared" si="24"/>
        <v/>
      </c>
      <c r="BF48" s="59"/>
      <c r="BG48" s="58" t="str">
        <f t="shared" si="25"/>
        <v/>
      </c>
      <c r="BH48" s="59"/>
      <c r="BI48" s="58" t="str">
        <f t="shared" si="26"/>
        <v/>
      </c>
      <c r="BJ48" s="59"/>
      <c r="BK48" s="58" t="str">
        <f t="shared" si="27"/>
        <v/>
      </c>
      <c r="BL48" s="59"/>
      <c r="BM48" s="58" t="str">
        <f t="shared" si="28"/>
        <v/>
      </c>
      <c r="BN48" s="59"/>
      <c r="BO48" s="58" t="str">
        <f t="shared" si="29"/>
        <v/>
      </c>
      <c r="BP48" s="59"/>
      <c r="BQ48" s="58" t="str">
        <f t="shared" si="30"/>
        <v/>
      </c>
      <c r="BR48" s="59"/>
      <c r="BS48" s="58" t="str">
        <f t="shared" si="31"/>
        <v/>
      </c>
      <c r="BT48" s="59"/>
      <c r="BU48" s="58" t="str">
        <f t="shared" si="32"/>
        <v/>
      </c>
      <c r="BV48" s="59"/>
    </row>
    <row r="49" spans="1:74" ht="14.5">
      <c r="A49" s="51" t="s">
        <v>58</v>
      </c>
      <c r="B49" s="52">
        <v>388</v>
      </c>
      <c r="C49" s="52" t="s">
        <v>188</v>
      </c>
      <c r="D49" s="41">
        <f t="shared" si="1"/>
        <v>1</v>
      </c>
      <c r="E49" s="52" t="s">
        <v>189</v>
      </c>
      <c r="F49" s="52" t="s">
        <v>242</v>
      </c>
      <c r="G49" s="52" t="s">
        <v>162</v>
      </c>
      <c r="H49" s="52" t="s">
        <v>432</v>
      </c>
      <c r="I49" s="53">
        <v>45661</v>
      </c>
      <c r="J49" s="108">
        <v>3044</v>
      </c>
      <c r="K49" s="101"/>
      <c r="L49" s="101"/>
      <c r="M49" s="101">
        <f t="shared" si="2"/>
        <v>3044</v>
      </c>
      <c r="N49" s="54">
        <f t="shared" si="3"/>
        <v>3044</v>
      </c>
      <c r="O49" s="101" t="s">
        <v>178</v>
      </c>
      <c r="P49" s="102">
        <f t="shared" si="4"/>
        <v>4.2277777777777779</v>
      </c>
      <c r="Q49" s="102">
        <v>6</v>
      </c>
      <c r="R49" s="99">
        <v>120</v>
      </c>
      <c r="S49" s="55">
        <f t="shared" si="33"/>
        <v>45633</v>
      </c>
      <c r="T49" s="55">
        <v>45620</v>
      </c>
      <c r="U49" s="56">
        <f t="shared" ca="1" si="6"/>
        <v>13</v>
      </c>
      <c r="V49" s="55">
        <f t="shared" si="7"/>
        <v>45649</v>
      </c>
      <c r="W49" s="55"/>
      <c r="X49" s="56">
        <f t="shared" ca="1" si="8"/>
        <v>-191</v>
      </c>
      <c r="Y49" s="55"/>
      <c r="Z49" s="57"/>
      <c r="AA49" s="58" t="str">
        <f t="shared" si="9"/>
        <v>-</v>
      </c>
      <c r="AB49" s="59"/>
      <c r="AC49" s="58" t="str">
        <f t="shared" si="10"/>
        <v/>
      </c>
      <c r="AD49" s="59"/>
      <c r="AE49" s="58" t="str">
        <f t="shared" si="11"/>
        <v/>
      </c>
      <c r="AF49" s="59"/>
      <c r="AG49" s="58" t="str">
        <f t="shared" si="12"/>
        <v/>
      </c>
      <c r="AH49" s="59"/>
      <c r="AI49" s="58" t="str">
        <f t="shared" si="13"/>
        <v/>
      </c>
      <c r="AJ49" s="59"/>
      <c r="AK49" s="58" t="str">
        <f t="shared" si="14"/>
        <v/>
      </c>
      <c r="AL49" s="59"/>
      <c r="AM49" s="58" t="str">
        <f t="shared" si="15"/>
        <v/>
      </c>
      <c r="AN49" s="59"/>
      <c r="AO49" s="58" t="str">
        <f t="shared" si="16"/>
        <v/>
      </c>
      <c r="AP49" s="59"/>
      <c r="AQ49" s="58">
        <f t="shared" si="17"/>
        <v>3044</v>
      </c>
      <c r="AR49" s="59"/>
      <c r="AS49" s="58" t="str">
        <f t="shared" si="18"/>
        <v/>
      </c>
      <c r="AT49" s="59"/>
      <c r="AU49" s="58" t="str">
        <f t="shared" si="19"/>
        <v/>
      </c>
      <c r="AV49" s="59"/>
      <c r="AW49" s="58" t="str">
        <f t="shared" si="20"/>
        <v/>
      </c>
      <c r="AX49" s="59"/>
      <c r="AY49" s="58" t="str">
        <f t="shared" si="21"/>
        <v/>
      </c>
      <c r="AZ49" s="59"/>
      <c r="BA49" s="58" t="str">
        <f t="shared" si="22"/>
        <v/>
      </c>
      <c r="BB49" s="59"/>
      <c r="BC49" s="58" t="str">
        <f t="shared" si="23"/>
        <v/>
      </c>
      <c r="BD49" s="59"/>
      <c r="BE49" s="58" t="str">
        <f t="shared" si="24"/>
        <v/>
      </c>
      <c r="BF49" s="59"/>
      <c r="BG49" s="58" t="str">
        <f t="shared" si="25"/>
        <v/>
      </c>
      <c r="BH49" s="59"/>
      <c r="BI49" s="58" t="str">
        <f t="shared" si="26"/>
        <v/>
      </c>
      <c r="BJ49" s="59"/>
      <c r="BK49" s="58" t="str">
        <f t="shared" si="27"/>
        <v/>
      </c>
      <c r="BL49" s="59"/>
      <c r="BM49" s="58" t="str">
        <f t="shared" si="28"/>
        <v/>
      </c>
      <c r="BN49" s="59"/>
      <c r="BO49" s="58" t="str">
        <f t="shared" si="29"/>
        <v/>
      </c>
      <c r="BP49" s="59"/>
      <c r="BQ49" s="58" t="str">
        <f t="shared" si="30"/>
        <v/>
      </c>
      <c r="BR49" s="59"/>
      <c r="BS49" s="58" t="str">
        <f t="shared" si="31"/>
        <v/>
      </c>
      <c r="BT49" s="59"/>
      <c r="BU49" s="58" t="str">
        <f t="shared" si="32"/>
        <v/>
      </c>
      <c r="BV49" s="59"/>
    </row>
    <row r="50" spans="1:74" ht="14.5">
      <c r="A50" s="51" t="s">
        <v>58</v>
      </c>
      <c r="B50" s="52">
        <v>353</v>
      </c>
      <c r="C50" s="52" t="s">
        <v>188</v>
      </c>
      <c r="D50" s="41">
        <f t="shared" si="1"/>
        <v>1</v>
      </c>
      <c r="E50" s="52" t="s">
        <v>136</v>
      </c>
      <c r="F50" s="52" t="s">
        <v>247</v>
      </c>
      <c r="G50" s="52" t="s">
        <v>162</v>
      </c>
      <c r="H50" s="52" t="s">
        <v>442</v>
      </c>
      <c r="I50" s="53">
        <v>45661</v>
      </c>
      <c r="J50" s="108">
        <v>3008</v>
      </c>
      <c r="K50" s="101"/>
      <c r="L50" s="101"/>
      <c r="M50" s="101">
        <f t="shared" si="2"/>
        <v>3008</v>
      </c>
      <c r="N50" s="54">
        <f t="shared" si="3"/>
        <v>3008</v>
      </c>
      <c r="O50" s="101" t="s">
        <v>443</v>
      </c>
      <c r="P50" s="102">
        <f t="shared" si="4"/>
        <v>1.7188571428571429</v>
      </c>
      <c r="Q50" s="102">
        <v>5</v>
      </c>
      <c r="R50" s="99">
        <v>350</v>
      </c>
      <c r="S50" s="55">
        <f t="shared" si="33"/>
        <v>45633</v>
      </c>
      <c r="T50" s="55">
        <v>45627</v>
      </c>
      <c r="U50" s="56">
        <f t="shared" ca="1" si="6"/>
        <v>6</v>
      </c>
      <c r="V50" s="55">
        <f t="shared" si="7"/>
        <v>45649</v>
      </c>
      <c r="W50" s="55"/>
      <c r="X50" s="56">
        <f t="shared" ca="1" si="8"/>
        <v>-191</v>
      </c>
      <c r="Y50" s="55"/>
      <c r="Z50" s="57"/>
      <c r="AA50" s="58" t="str">
        <f t="shared" si="9"/>
        <v>-</v>
      </c>
      <c r="AB50" s="59"/>
      <c r="AC50" s="58" t="str">
        <f t="shared" si="10"/>
        <v/>
      </c>
      <c r="AD50" s="59"/>
      <c r="AE50" s="58" t="str">
        <f t="shared" si="11"/>
        <v/>
      </c>
      <c r="AF50" s="59"/>
      <c r="AG50" s="58" t="str">
        <f t="shared" si="12"/>
        <v/>
      </c>
      <c r="AH50" s="59"/>
      <c r="AI50" s="58" t="str">
        <f t="shared" si="13"/>
        <v/>
      </c>
      <c r="AJ50" s="59"/>
      <c r="AK50" s="58" t="str">
        <f t="shared" si="14"/>
        <v/>
      </c>
      <c r="AL50" s="59"/>
      <c r="AM50" s="58" t="str">
        <f t="shared" si="15"/>
        <v/>
      </c>
      <c r="AN50" s="59"/>
      <c r="AO50" s="58" t="str">
        <f t="shared" si="16"/>
        <v/>
      </c>
      <c r="AP50" s="59"/>
      <c r="AQ50" s="58">
        <f t="shared" si="17"/>
        <v>3008</v>
      </c>
      <c r="AR50" s="59"/>
      <c r="AS50" s="58" t="str">
        <f t="shared" si="18"/>
        <v/>
      </c>
      <c r="AT50" s="59"/>
      <c r="AU50" s="58" t="str">
        <f t="shared" si="19"/>
        <v/>
      </c>
      <c r="AV50" s="59"/>
      <c r="AW50" s="58" t="str">
        <f t="shared" si="20"/>
        <v/>
      </c>
      <c r="AX50" s="59"/>
      <c r="AY50" s="58" t="str">
        <f t="shared" si="21"/>
        <v/>
      </c>
      <c r="AZ50" s="59"/>
      <c r="BA50" s="58" t="str">
        <f t="shared" si="22"/>
        <v/>
      </c>
      <c r="BB50" s="59"/>
      <c r="BC50" s="58" t="str">
        <f t="shared" si="23"/>
        <v/>
      </c>
      <c r="BD50" s="59"/>
      <c r="BE50" s="58" t="str">
        <f t="shared" si="24"/>
        <v/>
      </c>
      <c r="BF50" s="59"/>
      <c r="BG50" s="58" t="str">
        <f t="shared" si="25"/>
        <v/>
      </c>
      <c r="BH50" s="59"/>
      <c r="BI50" s="58" t="str">
        <f t="shared" si="26"/>
        <v/>
      </c>
      <c r="BJ50" s="59"/>
      <c r="BK50" s="58" t="str">
        <f t="shared" si="27"/>
        <v/>
      </c>
      <c r="BL50" s="59"/>
      <c r="BM50" s="58" t="str">
        <f t="shared" si="28"/>
        <v/>
      </c>
      <c r="BN50" s="59"/>
      <c r="BO50" s="58" t="str">
        <f t="shared" si="29"/>
        <v/>
      </c>
      <c r="BP50" s="59"/>
      <c r="BQ50" s="58" t="str">
        <f t="shared" si="30"/>
        <v/>
      </c>
      <c r="BR50" s="59"/>
      <c r="BS50" s="58" t="str">
        <f t="shared" si="31"/>
        <v/>
      </c>
      <c r="BT50" s="59"/>
      <c r="BU50" s="58" t="str">
        <f t="shared" si="32"/>
        <v/>
      </c>
      <c r="BV50" s="59"/>
    </row>
    <row r="51" spans="1:74" ht="14.5">
      <c r="A51" s="51" t="s">
        <v>58</v>
      </c>
      <c r="B51" s="52">
        <v>353</v>
      </c>
      <c r="C51" s="52" t="s">
        <v>188</v>
      </c>
      <c r="D51" s="41">
        <f t="shared" si="1"/>
        <v>1</v>
      </c>
      <c r="E51" s="52" t="s">
        <v>136</v>
      </c>
      <c r="F51" s="52" t="s">
        <v>247</v>
      </c>
      <c r="G51" s="52" t="s">
        <v>163</v>
      </c>
      <c r="H51" s="52" t="s">
        <v>442</v>
      </c>
      <c r="I51" s="53">
        <v>45661</v>
      </c>
      <c r="J51" s="108">
        <v>3008</v>
      </c>
      <c r="K51" s="101"/>
      <c r="L51" s="101"/>
      <c r="M51" s="101">
        <f t="shared" si="2"/>
        <v>3008</v>
      </c>
      <c r="N51" s="54">
        <f t="shared" si="3"/>
        <v>3008</v>
      </c>
      <c r="O51" s="101" t="s">
        <v>443</v>
      </c>
      <c r="P51" s="102">
        <f t="shared" si="4"/>
        <v>1.7188571428571429</v>
      </c>
      <c r="Q51" s="102">
        <v>5</v>
      </c>
      <c r="R51" s="99">
        <v>350</v>
      </c>
      <c r="S51" s="55">
        <f t="shared" si="33"/>
        <v>45633</v>
      </c>
      <c r="T51" s="55">
        <v>45627</v>
      </c>
      <c r="U51" s="56">
        <f t="shared" ca="1" si="6"/>
        <v>6</v>
      </c>
      <c r="V51" s="55">
        <f t="shared" si="7"/>
        <v>45649</v>
      </c>
      <c r="W51" s="55"/>
      <c r="X51" s="56">
        <f t="shared" ca="1" si="8"/>
        <v>-191</v>
      </c>
      <c r="Y51" s="55"/>
      <c r="Z51" s="57"/>
      <c r="AA51" s="58" t="str">
        <f t="shared" si="9"/>
        <v>-</v>
      </c>
      <c r="AB51" s="59"/>
      <c r="AC51" s="58" t="str">
        <f t="shared" si="10"/>
        <v/>
      </c>
      <c r="AD51" s="59"/>
      <c r="AE51" s="58" t="str">
        <f t="shared" si="11"/>
        <v/>
      </c>
      <c r="AF51" s="59"/>
      <c r="AG51" s="58" t="str">
        <f t="shared" si="12"/>
        <v/>
      </c>
      <c r="AH51" s="59"/>
      <c r="AI51" s="58" t="str">
        <f t="shared" si="13"/>
        <v/>
      </c>
      <c r="AJ51" s="59"/>
      <c r="AK51" s="58" t="str">
        <f t="shared" si="14"/>
        <v/>
      </c>
      <c r="AL51" s="59"/>
      <c r="AM51" s="58" t="str">
        <f t="shared" si="15"/>
        <v/>
      </c>
      <c r="AN51" s="59"/>
      <c r="AO51" s="58" t="str">
        <f t="shared" si="16"/>
        <v/>
      </c>
      <c r="AP51" s="59"/>
      <c r="AQ51" s="58">
        <f t="shared" si="17"/>
        <v>3008</v>
      </c>
      <c r="AR51" s="59"/>
      <c r="AS51" s="58" t="str">
        <f t="shared" si="18"/>
        <v/>
      </c>
      <c r="AT51" s="59"/>
      <c r="AU51" s="58" t="str">
        <f t="shared" si="19"/>
        <v/>
      </c>
      <c r="AV51" s="59"/>
      <c r="AW51" s="58" t="str">
        <f t="shared" si="20"/>
        <v/>
      </c>
      <c r="AX51" s="59"/>
      <c r="AY51" s="58" t="str">
        <f t="shared" si="21"/>
        <v/>
      </c>
      <c r="AZ51" s="59"/>
      <c r="BA51" s="58" t="str">
        <f t="shared" si="22"/>
        <v/>
      </c>
      <c r="BB51" s="59"/>
      <c r="BC51" s="58" t="str">
        <f t="shared" si="23"/>
        <v/>
      </c>
      <c r="BD51" s="59"/>
      <c r="BE51" s="58" t="str">
        <f t="shared" si="24"/>
        <v/>
      </c>
      <c r="BF51" s="59"/>
      <c r="BG51" s="58" t="str">
        <f t="shared" si="25"/>
        <v/>
      </c>
      <c r="BH51" s="59"/>
      <c r="BI51" s="58" t="str">
        <f t="shared" si="26"/>
        <v/>
      </c>
      <c r="BJ51" s="59"/>
      <c r="BK51" s="58" t="str">
        <f t="shared" si="27"/>
        <v/>
      </c>
      <c r="BL51" s="59"/>
      <c r="BM51" s="58" t="str">
        <f t="shared" si="28"/>
        <v/>
      </c>
      <c r="BN51" s="59"/>
      <c r="BO51" s="58" t="str">
        <f t="shared" si="29"/>
        <v/>
      </c>
      <c r="BP51" s="59"/>
      <c r="BQ51" s="58" t="str">
        <f t="shared" si="30"/>
        <v/>
      </c>
      <c r="BR51" s="59"/>
      <c r="BS51" s="58" t="str">
        <f t="shared" si="31"/>
        <v/>
      </c>
      <c r="BT51" s="59"/>
      <c r="BU51" s="58" t="str">
        <f t="shared" si="32"/>
        <v/>
      </c>
      <c r="BV51" s="59"/>
    </row>
    <row r="52" spans="1:74" ht="14.5">
      <c r="A52" s="51" t="s">
        <v>58</v>
      </c>
      <c r="B52" s="52">
        <v>353</v>
      </c>
      <c r="C52" s="52" t="s">
        <v>188</v>
      </c>
      <c r="D52" s="41">
        <f t="shared" si="1"/>
        <v>1</v>
      </c>
      <c r="E52" s="52" t="s">
        <v>136</v>
      </c>
      <c r="F52" s="52" t="s">
        <v>247</v>
      </c>
      <c r="G52" s="52" t="s">
        <v>164</v>
      </c>
      <c r="H52" s="52" t="s">
        <v>442</v>
      </c>
      <c r="I52" s="53">
        <v>45661</v>
      </c>
      <c r="J52" s="108">
        <v>3008</v>
      </c>
      <c r="K52" s="101"/>
      <c r="L52" s="101"/>
      <c r="M52" s="101">
        <f t="shared" si="2"/>
        <v>3008</v>
      </c>
      <c r="N52" s="54">
        <f t="shared" si="3"/>
        <v>3008</v>
      </c>
      <c r="O52" s="101" t="s">
        <v>443</v>
      </c>
      <c r="P52" s="102">
        <f t="shared" si="4"/>
        <v>1.7188571428571429</v>
      </c>
      <c r="Q52" s="102">
        <v>5</v>
      </c>
      <c r="R52" s="99">
        <v>350</v>
      </c>
      <c r="S52" s="55">
        <f t="shared" si="33"/>
        <v>45633</v>
      </c>
      <c r="T52" s="55">
        <v>45627</v>
      </c>
      <c r="U52" s="56">
        <f t="shared" ca="1" si="6"/>
        <v>6</v>
      </c>
      <c r="V52" s="55">
        <f t="shared" si="7"/>
        <v>45649</v>
      </c>
      <c r="W52" s="55"/>
      <c r="X52" s="56">
        <f t="shared" ca="1" si="8"/>
        <v>-191</v>
      </c>
      <c r="Y52" s="55"/>
      <c r="Z52" s="57"/>
      <c r="AA52" s="58" t="str">
        <f t="shared" si="9"/>
        <v>-</v>
      </c>
      <c r="AB52" s="59"/>
      <c r="AC52" s="58" t="str">
        <f t="shared" si="10"/>
        <v/>
      </c>
      <c r="AD52" s="59"/>
      <c r="AE52" s="58" t="str">
        <f t="shared" si="11"/>
        <v/>
      </c>
      <c r="AF52" s="59"/>
      <c r="AG52" s="58" t="str">
        <f t="shared" si="12"/>
        <v/>
      </c>
      <c r="AH52" s="59"/>
      <c r="AI52" s="58" t="str">
        <f t="shared" si="13"/>
        <v/>
      </c>
      <c r="AJ52" s="59"/>
      <c r="AK52" s="58" t="str">
        <f t="shared" si="14"/>
        <v/>
      </c>
      <c r="AL52" s="59"/>
      <c r="AM52" s="58" t="str">
        <f t="shared" si="15"/>
        <v/>
      </c>
      <c r="AN52" s="59"/>
      <c r="AO52" s="58" t="str">
        <f t="shared" si="16"/>
        <v/>
      </c>
      <c r="AP52" s="59"/>
      <c r="AQ52" s="58">
        <f t="shared" si="17"/>
        <v>3008</v>
      </c>
      <c r="AR52" s="59"/>
      <c r="AS52" s="58" t="str">
        <f t="shared" si="18"/>
        <v/>
      </c>
      <c r="AT52" s="59"/>
      <c r="AU52" s="58" t="str">
        <f t="shared" si="19"/>
        <v/>
      </c>
      <c r="AV52" s="59"/>
      <c r="AW52" s="58" t="str">
        <f t="shared" si="20"/>
        <v/>
      </c>
      <c r="AX52" s="59"/>
      <c r="AY52" s="58" t="str">
        <f t="shared" si="21"/>
        <v/>
      </c>
      <c r="AZ52" s="59"/>
      <c r="BA52" s="58" t="str">
        <f t="shared" si="22"/>
        <v/>
      </c>
      <c r="BB52" s="59"/>
      <c r="BC52" s="58" t="str">
        <f t="shared" si="23"/>
        <v/>
      </c>
      <c r="BD52" s="59"/>
      <c r="BE52" s="58" t="str">
        <f t="shared" si="24"/>
        <v/>
      </c>
      <c r="BF52" s="59"/>
      <c r="BG52" s="58" t="str">
        <f t="shared" si="25"/>
        <v/>
      </c>
      <c r="BH52" s="59"/>
      <c r="BI52" s="58" t="str">
        <f t="shared" si="26"/>
        <v/>
      </c>
      <c r="BJ52" s="59"/>
      <c r="BK52" s="58" t="str">
        <f t="shared" si="27"/>
        <v/>
      </c>
      <c r="BL52" s="59"/>
      <c r="BM52" s="58" t="str">
        <f t="shared" si="28"/>
        <v/>
      </c>
      <c r="BN52" s="59"/>
      <c r="BO52" s="58" t="str">
        <f t="shared" si="29"/>
        <v/>
      </c>
      <c r="BP52" s="59"/>
      <c r="BQ52" s="58" t="str">
        <f t="shared" si="30"/>
        <v/>
      </c>
      <c r="BR52" s="59"/>
      <c r="BS52" s="58" t="str">
        <f t="shared" si="31"/>
        <v/>
      </c>
      <c r="BT52" s="59"/>
      <c r="BU52" s="58" t="str">
        <f t="shared" si="32"/>
        <v/>
      </c>
      <c r="BV52" s="59"/>
    </row>
    <row r="53" spans="1:74" ht="14.5">
      <c r="A53" s="51" t="s">
        <v>58</v>
      </c>
      <c r="B53" s="52">
        <v>353</v>
      </c>
      <c r="C53" s="52" t="s">
        <v>188</v>
      </c>
      <c r="D53" s="41">
        <f t="shared" si="1"/>
        <v>1</v>
      </c>
      <c r="E53" s="52" t="s">
        <v>195</v>
      </c>
      <c r="F53" s="52" t="s">
        <v>454</v>
      </c>
      <c r="G53" s="52" t="s">
        <v>162</v>
      </c>
      <c r="H53" s="52" t="s">
        <v>455</v>
      </c>
      <c r="I53" s="53">
        <v>45661</v>
      </c>
      <c r="J53" s="108">
        <v>1320</v>
      </c>
      <c r="K53" s="101"/>
      <c r="L53" s="101"/>
      <c r="M53" s="101">
        <f t="shared" si="2"/>
        <v>1320</v>
      </c>
      <c r="N53" s="54">
        <f t="shared" si="3"/>
        <v>1320</v>
      </c>
      <c r="O53" s="101" t="s">
        <v>178</v>
      </c>
      <c r="P53" s="102">
        <f t="shared" si="4"/>
        <v>1.8333333333333333</v>
      </c>
      <c r="Q53" s="102">
        <v>6</v>
      </c>
      <c r="R53" s="99">
        <v>120</v>
      </c>
      <c r="S53" s="55">
        <f t="shared" si="33"/>
        <v>45633</v>
      </c>
      <c r="T53" s="55">
        <v>45627</v>
      </c>
      <c r="U53" s="56">
        <f t="shared" ca="1" si="6"/>
        <v>6</v>
      </c>
      <c r="V53" s="55">
        <f t="shared" si="7"/>
        <v>45649</v>
      </c>
      <c r="W53" s="55"/>
      <c r="X53" s="56">
        <f t="shared" ca="1" si="8"/>
        <v>-191</v>
      </c>
      <c r="Y53" s="55"/>
      <c r="Z53" s="57"/>
      <c r="AA53" s="58" t="str">
        <f t="shared" si="9"/>
        <v>-</v>
      </c>
      <c r="AB53" s="59"/>
      <c r="AC53" s="58" t="str">
        <f t="shared" si="10"/>
        <v/>
      </c>
      <c r="AD53" s="59"/>
      <c r="AE53" s="58" t="str">
        <f t="shared" si="11"/>
        <v/>
      </c>
      <c r="AF53" s="59"/>
      <c r="AG53" s="58" t="str">
        <f t="shared" si="12"/>
        <v/>
      </c>
      <c r="AH53" s="59"/>
      <c r="AI53" s="58" t="str">
        <f t="shared" si="13"/>
        <v/>
      </c>
      <c r="AJ53" s="59"/>
      <c r="AK53" s="58" t="str">
        <f t="shared" si="14"/>
        <v/>
      </c>
      <c r="AL53" s="59"/>
      <c r="AM53" s="58" t="str">
        <f t="shared" si="15"/>
        <v/>
      </c>
      <c r="AN53" s="59"/>
      <c r="AO53" s="58" t="str">
        <f t="shared" si="16"/>
        <v/>
      </c>
      <c r="AP53" s="59"/>
      <c r="AQ53" s="58">
        <f t="shared" si="17"/>
        <v>1320</v>
      </c>
      <c r="AR53" s="59"/>
      <c r="AS53" s="58" t="str">
        <f t="shared" si="18"/>
        <v/>
      </c>
      <c r="AT53" s="59"/>
      <c r="AU53" s="58" t="str">
        <f t="shared" si="19"/>
        <v/>
      </c>
      <c r="AV53" s="59"/>
      <c r="AW53" s="58" t="str">
        <f t="shared" si="20"/>
        <v/>
      </c>
      <c r="AX53" s="59"/>
      <c r="AY53" s="58" t="str">
        <f t="shared" si="21"/>
        <v/>
      </c>
      <c r="AZ53" s="59"/>
      <c r="BA53" s="58" t="str">
        <f t="shared" si="22"/>
        <v/>
      </c>
      <c r="BB53" s="59"/>
      <c r="BC53" s="58" t="str">
        <f t="shared" si="23"/>
        <v/>
      </c>
      <c r="BD53" s="59"/>
      <c r="BE53" s="58" t="str">
        <f t="shared" si="24"/>
        <v/>
      </c>
      <c r="BF53" s="59"/>
      <c r="BG53" s="58" t="str">
        <f t="shared" si="25"/>
        <v/>
      </c>
      <c r="BH53" s="59"/>
      <c r="BI53" s="58" t="str">
        <f t="shared" si="26"/>
        <v/>
      </c>
      <c r="BJ53" s="59"/>
      <c r="BK53" s="58" t="str">
        <f t="shared" si="27"/>
        <v/>
      </c>
      <c r="BL53" s="59"/>
      <c r="BM53" s="58" t="str">
        <f t="shared" si="28"/>
        <v/>
      </c>
      <c r="BN53" s="59"/>
      <c r="BO53" s="58" t="str">
        <f t="shared" si="29"/>
        <v/>
      </c>
      <c r="BP53" s="59"/>
      <c r="BQ53" s="58" t="str">
        <f t="shared" si="30"/>
        <v/>
      </c>
      <c r="BR53" s="59"/>
      <c r="BS53" s="58" t="str">
        <f t="shared" si="31"/>
        <v/>
      </c>
      <c r="BT53" s="59"/>
      <c r="BU53" s="58" t="str">
        <f t="shared" si="32"/>
        <v/>
      </c>
      <c r="BV53" s="59"/>
    </row>
    <row r="54" spans="1:74" ht="14.5">
      <c r="A54" s="51" t="s">
        <v>58</v>
      </c>
      <c r="B54" s="52">
        <v>353</v>
      </c>
      <c r="C54" s="52" t="s">
        <v>188</v>
      </c>
      <c r="D54" s="41">
        <f t="shared" si="1"/>
        <v>1</v>
      </c>
      <c r="E54" s="52" t="s">
        <v>390</v>
      </c>
      <c r="F54" s="52" t="s">
        <v>242</v>
      </c>
      <c r="G54" s="52" t="s">
        <v>162</v>
      </c>
      <c r="H54" s="52" t="s">
        <v>430</v>
      </c>
      <c r="I54" s="53">
        <v>45661</v>
      </c>
      <c r="J54" s="108">
        <v>468</v>
      </c>
      <c r="K54" s="101"/>
      <c r="L54" s="101"/>
      <c r="M54" s="101">
        <f t="shared" si="2"/>
        <v>468</v>
      </c>
      <c r="N54" s="54">
        <f t="shared" si="3"/>
        <v>468</v>
      </c>
      <c r="O54" s="101" t="s">
        <v>431</v>
      </c>
      <c r="P54" s="102">
        <f t="shared" si="4"/>
        <v>0.65</v>
      </c>
      <c r="Q54" s="102">
        <v>6</v>
      </c>
      <c r="R54" s="99">
        <v>120</v>
      </c>
      <c r="S54" s="55">
        <f t="shared" si="33"/>
        <v>45633</v>
      </c>
      <c r="T54" s="55">
        <v>45627</v>
      </c>
      <c r="U54" s="56">
        <f t="shared" ca="1" si="6"/>
        <v>6</v>
      </c>
      <c r="V54" s="55">
        <f t="shared" si="7"/>
        <v>45649</v>
      </c>
      <c r="W54" s="55"/>
      <c r="X54" s="56">
        <f t="shared" ca="1" si="8"/>
        <v>-191</v>
      </c>
      <c r="Y54" s="55"/>
      <c r="Z54" s="57"/>
      <c r="AA54" s="58" t="str">
        <f t="shared" si="9"/>
        <v>-</v>
      </c>
      <c r="AB54" s="59"/>
      <c r="AC54" s="58" t="str">
        <f t="shared" si="10"/>
        <v/>
      </c>
      <c r="AD54" s="59"/>
      <c r="AE54" s="58" t="str">
        <f t="shared" si="11"/>
        <v/>
      </c>
      <c r="AF54" s="59"/>
      <c r="AG54" s="58" t="str">
        <f t="shared" si="12"/>
        <v/>
      </c>
      <c r="AH54" s="59"/>
      <c r="AI54" s="58" t="str">
        <f t="shared" si="13"/>
        <v/>
      </c>
      <c r="AJ54" s="59"/>
      <c r="AK54" s="58" t="str">
        <f t="shared" si="14"/>
        <v/>
      </c>
      <c r="AL54" s="59"/>
      <c r="AM54" s="58" t="str">
        <f t="shared" si="15"/>
        <v/>
      </c>
      <c r="AN54" s="59"/>
      <c r="AO54" s="58" t="str">
        <f t="shared" si="16"/>
        <v/>
      </c>
      <c r="AP54" s="59"/>
      <c r="AQ54" s="58">
        <f t="shared" si="17"/>
        <v>468</v>
      </c>
      <c r="AR54" s="59"/>
      <c r="AS54" s="58" t="str">
        <f t="shared" si="18"/>
        <v/>
      </c>
      <c r="AT54" s="59"/>
      <c r="AU54" s="58" t="str">
        <f t="shared" si="19"/>
        <v/>
      </c>
      <c r="AV54" s="59"/>
      <c r="AW54" s="58" t="str">
        <f t="shared" si="20"/>
        <v/>
      </c>
      <c r="AX54" s="59"/>
      <c r="AY54" s="58" t="str">
        <f t="shared" si="21"/>
        <v/>
      </c>
      <c r="AZ54" s="59"/>
      <c r="BA54" s="58" t="str">
        <f t="shared" si="22"/>
        <v/>
      </c>
      <c r="BB54" s="59"/>
      <c r="BC54" s="58" t="str">
        <f t="shared" si="23"/>
        <v/>
      </c>
      <c r="BD54" s="59"/>
      <c r="BE54" s="58" t="str">
        <f t="shared" si="24"/>
        <v/>
      </c>
      <c r="BF54" s="59"/>
      <c r="BG54" s="58" t="str">
        <f t="shared" si="25"/>
        <v/>
      </c>
      <c r="BH54" s="59"/>
      <c r="BI54" s="58" t="str">
        <f t="shared" si="26"/>
        <v/>
      </c>
      <c r="BJ54" s="59"/>
      <c r="BK54" s="58" t="str">
        <f t="shared" si="27"/>
        <v/>
      </c>
      <c r="BL54" s="59"/>
      <c r="BM54" s="58" t="str">
        <f t="shared" si="28"/>
        <v/>
      </c>
      <c r="BN54" s="59"/>
      <c r="BO54" s="58" t="str">
        <f t="shared" si="29"/>
        <v/>
      </c>
      <c r="BP54" s="59"/>
      <c r="BQ54" s="58" t="str">
        <f t="shared" si="30"/>
        <v/>
      </c>
      <c r="BR54" s="59"/>
      <c r="BS54" s="58" t="str">
        <f t="shared" si="31"/>
        <v/>
      </c>
      <c r="BT54" s="59"/>
      <c r="BU54" s="58" t="str">
        <f t="shared" si="32"/>
        <v/>
      </c>
      <c r="BV54" s="59"/>
    </row>
    <row r="55" spans="1:74" ht="14.5">
      <c r="A55" s="51" t="s">
        <v>58</v>
      </c>
      <c r="B55" s="52">
        <v>353</v>
      </c>
      <c r="C55" s="52" t="s">
        <v>188</v>
      </c>
      <c r="D55" s="41">
        <f t="shared" si="1"/>
        <v>1</v>
      </c>
      <c r="E55" s="52" t="s">
        <v>189</v>
      </c>
      <c r="F55" s="52" t="s">
        <v>242</v>
      </c>
      <c r="G55" s="52" t="s">
        <v>162</v>
      </c>
      <c r="H55" s="52" t="s">
        <v>432</v>
      </c>
      <c r="I55" s="53">
        <v>45661</v>
      </c>
      <c r="J55" s="108">
        <v>3044</v>
      </c>
      <c r="K55" s="101"/>
      <c r="L55" s="101"/>
      <c r="M55" s="101">
        <f t="shared" si="2"/>
        <v>3044</v>
      </c>
      <c r="N55" s="54">
        <f t="shared" si="3"/>
        <v>3044</v>
      </c>
      <c r="O55" s="101" t="s">
        <v>178</v>
      </c>
      <c r="P55" s="102">
        <f t="shared" si="4"/>
        <v>4.2277777777777779</v>
      </c>
      <c r="Q55" s="102">
        <v>6</v>
      </c>
      <c r="R55" s="99">
        <v>120</v>
      </c>
      <c r="S55" s="55">
        <f t="shared" si="33"/>
        <v>45633</v>
      </c>
      <c r="T55" s="55">
        <v>45627</v>
      </c>
      <c r="U55" s="56">
        <f t="shared" ca="1" si="6"/>
        <v>6</v>
      </c>
      <c r="V55" s="55">
        <f t="shared" si="7"/>
        <v>45649</v>
      </c>
      <c r="W55" s="55"/>
      <c r="X55" s="56">
        <f t="shared" ca="1" si="8"/>
        <v>-191</v>
      </c>
      <c r="Y55" s="55"/>
      <c r="Z55" s="57"/>
      <c r="AA55" s="58" t="str">
        <f t="shared" si="9"/>
        <v>-</v>
      </c>
      <c r="AB55" s="59"/>
      <c r="AC55" s="58" t="str">
        <f t="shared" si="10"/>
        <v/>
      </c>
      <c r="AD55" s="59"/>
      <c r="AE55" s="58" t="str">
        <f t="shared" si="11"/>
        <v/>
      </c>
      <c r="AF55" s="59"/>
      <c r="AG55" s="58" t="str">
        <f t="shared" si="12"/>
        <v/>
      </c>
      <c r="AH55" s="59"/>
      <c r="AI55" s="58" t="str">
        <f t="shared" si="13"/>
        <v/>
      </c>
      <c r="AJ55" s="59"/>
      <c r="AK55" s="58" t="str">
        <f t="shared" si="14"/>
        <v/>
      </c>
      <c r="AL55" s="59"/>
      <c r="AM55" s="58" t="str">
        <f t="shared" si="15"/>
        <v/>
      </c>
      <c r="AN55" s="59"/>
      <c r="AO55" s="58" t="str">
        <f t="shared" si="16"/>
        <v/>
      </c>
      <c r="AP55" s="59"/>
      <c r="AQ55" s="58">
        <f t="shared" si="17"/>
        <v>3044</v>
      </c>
      <c r="AR55" s="59"/>
      <c r="AS55" s="58" t="str">
        <f t="shared" si="18"/>
        <v/>
      </c>
      <c r="AT55" s="59"/>
      <c r="AU55" s="58" t="str">
        <f t="shared" si="19"/>
        <v/>
      </c>
      <c r="AV55" s="59"/>
      <c r="AW55" s="58" t="str">
        <f t="shared" si="20"/>
        <v/>
      </c>
      <c r="AX55" s="59"/>
      <c r="AY55" s="58" t="str">
        <f t="shared" si="21"/>
        <v/>
      </c>
      <c r="AZ55" s="59"/>
      <c r="BA55" s="58" t="str">
        <f t="shared" si="22"/>
        <v/>
      </c>
      <c r="BB55" s="59"/>
      <c r="BC55" s="58" t="str">
        <f t="shared" si="23"/>
        <v/>
      </c>
      <c r="BD55" s="59"/>
      <c r="BE55" s="58" t="str">
        <f t="shared" si="24"/>
        <v/>
      </c>
      <c r="BF55" s="59"/>
      <c r="BG55" s="58" t="str">
        <f t="shared" si="25"/>
        <v/>
      </c>
      <c r="BH55" s="59"/>
      <c r="BI55" s="58" t="str">
        <f t="shared" si="26"/>
        <v/>
      </c>
      <c r="BJ55" s="59"/>
      <c r="BK55" s="58" t="str">
        <f t="shared" si="27"/>
        <v/>
      </c>
      <c r="BL55" s="59"/>
      <c r="BM55" s="58" t="str">
        <f t="shared" si="28"/>
        <v/>
      </c>
      <c r="BN55" s="59"/>
      <c r="BO55" s="58" t="str">
        <f t="shared" si="29"/>
        <v/>
      </c>
      <c r="BP55" s="59"/>
      <c r="BQ55" s="58" t="str">
        <f t="shared" si="30"/>
        <v/>
      </c>
      <c r="BR55" s="59"/>
      <c r="BS55" s="58" t="str">
        <f t="shared" si="31"/>
        <v/>
      </c>
      <c r="BT55" s="59"/>
      <c r="BU55" s="58" t="str">
        <f t="shared" si="32"/>
        <v/>
      </c>
      <c r="BV55" s="59"/>
    </row>
    <row r="56" spans="1:74" ht="14.5">
      <c r="A56" s="51" t="s">
        <v>446</v>
      </c>
      <c r="B56" s="52">
        <v>419</v>
      </c>
      <c r="C56" s="52" t="s">
        <v>74</v>
      </c>
      <c r="D56" s="41">
        <f t="shared" si="1"/>
        <v>1</v>
      </c>
      <c r="E56" s="52" t="s">
        <v>298</v>
      </c>
      <c r="F56" s="52" t="s">
        <v>256</v>
      </c>
      <c r="G56" s="52" t="s">
        <v>155</v>
      </c>
      <c r="H56" s="52" t="s">
        <v>456</v>
      </c>
      <c r="I56" s="53">
        <v>45661</v>
      </c>
      <c r="J56" s="108">
        <v>2556</v>
      </c>
      <c r="K56" s="101"/>
      <c r="L56" s="101"/>
      <c r="M56" s="101">
        <f t="shared" si="2"/>
        <v>2556</v>
      </c>
      <c r="N56" s="54">
        <f t="shared" si="3"/>
        <v>2556</v>
      </c>
      <c r="O56" s="101" t="s">
        <v>443</v>
      </c>
      <c r="P56" s="102">
        <f t="shared" si="4"/>
        <v>1.2171428571428571</v>
      </c>
      <c r="Q56" s="102">
        <v>6</v>
      </c>
      <c r="R56" s="99">
        <v>350</v>
      </c>
      <c r="S56" s="55">
        <f t="shared" ref="S56:S63" si="34">+I56-(32)</f>
        <v>45629</v>
      </c>
      <c r="T56" s="55"/>
      <c r="U56" s="56">
        <f t="shared" ca="1" si="6"/>
        <v>-211</v>
      </c>
      <c r="V56" s="55">
        <f t="shared" si="7"/>
        <v>45645</v>
      </c>
      <c r="W56" s="55"/>
      <c r="X56" s="56">
        <f t="shared" ca="1" si="8"/>
        <v>-195</v>
      </c>
      <c r="Y56" s="55"/>
      <c r="Z56" s="57"/>
      <c r="AA56" s="58" t="str">
        <f t="shared" si="9"/>
        <v>-</v>
      </c>
      <c r="AB56" s="59"/>
      <c r="AC56" s="58" t="str">
        <f t="shared" si="10"/>
        <v/>
      </c>
      <c r="AD56" s="59"/>
      <c r="AE56" s="58" t="str">
        <f t="shared" si="11"/>
        <v/>
      </c>
      <c r="AF56" s="59"/>
      <c r="AG56" s="58" t="str">
        <f t="shared" si="12"/>
        <v/>
      </c>
      <c r="AH56" s="59"/>
      <c r="AI56" s="58" t="str">
        <f t="shared" si="13"/>
        <v/>
      </c>
      <c r="AJ56" s="59"/>
      <c r="AK56" s="58" t="str">
        <f t="shared" si="14"/>
        <v/>
      </c>
      <c r="AL56" s="59"/>
      <c r="AM56" s="58" t="str">
        <f t="shared" si="15"/>
        <v/>
      </c>
      <c r="AN56" s="59"/>
      <c r="AO56" s="58" t="str">
        <f t="shared" si="16"/>
        <v/>
      </c>
      <c r="AP56" s="59"/>
      <c r="AQ56" s="58">
        <f t="shared" si="17"/>
        <v>2556</v>
      </c>
      <c r="AR56" s="59"/>
      <c r="AS56" s="58" t="str">
        <f t="shared" si="18"/>
        <v/>
      </c>
      <c r="AT56" s="59"/>
      <c r="AU56" s="58" t="str">
        <f t="shared" si="19"/>
        <v/>
      </c>
      <c r="AV56" s="59"/>
      <c r="AW56" s="58" t="str">
        <f t="shared" si="20"/>
        <v/>
      </c>
      <c r="AX56" s="59"/>
      <c r="AY56" s="58" t="str">
        <f t="shared" si="21"/>
        <v/>
      </c>
      <c r="AZ56" s="59"/>
      <c r="BA56" s="58" t="str">
        <f t="shared" si="22"/>
        <v/>
      </c>
      <c r="BB56" s="59"/>
      <c r="BC56" s="58" t="str">
        <f t="shared" si="23"/>
        <v/>
      </c>
      <c r="BD56" s="59"/>
      <c r="BE56" s="58" t="str">
        <f t="shared" si="24"/>
        <v/>
      </c>
      <c r="BF56" s="59"/>
      <c r="BG56" s="58" t="str">
        <f t="shared" si="25"/>
        <v/>
      </c>
      <c r="BH56" s="59"/>
      <c r="BI56" s="58" t="str">
        <f t="shared" si="26"/>
        <v/>
      </c>
      <c r="BJ56" s="59"/>
      <c r="BK56" s="58" t="str">
        <f t="shared" si="27"/>
        <v/>
      </c>
      <c r="BL56" s="59"/>
      <c r="BM56" s="58" t="str">
        <f t="shared" si="28"/>
        <v/>
      </c>
      <c r="BN56" s="59"/>
      <c r="BO56" s="58" t="str">
        <f t="shared" si="29"/>
        <v/>
      </c>
      <c r="BP56" s="59"/>
      <c r="BQ56" s="58" t="str">
        <f t="shared" si="30"/>
        <v/>
      </c>
      <c r="BR56" s="59"/>
      <c r="BS56" s="58" t="str">
        <f t="shared" si="31"/>
        <v/>
      </c>
      <c r="BT56" s="59"/>
      <c r="BU56" s="58" t="str">
        <f t="shared" si="32"/>
        <v/>
      </c>
      <c r="BV56" s="59"/>
    </row>
    <row r="57" spans="1:74" ht="14.5">
      <c r="A57" s="51" t="s">
        <v>446</v>
      </c>
      <c r="B57" s="52">
        <v>419</v>
      </c>
      <c r="C57" s="52" t="s">
        <v>74</v>
      </c>
      <c r="D57" s="41">
        <f t="shared" si="1"/>
        <v>1</v>
      </c>
      <c r="E57" s="52" t="s">
        <v>298</v>
      </c>
      <c r="F57" s="52" t="s">
        <v>58</v>
      </c>
      <c r="G57" s="52" t="s">
        <v>155</v>
      </c>
      <c r="H57" s="52" t="s">
        <v>457</v>
      </c>
      <c r="I57" s="53">
        <v>45661</v>
      </c>
      <c r="J57" s="108">
        <v>260</v>
      </c>
      <c r="K57" s="101"/>
      <c r="L57" s="101"/>
      <c r="M57" s="101">
        <f t="shared" si="2"/>
        <v>260</v>
      </c>
      <c r="N57" s="54">
        <f t="shared" si="3"/>
        <v>260</v>
      </c>
      <c r="O57" s="101" t="s">
        <v>431</v>
      </c>
      <c r="P57" s="102">
        <f t="shared" si="4"/>
        <v>0.54166666666666663</v>
      </c>
      <c r="Q57" s="102">
        <v>6</v>
      </c>
      <c r="R57" s="99">
        <v>80</v>
      </c>
      <c r="S57" s="55">
        <f t="shared" si="34"/>
        <v>45629</v>
      </c>
      <c r="T57" s="55"/>
      <c r="U57" s="56">
        <f t="shared" ca="1" si="6"/>
        <v>-211</v>
      </c>
      <c r="V57" s="55">
        <f t="shared" si="7"/>
        <v>45645</v>
      </c>
      <c r="W57" s="55"/>
      <c r="X57" s="56">
        <f t="shared" ca="1" si="8"/>
        <v>-195</v>
      </c>
      <c r="Y57" s="55"/>
      <c r="Z57" s="57"/>
      <c r="AA57" s="58" t="str">
        <f t="shared" si="9"/>
        <v>-</v>
      </c>
      <c r="AB57" s="59"/>
      <c r="AC57" s="58" t="str">
        <f t="shared" si="10"/>
        <v/>
      </c>
      <c r="AD57" s="59"/>
      <c r="AE57" s="58" t="str">
        <f t="shared" si="11"/>
        <v/>
      </c>
      <c r="AF57" s="59"/>
      <c r="AG57" s="58" t="str">
        <f t="shared" si="12"/>
        <v/>
      </c>
      <c r="AH57" s="59"/>
      <c r="AI57" s="58" t="str">
        <f t="shared" si="13"/>
        <v/>
      </c>
      <c r="AJ57" s="59"/>
      <c r="AK57" s="58" t="str">
        <f t="shared" si="14"/>
        <v/>
      </c>
      <c r="AL57" s="59"/>
      <c r="AM57" s="58" t="str">
        <f t="shared" si="15"/>
        <v/>
      </c>
      <c r="AN57" s="59"/>
      <c r="AO57" s="58" t="str">
        <f t="shared" si="16"/>
        <v/>
      </c>
      <c r="AP57" s="59"/>
      <c r="AQ57" s="58">
        <f t="shared" si="17"/>
        <v>260</v>
      </c>
      <c r="AR57" s="59"/>
      <c r="AS57" s="58" t="str">
        <f t="shared" si="18"/>
        <v/>
      </c>
      <c r="AT57" s="59"/>
      <c r="AU57" s="58" t="str">
        <f t="shared" si="19"/>
        <v/>
      </c>
      <c r="AV57" s="59"/>
      <c r="AW57" s="58" t="str">
        <f t="shared" si="20"/>
        <v/>
      </c>
      <c r="AX57" s="59"/>
      <c r="AY57" s="58" t="str">
        <f t="shared" si="21"/>
        <v/>
      </c>
      <c r="AZ57" s="59"/>
      <c r="BA57" s="58" t="str">
        <f t="shared" si="22"/>
        <v/>
      </c>
      <c r="BB57" s="59"/>
      <c r="BC57" s="58" t="str">
        <f t="shared" si="23"/>
        <v/>
      </c>
      <c r="BD57" s="59"/>
      <c r="BE57" s="58" t="str">
        <f t="shared" si="24"/>
        <v/>
      </c>
      <c r="BF57" s="59"/>
      <c r="BG57" s="58" t="str">
        <f t="shared" si="25"/>
        <v/>
      </c>
      <c r="BH57" s="59"/>
      <c r="BI57" s="58" t="str">
        <f t="shared" si="26"/>
        <v/>
      </c>
      <c r="BJ57" s="59"/>
      <c r="BK57" s="58" t="str">
        <f t="shared" si="27"/>
        <v/>
      </c>
      <c r="BL57" s="59"/>
      <c r="BM57" s="58" t="str">
        <f t="shared" si="28"/>
        <v/>
      </c>
      <c r="BN57" s="59"/>
      <c r="BO57" s="58" t="str">
        <f t="shared" si="29"/>
        <v/>
      </c>
      <c r="BP57" s="59"/>
      <c r="BQ57" s="58" t="str">
        <f t="shared" si="30"/>
        <v/>
      </c>
      <c r="BR57" s="59"/>
      <c r="BS57" s="58" t="str">
        <f t="shared" si="31"/>
        <v/>
      </c>
      <c r="BT57" s="59"/>
      <c r="BU57" s="58" t="str">
        <f t="shared" si="32"/>
        <v/>
      </c>
      <c r="BV57" s="59"/>
    </row>
    <row r="58" spans="1:74" ht="14.5">
      <c r="A58" s="51" t="s">
        <v>446</v>
      </c>
      <c r="B58" s="52">
        <v>419</v>
      </c>
      <c r="C58" s="52" t="s">
        <v>74</v>
      </c>
      <c r="D58" s="41">
        <f t="shared" si="1"/>
        <v>1</v>
      </c>
      <c r="E58" s="52" t="s">
        <v>298</v>
      </c>
      <c r="F58" s="52" t="s">
        <v>246</v>
      </c>
      <c r="G58" s="52" t="s">
        <v>155</v>
      </c>
      <c r="H58" s="52" t="s">
        <v>430</v>
      </c>
      <c r="I58" s="53">
        <v>45661</v>
      </c>
      <c r="J58" s="108">
        <v>1575</v>
      </c>
      <c r="K58" s="101"/>
      <c r="L58" s="101"/>
      <c r="M58" s="101">
        <f t="shared" si="2"/>
        <v>1575</v>
      </c>
      <c r="N58" s="54">
        <f t="shared" si="3"/>
        <v>1575</v>
      </c>
      <c r="O58" s="101" t="s">
        <v>431</v>
      </c>
      <c r="P58" s="102">
        <f t="shared" si="4"/>
        <v>4.5</v>
      </c>
      <c r="Q58" s="102">
        <v>1</v>
      </c>
      <c r="R58" s="99">
        <v>350</v>
      </c>
      <c r="S58" s="55">
        <f t="shared" si="34"/>
        <v>45629</v>
      </c>
      <c r="T58" s="55">
        <v>45649</v>
      </c>
      <c r="U58" s="56">
        <f t="shared" ca="1" si="6"/>
        <v>-20</v>
      </c>
      <c r="V58" s="55">
        <f t="shared" si="7"/>
        <v>45645</v>
      </c>
      <c r="W58" s="55"/>
      <c r="X58" s="56">
        <f t="shared" ca="1" si="8"/>
        <v>-195</v>
      </c>
      <c r="Y58" s="55"/>
      <c r="Z58" s="57"/>
      <c r="AA58" s="58" t="str">
        <f t="shared" si="9"/>
        <v>-</v>
      </c>
      <c r="AB58" s="59"/>
      <c r="AC58" s="58" t="str">
        <f t="shared" si="10"/>
        <v/>
      </c>
      <c r="AD58" s="59"/>
      <c r="AE58" s="58" t="str">
        <f t="shared" si="11"/>
        <v/>
      </c>
      <c r="AF58" s="59"/>
      <c r="AG58" s="58" t="str">
        <f t="shared" si="12"/>
        <v/>
      </c>
      <c r="AH58" s="59"/>
      <c r="AI58" s="58" t="str">
        <f t="shared" si="13"/>
        <v/>
      </c>
      <c r="AJ58" s="59"/>
      <c r="AK58" s="58" t="str">
        <f t="shared" si="14"/>
        <v/>
      </c>
      <c r="AL58" s="59"/>
      <c r="AM58" s="58" t="str">
        <f t="shared" si="15"/>
        <v/>
      </c>
      <c r="AN58" s="59"/>
      <c r="AO58" s="58" t="str">
        <f t="shared" si="16"/>
        <v/>
      </c>
      <c r="AP58" s="59"/>
      <c r="AQ58" s="58">
        <f t="shared" si="17"/>
        <v>1575</v>
      </c>
      <c r="AR58" s="59"/>
      <c r="AS58" s="58" t="str">
        <f t="shared" si="18"/>
        <v/>
      </c>
      <c r="AT58" s="59"/>
      <c r="AU58" s="58" t="str">
        <f t="shared" si="19"/>
        <v/>
      </c>
      <c r="AV58" s="59"/>
      <c r="AW58" s="58" t="str">
        <f t="shared" si="20"/>
        <v/>
      </c>
      <c r="AX58" s="59"/>
      <c r="AY58" s="58" t="str">
        <f t="shared" si="21"/>
        <v/>
      </c>
      <c r="AZ58" s="59"/>
      <c r="BA58" s="58" t="str">
        <f t="shared" si="22"/>
        <v/>
      </c>
      <c r="BB58" s="59"/>
      <c r="BC58" s="58" t="str">
        <f t="shared" si="23"/>
        <v/>
      </c>
      <c r="BD58" s="59"/>
      <c r="BE58" s="58" t="str">
        <f t="shared" si="24"/>
        <v/>
      </c>
      <c r="BF58" s="59"/>
      <c r="BG58" s="58" t="str">
        <f t="shared" si="25"/>
        <v/>
      </c>
      <c r="BH58" s="59"/>
      <c r="BI58" s="58" t="str">
        <f t="shared" si="26"/>
        <v/>
      </c>
      <c r="BJ58" s="59"/>
      <c r="BK58" s="58" t="str">
        <f t="shared" si="27"/>
        <v/>
      </c>
      <c r="BL58" s="59"/>
      <c r="BM58" s="58" t="str">
        <f t="shared" si="28"/>
        <v/>
      </c>
      <c r="BN58" s="59"/>
      <c r="BO58" s="58" t="str">
        <f t="shared" si="29"/>
        <v/>
      </c>
      <c r="BP58" s="59"/>
      <c r="BQ58" s="58" t="str">
        <f t="shared" si="30"/>
        <v/>
      </c>
      <c r="BR58" s="59"/>
      <c r="BS58" s="58" t="str">
        <f t="shared" si="31"/>
        <v/>
      </c>
      <c r="BT58" s="59"/>
      <c r="BU58" s="58" t="str">
        <f t="shared" si="32"/>
        <v/>
      </c>
      <c r="BV58" s="59"/>
    </row>
    <row r="59" spans="1:74" ht="14.5">
      <c r="A59" s="51" t="s">
        <v>446</v>
      </c>
      <c r="B59" s="52">
        <v>419</v>
      </c>
      <c r="C59" s="52" t="s">
        <v>74</v>
      </c>
      <c r="D59" s="41">
        <f t="shared" si="1"/>
        <v>1</v>
      </c>
      <c r="E59" s="52" t="s">
        <v>298</v>
      </c>
      <c r="F59" s="52" t="s">
        <v>300</v>
      </c>
      <c r="G59" s="52" t="s">
        <v>155</v>
      </c>
      <c r="H59" s="52" t="s">
        <v>458</v>
      </c>
      <c r="I59" s="53">
        <v>45661</v>
      </c>
      <c r="J59" s="108">
        <v>70</v>
      </c>
      <c r="K59" s="101"/>
      <c r="L59" s="101"/>
      <c r="M59" s="101">
        <f t="shared" si="2"/>
        <v>70</v>
      </c>
      <c r="N59" s="54">
        <f t="shared" si="3"/>
        <v>70</v>
      </c>
      <c r="O59" s="101" t="s">
        <v>178</v>
      </c>
      <c r="P59" s="102">
        <f t="shared" si="4"/>
        <v>1.1666666666666667</v>
      </c>
      <c r="Q59" s="102">
        <v>6</v>
      </c>
      <c r="R59" s="99">
        <v>10</v>
      </c>
      <c r="S59" s="55">
        <f t="shared" si="34"/>
        <v>45629</v>
      </c>
      <c r="T59" s="55"/>
      <c r="U59" s="56">
        <f t="shared" ca="1" si="6"/>
        <v>-211</v>
      </c>
      <c r="V59" s="55">
        <f t="shared" si="7"/>
        <v>45645</v>
      </c>
      <c r="W59" s="55"/>
      <c r="X59" s="56">
        <f t="shared" ca="1" si="8"/>
        <v>-195</v>
      </c>
      <c r="Y59" s="55"/>
      <c r="Z59" s="57"/>
      <c r="AA59" s="58" t="str">
        <f t="shared" si="9"/>
        <v>-</v>
      </c>
      <c r="AB59" s="59"/>
      <c r="AC59" s="58" t="str">
        <f t="shared" si="10"/>
        <v/>
      </c>
      <c r="AD59" s="59"/>
      <c r="AE59" s="58" t="str">
        <f t="shared" si="11"/>
        <v/>
      </c>
      <c r="AF59" s="59"/>
      <c r="AG59" s="58" t="str">
        <f t="shared" si="12"/>
        <v/>
      </c>
      <c r="AH59" s="59"/>
      <c r="AI59" s="58" t="str">
        <f t="shared" si="13"/>
        <v/>
      </c>
      <c r="AJ59" s="59"/>
      <c r="AK59" s="58" t="str">
        <f t="shared" si="14"/>
        <v/>
      </c>
      <c r="AL59" s="59"/>
      <c r="AM59" s="58" t="str">
        <f t="shared" si="15"/>
        <v/>
      </c>
      <c r="AN59" s="59"/>
      <c r="AO59" s="58" t="str">
        <f t="shared" si="16"/>
        <v/>
      </c>
      <c r="AP59" s="59"/>
      <c r="AQ59" s="58">
        <f t="shared" si="17"/>
        <v>70</v>
      </c>
      <c r="AR59" s="59"/>
      <c r="AS59" s="58" t="str">
        <f t="shared" si="18"/>
        <v/>
      </c>
      <c r="AT59" s="59"/>
      <c r="AU59" s="58" t="str">
        <f t="shared" si="19"/>
        <v/>
      </c>
      <c r="AV59" s="59"/>
      <c r="AW59" s="58" t="str">
        <f t="shared" si="20"/>
        <v/>
      </c>
      <c r="AX59" s="59"/>
      <c r="AY59" s="58" t="str">
        <f t="shared" si="21"/>
        <v/>
      </c>
      <c r="AZ59" s="59"/>
      <c r="BA59" s="58" t="str">
        <f t="shared" si="22"/>
        <v/>
      </c>
      <c r="BB59" s="59"/>
      <c r="BC59" s="58" t="str">
        <f t="shared" si="23"/>
        <v/>
      </c>
      <c r="BD59" s="59"/>
      <c r="BE59" s="58" t="str">
        <f t="shared" si="24"/>
        <v/>
      </c>
      <c r="BF59" s="59"/>
      <c r="BG59" s="58" t="str">
        <f t="shared" si="25"/>
        <v/>
      </c>
      <c r="BH59" s="59"/>
      <c r="BI59" s="58" t="str">
        <f t="shared" si="26"/>
        <v/>
      </c>
      <c r="BJ59" s="59"/>
      <c r="BK59" s="58" t="str">
        <f t="shared" si="27"/>
        <v/>
      </c>
      <c r="BL59" s="59"/>
      <c r="BM59" s="58" t="str">
        <f t="shared" si="28"/>
        <v/>
      </c>
      <c r="BN59" s="59"/>
      <c r="BO59" s="58" t="str">
        <f t="shared" si="29"/>
        <v/>
      </c>
      <c r="BP59" s="59"/>
      <c r="BQ59" s="58" t="str">
        <f t="shared" si="30"/>
        <v/>
      </c>
      <c r="BR59" s="59"/>
      <c r="BS59" s="58" t="str">
        <f t="shared" si="31"/>
        <v/>
      </c>
      <c r="BT59" s="59"/>
      <c r="BU59" s="58" t="str">
        <f t="shared" si="32"/>
        <v/>
      </c>
      <c r="BV59" s="59"/>
    </row>
    <row r="60" spans="1:74" ht="14.5">
      <c r="A60" s="51" t="s">
        <v>446</v>
      </c>
      <c r="B60" s="52">
        <v>419</v>
      </c>
      <c r="C60" s="52" t="s">
        <v>74</v>
      </c>
      <c r="D60" s="41">
        <f t="shared" si="1"/>
        <v>1</v>
      </c>
      <c r="E60" s="52" t="s">
        <v>298</v>
      </c>
      <c r="F60" s="52" t="s">
        <v>300</v>
      </c>
      <c r="G60" s="52" t="s">
        <v>155</v>
      </c>
      <c r="H60" s="52" t="s">
        <v>459</v>
      </c>
      <c r="I60" s="53">
        <v>45661</v>
      </c>
      <c r="J60" s="108">
        <v>182</v>
      </c>
      <c r="K60" s="101"/>
      <c r="L60" s="101"/>
      <c r="M60" s="101">
        <f t="shared" si="2"/>
        <v>182</v>
      </c>
      <c r="N60" s="54">
        <f t="shared" si="3"/>
        <v>182</v>
      </c>
      <c r="O60" s="101" t="s">
        <v>178</v>
      </c>
      <c r="P60" s="102">
        <f t="shared" si="4"/>
        <v>3.0333333333333332</v>
      </c>
      <c r="Q60" s="102">
        <v>6</v>
      </c>
      <c r="R60" s="99">
        <v>10</v>
      </c>
      <c r="S60" s="55">
        <f t="shared" si="34"/>
        <v>45629</v>
      </c>
      <c r="T60" s="55"/>
      <c r="U60" s="56">
        <f t="shared" ca="1" si="6"/>
        <v>-211</v>
      </c>
      <c r="V60" s="55">
        <f t="shared" si="7"/>
        <v>45645</v>
      </c>
      <c r="W60" s="55"/>
      <c r="X60" s="56">
        <f t="shared" ca="1" si="8"/>
        <v>-195</v>
      </c>
      <c r="Y60" s="55"/>
      <c r="Z60" s="57"/>
      <c r="AA60" s="58" t="str">
        <f t="shared" si="9"/>
        <v>-</v>
      </c>
      <c r="AB60" s="59"/>
      <c r="AC60" s="58" t="str">
        <f t="shared" si="10"/>
        <v/>
      </c>
      <c r="AD60" s="59"/>
      <c r="AE60" s="58" t="str">
        <f t="shared" si="11"/>
        <v/>
      </c>
      <c r="AF60" s="59"/>
      <c r="AG60" s="58" t="str">
        <f t="shared" si="12"/>
        <v/>
      </c>
      <c r="AH60" s="59"/>
      <c r="AI60" s="58" t="str">
        <f t="shared" si="13"/>
        <v/>
      </c>
      <c r="AJ60" s="59"/>
      <c r="AK60" s="58" t="str">
        <f t="shared" si="14"/>
        <v/>
      </c>
      <c r="AL60" s="59"/>
      <c r="AM60" s="58" t="str">
        <f t="shared" si="15"/>
        <v/>
      </c>
      <c r="AN60" s="59"/>
      <c r="AO60" s="58" t="str">
        <f t="shared" si="16"/>
        <v/>
      </c>
      <c r="AP60" s="59"/>
      <c r="AQ60" s="58">
        <f t="shared" si="17"/>
        <v>182</v>
      </c>
      <c r="AR60" s="59"/>
      <c r="AS60" s="58" t="str">
        <f t="shared" si="18"/>
        <v/>
      </c>
      <c r="AT60" s="59"/>
      <c r="AU60" s="58" t="str">
        <f t="shared" si="19"/>
        <v/>
      </c>
      <c r="AV60" s="59"/>
      <c r="AW60" s="58" t="str">
        <f t="shared" si="20"/>
        <v/>
      </c>
      <c r="AX60" s="59"/>
      <c r="AY60" s="58" t="str">
        <f t="shared" si="21"/>
        <v/>
      </c>
      <c r="AZ60" s="59"/>
      <c r="BA60" s="58" t="str">
        <f t="shared" si="22"/>
        <v/>
      </c>
      <c r="BB60" s="59"/>
      <c r="BC60" s="58" t="str">
        <f t="shared" si="23"/>
        <v/>
      </c>
      <c r="BD60" s="59"/>
      <c r="BE60" s="58" t="str">
        <f t="shared" si="24"/>
        <v/>
      </c>
      <c r="BF60" s="59"/>
      <c r="BG60" s="58" t="str">
        <f t="shared" si="25"/>
        <v/>
      </c>
      <c r="BH60" s="59"/>
      <c r="BI60" s="58" t="str">
        <f t="shared" si="26"/>
        <v/>
      </c>
      <c r="BJ60" s="59"/>
      <c r="BK60" s="58" t="str">
        <f t="shared" si="27"/>
        <v/>
      </c>
      <c r="BL60" s="59"/>
      <c r="BM60" s="58" t="str">
        <f t="shared" si="28"/>
        <v/>
      </c>
      <c r="BN60" s="59"/>
      <c r="BO60" s="58" t="str">
        <f t="shared" si="29"/>
        <v/>
      </c>
      <c r="BP60" s="59"/>
      <c r="BQ60" s="58" t="str">
        <f t="shared" si="30"/>
        <v/>
      </c>
      <c r="BR60" s="59"/>
      <c r="BS60" s="58" t="str">
        <f t="shared" si="31"/>
        <v/>
      </c>
      <c r="BT60" s="59"/>
      <c r="BU60" s="58" t="str">
        <f t="shared" si="32"/>
        <v/>
      </c>
      <c r="BV60" s="59"/>
    </row>
    <row r="61" spans="1:74" ht="14.5">
      <c r="A61" s="51" t="s">
        <v>58</v>
      </c>
      <c r="B61" s="52">
        <v>366</v>
      </c>
      <c r="C61" s="52" t="s">
        <v>188</v>
      </c>
      <c r="D61" s="41">
        <f t="shared" si="1"/>
        <v>1</v>
      </c>
      <c r="E61" s="52" t="s">
        <v>157</v>
      </c>
      <c r="F61" s="52" t="s">
        <v>243</v>
      </c>
      <c r="G61" s="52" t="s">
        <v>155</v>
      </c>
      <c r="H61" s="52" t="s">
        <v>428</v>
      </c>
      <c r="I61" s="53">
        <v>45661</v>
      </c>
      <c r="J61" s="108">
        <v>2598</v>
      </c>
      <c r="K61" s="101"/>
      <c r="L61" s="101"/>
      <c r="M61" s="101">
        <f t="shared" si="2"/>
        <v>2598</v>
      </c>
      <c r="N61" s="54">
        <f t="shared" si="3"/>
        <v>2598</v>
      </c>
      <c r="O61" s="101" t="s">
        <v>429</v>
      </c>
      <c r="P61" s="102">
        <f t="shared" si="4"/>
        <v>0.433</v>
      </c>
      <c r="Q61" s="102">
        <v>6</v>
      </c>
      <c r="R61" s="99">
        <v>1000</v>
      </c>
      <c r="S61" s="55">
        <f t="shared" si="34"/>
        <v>45629</v>
      </c>
      <c r="T61" s="55"/>
      <c r="U61" s="56">
        <f t="shared" ca="1" si="6"/>
        <v>-211</v>
      </c>
      <c r="V61" s="55">
        <f t="shared" si="7"/>
        <v>45645</v>
      </c>
      <c r="W61" s="55"/>
      <c r="X61" s="56">
        <f t="shared" ca="1" si="8"/>
        <v>-195</v>
      </c>
      <c r="Y61" s="55"/>
      <c r="Z61" s="57"/>
      <c r="AA61" s="58" t="str">
        <f t="shared" si="9"/>
        <v>-</v>
      </c>
      <c r="AB61" s="59"/>
      <c r="AC61" s="58" t="str">
        <f t="shared" si="10"/>
        <v/>
      </c>
      <c r="AD61" s="59"/>
      <c r="AE61" s="58" t="str">
        <f t="shared" si="11"/>
        <v/>
      </c>
      <c r="AF61" s="59"/>
      <c r="AG61" s="58" t="str">
        <f t="shared" si="12"/>
        <v/>
      </c>
      <c r="AH61" s="59"/>
      <c r="AI61" s="58" t="str">
        <f t="shared" si="13"/>
        <v/>
      </c>
      <c r="AJ61" s="59"/>
      <c r="AK61" s="58" t="str">
        <f t="shared" si="14"/>
        <v/>
      </c>
      <c r="AL61" s="59"/>
      <c r="AM61" s="58" t="str">
        <f t="shared" si="15"/>
        <v/>
      </c>
      <c r="AN61" s="59"/>
      <c r="AO61" s="58" t="str">
        <f t="shared" si="16"/>
        <v/>
      </c>
      <c r="AP61" s="59"/>
      <c r="AQ61" s="58">
        <f t="shared" si="17"/>
        <v>2598</v>
      </c>
      <c r="AR61" s="59"/>
      <c r="AS61" s="58" t="str">
        <f t="shared" si="18"/>
        <v/>
      </c>
      <c r="AT61" s="59"/>
      <c r="AU61" s="58" t="str">
        <f t="shared" si="19"/>
        <v/>
      </c>
      <c r="AV61" s="59"/>
      <c r="AW61" s="58" t="str">
        <f t="shared" si="20"/>
        <v/>
      </c>
      <c r="AX61" s="59"/>
      <c r="AY61" s="58" t="str">
        <f t="shared" si="21"/>
        <v/>
      </c>
      <c r="AZ61" s="59"/>
      <c r="BA61" s="58" t="str">
        <f t="shared" si="22"/>
        <v/>
      </c>
      <c r="BB61" s="59"/>
      <c r="BC61" s="58" t="str">
        <f t="shared" si="23"/>
        <v/>
      </c>
      <c r="BD61" s="59"/>
      <c r="BE61" s="58" t="str">
        <f t="shared" si="24"/>
        <v/>
      </c>
      <c r="BF61" s="59"/>
      <c r="BG61" s="58" t="str">
        <f t="shared" si="25"/>
        <v/>
      </c>
      <c r="BH61" s="59"/>
      <c r="BI61" s="58" t="str">
        <f t="shared" si="26"/>
        <v/>
      </c>
      <c r="BJ61" s="59"/>
      <c r="BK61" s="58" t="str">
        <f t="shared" si="27"/>
        <v/>
      </c>
      <c r="BL61" s="59"/>
      <c r="BM61" s="58" t="str">
        <f t="shared" si="28"/>
        <v/>
      </c>
      <c r="BN61" s="59"/>
      <c r="BO61" s="58" t="str">
        <f t="shared" si="29"/>
        <v/>
      </c>
      <c r="BP61" s="59"/>
      <c r="BQ61" s="58" t="str">
        <f t="shared" si="30"/>
        <v/>
      </c>
      <c r="BR61" s="59"/>
      <c r="BS61" s="58" t="str">
        <f t="shared" si="31"/>
        <v/>
      </c>
      <c r="BT61" s="59"/>
      <c r="BU61" s="58" t="str">
        <f t="shared" si="32"/>
        <v/>
      </c>
      <c r="BV61" s="59"/>
    </row>
    <row r="62" spans="1:74" ht="14.5">
      <c r="A62" s="51" t="s">
        <v>58</v>
      </c>
      <c r="B62" s="52">
        <v>366</v>
      </c>
      <c r="C62" s="52" t="s">
        <v>188</v>
      </c>
      <c r="D62" s="41">
        <f t="shared" si="1"/>
        <v>1</v>
      </c>
      <c r="E62" s="52" t="s">
        <v>158</v>
      </c>
      <c r="F62" s="52" t="s">
        <v>242</v>
      </c>
      <c r="G62" s="52" t="s">
        <v>154</v>
      </c>
      <c r="H62" s="52" t="s">
        <v>432</v>
      </c>
      <c r="I62" s="53">
        <v>45661</v>
      </c>
      <c r="J62" s="108">
        <v>1336</v>
      </c>
      <c r="K62" s="101"/>
      <c r="L62" s="101"/>
      <c r="M62" s="101">
        <f t="shared" si="2"/>
        <v>1336</v>
      </c>
      <c r="N62" s="54">
        <f t="shared" si="3"/>
        <v>1336</v>
      </c>
      <c r="O62" s="101" t="s">
        <v>439</v>
      </c>
      <c r="P62" s="102">
        <f t="shared" si="4"/>
        <v>1.8555555555555556</v>
      </c>
      <c r="Q62" s="102">
        <v>6</v>
      </c>
      <c r="R62" s="99">
        <v>120</v>
      </c>
      <c r="S62" s="55">
        <f t="shared" si="34"/>
        <v>45629</v>
      </c>
      <c r="T62" s="55"/>
      <c r="U62" s="56">
        <f t="shared" ca="1" si="6"/>
        <v>-211</v>
      </c>
      <c r="V62" s="55">
        <f t="shared" si="7"/>
        <v>45645</v>
      </c>
      <c r="W62" s="55"/>
      <c r="X62" s="56">
        <f t="shared" ca="1" si="8"/>
        <v>-195</v>
      </c>
      <c r="Y62" s="55"/>
      <c r="Z62" s="57"/>
      <c r="AA62" s="58" t="str">
        <f t="shared" si="9"/>
        <v>-</v>
      </c>
      <c r="AB62" s="59"/>
      <c r="AC62" s="58" t="str">
        <f t="shared" si="10"/>
        <v/>
      </c>
      <c r="AD62" s="59"/>
      <c r="AE62" s="58" t="str">
        <f t="shared" si="11"/>
        <v/>
      </c>
      <c r="AF62" s="59"/>
      <c r="AG62" s="58" t="str">
        <f t="shared" si="12"/>
        <v/>
      </c>
      <c r="AH62" s="59"/>
      <c r="AI62" s="58" t="str">
        <f t="shared" si="13"/>
        <v/>
      </c>
      <c r="AJ62" s="59"/>
      <c r="AK62" s="58" t="str">
        <f t="shared" si="14"/>
        <v/>
      </c>
      <c r="AL62" s="59"/>
      <c r="AM62" s="58" t="str">
        <f t="shared" si="15"/>
        <v/>
      </c>
      <c r="AN62" s="59"/>
      <c r="AO62" s="58" t="str">
        <f t="shared" si="16"/>
        <v/>
      </c>
      <c r="AP62" s="59"/>
      <c r="AQ62" s="58">
        <f t="shared" si="17"/>
        <v>1336</v>
      </c>
      <c r="AR62" s="59"/>
      <c r="AS62" s="58" t="str">
        <f t="shared" si="18"/>
        <v/>
      </c>
      <c r="AT62" s="59"/>
      <c r="AU62" s="58" t="str">
        <f t="shared" si="19"/>
        <v/>
      </c>
      <c r="AV62" s="59"/>
      <c r="AW62" s="58" t="str">
        <f t="shared" si="20"/>
        <v/>
      </c>
      <c r="AX62" s="59"/>
      <c r="AY62" s="58" t="str">
        <f t="shared" si="21"/>
        <v/>
      </c>
      <c r="AZ62" s="59"/>
      <c r="BA62" s="58" t="str">
        <f t="shared" si="22"/>
        <v/>
      </c>
      <c r="BB62" s="59"/>
      <c r="BC62" s="58" t="str">
        <f t="shared" si="23"/>
        <v/>
      </c>
      <c r="BD62" s="59"/>
      <c r="BE62" s="58" t="str">
        <f t="shared" si="24"/>
        <v/>
      </c>
      <c r="BF62" s="59"/>
      <c r="BG62" s="58" t="str">
        <f t="shared" si="25"/>
        <v/>
      </c>
      <c r="BH62" s="59"/>
      <c r="BI62" s="58" t="str">
        <f t="shared" si="26"/>
        <v/>
      </c>
      <c r="BJ62" s="59"/>
      <c r="BK62" s="58" t="str">
        <f t="shared" si="27"/>
        <v/>
      </c>
      <c r="BL62" s="59"/>
      <c r="BM62" s="58" t="str">
        <f t="shared" si="28"/>
        <v/>
      </c>
      <c r="BN62" s="59"/>
      <c r="BO62" s="58" t="str">
        <f t="shared" si="29"/>
        <v/>
      </c>
      <c r="BP62" s="59"/>
      <c r="BQ62" s="58" t="str">
        <f t="shared" si="30"/>
        <v/>
      </c>
      <c r="BR62" s="59"/>
      <c r="BS62" s="58" t="str">
        <f t="shared" si="31"/>
        <v/>
      </c>
      <c r="BT62" s="59"/>
      <c r="BU62" s="58" t="str">
        <f t="shared" si="32"/>
        <v/>
      </c>
      <c r="BV62" s="59"/>
    </row>
    <row r="63" spans="1:74" ht="14.5">
      <c r="A63" s="51" t="s">
        <v>58</v>
      </c>
      <c r="B63" s="52">
        <v>366</v>
      </c>
      <c r="C63" s="52" t="s">
        <v>188</v>
      </c>
      <c r="D63" s="41">
        <f t="shared" si="1"/>
        <v>1</v>
      </c>
      <c r="E63" s="52" t="s">
        <v>189</v>
      </c>
      <c r="F63" s="52" t="s">
        <v>242</v>
      </c>
      <c r="G63" s="52" t="s">
        <v>162</v>
      </c>
      <c r="H63" s="52" t="s">
        <v>432</v>
      </c>
      <c r="I63" s="53">
        <v>45661</v>
      </c>
      <c r="J63" s="108">
        <v>1524</v>
      </c>
      <c r="K63" s="101"/>
      <c r="L63" s="101"/>
      <c r="M63" s="101">
        <f t="shared" si="2"/>
        <v>1524</v>
      </c>
      <c r="N63" s="54">
        <f t="shared" si="3"/>
        <v>1524</v>
      </c>
      <c r="O63" s="101" t="s">
        <v>178</v>
      </c>
      <c r="P63" s="102">
        <f t="shared" si="4"/>
        <v>2.1166666666666667</v>
      </c>
      <c r="Q63" s="102">
        <v>6</v>
      </c>
      <c r="R63" s="99">
        <v>120</v>
      </c>
      <c r="S63" s="55">
        <f t="shared" si="34"/>
        <v>45629</v>
      </c>
      <c r="T63" s="55"/>
      <c r="U63" s="56">
        <f t="shared" ca="1" si="6"/>
        <v>-211</v>
      </c>
      <c r="V63" s="55">
        <f t="shared" si="7"/>
        <v>45645</v>
      </c>
      <c r="W63" s="55"/>
      <c r="X63" s="56">
        <f t="shared" ca="1" si="8"/>
        <v>-195</v>
      </c>
      <c r="Y63" s="55"/>
      <c r="Z63" s="57"/>
      <c r="AA63" s="58" t="str">
        <f t="shared" si="9"/>
        <v>-</v>
      </c>
      <c r="AB63" s="59"/>
      <c r="AC63" s="58" t="str">
        <f t="shared" si="10"/>
        <v/>
      </c>
      <c r="AD63" s="59"/>
      <c r="AE63" s="58" t="str">
        <f t="shared" si="11"/>
        <v/>
      </c>
      <c r="AF63" s="59"/>
      <c r="AG63" s="58" t="str">
        <f t="shared" si="12"/>
        <v/>
      </c>
      <c r="AH63" s="59"/>
      <c r="AI63" s="58" t="str">
        <f t="shared" si="13"/>
        <v/>
      </c>
      <c r="AJ63" s="59"/>
      <c r="AK63" s="58" t="str">
        <f t="shared" si="14"/>
        <v/>
      </c>
      <c r="AL63" s="59"/>
      <c r="AM63" s="58" t="str">
        <f t="shared" si="15"/>
        <v/>
      </c>
      <c r="AN63" s="59"/>
      <c r="AO63" s="58" t="str">
        <f t="shared" si="16"/>
        <v/>
      </c>
      <c r="AP63" s="59"/>
      <c r="AQ63" s="58">
        <f t="shared" si="17"/>
        <v>1524</v>
      </c>
      <c r="AR63" s="59"/>
      <c r="AS63" s="58" t="str">
        <f t="shared" si="18"/>
        <v/>
      </c>
      <c r="AT63" s="59"/>
      <c r="AU63" s="58" t="str">
        <f t="shared" si="19"/>
        <v/>
      </c>
      <c r="AV63" s="59"/>
      <c r="AW63" s="58" t="str">
        <f t="shared" si="20"/>
        <v/>
      </c>
      <c r="AX63" s="59"/>
      <c r="AY63" s="58" t="str">
        <f t="shared" si="21"/>
        <v/>
      </c>
      <c r="AZ63" s="59"/>
      <c r="BA63" s="58" t="str">
        <f t="shared" si="22"/>
        <v/>
      </c>
      <c r="BB63" s="59"/>
      <c r="BC63" s="58" t="str">
        <f t="shared" si="23"/>
        <v/>
      </c>
      <c r="BD63" s="59"/>
      <c r="BE63" s="58" t="str">
        <f t="shared" si="24"/>
        <v/>
      </c>
      <c r="BF63" s="59"/>
      <c r="BG63" s="58" t="str">
        <f t="shared" si="25"/>
        <v/>
      </c>
      <c r="BH63" s="59"/>
      <c r="BI63" s="58" t="str">
        <f t="shared" si="26"/>
        <v/>
      </c>
      <c r="BJ63" s="59"/>
      <c r="BK63" s="58" t="str">
        <f t="shared" si="27"/>
        <v/>
      </c>
      <c r="BL63" s="59"/>
      <c r="BM63" s="58" t="str">
        <f t="shared" si="28"/>
        <v/>
      </c>
      <c r="BN63" s="59"/>
      <c r="BO63" s="58" t="str">
        <f t="shared" si="29"/>
        <v/>
      </c>
      <c r="BP63" s="59"/>
      <c r="BQ63" s="58" t="str">
        <f t="shared" si="30"/>
        <v/>
      </c>
      <c r="BR63" s="59"/>
      <c r="BS63" s="58" t="str">
        <f t="shared" si="31"/>
        <v/>
      </c>
      <c r="BT63" s="59"/>
      <c r="BU63" s="58" t="str">
        <f t="shared" si="32"/>
        <v/>
      </c>
      <c r="BV63" s="59"/>
    </row>
    <row r="64" spans="1:74" ht="14.5">
      <c r="A64" s="51" t="s">
        <v>446</v>
      </c>
      <c r="B64" s="52" t="s">
        <v>460</v>
      </c>
      <c r="C64" s="52" t="s">
        <v>60</v>
      </c>
      <c r="D64" s="41">
        <f t="shared" si="1"/>
        <v>2</v>
      </c>
      <c r="E64" s="52" t="s">
        <v>461</v>
      </c>
      <c r="F64" s="52" t="s">
        <v>462</v>
      </c>
      <c r="G64" s="52" t="s">
        <v>163</v>
      </c>
      <c r="H64" s="52" t="s">
        <v>442</v>
      </c>
      <c r="I64" s="53">
        <v>45663</v>
      </c>
      <c r="J64" s="108">
        <v>27000</v>
      </c>
      <c r="K64" s="101"/>
      <c r="L64" s="101"/>
      <c r="M64" s="101">
        <f t="shared" si="2"/>
        <v>27000</v>
      </c>
      <c r="N64" s="54">
        <f t="shared" si="3"/>
        <v>27000</v>
      </c>
      <c r="O64" s="101" t="s">
        <v>463</v>
      </c>
      <c r="P64" s="102">
        <f t="shared" si="4"/>
        <v>15.428571428571429</v>
      </c>
      <c r="Q64" s="102">
        <v>5</v>
      </c>
      <c r="R64" s="99">
        <v>350</v>
      </c>
      <c r="S64" s="55">
        <f t="shared" ref="S64:S72" si="35">+I64-(28)</f>
        <v>45635</v>
      </c>
      <c r="T64" s="55">
        <v>45628</v>
      </c>
      <c r="U64" s="56">
        <f t="shared" ca="1" si="6"/>
        <v>7</v>
      </c>
      <c r="V64" s="55">
        <f t="shared" si="7"/>
        <v>45651</v>
      </c>
      <c r="W64" s="55"/>
      <c r="X64" s="56">
        <f t="shared" ca="1" si="8"/>
        <v>-189</v>
      </c>
      <c r="Y64" s="55"/>
      <c r="Z64" s="57"/>
      <c r="AA64" s="58" t="str">
        <f t="shared" si="9"/>
        <v>-</v>
      </c>
      <c r="AB64" s="59"/>
      <c r="AC64" s="58" t="str">
        <f t="shared" si="10"/>
        <v/>
      </c>
      <c r="AD64" s="59"/>
      <c r="AE64" s="58" t="str">
        <f t="shared" si="11"/>
        <v/>
      </c>
      <c r="AF64" s="59"/>
      <c r="AG64" s="58" t="str">
        <f t="shared" si="12"/>
        <v/>
      </c>
      <c r="AH64" s="59"/>
      <c r="AI64" s="58" t="str">
        <f t="shared" si="13"/>
        <v/>
      </c>
      <c r="AJ64" s="59"/>
      <c r="AK64" s="58" t="str">
        <f t="shared" si="14"/>
        <v/>
      </c>
      <c r="AL64" s="59"/>
      <c r="AM64" s="58" t="str">
        <f t="shared" si="15"/>
        <v/>
      </c>
      <c r="AN64" s="59"/>
      <c r="AO64" s="58" t="str">
        <f t="shared" si="16"/>
        <v/>
      </c>
      <c r="AP64" s="59"/>
      <c r="AQ64" s="58" t="str">
        <f t="shared" si="17"/>
        <v/>
      </c>
      <c r="AR64" s="59"/>
      <c r="AS64" s="58">
        <f t="shared" si="18"/>
        <v>27000</v>
      </c>
      <c r="AT64" s="59"/>
      <c r="AU64" s="58" t="str">
        <f t="shared" si="19"/>
        <v/>
      </c>
      <c r="AV64" s="59"/>
      <c r="AW64" s="58" t="str">
        <f t="shared" si="20"/>
        <v/>
      </c>
      <c r="AX64" s="59"/>
      <c r="AY64" s="58" t="str">
        <f t="shared" si="21"/>
        <v/>
      </c>
      <c r="AZ64" s="59"/>
      <c r="BA64" s="58" t="str">
        <f t="shared" si="22"/>
        <v/>
      </c>
      <c r="BB64" s="59"/>
      <c r="BC64" s="58" t="str">
        <f t="shared" si="23"/>
        <v/>
      </c>
      <c r="BD64" s="59"/>
      <c r="BE64" s="58" t="str">
        <f t="shared" si="24"/>
        <v/>
      </c>
      <c r="BF64" s="59"/>
      <c r="BG64" s="58" t="str">
        <f t="shared" si="25"/>
        <v/>
      </c>
      <c r="BH64" s="59"/>
      <c r="BI64" s="58" t="str">
        <f t="shared" si="26"/>
        <v/>
      </c>
      <c r="BJ64" s="59"/>
      <c r="BK64" s="58" t="str">
        <f t="shared" si="27"/>
        <v/>
      </c>
      <c r="BL64" s="59"/>
      <c r="BM64" s="58" t="str">
        <f t="shared" si="28"/>
        <v/>
      </c>
      <c r="BN64" s="59"/>
      <c r="BO64" s="58" t="str">
        <f t="shared" si="29"/>
        <v/>
      </c>
      <c r="BP64" s="59"/>
      <c r="BQ64" s="58" t="str">
        <f t="shared" si="30"/>
        <v/>
      </c>
      <c r="BR64" s="59"/>
      <c r="BS64" s="58" t="str">
        <f t="shared" si="31"/>
        <v/>
      </c>
      <c r="BT64" s="59"/>
      <c r="BU64" s="58" t="str">
        <f t="shared" si="32"/>
        <v/>
      </c>
      <c r="BV64" s="59"/>
    </row>
    <row r="65" spans="1:74" ht="14.5">
      <c r="A65" s="51" t="s">
        <v>446</v>
      </c>
      <c r="B65" s="52" t="s">
        <v>460</v>
      </c>
      <c r="C65" s="52" t="s">
        <v>60</v>
      </c>
      <c r="D65" s="41">
        <f t="shared" si="1"/>
        <v>2</v>
      </c>
      <c r="E65" s="52" t="s">
        <v>461</v>
      </c>
      <c r="F65" s="52" t="s">
        <v>462</v>
      </c>
      <c r="G65" s="52" t="s">
        <v>154</v>
      </c>
      <c r="H65" s="52" t="s">
        <v>442</v>
      </c>
      <c r="I65" s="53">
        <v>45663</v>
      </c>
      <c r="J65" s="108">
        <v>27000</v>
      </c>
      <c r="K65" s="101"/>
      <c r="L65" s="101"/>
      <c r="M65" s="101">
        <f t="shared" si="2"/>
        <v>27000</v>
      </c>
      <c r="N65" s="54">
        <f t="shared" si="3"/>
        <v>27000</v>
      </c>
      <c r="O65" s="101" t="s">
        <v>463</v>
      </c>
      <c r="P65" s="102">
        <f t="shared" si="4"/>
        <v>15.428571428571429</v>
      </c>
      <c r="Q65" s="102">
        <v>5</v>
      </c>
      <c r="R65" s="99">
        <v>350</v>
      </c>
      <c r="S65" s="55">
        <f t="shared" si="35"/>
        <v>45635</v>
      </c>
      <c r="T65" s="55">
        <v>45628</v>
      </c>
      <c r="U65" s="56">
        <f t="shared" ca="1" si="6"/>
        <v>7</v>
      </c>
      <c r="V65" s="55">
        <f t="shared" si="7"/>
        <v>45651</v>
      </c>
      <c r="W65" s="55"/>
      <c r="X65" s="56">
        <f t="shared" ca="1" si="8"/>
        <v>-189</v>
      </c>
      <c r="Y65" s="55"/>
      <c r="Z65" s="57"/>
      <c r="AA65" s="58" t="str">
        <f t="shared" si="9"/>
        <v>-</v>
      </c>
      <c r="AB65" s="59"/>
      <c r="AC65" s="58" t="str">
        <f t="shared" si="10"/>
        <v/>
      </c>
      <c r="AD65" s="59"/>
      <c r="AE65" s="58" t="str">
        <f t="shared" si="11"/>
        <v/>
      </c>
      <c r="AF65" s="59"/>
      <c r="AG65" s="58" t="str">
        <f t="shared" si="12"/>
        <v/>
      </c>
      <c r="AH65" s="59"/>
      <c r="AI65" s="58" t="str">
        <f t="shared" si="13"/>
        <v/>
      </c>
      <c r="AJ65" s="59"/>
      <c r="AK65" s="58" t="str">
        <f t="shared" si="14"/>
        <v/>
      </c>
      <c r="AL65" s="59"/>
      <c r="AM65" s="58" t="str">
        <f t="shared" si="15"/>
        <v/>
      </c>
      <c r="AN65" s="59"/>
      <c r="AO65" s="58" t="str">
        <f t="shared" si="16"/>
        <v/>
      </c>
      <c r="AP65" s="59"/>
      <c r="AQ65" s="58" t="str">
        <f t="shared" si="17"/>
        <v/>
      </c>
      <c r="AR65" s="59"/>
      <c r="AS65" s="58">
        <f t="shared" si="18"/>
        <v>27000</v>
      </c>
      <c r="AT65" s="59"/>
      <c r="AU65" s="58" t="str">
        <f t="shared" si="19"/>
        <v/>
      </c>
      <c r="AV65" s="59"/>
      <c r="AW65" s="58" t="str">
        <f t="shared" si="20"/>
        <v/>
      </c>
      <c r="AX65" s="59"/>
      <c r="AY65" s="58" t="str">
        <f t="shared" si="21"/>
        <v/>
      </c>
      <c r="AZ65" s="59"/>
      <c r="BA65" s="58" t="str">
        <f t="shared" si="22"/>
        <v/>
      </c>
      <c r="BB65" s="59"/>
      <c r="BC65" s="58" t="str">
        <f t="shared" si="23"/>
        <v/>
      </c>
      <c r="BD65" s="59"/>
      <c r="BE65" s="58" t="str">
        <f t="shared" si="24"/>
        <v/>
      </c>
      <c r="BF65" s="59"/>
      <c r="BG65" s="58" t="str">
        <f t="shared" si="25"/>
        <v/>
      </c>
      <c r="BH65" s="59"/>
      <c r="BI65" s="58" t="str">
        <f t="shared" si="26"/>
        <v/>
      </c>
      <c r="BJ65" s="59"/>
      <c r="BK65" s="58" t="str">
        <f t="shared" si="27"/>
        <v/>
      </c>
      <c r="BL65" s="59"/>
      <c r="BM65" s="58" t="str">
        <f t="shared" si="28"/>
        <v/>
      </c>
      <c r="BN65" s="59"/>
      <c r="BO65" s="58" t="str">
        <f t="shared" si="29"/>
        <v/>
      </c>
      <c r="BP65" s="59"/>
      <c r="BQ65" s="58" t="str">
        <f t="shared" si="30"/>
        <v/>
      </c>
      <c r="BR65" s="59"/>
      <c r="BS65" s="58" t="str">
        <f t="shared" si="31"/>
        <v/>
      </c>
      <c r="BT65" s="59"/>
      <c r="BU65" s="58" t="str">
        <f t="shared" si="32"/>
        <v/>
      </c>
      <c r="BV65" s="59"/>
    </row>
    <row r="66" spans="1:74" ht="14.5">
      <c r="A66" s="51" t="s">
        <v>446</v>
      </c>
      <c r="B66" s="52" t="s">
        <v>460</v>
      </c>
      <c r="C66" s="52" t="s">
        <v>60</v>
      </c>
      <c r="D66" s="41">
        <f t="shared" si="1"/>
        <v>2</v>
      </c>
      <c r="E66" s="52" t="s">
        <v>461</v>
      </c>
      <c r="F66" s="52" t="s">
        <v>462</v>
      </c>
      <c r="G66" s="52" t="s">
        <v>155</v>
      </c>
      <c r="H66" s="52" t="s">
        <v>442</v>
      </c>
      <c r="I66" s="53">
        <v>45663</v>
      </c>
      <c r="J66" s="108">
        <v>27000</v>
      </c>
      <c r="K66" s="101"/>
      <c r="L66" s="101"/>
      <c r="M66" s="101">
        <f t="shared" si="2"/>
        <v>27000</v>
      </c>
      <c r="N66" s="54">
        <f t="shared" si="3"/>
        <v>27000</v>
      </c>
      <c r="O66" s="101" t="s">
        <v>463</v>
      </c>
      <c r="P66" s="102">
        <f t="shared" si="4"/>
        <v>15.428571428571429</v>
      </c>
      <c r="Q66" s="102">
        <v>5</v>
      </c>
      <c r="R66" s="99">
        <v>350</v>
      </c>
      <c r="S66" s="55">
        <f t="shared" si="35"/>
        <v>45635</v>
      </c>
      <c r="T66" s="55">
        <v>45628</v>
      </c>
      <c r="U66" s="56">
        <f t="shared" ca="1" si="6"/>
        <v>7</v>
      </c>
      <c r="V66" s="55">
        <f t="shared" si="7"/>
        <v>45651</v>
      </c>
      <c r="W66" s="55"/>
      <c r="X66" s="56">
        <f t="shared" ca="1" si="8"/>
        <v>-189</v>
      </c>
      <c r="Y66" s="55"/>
      <c r="Z66" s="57"/>
      <c r="AA66" s="58" t="str">
        <f t="shared" si="9"/>
        <v>-</v>
      </c>
      <c r="AB66" s="59"/>
      <c r="AC66" s="58" t="str">
        <f t="shared" si="10"/>
        <v/>
      </c>
      <c r="AD66" s="59"/>
      <c r="AE66" s="58" t="str">
        <f t="shared" si="11"/>
        <v/>
      </c>
      <c r="AF66" s="59"/>
      <c r="AG66" s="58" t="str">
        <f t="shared" si="12"/>
        <v/>
      </c>
      <c r="AH66" s="59"/>
      <c r="AI66" s="58" t="str">
        <f t="shared" si="13"/>
        <v/>
      </c>
      <c r="AJ66" s="59"/>
      <c r="AK66" s="58" t="str">
        <f t="shared" si="14"/>
        <v/>
      </c>
      <c r="AL66" s="59"/>
      <c r="AM66" s="58" t="str">
        <f t="shared" si="15"/>
        <v/>
      </c>
      <c r="AN66" s="59"/>
      <c r="AO66" s="58" t="str">
        <f t="shared" si="16"/>
        <v/>
      </c>
      <c r="AP66" s="59"/>
      <c r="AQ66" s="58" t="str">
        <f t="shared" si="17"/>
        <v/>
      </c>
      <c r="AR66" s="59"/>
      <c r="AS66" s="58">
        <f t="shared" si="18"/>
        <v>27000</v>
      </c>
      <c r="AT66" s="59"/>
      <c r="AU66" s="58" t="str">
        <f t="shared" si="19"/>
        <v/>
      </c>
      <c r="AV66" s="59"/>
      <c r="AW66" s="58" t="str">
        <f t="shared" si="20"/>
        <v/>
      </c>
      <c r="AX66" s="59"/>
      <c r="AY66" s="58" t="str">
        <f t="shared" si="21"/>
        <v/>
      </c>
      <c r="AZ66" s="59"/>
      <c r="BA66" s="58" t="str">
        <f t="shared" si="22"/>
        <v/>
      </c>
      <c r="BB66" s="59"/>
      <c r="BC66" s="58" t="str">
        <f t="shared" si="23"/>
        <v/>
      </c>
      <c r="BD66" s="59"/>
      <c r="BE66" s="58" t="str">
        <f t="shared" si="24"/>
        <v/>
      </c>
      <c r="BF66" s="59"/>
      <c r="BG66" s="58" t="str">
        <f t="shared" si="25"/>
        <v/>
      </c>
      <c r="BH66" s="59"/>
      <c r="BI66" s="58" t="str">
        <f t="shared" si="26"/>
        <v/>
      </c>
      <c r="BJ66" s="59"/>
      <c r="BK66" s="58" t="str">
        <f t="shared" si="27"/>
        <v/>
      </c>
      <c r="BL66" s="59"/>
      <c r="BM66" s="58" t="str">
        <f t="shared" si="28"/>
        <v/>
      </c>
      <c r="BN66" s="59"/>
      <c r="BO66" s="58" t="str">
        <f t="shared" si="29"/>
        <v/>
      </c>
      <c r="BP66" s="59"/>
      <c r="BQ66" s="58" t="str">
        <f t="shared" si="30"/>
        <v/>
      </c>
      <c r="BR66" s="59"/>
      <c r="BS66" s="58" t="str">
        <f t="shared" si="31"/>
        <v/>
      </c>
      <c r="BT66" s="59"/>
      <c r="BU66" s="58" t="str">
        <f t="shared" si="32"/>
        <v/>
      </c>
      <c r="BV66" s="59"/>
    </row>
    <row r="67" spans="1:74" ht="14.5">
      <c r="A67" s="51" t="s">
        <v>446</v>
      </c>
      <c r="B67" s="52" t="s">
        <v>460</v>
      </c>
      <c r="C67" s="52" t="s">
        <v>60</v>
      </c>
      <c r="D67" s="41">
        <f t="shared" si="1"/>
        <v>2</v>
      </c>
      <c r="E67" s="52" t="s">
        <v>464</v>
      </c>
      <c r="F67" s="52" t="s">
        <v>462</v>
      </c>
      <c r="G67" s="52" t="s">
        <v>163</v>
      </c>
      <c r="H67" s="52" t="s">
        <v>442</v>
      </c>
      <c r="I67" s="53">
        <v>45663</v>
      </c>
      <c r="J67" s="108">
        <v>27000</v>
      </c>
      <c r="K67" s="101"/>
      <c r="L67" s="101"/>
      <c r="M67" s="101">
        <f t="shared" si="2"/>
        <v>27000</v>
      </c>
      <c r="N67" s="54">
        <f t="shared" si="3"/>
        <v>27000</v>
      </c>
      <c r="O67" s="101" t="s">
        <v>463</v>
      </c>
      <c r="P67" s="102">
        <f t="shared" si="4"/>
        <v>15.428571428571429</v>
      </c>
      <c r="Q67" s="102">
        <v>5</v>
      </c>
      <c r="R67" s="99">
        <v>350</v>
      </c>
      <c r="S67" s="55">
        <f t="shared" si="35"/>
        <v>45635</v>
      </c>
      <c r="T67" s="55">
        <v>45628</v>
      </c>
      <c r="U67" s="56">
        <f t="shared" ca="1" si="6"/>
        <v>7</v>
      </c>
      <c r="V67" s="55">
        <f t="shared" si="7"/>
        <v>45651</v>
      </c>
      <c r="W67" s="55"/>
      <c r="X67" s="56">
        <f t="shared" ca="1" si="8"/>
        <v>-189</v>
      </c>
      <c r="Y67" s="55"/>
      <c r="Z67" s="57"/>
      <c r="AA67" s="58" t="str">
        <f t="shared" si="9"/>
        <v>-</v>
      </c>
      <c r="AB67" s="59"/>
      <c r="AC67" s="58" t="str">
        <f t="shared" si="10"/>
        <v/>
      </c>
      <c r="AD67" s="59"/>
      <c r="AE67" s="58" t="str">
        <f t="shared" si="11"/>
        <v/>
      </c>
      <c r="AF67" s="59"/>
      <c r="AG67" s="58" t="str">
        <f t="shared" si="12"/>
        <v/>
      </c>
      <c r="AH67" s="59"/>
      <c r="AI67" s="58" t="str">
        <f t="shared" si="13"/>
        <v/>
      </c>
      <c r="AJ67" s="59"/>
      <c r="AK67" s="58" t="str">
        <f t="shared" si="14"/>
        <v/>
      </c>
      <c r="AL67" s="59"/>
      <c r="AM67" s="58" t="str">
        <f t="shared" si="15"/>
        <v/>
      </c>
      <c r="AN67" s="59"/>
      <c r="AO67" s="58" t="str">
        <f t="shared" si="16"/>
        <v/>
      </c>
      <c r="AP67" s="59"/>
      <c r="AQ67" s="58" t="str">
        <f t="shared" si="17"/>
        <v/>
      </c>
      <c r="AR67" s="59"/>
      <c r="AS67" s="58">
        <f t="shared" si="18"/>
        <v>27000</v>
      </c>
      <c r="AT67" s="59"/>
      <c r="AU67" s="58" t="str">
        <f t="shared" si="19"/>
        <v/>
      </c>
      <c r="AV67" s="59"/>
      <c r="AW67" s="58" t="str">
        <f t="shared" si="20"/>
        <v/>
      </c>
      <c r="AX67" s="59"/>
      <c r="AY67" s="58" t="str">
        <f t="shared" si="21"/>
        <v/>
      </c>
      <c r="AZ67" s="59"/>
      <c r="BA67" s="58" t="str">
        <f t="shared" si="22"/>
        <v/>
      </c>
      <c r="BB67" s="59"/>
      <c r="BC67" s="58" t="str">
        <f t="shared" si="23"/>
        <v/>
      </c>
      <c r="BD67" s="59"/>
      <c r="BE67" s="58" t="str">
        <f t="shared" si="24"/>
        <v/>
      </c>
      <c r="BF67" s="59"/>
      <c r="BG67" s="58" t="str">
        <f t="shared" si="25"/>
        <v/>
      </c>
      <c r="BH67" s="59"/>
      <c r="BI67" s="58" t="str">
        <f t="shared" si="26"/>
        <v/>
      </c>
      <c r="BJ67" s="59"/>
      <c r="BK67" s="58" t="str">
        <f t="shared" si="27"/>
        <v/>
      </c>
      <c r="BL67" s="59"/>
      <c r="BM67" s="58" t="str">
        <f t="shared" si="28"/>
        <v/>
      </c>
      <c r="BN67" s="59"/>
      <c r="BO67" s="58" t="str">
        <f t="shared" si="29"/>
        <v/>
      </c>
      <c r="BP67" s="59"/>
      <c r="BQ67" s="58" t="str">
        <f t="shared" si="30"/>
        <v/>
      </c>
      <c r="BR67" s="59"/>
      <c r="BS67" s="58" t="str">
        <f t="shared" si="31"/>
        <v/>
      </c>
      <c r="BT67" s="59"/>
      <c r="BU67" s="58" t="str">
        <f t="shared" si="32"/>
        <v/>
      </c>
      <c r="BV67" s="59"/>
    </row>
    <row r="68" spans="1:74" ht="14.5">
      <c r="A68" s="51" t="s">
        <v>446</v>
      </c>
      <c r="B68" s="52" t="s">
        <v>460</v>
      </c>
      <c r="C68" s="52" t="s">
        <v>60</v>
      </c>
      <c r="D68" s="41">
        <f t="shared" si="1"/>
        <v>2</v>
      </c>
      <c r="E68" s="52" t="s">
        <v>464</v>
      </c>
      <c r="F68" s="52" t="s">
        <v>462</v>
      </c>
      <c r="G68" s="52" t="s">
        <v>154</v>
      </c>
      <c r="H68" s="52" t="s">
        <v>442</v>
      </c>
      <c r="I68" s="53">
        <v>45663</v>
      </c>
      <c r="J68" s="108">
        <v>27000</v>
      </c>
      <c r="K68" s="101"/>
      <c r="L68" s="101"/>
      <c r="M68" s="101">
        <f t="shared" si="2"/>
        <v>27000</v>
      </c>
      <c r="N68" s="54">
        <f t="shared" si="3"/>
        <v>27000</v>
      </c>
      <c r="O68" s="101" t="s">
        <v>463</v>
      </c>
      <c r="P68" s="102">
        <f t="shared" si="4"/>
        <v>15.428571428571429</v>
      </c>
      <c r="Q68" s="102">
        <v>5</v>
      </c>
      <c r="R68" s="99">
        <v>350</v>
      </c>
      <c r="S68" s="55">
        <f t="shared" si="35"/>
        <v>45635</v>
      </c>
      <c r="T68" s="55">
        <v>45628</v>
      </c>
      <c r="U68" s="56">
        <f t="shared" ca="1" si="6"/>
        <v>7</v>
      </c>
      <c r="V68" s="55">
        <f t="shared" si="7"/>
        <v>45651</v>
      </c>
      <c r="W68" s="55"/>
      <c r="X68" s="56">
        <f t="shared" ca="1" si="8"/>
        <v>-189</v>
      </c>
      <c r="Y68" s="55"/>
      <c r="Z68" s="57"/>
      <c r="AA68" s="58" t="str">
        <f t="shared" si="9"/>
        <v>-</v>
      </c>
      <c r="AB68" s="59"/>
      <c r="AC68" s="58" t="str">
        <f t="shared" si="10"/>
        <v/>
      </c>
      <c r="AD68" s="59"/>
      <c r="AE68" s="58" t="str">
        <f t="shared" si="11"/>
        <v/>
      </c>
      <c r="AF68" s="59"/>
      <c r="AG68" s="58" t="str">
        <f t="shared" si="12"/>
        <v/>
      </c>
      <c r="AH68" s="59"/>
      <c r="AI68" s="58" t="str">
        <f t="shared" si="13"/>
        <v/>
      </c>
      <c r="AJ68" s="59"/>
      <c r="AK68" s="58" t="str">
        <f t="shared" si="14"/>
        <v/>
      </c>
      <c r="AL68" s="59"/>
      <c r="AM68" s="58" t="str">
        <f t="shared" si="15"/>
        <v/>
      </c>
      <c r="AN68" s="59"/>
      <c r="AO68" s="58" t="str">
        <f t="shared" si="16"/>
        <v/>
      </c>
      <c r="AP68" s="59"/>
      <c r="AQ68" s="58" t="str">
        <f t="shared" si="17"/>
        <v/>
      </c>
      <c r="AR68" s="59"/>
      <c r="AS68" s="58">
        <f t="shared" si="18"/>
        <v>27000</v>
      </c>
      <c r="AT68" s="59"/>
      <c r="AU68" s="58" t="str">
        <f t="shared" si="19"/>
        <v/>
      </c>
      <c r="AV68" s="59"/>
      <c r="AW68" s="58" t="str">
        <f t="shared" si="20"/>
        <v/>
      </c>
      <c r="AX68" s="59"/>
      <c r="AY68" s="58" t="str">
        <f t="shared" si="21"/>
        <v/>
      </c>
      <c r="AZ68" s="59"/>
      <c r="BA68" s="58" t="str">
        <f t="shared" si="22"/>
        <v/>
      </c>
      <c r="BB68" s="59"/>
      <c r="BC68" s="58" t="str">
        <f t="shared" si="23"/>
        <v/>
      </c>
      <c r="BD68" s="59"/>
      <c r="BE68" s="58" t="str">
        <f t="shared" si="24"/>
        <v/>
      </c>
      <c r="BF68" s="59"/>
      <c r="BG68" s="58" t="str">
        <f t="shared" si="25"/>
        <v/>
      </c>
      <c r="BH68" s="59"/>
      <c r="BI68" s="58" t="str">
        <f t="shared" si="26"/>
        <v/>
      </c>
      <c r="BJ68" s="59"/>
      <c r="BK68" s="58" t="str">
        <f t="shared" si="27"/>
        <v/>
      </c>
      <c r="BL68" s="59"/>
      <c r="BM68" s="58" t="str">
        <f t="shared" si="28"/>
        <v/>
      </c>
      <c r="BN68" s="59"/>
      <c r="BO68" s="58" t="str">
        <f t="shared" si="29"/>
        <v/>
      </c>
      <c r="BP68" s="59"/>
      <c r="BQ68" s="58" t="str">
        <f t="shared" si="30"/>
        <v/>
      </c>
      <c r="BR68" s="59"/>
      <c r="BS68" s="58" t="str">
        <f t="shared" si="31"/>
        <v/>
      </c>
      <c r="BT68" s="59"/>
      <c r="BU68" s="58" t="str">
        <f t="shared" si="32"/>
        <v/>
      </c>
      <c r="BV68" s="59"/>
    </row>
    <row r="69" spans="1:74" ht="14.5">
      <c r="A69" s="51" t="s">
        <v>446</v>
      </c>
      <c r="B69" s="52" t="s">
        <v>460</v>
      </c>
      <c r="C69" s="52" t="s">
        <v>60</v>
      </c>
      <c r="D69" s="41">
        <f t="shared" si="1"/>
        <v>2</v>
      </c>
      <c r="E69" s="52" t="s">
        <v>464</v>
      </c>
      <c r="F69" s="52" t="s">
        <v>462</v>
      </c>
      <c r="G69" s="52" t="s">
        <v>155</v>
      </c>
      <c r="H69" s="52" t="s">
        <v>442</v>
      </c>
      <c r="I69" s="53">
        <v>45663</v>
      </c>
      <c r="J69" s="108">
        <v>27000</v>
      </c>
      <c r="K69" s="101"/>
      <c r="L69" s="101"/>
      <c r="M69" s="101">
        <f t="shared" si="2"/>
        <v>27000</v>
      </c>
      <c r="N69" s="54">
        <f t="shared" si="3"/>
        <v>27000</v>
      </c>
      <c r="O69" s="101" t="s">
        <v>463</v>
      </c>
      <c r="P69" s="102">
        <f t="shared" si="4"/>
        <v>15.428571428571429</v>
      </c>
      <c r="Q69" s="102">
        <v>5</v>
      </c>
      <c r="R69" s="99">
        <v>350</v>
      </c>
      <c r="S69" s="55">
        <f t="shared" si="35"/>
        <v>45635</v>
      </c>
      <c r="T69" s="55">
        <v>45628</v>
      </c>
      <c r="U69" s="56">
        <f t="shared" ca="1" si="6"/>
        <v>7</v>
      </c>
      <c r="V69" s="55">
        <f t="shared" si="7"/>
        <v>45651</v>
      </c>
      <c r="W69" s="55"/>
      <c r="X69" s="56">
        <f t="shared" ca="1" si="8"/>
        <v>-189</v>
      </c>
      <c r="Y69" s="55"/>
      <c r="Z69" s="57"/>
      <c r="AA69" s="58" t="str">
        <f t="shared" si="9"/>
        <v>-</v>
      </c>
      <c r="AB69" s="59"/>
      <c r="AC69" s="58" t="str">
        <f t="shared" si="10"/>
        <v/>
      </c>
      <c r="AD69" s="59"/>
      <c r="AE69" s="58" t="str">
        <f t="shared" si="11"/>
        <v/>
      </c>
      <c r="AF69" s="59"/>
      <c r="AG69" s="58" t="str">
        <f t="shared" si="12"/>
        <v/>
      </c>
      <c r="AH69" s="59"/>
      <c r="AI69" s="58" t="str">
        <f t="shared" si="13"/>
        <v/>
      </c>
      <c r="AJ69" s="59"/>
      <c r="AK69" s="58" t="str">
        <f t="shared" si="14"/>
        <v/>
      </c>
      <c r="AL69" s="59"/>
      <c r="AM69" s="58" t="str">
        <f t="shared" si="15"/>
        <v/>
      </c>
      <c r="AN69" s="59"/>
      <c r="AO69" s="58" t="str">
        <f t="shared" si="16"/>
        <v/>
      </c>
      <c r="AP69" s="59"/>
      <c r="AQ69" s="58" t="str">
        <f t="shared" si="17"/>
        <v/>
      </c>
      <c r="AR69" s="59"/>
      <c r="AS69" s="58">
        <f t="shared" si="18"/>
        <v>27000</v>
      </c>
      <c r="AT69" s="59"/>
      <c r="AU69" s="58" t="str">
        <f t="shared" si="19"/>
        <v/>
      </c>
      <c r="AV69" s="59"/>
      <c r="AW69" s="58" t="str">
        <f t="shared" si="20"/>
        <v/>
      </c>
      <c r="AX69" s="59"/>
      <c r="AY69" s="58" t="str">
        <f t="shared" si="21"/>
        <v/>
      </c>
      <c r="AZ69" s="59"/>
      <c r="BA69" s="58" t="str">
        <f t="shared" si="22"/>
        <v/>
      </c>
      <c r="BB69" s="59"/>
      <c r="BC69" s="58" t="str">
        <f t="shared" si="23"/>
        <v/>
      </c>
      <c r="BD69" s="59"/>
      <c r="BE69" s="58" t="str">
        <f t="shared" si="24"/>
        <v/>
      </c>
      <c r="BF69" s="59"/>
      <c r="BG69" s="58" t="str">
        <f t="shared" si="25"/>
        <v/>
      </c>
      <c r="BH69" s="59"/>
      <c r="BI69" s="58" t="str">
        <f t="shared" si="26"/>
        <v/>
      </c>
      <c r="BJ69" s="59"/>
      <c r="BK69" s="58" t="str">
        <f t="shared" si="27"/>
        <v/>
      </c>
      <c r="BL69" s="59"/>
      <c r="BM69" s="58" t="str">
        <f t="shared" si="28"/>
        <v/>
      </c>
      <c r="BN69" s="59"/>
      <c r="BO69" s="58" t="str">
        <f t="shared" si="29"/>
        <v/>
      </c>
      <c r="BP69" s="59"/>
      <c r="BQ69" s="58" t="str">
        <f t="shared" si="30"/>
        <v/>
      </c>
      <c r="BR69" s="59"/>
      <c r="BS69" s="58" t="str">
        <f t="shared" si="31"/>
        <v/>
      </c>
      <c r="BT69" s="59"/>
      <c r="BU69" s="58" t="str">
        <f t="shared" si="32"/>
        <v/>
      </c>
      <c r="BV69" s="59"/>
    </row>
    <row r="70" spans="1:74" ht="14.5">
      <c r="A70" s="51" t="s">
        <v>446</v>
      </c>
      <c r="B70" s="52" t="s">
        <v>460</v>
      </c>
      <c r="C70" s="52" t="s">
        <v>60</v>
      </c>
      <c r="D70" s="41">
        <f t="shared" si="1"/>
        <v>2</v>
      </c>
      <c r="E70" s="52" t="s">
        <v>465</v>
      </c>
      <c r="F70" s="52" t="s">
        <v>462</v>
      </c>
      <c r="G70" s="52" t="s">
        <v>163</v>
      </c>
      <c r="H70" s="52" t="s">
        <v>442</v>
      </c>
      <c r="I70" s="53">
        <v>45663</v>
      </c>
      <c r="J70" s="108">
        <v>27000</v>
      </c>
      <c r="K70" s="101"/>
      <c r="L70" s="101"/>
      <c r="M70" s="101">
        <f t="shared" si="2"/>
        <v>27000</v>
      </c>
      <c r="N70" s="54">
        <f t="shared" si="3"/>
        <v>27000</v>
      </c>
      <c r="O70" s="101" t="s">
        <v>463</v>
      </c>
      <c r="P70" s="102">
        <f t="shared" si="4"/>
        <v>15.428571428571429</v>
      </c>
      <c r="Q70" s="102">
        <v>5</v>
      </c>
      <c r="R70" s="99">
        <v>350</v>
      </c>
      <c r="S70" s="55">
        <f t="shared" si="35"/>
        <v>45635</v>
      </c>
      <c r="T70" s="55">
        <v>45628</v>
      </c>
      <c r="U70" s="56">
        <f t="shared" ca="1" si="6"/>
        <v>7</v>
      </c>
      <c r="V70" s="55">
        <f t="shared" si="7"/>
        <v>45651</v>
      </c>
      <c r="W70" s="55"/>
      <c r="X70" s="56">
        <f t="shared" ca="1" si="8"/>
        <v>-189</v>
      </c>
      <c r="Y70" s="55"/>
      <c r="Z70" s="57"/>
      <c r="AA70" s="58" t="str">
        <f t="shared" si="9"/>
        <v>-</v>
      </c>
      <c r="AB70" s="59"/>
      <c r="AC70" s="58" t="str">
        <f t="shared" si="10"/>
        <v/>
      </c>
      <c r="AD70" s="59"/>
      <c r="AE70" s="58" t="str">
        <f t="shared" si="11"/>
        <v/>
      </c>
      <c r="AF70" s="59"/>
      <c r="AG70" s="58" t="str">
        <f t="shared" si="12"/>
        <v/>
      </c>
      <c r="AH70" s="59"/>
      <c r="AI70" s="58" t="str">
        <f t="shared" si="13"/>
        <v/>
      </c>
      <c r="AJ70" s="59"/>
      <c r="AK70" s="58" t="str">
        <f t="shared" si="14"/>
        <v/>
      </c>
      <c r="AL70" s="59"/>
      <c r="AM70" s="58" t="str">
        <f t="shared" si="15"/>
        <v/>
      </c>
      <c r="AN70" s="59"/>
      <c r="AO70" s="58" t="str">
        <f t="shared" si="16"/>
        <v/>
      </c>
      <c r="AP70" s="59"/>
      <c r="AQ70" s="58" t="str">
        <f t="shared" si="17"/>
        <v/>
      </c>
      <c r="AR70" s="59"/>
      <c r="AS70" s="58">
        <f t="shared" si="18"/>
        <v>27000</v>
      </c>
      <c r="AT70" s="59"/>
      <c r="AU70" s="58" t="str">
        <f t="shared" si="19"/>
        <v/>
      </c>
      <c r="AV70" s="59"/>
      <c r="AW70" s="58" t="str">
        <f t="shared" si="20"/>
        <v/>
      </c>
      <c r="AX70" s="59"/>
      <c r="AY70" s="58" t="str">
        <f t="shared" si="21"/>
        <v/>
      </c>
      <c r="AZ70" s="59"/>
      <c r="BA70" s="58" t="str">
        <f t="shared" si="22"/>
        <v/>
      </c>
      <c r="BB70" s="59"/>
      <c r="BC70" s="58" t="str">
        <f t="shared" si="23"/>
        <v/>
      </c>
      <c r="BD70" s="59"/>
      <c r="BE70" s="58" t="str">
        <f t="shared" si="24"/>
        <v/>
      </c>
      <c r="BF70" s="59"/>
      <c r="BG70" s="58" t="str">
        <f t="shared" si="25"/>
        <v/>
      </c>
      <c r="BH70" s="59"/>
      <c r="BI70" s="58" t="str">
        <f t="shared" si="26"/>
        <v/>
      </c>
      <c r="BJ70" s="59"/>
      <c r="BK70" s="58" t="str">
        <f t="shared" si="27"/>
        <v/>
      </c>
      <c r="BL70" s="59"/>
      <c r="BM70" s="58" t="str">
        <f t="shared" si="28"/>
        <v/>
      </c>
      <c r="BN70" s="59"/>
      <c r="BO70" s="58" t="str">
        <f t="shared" si="29"/>
        <v/>
      </c>
      <c r="BP70" s="59"/>
      <c r="BQ70" s="58" t="str">
        <f t="shared" si="30"/>
        <v/>
      </c>
      <c r="BR70" s="59"/>
      <c r="BS70" s="58" t="str">
        <f t="shared" si="31"/>
        <v/>
      </c>
      <c r="BT70" s="59"/>
      <c r="BU70" s="58" t="str">
        <f t="shared" si="32"/>
        <v/>
      </c>
      <c r="BV70" s="59"/>
    </row>
    <row r="71" spans="1:74" ht="14.5">
      <c r="A71" s="51" t="s">
        <v>446</v>
      </c>
      <c r="B71" s="52" t="s">
        <v>460</v>
      </c>
      <c r="C71" s="52" t="s">
        <v>60</v>
      </c>
      <c r="D71" s="41">
        <f t="shared" ref="D71:D134" si="36">+WEEKNUM(I71)</f>
        <v>2</v>
      </c>
      <c r="E71" s="52" t="s">
        <v>465</v>
      </c>
      <c r="F71" s="52" t="s">
        <v>462</v>
      </c>
      <c r="G71" s="52" t="s">
        <v>154</v>
      </c>
      <c r="H71" s="52" t="s">
        <v>442</v>
      </c>
      <c r="I71" s="53">
        <v>45663</v>
      </c>
      <c r="J71" s="108">
        <v>27000</v>
      </c>
      <c r="K71" s="101"/>
      <c r="L71" s="101"/>
      <c r="M71" s="101">
        <f t="shared" ref="M71:M134" si="37">+J71-L71</f>
        <v>27000</v>
      </c>
      <c r="N71" s="54">
        <f t="shared" ref="N71:N134" si="38">+J71-K71</f>
        <v>27000</v>
      </c>
      <c r="O71" s="101" t="s">
        <v>463</v>
      </c>
      <c r="P71" s="102">
        <f t="shared" ref="P71:P134" si="39">J71/(R71*Q71)</f>
        <v>15.428571428571429</v>
      </c>
      <c r="Q71" s="102">
        <v>5</v>
      </c>
      <c r="R71" s="99">
        <v>350</v>
      </c>
      <c r="S71" s="55">
        <f t="shared" si="35"/>
        <v>45635</v>
      </c>
      <c r="T71" s="55">
        <v>45628</v>
      </c>
      <c r="U71" s="56">
        <f t="shared" ref="U71:U134" ca="1" si="40">+IF(T71="",S71-TODAY(),S71-T71)</f>
        <v>7</v>
      </c>
      <c r="V71" s="55">
        <f t="shared" ref="V71:V134" si="41">+S71+16</f>
        <v>45651</v>
      </c>
      <c r="W71" s="55"/>
      <c r="X71" s="56">
        <f t="shared" ref="X71:X134" ca="1" si="42">+IF(W71="",V71-TODAY(),V71-W71)</f>
        <v>-189</v>
      </c>
      <c r="Y71" s="55"/>
      <c r="Z71" s="57"/>
      <c r="AA71" s="58" t="str">
        <f t="shared" ref="AA71:AA134" si="43">+IF($AA$4=WEEKNUM(S71),J71,"-")</f>
        <v>-</v>
      </c>
      <c r="AB71" s="59"/>
      <c r="AC71" s="58" t="str">
        <f t="shared" ref="AC71:AC134" si="44">+IF($AC$4=WEEKNUM(S71),J71,"")</f>
        <v/>
      </c>
      <c r="AD71" s="59"/>
      <c r="AE71" s="58" t="str">
        <f t="shared" ref="AE71:AE134" si="45">+IF($AE$4=WEEKNUM(S71),J71,"")</f>
        <v/>
      </c>
      <c r="AF71" s="59"/>
      <c r="AG71" s="58" t="str">
        <f t="shared" ref="AG71:AG134" si="46">+IF($AG$4=WEEKNUM(S71),J71,"")</f>
        <v/>
      </c>
      <c r="AH71" s="59"/>
      <c r="AI71" s="58" t="str">
        <f t="shared" ref="AI71:AI134" si="47">+IF($AI$4=WEEKNUM(S71),J71,"")</f>
        <v/>
      </c>
      <c r="AJ71" s="59"/>
      <c r="AK71" s="58" t="str">
        <f t="shared" ref="AK71:AK134" si="48">+IF($AK$4=WEEKNUM(S71),J71,"")</f>
        <v/>
      </c>
      <c r="AL71" s="59"/>
      <c r="AM71" s="58" t="str">
        <f t="shared" ref="AM71:AM134" si="49">+IF($AM$4=WEEKNUM(S71),J71,"")</f>
        <v/>
      </c>
      <c r="AN71" s="59"/>
      <c r="AO71" s="58" t="str">
        <f t="shared" ref="AO71:AO134" si="50">+IF($AO$4=WEEKNUM(S71),J71,"")</f>
        <v/>
      </c>
      <c r="AP71" s="59"/>
      <c r="AQ71" s="58" t="str">
        <f t="shared" ref="AQ71:AQ134" si="51">+IF($AQ$4=WEEKNUM(S71),J71,"")</f>
        <v/>
      </c>
      <c r="AR71" s="59"/>
      <c r="AS71" s="58">
        <f t="shared" ref="AS71:AS134" si="52">+IF($AS$4=WEEKNUM(S71),J71,"")</f>
        <v>27000</v>
      </c>
      <c r="AT71" s="59"/>
      <c r="AU71" s="58" t="str">
        <f t="shared" ref="AU71:AU134" si="53">+IF($AU$4=WEEKNUM(S71),J71,"")</f>
        <v/>
      </c>
      <c r="AV71" s="59"/>
      <c r="AW71" s="58" t="str">
        <f t="shared" ref="AW71:AW134" si="54">+IF($AW$4=WEEKNUM(S71),J71,"")</f>
        <v/>
      </c>
      <c r="AX71" s="59"/>
      <c r="AY71" s="58" t="str">
        <f t="shared" ref="AY71:AY134" si="55">+IF($AY$4=WEEKNUM(S71),J71,"")</f>
        <v/>
      </c>
      <c r="AZ71" s="59"/>
      <c r="BA71" s="58" t="str">
        <f t="shared" ref="BA71:BA134" si="56">+IF($BA$4=WEEKNUM(S71),J71,"")</f>
        <v/>
      </c>
      <c r="BB71" s="59"/>
      <c r="BC71" s="58" t="str">
        <f t="shared" ref="BC71:BC134" si="57">+IF($BC$4=WEEKNUM(S71),J71,"")</f>
        <v/>
      </c>
      <c r="BD71" s="59"/>
      <c r="BE71" s="58" t="str">
        <f t="shared" ref="BE71:BE134" si="58">+IF($BE$4=WEEKNUM(S71),J71,"")</f>
        <v/>
      </c>
      <c r="BF71" s="59"/>
      <c r="BG71" s="58" t="str">
        <f t="shared" ref="BG71:BG134" si="59">+IF($BG$4=WEEKNUM(S71),J71,"")</f>
        <v/>
      </c>
      <c r="BH71" s="59"/>
      <c r="BI71" s="58" t="str">
        <f t="shared" ref="BI71:BI134" si="60">+IF($BI$4=WEEKNUM(S71),J71,"")</f>
        <v/>
      </c>
      <c r="BJ71" s="59"/>
      <c r="BK71" s="58" t="str">
        <f t="shared" ref="BK71:BK134" si="61">+IF($BK$4=WEEKNUM(S71),J71,"")</f>
        <v/>
      </c>
      <c r="BL71" s="59"/>
      <c r="BM71" s="58" t="str">
        <f t="shared" ref="BM71:BM134" si="62">+IF($BM$4=WEEKNUM(S71),J71,"")</f>
        <v/>
      </c>
      <c r="BN71" s="59"/>
      <c r="BO71" s="58" t="str">
        <f t="shared" ref="BO71:BO134" si="63">+IF($BO$4=WEEKNUM(S71),J71,"")</f>
        <v/>
      </c>
      <c r="BP71" s="59"/>
      <c r="BQ71" s="58" t="str">
        <f t="shared" ref="BQ71:BQ134" si="64">+IF($BQ$4=WEEKNUM(S71),J71,"")</f>
        <v/>
      </c>
      <c r="BR71" s="59"/>
      <c r="BS71" s="58" t="str">
        <f t="shared" ref="BS71:BS134" si="65">+IF($BS$4=WEEKNUM(S71),J71,"")</f>
        <v/>
      </c>
      <c r="BT71" s="59"/>
      <c r="BU71" s="58" t="str">
        <f t="shared" ref="BU71:BU134" si="66">+IF($BU$4=WEEKNUM(S71),J71,"")</f>
        <v/>
      </c>
      <c r="BV71" s="59"/>
    </row>
    <row r="72" spans="1:74" ht="14.5">
      <c r="A72" s="51" t="s">
        <v>446</v>
      </c>
      <c r="B72" s="52" t="s">
        <v>460</v>
      </c>
      <c r="C72" s="52" t="s">
        <v>60</v>
      </c>
      <c r="D72" s="41">
        <f t="shared" si="36"/>
        <v>2</v>
      </c>
      <c r="E72" s="52" t="s">
        <v>465</v>
      </c>
      <c r="F72" s="52" t="s">
        <v>462</v>
      </c>
      <c r="G72" s="52" t="s">
        <v>155</v>
      </c>
      <c r="H72" s="52" t="s">
        <v>442</v>
      </c>
      <c r="I72" s="53">
        <v>45663</v>
      </c>
      <c r="J72" s="108">
        <v>27000</v>
      </c>
      <c r="K72" s="101"/>
      <c r="L72" s="101"/>
      <c r="M72" s="101">
        <f t="shared" si="37"/>
        <v>27000</v>
      </c>
      <c r="N72" s="54">
        <f t="shared" si="38"/>
        <v>27000</v>
      </c>
      <c r="O72" s="101" t="s">
        <v>463</v>
      </c>
      <c r="P72" s="102">
        <f t="shared" si="39"/>
        <v>15.428571428571429</v>
      </c>
      <c r="Q72" s="102">
        <v>5</v>
      </c>
      <c r="R72" s="99">
        <v>350</v>
      </c>
      <c r="S72" s="55">
        <f t="shared" si="35"/>
        <v>45635</v>
      </c>
      <c r="T72" s="55">
        <v>45628</v>
      </c>
      <c r="U72" s="56">
        <f t="shared" ca="1" si="40"/>
        <v>7</v>
      </c>
      <c r="V72" s="55">
        <f t="shared" si="41"/>
        <v>45651</v>
      </c>
      <c r="W72" s="55"/>
      <c r="X72" s="56">
        <f t="shared" ca="1" si="42"/>
        <v>-189</v>
      </c>
      <c r="Y72" s="55"/>
      <c r="Z72" s="57"/>
      <c r="AA72" s="58" t="str">
        <f t="shared" si="43"/>
        <v>-</v>
      </c>
      <c r="AB72" s="59"/>
      <c r="AC72" s="58" t="str">
        <f t="shared" si="44"/>
        <v/>
      </c>
      <c r="AD72" s="59"/>
      <c r="AE72" s="58" t="str">
        <f t="shared" si="45"/>
        <v/>
      </c>
      <c r="AF72" s="59"/>
      <c r="AG72" s="58" t="str">
        <f t="shared" si="46"/>
        <v/>
      </c>
      <c r="AH72" s="59"/>
      <c r="AI72" s="58" t="str">
        <f t="shared" si="47"/>
        <v/>
      </c>
      <c r="AJ72" s="59"/>
      <c r="AK72" s="58" t="str">
        <f t="shared" si="48"/>
        <v/>
      </c>
      <c r="AL72" s="59"/>
      <c r="AM72" s="58" t="str">
        <f t="shared" si="49"/>
        <v/>
      </c>
      <c r="AN72" s="59"/>
      <c r="AO72" s="58" t="str">
        <f t="shared" si="50"/>
        <v/>
      </c>
      <c r="AP72" s="59"/>
      <c r="AQ72" s="58" t="str">
        <f t="shared" si="51"/>
        <v/>
      </c>
      <c r="AR72" s="59"/>
      <c r="AS72" s="58">
        <f t="shared" si="52"/>
        <v>27000</v>
      </c>
      <c r="AT72" s="59"/>
      <c r="AU72" s="58" t="str">
        <f t="shared" si="53"/>
        <v/>
      </c>
      <c r="AV72" s="59"/>
      <c r="AW72" s="58" t="str">
        <f t="shared" si="54"/>
        <v/>
      </c>
      <c r="AX72" s="59"/>
      <c r="AY72" s="58" t="str">
        <f t="shared" si="55"/>
        <v/>
      </c>
      <c r="AZ72" s="59"/>
      <c r="BA72" s="58" t="str">
        <f t="shared" si="56"/>
        <v/>
      </c>
      <c r="BB72" s="59"/>
      <c r="BC72" s="58" t="str">
        <f t="shared" si="57"/>
        <v/>
      </c>
      <c r="BD72" s="59"/>
      <c r="BE72" s="58" t="str">
        <f t="shared" si="58"/>
        <v/>
      </c>
      <c r="BF72" s="59"/>
      <c r="BG72" s="58" t="str">
        <f t="shared" si="59"/>
        <v/>
      </c>
      <c r="BH72" s="59"/>
      <c r="BI72" s="58" t="str">
        <f t="shared" si="60"/>
        <v/>
      </c>
      <c r="BJ72" s="59"/>
      <c r="BK72" s="58" t="str">
        <f t="shared" si="61"/>
        <v/>
      </c>
      <c r="BL72" s="59"/>
      <c r="BM72" s="58" t="str">
        <f t="shared" si="62"/>
        <v/>
      </c>
      <c r="BN72" s="59"/>
      <c r="BO72" s="58" t="str">
        <f t="shared" si="63"/>
        <v/>
      </c>
      <c r="BP72" s="59"/>
      <c r="BQ72" s="58" t="str">
        <f t="shared" si="64"/>
        <v/>
      </c>
      <c r="BR72" s="59"/>
      <c r="BS72" s="58" t="str">
        <f t="shared" si="65"/>
        <v/>
      </c>
      <c r="BT72" s="59"/>
      <c r="BU72" s="58" t="str">
        <f t="shared" si="66"/>
        <v/>
      </c>
      <c r="BV72" s="59"/>
    </row>
    <row r="73" spans="1:74" ht="14.5">
      <c r="A73" s="51" t="s">
        <v>466</v>
      </c>
      <c r="B73" s="52">
        <v>254</v>
      </c>
      <c r="C73" s="52" t="s">
        <v>89</v>
      </c>
      <c r="D73" s="41">
        <f t="shared" si="36"/>
        <v>2</v>
      </c>
      <c r="E73" s="52" t="s">
        <v>467</v>
      </c>
      <c r="F73" s="52" t="s">
        <v>468</v>
      </c>
      <c r="G73" s="52" t="s">
        <v>341</v>
      </c>
      <c r="H73" s="52" t="s">
        <v>469</v>
      </c>
      <c r="I73" s="53">
        <v>45663</v>
      </c>
      <c r="J73" s="108">
        <v>1620</v>
      </c>
      <c r="K73" s="101"/>
      <c r="L73" s="101"/>
      <c r="M73" s="101">
        <f t="shared" si="37"/>
        <v>1620</v>
      </c>
      <c r="N73" s="54">
        <f t="shared" si="38"/>
        <v>1620</v>
      </c>
      <c r="O73" s="101" t="s">
        <v>178</v>
      </c>
      <c r="P73" s="102">
        <f t="shared" si="39"/>
        <v>0.77142857142857146</v>
      </c>
      <c r="Q73" s="102">
        <v>6</v>
      </c>
      <c r="R73" s="99">
        <v>350</v>
      </c>
      <c r="S73" s="55">
        <f t="shared" ref="S73:S104" si="67">+I73-(32)</f>
        <v>45631</v>
      </c>
      <c r="T73" s="55">
        <v>45626</v>
      </c>
      <c r="U73" s="56">
        <f t="shared" ca="1" si="40"/>
        <v>5</v>
      </c>
      <c r="V73" s="55">
        <f t="shared" si="41"/>
        <v>45647</v>
      </c>
      <c r="W73" s="55"/>
      <c r="X73" s="56">
        <f t="shared" ca="1" si="42"/>
        <v>-193</v>
      </c>
      <c r="Y73" s="55"/>
      <c r="Z73" s="57"/>
      <c r="AA73" s="58" t="str">
        <f t="shared" si="43"/>
        <v>-</v>
      </c>
      <c r="AB73" s="59"/>
      <c r="AC73" s="58" t="str">
        <f t="shared" si="44"/>
        <v/>
      </c>
      <c r="AD73" s="59"/>
      <c r="AE73" s="58" t="str">
        <f t="shared" si="45"/>
        <v/>
      </c>
      <c r="AF73" s="59"/>
      <c r="AG73" s="58" t="str">
        <f t="shared" si="46"/>
        <v/>
      </c>
      <c r="AH73" s="59"/>
      <c r="AI73" s="58" t="str">
        <f t="shared" si="47"/>
        <v/>
      </c>
      <c r="AJ73" s="59"/>
      <c r="AK73" s="58" t="str">
        <f t="shared" si="48"/>
        <v/>
      </c>
      <c r="AL73" s="59"/>
      <c r="AM73" s="58" t="str">
        <f t="shared" si="49"/>
        <v/>
      </c>
      <c r="AN73" s="59"/>
      <c r="AO73" s="58" t="str">
        <f t="shared" si="50"/>
        <v/>
      </c>
      <c r="AP73" s="59"/>
      <c r="AQ73" s="58">
        <f t="shared" si="51"/>
        <v>1620</v>
      </c>
      <c r="AR73" s="59"/>
      <c r="AS73" s="58" t="str">
        <f t="shared" si="52"/>
        <v/>
      </c>
      <c r="AT73" s="59"/>
      <c r="AU73" s="58" t="str">
        <f t="shared" si="53"/>
        <v/>
      </c>
      <c r="AV73" s="59"/>
      <c r="AW73" s="58" t="str">
        <f t="shared" si="54"/>
        <v/>
      </c>
      <c r="AX73" s="59"/>
      <c r="AY73" s="58" t="str">
        <f t="shared" si="55"/>
        <v/>
      </c>
      <c r="AZ73" s="59"/>
      <c r="BA73" s="58" t="str">
        <f t="shared" si="56"/>
        <v/>
      </c>
      <c r="BB73" s="59"/>
      <c r="BC73" s="58" t="str">
        <f t="shared" si="57"/>
        <v/>
      </c>
      <c r="BD73" s="59"/>
      <c r="BE73" s="58" t="str">
        <f t="shared" si="58"/>
        <v/>
      </c>
      <c r="BF73" s="59"/>
      <c r="BG73" s="58" t="str">
        <f t="shared" si="59"/>
        <v/>
      </c>
      <c r="BH73" s="59"/>
      <c r="BI73" s="58" t="str">
        <f t="shared" si="60"/>
        <v/>
      </c>
      <c r="BJ73" s="59"/>
      <c r="BK73" s="58" t="str">
        <f t="shared" si="61"/>
        <v/>
      </c>
      <c r="BL73" s="59"/>
      <c r="BM73" s="58" t="str">
        <f t="shared" si="62"/>
        <v/>
      </c>
      <c r="BN73" s="59"/>
      <c r="BO73" s="58" t="str">
        <f t="shared" si="63"/>
        <v/>
      </c>
      <c r="BP73" s="59"/>
      <c r="BQ73" s="58" t="str">
        <f t="shared" si="64"/>
        <v/>
      </c>
      <c r="BR73" s="59"/>
      <c r="BS73" s="58" t="str">
        <f t="shared" si="65"/>
        <v/>
      </c>
      <c r="BT73" s="59"/>
      <c r="BU73" s="58" t="str">
        <f t="shared" si="66"/>
        <v/>
      </c>
      <c r="BV73" s="59"/>
    </row>
    <row r="74" spans="1:74" ht="14.5">
      <c r="A74" s="51" t="s">
        <v>466</v>
      </c>
      <c r="B74" s="52">
        <v>254</v>
      </c>
      <c r="C74" s="52" t="s">
        <v>89</v>
      </c>
      <c r="D74" s="41">
        <f t="shared" si="36"/>
        <v>2</v>
      </c>
      <c r="E74" s="52" t="s">
        <v>470</v>
      </c>
      <c r="F74" s="52" t="s">
        <v>242</v>
      </c>
      <c r="G74" s="52" t="s">
        <v>314</v>
      </c>
      <c r="H74" s="52" t="s">
        <v>430</v>
      </c>
      <c r="I74" s="53">
        <v>45663</v>
      </c>
      <c r="J74" s="108">
        <v>912</v>
      </c>
      <c r="K74" s="101"/>
      <c r="L74" s="101"/>
      <c r="M74" s="101">
        <f t="shared" si="37"/>
        <v>912</v>
      </c>
      <c r="N74" s="54">
        <f t="shared" si="38"/>
        <v>912</v>
      </c>
      <c r="O74" s="101" t="s">
        <v>178</v>
      </c>
      <c r="P74" s="102">
        <f t="shared" si="39"/>
        <v>0.43428571428571427</v>
      </c>
      <c r="Q74" s="102">
        <v>6</v>
      </c>
      <c r="R74" s="99">
        <v>350</v>
      </c>
      <c r="S74" s="55">
        <f t="shared" si="67"/>
        <v>45631</v>
      </c>
      <c r="T74" s="55">
        <v>45626</v>
      </c>
      <c r="U74" s="56">
        <f t="shared" ca="1" si="40"/>
        <v>5</v>
      </c>
      <c r="V74" s="55">
        <f t="shared" si="41"/>
        <v>45647</v>
      </c>
      <c r="W74" s="55"/>
      <c r="X74" s="56">
        <f t="shared" ca="1" si="42"/>
        <v>-193</v>
      </c>
      <c r="Y74" s="55"/>
      <c r="Z74" s="57"/>
      <c r="AA74" s="58" t="str">
        <f t="shared" si="43"/>
        <v>-</v>
      </c>
      <c r="AB74" s="59"/>
      <c r="AC74" s="58" t="str">
        <f t="shared" si="44"/>
        <v/>
      </c>
      <c r="AD74" s="59"/>
      <c r="AE74" s="58" t="str">
        <f t="shared" si="45"/>
        <v/>
      </c>
      <c r="AF74" s="59"/>
      <c r="AG74" s="58" t="str">
        <f t="shared" si="46"/>
        <v/>
      </c>
      <c r="AH74" s="59"/>
      <c r="AI74" s="58" t="str">
        <f t="shared" si="47"/>
        <v/>
      </c>
      <c r="AJ74" s="59"/>
      <c r="AK74" s="58" t="str">
        <f t="shared" si="48"/>
        <v/>
      </c>
      <c r="AL74" s="59"/>
      <c r="AM74" s="58" t="str">
        <f t="shared" si="49"/>
        <v/>
      </c>
      <c r="AN74" s="59"/>
      <c r="AO74" s="58" t="str">
        <f t="shared" si="50"/>
        <v/>
      </c>
      <c r="AP74" s="59"/>
      <c r="AQ74" s="58">
        <f t="shared" si="51"/>
        <v>912</v>
      </c>
      <c r="AR74" s="59"/>
      <c r="AS74" s="58" t="str">
        <f t="shared" si="52"/>
        <v/>
      </c>
      <c r="AT74" s="59"/>
      <c r="AU74" s="58" t="str">
        <f t="shared" si="53"/>
        <v/>
      </c>
      <c r="AV74" s="59"/>
      <c r="AW74" s="58" t="str">
        <f t="shared" si="54"/>
        <v/>
      </c>
      <c r="AX74" s="59"/>
      <c r="AY74" s="58" t="str">
        <f t="shared" si="55"/>
        <v/>
      </c>
      <c r="AZ74" s="59"/>
      <c r="BA74" s="58" t="str">
        <f t="shared" si="56"/>
        <v/>
      </c>
      <c r="BB74" s="59"/>
      <c r="BC74" s="58" t="str">
        <f t="shared" si="57"/>
        <v/>
      </c>
      <c r="BD74" s="59"/>
      <c r="BE74" s="58" t="str">
        <f t="shared" si="58"/>
        <v/>
      </c>
      <c r="BF74" s="59"/>
      <c r="BG74" s="58" t="str">
        <f t="shared" si="59"/>
        <v/>
      </c>
      <c r="BH74" s="59"/>
      <c r="BI74" s="58" t="str">
        <f t="shared" si="60"/>
        <v/>
      </c>
      <c r="BJ74" s="59"/>
      <c r="BK74" s="58" t="str">
        <f t="shared" si="61"/>
        <v/>
      </c>
      <c r="BL74" s="59"/>
      <c r="BM74" s="58" t="str">
        <f t="shared" si="62"/>
        <v/>
      </c>
      <c r="BN74" s="59"/>
      <c r="BO74" s="58" t="str">
        <f t="shared" si="63"/>
        <v/>
      </c>
      <c r="BP74" s="59"/>
      <c r="BQ74" s="58" t="str">
        <f t="shared" si="64"/>
        <v/>
      </c>
      <c r="BR74" s="59"/>
      <c r="BS74" s="58" t="str">
        <f t="shared" si="65"/>
        <v/>
      </c>
      <c r="BT74" s="59"/>
      <c r="BU74" s="58" t="str">
        <f t="shared" si="66"/>
        <v/>
      </c>
      <c r="BV74" s="59"/>
    </row>
    <row r="75" spans="1:74" ht="14.5">
      <c r="A75" s="51" t="s">
        <v>466</v>
      </c>
      <c r="B75" s="52">
        <v>254</v>
      </c>
      <c r="C75" s="52" t="s">
        <v>89</v>
      </c>
      <c r="D75" s="41">
        <f t="shared" si="36"/>
        <v>2</v>
      </c>
      <c r="E75" s="52" t="s">
        <v>470</v>
      </c>
      <c r="F75" s="52" t="s">
        <v>242</v>
      </c>
      <c r="G75" s="52" t="s">
        <v>316</v>
      </c>
      <c r="H75" s="52" t="s">
        <v>430</v>
      </c>
      <c r="I75" s="53">
        <v>45663</v>
      </c>
      <c r="J75" s="108">
        <v>912</v>
      </c>
      <c r="K75" s="101"/>
      <c r="L75" s="101"/>
      <c r="M75" s="101">
        <f t="shared" si="37"/>
        <v>912</v>
      </c>
      <c r="N75" s="54">
        <f t="shared" si="38"/>
        <v>912</v>
      </c>
      <c r="O75" s="101" t="s">
        <v>178</v>
      </c>
      <c r="P75" s="102">
        <f t="shared" si="39"/>
        <v>0.43428571428571427</v>
      </c>
      <c r="Q75" s="102">
        <v>6</v>
      </c>
      <c r="R75" s="99">
        <v>350</v>
      </c>
      <c r="S75" s="55">
        <f t="shared" si="67"/>
        <v>45631</v>
      </c>
      <c r="T75" s="55">
        <v>45626</v>
      </c>
      <c r="U75" s="56">
        <f t="shared" ca="1" si="40"/>
        <v>5</v>
      </c>
      <c r="V75" s="55">
        <f t="shared" si="41"/>
        <v>45647</v>
      </c>
      <c r="W75" s="55"/>
      <c r="X75" s="56">
        <f t="shared" ca="1" si="42"/>
        <v>-193</v>
      </c>
      <c r="Y75" s="55"/>
      <c r="Z75" s="57"/>
      <c r="AA75" s="58" t="str">
        <f t="shared" si="43"/>
        <v>-</v>
      </c>
      <c r="AB75" s="59"/>
      <c r="AC75" s="58" t="str">
        <f t="shared" si="44"/>
        <v/>
      </c>
      <c r="AD75" s="59"/>
      <c r="AE75" s="58" t="str">
        <f t="shared" si="45"/>
        <v/>
      </c>
      <c r="AF75" s="59"/>
      <c r="AG75" s="58" t="str">
        <f t="shared" si="46"/>
        <v/>
      </c>
      <c r="AH75" s="59"/>
      <c r="AI75" s="58" t="str">
        <f t="shared" si="47"/>
        <v/>
      </c>
      <c r="AJ75" s="59"/>
      <c r="AK75" s="58" t="str">
        <f t="shared" si="48"/>
        <v/>
      </c>
      <c r="AL75" s="59"/>
      <c r="AM75" s="58" t="str">
        <f t="shared" si="49"/>
        <v/>
      </c>
      <c r="AN75" s="59"/>
      <c r="AO75" s="58" t="str">
        <f t="shared" si="50"/>
        <v/>
      </c>
      <c r="AP75" s="59"/>
      <c r="AQ75" s="58">
        <f t="shared" si="51"/>
        <v>912</v>
      </c>
      <c r="AR75" s="59"/>
      <c r="AS75" s="58" t="str">
        <f t="shared" si="52"/>
        <v/>
      </c>
      <c r="AT75" s="59"/>
      <c r="AU75" s="58" t="str">
        <f t="shared" si="53"/>
        <v/>
      </c>
      <c r="AV75" s="59"/>
      <c r="AW75" s="58" t="str">
        <f t="shared" si="54"/>
        <v/>
      </c>
      <c r="AX75" s="59"/>
      <c r="AY75" s="58" t="str">
        <f t="shared" si="55"/>
        <v/>
      </c>
      <c r="AZ75" s="59"/>
      <c r="BA75" s="58" t="str">
        <f t="shared" si="56"/>
        <v/>
      </c>
      <c r="BB75" s="59"/>
      <c r="BC75" s="58" t="str">
        <f t="shared" si="57"/>
        <v/>
      </c>
      <c r="BD75" s="59"/>
      <c r="BE75" s="58" t="str">
        <f t="shared" si="58"/>
        <v/>
      </c>
      <c r="BF75" s="59"/>
      <c r="BG75" s="58" t="str">
        <f t="shared" si="59"/>
        <v/>
      </c>
      <c r="BH75" s="59"/>
      <c r="BI75" s="58" t="str">
        <f t="shared" si="60"/>
        <v/>
      </c>
      <c r="BJ75" s="59"/>
      <c r="BK75" s="58" t="str">
        <f t="shared" si="61"/>
        <v/>
      </c>
      <c r="BL75" s="59"/>
      <c r="BM75" s="58" t="str">
        <f t="shared" si="62"/>
        <v/>
      </c>
      <c r="BN75" s="59"/>
      <c r="BO75" s="58" t="str">
        <f t="shared" si="63"/>
        <v/>
      </c>
      <c r="BP75" s="59"/>
      <c r="BQ75" s="58" t="str">
        <f t="shared" si="64"/>
        <v/>
      </c>
      <c r="BR75" s="59"/>
      <c r="BS75" s="58" t="str">
        <f t="shared" si="65"/>
        <v/>
      </c>
      <c r="BT75" s="59"/>
      <c r="BU75" s="58" t="str">
        <f t="shared" si="66"/>
        <v/>
      </c>
      <c r="BV75" s="59"/>
    </row>
    <row r="76" spans="1:74" ht="14.5">
      <c r="A76" s="51" t="s">
        <v>466</v>
      </c>
      <c r="B76" s="52">
        <v>254</v>
      </c>
      <c r="C76" s="52" t="s">
        <v>89</v>
      </c>
      <c r="D76" s="41">
        <f t="shared" si="36"/>
        <v>2</v>
      </c>
      <c r="E76" s="52" t="s">
        <v>470</v>
      </c>
      <c r="F76" s="52" t="s">
        <v>242</v>
      </c>
      <c r="G76" s="52" t="s">
        <v>314</v>
      </c>
      <c r="H76" s="52" t="s">
        <v>471</v>
      </c>
      <c r="I76" s="53">
        <v>45663</v>
      </c>
      <c r="J76" s="108">
        <v>912</v>
      </c>
      <c r="K76" s="101"/>
      <c r="L76" s="101"/>
      <c r="M76" s="101">
        <f t="shared" si="37"/>
        <v>912</v>
      </c>
      <c r="N76" s="54">
        <f t="shared" si="38"/>
        <v>912</v>
      </c>
      <c r="O76" s="101" t="s">
        <v>178</v>
      </c>
      <c r="P76" s="102">
        <f t="shared" si="39"/>
        <v>0.43428571428571427</v>
      </c>
      <c r="Q76" s="102">
        <v>6</v>
      </c>
      <c r="R76" s="99">
        <v>350</v>
      </c>
      <c r="S76" s="55">
        <f t="shared" si="67"/>
        <v>45631</v>
      </c>
      <c r="T76" s="55">
        <v>45626</v>
      </c>
      <c r="U76" s="56">
        <f t="shared" ca="1" si="40"/>
        <v>5</v>
      </c>
      <c r="V76" s="55">
        <f t="shared" si="41"/>
        <v>45647</v>
      </c>
      <c r="W76" s="55"/>
      <c r="X76" s="56">
        <f t="shared" ca="1" si="42"/>
        <v>-193</v>
      </c>
      <c r="Y76" s="55"/>
      <c r="Z76" s="57"/>
      <c r="AA76" s="58" t="str">
        <f t="shared" si="43"/>
        <v>-</v>
      </c>
      <c r="AB76" s="59"/>
      <c r="AC76" s="58" t="str">
        <f t="shared" si="44"/>
        <v/>
      </c>
      <c r="AD76" s="59"/>
      <c r="AE76" s="58" t="str">
        <f t="shared" si="45"/>
        <v/>
      </c>
      <c r="AF76" s="59"/>
      <c r="AG76" s="58" t="str">
        <f t="shared" si="46"/>
        <v/>
      </c>
      <c r="AH76" s="59"/>
      <c r="AI76" s="58" t="str">
        <f t="shared" si="47"/>
        <v/>
      </c>
      <c r="AJ76" s="59"/>
      <c r="AK76" s="58" t="str">
        <f t="shared" si="48"/>
        <v/>
      </c>
      <c r="AL76" s="59"/>
      <c r="AM76" s="58" t="str">
        <f t="shared" si="49"/>
        <v/>
      </c>
      <c r="AN76" s="59"/>
      <c r="AO76" s="58" t="str">
        <f t="shared" si="50"/>
        <v/>
      </c>
      <c r="AP76" s="59"/>
      <c r="AQ76" s="58">
        <f t="shared" si="51"/>
        <v>912</v>
      </c>
      <c r="AR76" s="59"/>
      <c r="AS76" s="58" t="str">
        <f t="shared" si="52"/>
        <v/>
      </c>
      <c r="AT76" s="59"/>
      <c r="AU76" s="58" t="str">
        <f t="shared" si="53"/>
        <v/>
      </c>
      <c r="AV76" s="59"/>
      <c r="AW76" s="58" t="str">
        <f t="shared" si="54"/>
        <v/>
      </c>
      <c r="AX76" s="59"/>
      <c r="AY76" s="58" t="str">
        <f t="shared" si="55"/>
        <v/>
      </c>
      <c r="AZ76" s="59"/>
      <c r="BA76" s="58" t="str">
        <f t="shared" si="56"/>
        <v/>
      </c>
      <c r="BB76" s="59"/>
      <c r="BC76" s="58" t="str">
        <f t="shared" si="57"/>
        <v/>
      </c>
      <c r="BD76" s="59"/>
      <c r="BE76" s="58" t="str">
        <f t="shared" si="58"/>
        <v/>
      </c>
      <c r="BF76" s="59"/>
      <c r="BG76" s="58" t="str">
        <f t="shared" si="59"/>
        <v/>
      </c>
      <c r="BH76" s="59"/>
      <c r="BI76" s="58" t="str">
        <f t="shared" si="60"/>
        <v/>
      </c>
      <c r="BJ76" s="59"/>
      <c r="BK76" s="58" t="str">
        <f t="shared" si="61"/>
        <v/>
      </c>
      <c r="BL76" s="59"/>
      <c r="BM76" s="58" t="str">
        <f t="shared" si="62"/>
        <v/>
      </c>
      <c r="BN76" s="59"/>
      <c r="BO76" s="58" t="str">
        <f t="shared" si="63"/>
        <v/>
      </c>
      <c r="BP76" s="59"/>
      <c r="BQ76" s="58" t="str">
        <f t="shared" si="64"/>
        <v/>
      </c>
      <c r="BR76" s="59"/>
      <c r="BS76" s="58" t="str">
        <f t="shared" si="65"/>
        <v/>
      </c>
      <c r="BT76" s="59"/>
      <c r="BU76" s="58" t="str">
        <f t="shared" si="66"/>
        <v/>
      </c>
      <c r="BV76" s="59"/>
    </row>
    <row r="77" spans="1:74" ht="14.5">
      <c r="A77" s="51" t="s">
        <v>466</v>
      </c>
      <c r="B77" s="52">
        <v>254</v>
      </c>
      <c r="C77" s="52" t="s">
        <v>89</v>
      </c>
      <c r="D77" s="41">
        <f t="shared" si="36"/>
        <v>2</v>
      </c>
      <c r="E77" s="52" t="s">
        <v>470</v>
      </c>
      <c r="F77" s="52" t="s">
        <v>242</v>
      </c>
      <c r="G77" s="52" t="s">
        <v>316</v>
      </c>
      <c r="H77" s="52" t="s">
        <v>471</v>
      </c>
      <c r="I77" s="53">
        <v>45663</v>
      </c>
      <c r="J77" s="108">
        <v>912</v>
      </c>
      <c r="K77" s="101"/>
      <c r="L77" s="101"/>
      <c r="M77" s="101">
        <f t="shared" si="37"/>
        <v>912</v>
      </c>
      <c r="N77" s="54">
        <f t="shared" si="38"/>
        <v>912</v>
      </c>
      <c r="O77" s="101" t="s">
        <v>178</v>
      </c>
      <c r="P77" s="102">
        <f t="shared" si="39"/>
        <v>0.43428571428571427</v>
      </c>
      <c r="Q77" s="102">
        <v>6</v>
      </c>
      <c r="R77" s="99">
        <v>350</v>
      </c>
      <c r="S77" s="55">
        <f t="shared" si="67"/>
        <v>45631</v>
      </c>
      <c r="T77" s="55">
        <v>45626</v>
      </c>
      <c r="U77" s="56">
        <f t="shared" ca="1" si="40"/>
        <v>5</v>
      </c>
      <c r="V77" s="55">
        <f t="shared" si="41"/>
        <v>45647</v>
      </c>
      <c r="W77" s="55"/>
      <c r="X77" s="56">
        <f t="shared" ca="1" si="42"/>
        <v>-193</v>
      </c>
      <c r="Y77" s="55"/>
      <c r="Z77" s="57"/>
      <c r="AA77" s="58" t="str">
        <f t="shared" si="43"/>
        <v>-</v>
      </c>
      <c r="AB77" s="59"/>
      <c r="AC77" s="58" t="str">
        <f t="shared" si="44"/>
        <v/>
      </c>
      <c r="AD77" s="59"/>
      <c r="AE77" s="58" t="str">
        <f t="shared" si="45"/>
        <v/>
      </c>
      <c r="AF77" s="59"/>
      <c r="AG77" s="58" t="str">
        <f t="shared" si="46"/>
        <v/>
      </c>
      <c r="AH77" s="59"/>
      <c r="AI77" s="58" t="str">
        <f t="shared" si="47"/>
        <v/>
      </c>
      <c r="AJ77" s="59"/>
      <c r="AK77" s="58" t="str">
        <f t="shared" si="48"/>
        <v/>
      </c>
      <c r="AL77" s="59"/>
      <c r="AM77" s="58" t="str">
        <f t="shared" si="49"/>
        <v/>
      </c>
      <c r="AN77" s="59"/>
      <c r="AO77" s="58" t="str">
        <f t="shared" si="50"/>
        <v/>
      </c>
      <c r="AP77" s="59"/>
      <c r="AQ77" s="58">
        <f t="shared" si="51"/>
        <v>912</v>
      </c>
      <c r="AR77" s="59"/>
      <c r="AS77" s="58" t="str">
        <f t="shared" si="52"/>
        <v/>
      </c>
      <c r="AT77" s="59"/>
      <c r="AU77" s="58" t="str">
        <f t="shared" si="53"/>
        <v/>
      </c>
      <c r="AV77" s="59"/>
      <c r="AW77" s="58" t="str">
        <f t="shared" si="54"/>
        <v/>
      </c>
      <c r="AX77" s="59"/>
      <c r="AY77" s="58" t="str">
        <f t="shared" si="55"/>
        <v/>
      </c>
      <c r="AZ77" s="59"/>
      <c r="BA77" s="58" t="str">
        <f t="shared" si="56"/>
        <v/>
      </c>
      <c r="BB77" s="59"/>
      <c r="BC77" s="58" t="str">
        <f t="shared" si="57"/>
        <v/>
      </c>
      <c r="BD77" s="59"/>
      <c r="BE77" s="58" t="str">
        <f t="shared" si="58"/>
        <v/>
      </c>
      <c r="BF77" s="59"/>
      <c r="BG77" s="58" t="str">
        <f t="shared" si="59"/>
        <v/>
      </c>
      <c r="BH77" s="59"/>
      <c r="BI77" s="58" t="str">
        <f t="shared" si="60"/>
        <v/>
      </c>
      <c r="BJ77" s="59"/>
      <c r="BK77" s="58" t="str">
        <f t="shared" si="61"/>
        <v/>
      </c>
      <c r="BL77" s="59"/>
      <c r="BM77" s="58" t="str">
        <f t="shared" si="62"/>
        <v/>
      </c>
      <c r="BN77" s="59"/>
      <c r="BO77" s="58" t="str">
        <f t="shared" si="63"/>
        <v/>
      </c>
      <c r="BP77" s="59"/>
      <c r="BQ77" s="58" t="str">
        <f t="shared" si="64"/>
        <v/>
      </c>
      <c r="BR77" s="59"/>
      <c r="BS77" s="58" t="str">
        <f t="shared" si="65"/>
        <v/>
      </c>
      <c r="BT77" s="59"/>
      <c r="BU77" s="58" t="str">
        <f t="shared" si="66"/>
        <v/>
      </c>
      <c r="BV77" s="59"/>
    </row>
    <row r="78" spans="1:74" ht="14.5">
      <c r="A78" s="51" t="s">
        <v>466</v>
      </c>
      <c r="B78" s="52">
        <v>254</v>
      </c>
      <c r="C78" s="52" t="s">
        <v>89</v>
      </c>
      <c r="D78" s="41">
        <f t="shared" si="36"/>
        <v>2</v>
      </c>
      <c r="E78" s="52" t="s">
        <v>470</v>
      </c>
      <c r="F78" s="52" t="s">
        <v>472</v>
      </c>
      <c r="G78" s="52" t="s">
        <v>314</v>
      </c>
      <c r="H78" s="52" t="s">
        <v>473</v>
      </c>
      <c r="I78" s="53">
        <v>45663</v>
      </c>
      <c r="J78" s="108">
        <v>306</v>
      </c>
      <c r="K78" s="101"/>
      <c r="L78" s="101"/>
      <c r="M78" s="101">
        <f t="shared" si="37"/>
        <v>306</v>
      </c>
      <c r="N78" s="54">
        <f t="shared" si="38"/>
        <v>306</v>
      </c>
      <c r="O78" s="101" t="s">
        <v>178</v>
      </c>
      <c r="P78" s="102">
        <f t="shared" si="39"/>
        <v>0.63749999999999996</v>
      </c>
      <c r="Q78" s="102">
        <v>6</v>
      </c>
      <c r="R78" s="99">
        <v>80</v>
      </c>
      <c r="S78" s="55">
        <f t="shared" si="67"/>
        <v>45631</v>
      </c>
      <c r="T78" s="55">
        <v>45626</v>
      </c>
      <c r="U78" s="56">
        <f t="shared" ca="1" si="40"/>
        <v>5</v>
      </c>
      <c r="V78" s="55">
        <f t="shared" si="41"/>
        <v>45647</v>
      </c>
      <c r="W78" s="55"/>
      <c r="X78" s="56">
        <f t="shared" ca="1" si="42"/>
        <v>-193</v>
      </c>
      <c r="Y78" s="55"/>
      <c r="Z78" s="57"/>
      <c r="AA78" s="58" t="str">
        <f t="shared" si="43"/>
        <v>-</v>
      </c>
      <c r="AB78" s="59"/>
      <c r="AC78" s="58" t="str">
        <f t="shared" si="44"/>
        <v/>
      </c>
      <c r="AD78" s="59"/>
      <c r="AE78" s="58" t="str">
        <f t="shared" si="45"/>
        <v/>
      </c>
      <c r="AF78" s="59"/>
      <c r="AG78" s="58" t="str">
        <f t="shared" si="46"/>
        <v/>
      </c>
      <c r="AH78" s="59"/>
      <c r="AI78" s="58" t="str">
        <f t="shared" si="47"/>
        <v/>
      </c>
      <c r="AJ78" s="59"/>
      <c r="AK78" s="58" t="str">
        <f t="shared" si="48"/>
        <v/>
      </c>
      <c r="AL78" s="59"/>
      <c r="AM78" s="58" t="str">
        <f t="shared" si="49"/>
        <v/>
      </c>
      <c r="AN78" s="59"/>
      <c r="AO78" s="58" t="str">
        <f t="shared" si="50"/>
        <v/>
      </c>
      <c r="AP78" s="59"/>
      <c r="AQ78" s="58">
        <f t="shared" si="51"/>
        <v>306</v>
      </c>
      <c r="AR78" s="59"/>
      <c r="AS78" s="58" t="str">
        <f t="shared" si="52"/>
        <v/>
      </c>
      <c r="AT78" s="59"/>
      <c r="AU78" s="58" t="str">
        <f t="shared" si="53"/>
        <v/>
      </c>
      <c r="AV78" s="59"/>
      <c r="AW78" s="58" t="str">
        <f t="shared" si="54"/>
        <v/>
      </c>
      <c r="AX78" s="59"/>
      <c r="AY78" s="58" t="str">
        <f t="shared" si="55"/>
        <v/>
      </c>
      <c r="AZ78" s="59"/>
      <c r="BA78" s="58" t="str">
        <f t="shared" si="56"/>
        <v/>
      </c>
      <c r="BB78" s="59"/>
      <c r="BC78" s="58" t="str">
        <f t="shared" si="57"/>
        <v/>
      </c>
      <c r="BD78" s="59"/>
      <c r="BE78" s="58" t="str">
        <f t="shared" si="58"/>
        <v/>
      </c>
      <c r="BF78" s="59"/>
      <c r="BG78" s="58" t="str">
        <f t="shared" si="59"/>
        <v/>
      </c>
      <c r="BH78" s="59"/>
      <c r="BI78" s="58" t="str">
        <f t="shared" si="60"/>
        <v/>
      </c>
      <c r="BJ78" s="59"/>
      <c r="BK78" s="58" t="str">
        <f t="shared" si="61"/>
        <v/>
      </c>
      <c r="BL78" s="59"/>
      <c r="BM78" s="58" t="str">
        <f t="shared" si="62"/>
        <v/>
      </c>
      <c r="BN78" s="59"/>
      <c r="BO78" s="58" t="str">
        <f t="shared" si="63"/>
        <v/>
      </c>
      <c r="BP78" s="59"/>
      <c r="BQ78" s="58" t="str">
        <f t="shared" si="64"/>
        <v/>
      </c>
      <c r="BR78" s="59"/>
      <c r="BS78" s="58" t="str">
        <f t="shared" si="65"/>
        <v/>
      </c>
      <c r="BT78" s="59"/>
      <c r="BU78" s="58" t="str">
        <f t="shared" si="66"/>
        <v/>
      </c>
      <c r="BV78" s="59"/>
    </row>
    <row r="79" spans="1:74" ht="14.5">
      <c r="A79" s="51" t="s">
        <v>466</v>
      </c>
      <c r="B79" s="52">
        <v>254</v>
      </c>
      <c r="C79" s="52" t="s">
        <v>89</v>
      </c>
      <c r="D79" s="41">
        <f t="shared" si="36"/>
        <v>2</v>
      </c>
      <c r="E79" s="52" t="s">
        <v>470</v>
      </c>
      <c r="F79" s="52" t="s">
        <v>472</v>
      </c>
      <c r="G79" s="52" t="s">
        <v>316</v>
      </c>
      <c r="H79" s="52" t="s">
        <v>473</v>
      </c>
      <c r="I79" s="53">
        <v>45663</v>
      </c>
      <c r="J79" s="108">
        <v>306</v>
      </c>
      <c r="K79" s="101"/>
      <c r="L79" s="101"/>
      <c r="M79" s="101">
        <f t="shared" si="37"/>
        <v>306</v>
      </c>
      <c r="N79" s="54">
        <f t="shared" si="38"/>
        <v>306</v>
      </c>
      <c r="O79" s="101" t="s">
        <v>178</v>
      </c>
      <c r="P79" s="102">
        <f t="shared" si="39"/>
        <v>0.63749999999999996</v>
      </c>
      <c r="Q79" s="102">
        <v>6</v>
      </c>
      <c r="R79" s="99">
        <v>80</v>
      </c>
      <c r="S79" s="55">
        <f t="shared" si="67"/>
        <v>45631</v>
      </c>
      <c r="T79" s="55">
        <v>45626</v>
      </c>
      <c r="U79" s="56">
        <f t="shared" ca="1" si="40"/>
        <v>5</v>
      </c>
      <c r="V79" s="55">
        <f t="shared" si="41"/>
        <v>45647</v>
      </c>
      <c r="W79" s="55"/>
      <c r="X79" s="56">
        <f t="shared" ca="1" si="42"/>
        <v>-193</v>
      </c>
      <c r="Y79" s="55"/>
      <c r="Z79" s="57"/>
      <c r="AA79" s="58" t="str">
        <f t="shared" si="43"/>
        <v>-</v>
      </c>
      <c r="AB79" s="59"/>
      <c r="AC79" s="58" t="str">
        <f t="shared" si="44"/>
        <v/>
      </c>
      <c r="AD79" s="59"/>
      <c r="AE79" s="58" t="str">
        <f t="shared" si="45"/>
        <v/>
      </c>
      <c r="AF79" s="59"/>
      <c r="AG79" s="58" t="str">
        <f t="shared" si="46"/>
        <v/>
      </c>
      <c r="AH79" s="59"/>
      <c r="AI79" s="58" t="str">
        <f t="shared" si="47"/>
        <v/>
      </c>
      <c r="AJ79" s="59"/>
      <c r="AK79" s="58" t="str">
        <f t="shared" si="48"/>
        <v/>
      </c>
      <c r="AL79" s="59"/>
      <c r="AM79" s="58" t="str">
        <f t="shared" si="49"/>
        <v/>
      </c>
      <c r="AN79" s="59"/>
      <c r="AO79" s="58" t="str">
        <f t="shared" si="50"/>
        <v/>
      </c>
      <c r="AP79" s="59"/>
      <c r="AQ79" s="58">
        <f t="shared" si="51"/>
        <v>306</v>
      </c>
      <c r="AR79" s="59"/>
      <c r="AS79" s="58" t="str">
        <f t="shared" si="52"/>
        <v/>
      </c>
      <c r="AT79" s="59"/>
      <c r="AU79" s="58" t="str">
        <f t="shared" si="53"/>
        <v/>
      </c>
      <c r="AV79" s="59"/>
      <c r="AW79" s="58" t="str">
        <f t="shared" si="54"/>
        <v/>
      </c>
      <c r="AX79" s="59"/>
      <c r="AY79" s="58" t="str">
        <f t="shared" si="55"/>
        <v/>
      </c>
      <c r="AZ79" s="59"/>
      <c r="BA79" s="58" t="str">
        <f t="shared" si="56"/>
        <v/>
      </c>
      <c r="BB79" s="59"/>
      <c r="BC79" s="58" t="str">
        <f t="shared" si="57"/>
        <v/>
      </c>
      <c r="BD79" s="59"/>
      <c r="BE79" s="58" t="str">
        <f t="shared" si="58"/>
        <v/>
      </c>
      <c r="BF79" s="59"/>
      <c r="BG79" s="58" t="str">
        <f t="shared" si="59"/>
        <v/>
      </c>
      <c r="BH79" s="59"/>
      <c r="BI79" s="58" t="str">
        <f t="shared" si="60"/>
        <v/>
      </c>
      <c r="BJ79" s="59"/>
      <c r="BK79" s="58" t="str">
        <f t="shared" si="61"/>
        <v/>
      </c>
      <c r="BL79" s="59"/>
      <c r="BM79" s="58" t="str">
        <f t="shared" si="62"/>
        <v/>
      </c>
      <c r="BN79" s="59"/>
      <c r="BO79" s="58" t="str">
        <f t="shared" si="63"/>
        <v/>
      </c>
      <c r="BP79" s="59"/>
      <c r="BQ79" s="58" t="str">
        <f t="shared" si="64"/>
        <v/>
      </c>
      <c r="BR79" s="59"/>
      <c r="BS79" s="58" t="str">
        <f t="shared" si="65"/>
        <v/>
      </c>
      <c r="BT79" s="59"/>
      <c r="BU79" s="58" t="str">
        <f t="shared" si="66"/>
        <v/>
      </c>
      <c r="BV79" s="59"/>
    </row>
    <row r="80" spans="1:74" ht="14.5">
      <c r="A80" s="51" t="s">
        <v>466</v>
      </c>
      <c r="B80" s="52">
        <v>254</v>
      </c>
      <c r="C80" s="52" t="s">
        <v>89</v>
      </c>
      <c r="D80" s="41">
        <f t="shared" si="36"/>
        <v>2</v>
      </c>
      <c r="E80" s="52" t="s">
        <v>474</v>
      </c>
      <c r="F80" s="52" t="s">
        <v>242</v>
      </c>
      <c r="G80" s="52" t="s">
        <v>322</v>
      </c>
      <c r="H80" s="52" t="s">
        <v>434</v>
      </c>
      <c r="I80" s="53">
        <v>45663</v>
      </c>
      <c r="J80" s="108">
        <v>816</v>
      </c>
      <c r="K80" s="101"/>
      <c r="L80" s="101"/>
      <c r="M80" s="101">
        <f t="shared" si="37"/>
        <v>816</v>
      </c>
      <c r="N80" s="54">
        <f t="shared" si="38"/>
        <v>816</v>
      </c>
      <c r="O80" s="101" t="s">
        <v>178</v>
      </c>
      <c r="P80" s="102">
        <f t="shared" si="39"/>
        <v>0.75555555555555554</v>
      </c>
      <c r="Q80" s="102">
        <v>6</v>
      </c>
      <c r="R80" s="99">
        <v>180</v>
      </c>
      <c r="S80" s="55">
        <f t="shared" si="67"/>
        <v>45631</v>
      </c>
      <c r="T80" s="55">
        <v>45626</v>
      </c>
      <c r="U80" s="56">
        <f t="shared" ca="1" si="40"/>
        <v>5</v>
      </c>
      <c r="V80" s="55">
        <f t="shared" si="41"/>
        <v>45647</v>
      </c>
      <c r="W80" s="55"/>
      <c r="X80" s="56">
        <f t="shared" ca="1" si="42"/>
        <v>-193</v>
      </c>
      <c r="Y80" s="55"/>
      <c r="Z80" s="57"/>
      <c r="AA80" s="58" t="str">
        <f t="shared" si="43"/>
        <v>-</v>
      </c>
      <c r="AB80" s="59"/>
      <c r="AC80" s="58" t="str">
        <f t="shared" si="44"/>
        <v/>
      </c>
      <c r="AD80" s="59"/>
      <c r="AE80" s="58" t="str">
        <f t="shared" si="45"/>
        <v/>
      </c>
      <c r="AF80" s="59"/>
      <c r="AG80" s="58" t="str">
        <f t="shared" si="46"/>
        <v/>
      </c>
      <c r="AH80" s="59"/>
      <c r="AI80" s="58" t="str">
        <f t="shared" si="47"/>
        <v/>
      </c>
      <c r="AJ80" s="59"/>
      <c r="AK80" s="58" t="str">
        <f t="shared" si="48"/>
        <v/>
      </c>
      <c r="AL80" s="59"/>
      <c r="AM80" s="58" t="str">
        <f t="shared" si="49"/>
        <v/>
      </c>
      <c r="AN80" s="59"/>
      <c r="AO80" s="58" t="str">
        <f t="shared" si="50"/>
        <v/>
      </c>
      <c r="AP80" s="59"/>
      <c r="AQ80" s="58">
        <f t="shared" si="51"/>
        <v>816</v>
      </c>
      <c r="AR80" s="59"/>
      <c r="AS80" s="58" t="str">
        <f t="shared" si="52"/>
        <v/>
      </c>
      <c r="AT80" s="59"/>
      <c r="AU80" s="58" t="str">
        <f t="shared" si="53"/>
        <v/>
      </c>
      <c r="AV80" s="59"/>
      <c r="AW80" s="58" t="str">
        <f t="shared" si="54"/>
        <v/>
      </c>
      <c r="AX80" s="59"/>
      <c r="AY80" s="58" t="str">
        <f t="shared" si="55"/>
        <v/>
      </c>
      <c r="AZ80" s="59"/>
      <c r="BA80" s="58" t="str">
        <f t="shared" si="56"/>
        <v/>
      </c>
      <c r="BB80" s="59"/>
      <c r="BC80" s="58" t="str">
        <f t="shared" si="57"/>
        <v/>
      </c>
      <c r="BD80" s="59"/>
      <c r="BE80" s="58" t="str">
        <f t="shared" si="58"/>
        <v/>
      </c>
      <c r="BF80" s="59"/>
      <c r="BG80" s="58" t="str">
        <f t="shared" si="59"/>
        <v/>
      </c>
      <c r="BH80" s="59"/>
      <c r="BI80" s="58" t="str">
        <f t="shared" si="60"/>
        <v/>
      </c>
      <c r="BJ80" s="59"/>
      <c r="BK80" s="58" t="str">
        <f t="shared" si="61"/>
        <v/>
      </c>
      <c r="BL80" s="59"/>
      <c r="BM80" s="58" t="str">
        <f t="shared" si="62"/>
        <v/>
      </c>
      <c r="BN80" s="59"/>
      <c r="BO80" s="58" t="str">
        <f t="shared" si="63"/>
        <v/>
      </c>
      <c r="BP80" s="59"/>
      <c r="BQ80" s="58" t="str">
        <f t="shared" si="64"/>
        <v/>
      </c>
      <c r="BR80" s="59"/>
      <c r="BS80" s="58" t="str">
        <f t="shared" si="65"/>
        <v/>
      </c>
      <c r="BT80" s="59"/>
      <c r="BU80" s="58" t="str">
        <f t="shared" si="66"/>
        <v/>
      </c>
      <c r="BV80" s="59"/>
    </row>
    <row r="81" spans="1:74" ht="14.5">
      <c r="A81" s="51" t="s">
        <v>466</v>
      </c>
      <c r="B81" s="52">
        <v>254</v>
      </c>
      <c r="C81" s="52" t="s">
        <v>89</v>
      </c>
      <c r="D81" s="41">
        <f t="shared" si="36"/>
        <v>2</v>
      </c>
      <c r="E81" s="52" t="s">
        <v>474</v>
      </c>
      <c r="F81" s="52" t="s">
        <v>242</v>
      </c>
      <c r="G81" s="52" t="s">
        <v>322</v>
      </c>
      <c r="H81" s="52" t="s">
        <v>471</v>
      </c>
      <c r="I81" s="53">
        <v>45663</v>
      </c>
      <c r="J81" s="108">
        <v>816</v>
      </c>
      <c r="K81" s="101"/>
      <c r="L81" s="101"/>
      <c r="M81" s="101">
        <f t="shared" si="37"/>
        <v>816</v>
      </c>
      <c r="N81" s="54">
        <f t="shared" si="38"/>
        <v>816</v>
      </c>
      <c r="O81" s="101" t="s">
        <v>178</v>
      </c>
      <c r="P81" s="102">
        <f t="shared" si="39"/>
        <v>0.75555555555555554</v>
      </c>
      <c r="Q81" s="102">
        <v>6</v>
      </c>
      <c r="R81" s="99">
        <v>180</v>
      </c>
      <c r="S81" s="55">
        <f t="shared" si="67"/>
        <v>45631</v>
      </c>
      <c r="T81" s="55">
        <v>45626</v>
      </c>
      <c r="U81" s="56">
        <f t="shared" ca="1" si="40"/>
        <v>5</v>
      </c>
      <c r="V81" s="55">
        <f t="shared" si="41"/>
        <v>45647</v>
      </c>
      <c r="W81" s="55"/>
      <c r="X81" s="56">
        <f t="shared" ca="1" si="42"/>
        <v>-193</v>
      </c>
      <c r="Y81" s="55"/>
      <c r="Z81" s="57"/>
      <c r="AA81" s="58" t="str">
        <f t="shared" si="43"/>
        <v>-</v>
      </c>
      <c r="AB81" s="59"/>
      <c r="AC81" s="58" t="str">
        <f t="shared" si="44"/>
        <v/>
      </c>
      <c r="AD81" s="59"/>
      <c r="AE81" s="58" t="str">
        <f t="shared" si="45"/>
        <v/>
      </c>
      <c r="AF81" s="59"/>
      <c r="AG81" s="58" t="str">
        <f t="shared" si="46"/>
        <v/>
      </c>
      <c r="AH81" s="59"/>
      <c r="AI81" s="58" t="str">
        <f t="shared" si="47"/>
        <v/>
      </c>
      <c r="AJ81" s="59"/>
      <c r="AK81" s="58" t="str">
        <f t="shared" si="48"/>
        <v/>
      </c>
      <c r="AL81" s="59"/>
      <c r="AM81" s="58" t="str">
        <f t="shared" si="49"/>
        <v/>
      </c>
      <c r="AN81" s="59"/>
      <c r="AO81" s="58" t="str">
        <f t="shared" si="50"/>
        <v/>
      </c>
      <c r="AP81" s="59"/>
      <c r="AQ81" s="58">
        <f t="shared" si="51"/>
        <v>816</v>
      </c>
      <c r="AR81" s="59"/>
      <c r="AS81" s="58" t="str">
        <f t="shared" si="52"/>
        <v/>
      </c>
      <c r="AT81" s="59"/>
      <c r="AU81" s="58" t="str">
        <f t="shared" si="53"/>
        <v/>
      </c>
      <c r="AV81" s="59"/>
      <c r="AW81" s="58" t="str">
        <f t="shared" si="54"/>
        <v/>
      </c>
      <c r="AX81" s="59"/>
      <c r="AY81" s="58" t="str">
        <f t="shared" si="55"/>
        <v/>
      </c>
      <c r="AZ81" s="59"/>
      <c r="BA81" s="58" t="str">
        <f t="shared" si="56"/>
        <v/>
      </c>
      <c r="BB81" s="59"/>
      <c r="BC81" s="58" t="str">
        <f t="shared" si="57"/>
        <v/>
      </c>
      <c r="BD81" s="59"/>
      <c r="BE81" s="58" t="str">
        <f t="shared" si="58"/>
        <v/>
      </c>
      <c r="BF81" s="59"/>
      <c r="BG81" s="58" t="str">
        <f t="shared" si="59"/>
        <v/>
      </c>
      <c r="BH81" s="59"/>
      <c r="BI81" s="58" t="str">
        <f t="shared" si="60"/>
        <v/>
      </c>
      <c r="BJ81" s="59"/>
      <c r="BK81" s="58" t="str">
        <f t="shared" si="61"/>
        <v/>
      </c>
      <c r="BL81" s="59"/>
      <c r="BM81" s="58" t="str">
        <f t="shared" si="62"/>
        <v/>
      </c>
      <c r="BN81" s="59"/>
      <c r="BO81" s="58" t="str">
        <f t="shared" si="63"/>
        <v/>
      </c>
      <c r="BP81" s="59"/>
      <c r="BQ81" s="58" t="str">
        <f t="shared" si="64"/>
        <v/>
      </c>
      <c r="BR81" s="59"/>
      <c r="BS81" s="58" t="str">
        <f t="shared" si="65"/>
        <v/>
      </c>
      <c r="BT81" s="59"/>
      <c r="BU81" s="58" t="str">
        <f t="shared" si="66"/>
        <v/>
      </c>
      <c r="BV81" s="59"/>
    </row>
    <row r="82" spans="1:74" ht="14.5">
      <c r="A82" s="51" t="s">
        <v>466</v>
      </c>
      <c r="B82" s="52">
        <v>254</v>
      </c>
      <c r="C82" s="52" t="s">
        <v>89</v>
      </c>
      <c r="D82" s="41">
        <f t="shared" si="36"/>
        <v>2</v>
      </c>
      <c r="E82" s="52" t="s">
        <v>474</v>
      </c>
      <c r="F82" s="52" t="s">
        <v>242</v>
      </c>
      <c r="G82" s="52" t="s">
        <v>322</v>
      </c>
      <c r="H82" s="52" t="s">
        <v>434</v>
      </c>
      <c r="I82" s="53">
        <v>45663</v>
      </c>
      <c r="J82" s="108">
        <v>612</v>
      </c>
      <c r="K82" s="101"/>
      <c r="L82" s="101"/>
      <c r="M82" s="101">
        <f t="shared" si="37"/>
        <v>612</v>
      </c>
      <c r="N82" s="54">
        <f t="shared" si="38"/>
        <v>612</v>
      </c>
      <c r="O82" s="101" t="s">
        <v>178</v>
      </c>
      <c r="P82" s="102">
        <f t="shared" si="39"/>
        <v>0.56666666666666665</v>
      </c>
      <c r="Q82" s="102">
        <v>6</v>
      </c>
      <c r="R82" s="99">
        <v>180</v>
      </c>
      <c r="S82" s="55">
        <f t="shared" si="67"/>
        <v>45631</v>
      </c>
      <c r="T82" s="55">
        <v>45626</v>
      </c>
      <c r="U82" s="56">
        <f t="shared" ca="1" si="40"/>
        <v>5</v>
      </c>
      <c r="V82" s="55">
        <f t="shared" si="41"/>
        <v>45647</v>
      </c>
      <c r="W82" s="55"/>
      <c r="X82" s="56">
        <f t="shared" ca="1" si="42"/>
        <v>-193</v>
      </c>
      <c r="Y82" s="55"/>
      <c r="Z82" s="57"/>
      <c r="AA82" s="58" t="str">
        <f t="shared" si="43"/>
        <v>-</v>
      </c>
      <c r="AB82" s="59"/>
      <c r="AC82" s="58" t="str">
        <f t="shared" si="44"/>
        <v/>
      </c>
      <c r="AD82" s="59"/>
      <c r="AE82" s="58" t="str">
        <f t="shared" si="45"/>
        <v/>
      </c>
      <c r="AF82" s="59"/>
      <c r="AG82" s="58" t="str">
        <f t="shared" si="46"/>
        <v/>
      </c>
      <c r="AH82" s="59"/>
      <c r="AI82" s="58" t="str">
        <f t="shared" si="47"/>
        <v/>
      </c>
      <c r="AJ82" s="59"/>
      <c r="AK82" s="58" t="str">
        <f t="shared" si="48"/>
        <v/>
      </c>
      <c r="AL82" s="59"/>
      <c r="AM82" s="58" t="str">
        <f t="shared" si="49"/>
        <v/>
      </c>
      <c r="AN82" s="59"/>
      <c r="AO82" s="58" t="str">
        <f t="shared" si="50"/>
        <v/>
      </c>
      <c r="AP82" s="59"/>
      <c r="AQ82" s="58">
        <f t="shared" si="51"/>
        <v>612</v>
      </c>
      <c r="AR82" s="59"/>
      <c r="AS82" s="58" t="str">
        <f t="shared" si="52"/>
        <v/>
      </c>
      <c r="AT82" s="59"/>
      <c r="AU82" s="58" t="str">
        <f t="shared" si="53"/>
        <v/>
      </c>
      <c r="AV82" s="59"/>
      <c r="AW82" s="58" t="str">
        <f t="shared" si="54"/>
        <v/>
      </c>
      <c r="AX82" s="59"/>
      <c r="AY82" s="58" t="str">
        <f t="shared" si="55"/>
        <v/>
      </c>
      <c r="AZ82" s="59"/>
      <c r="BA82" s="58" t="str">
        <f t="shared" si="56"/>
        <v/>
      </c>
      <c r="BB82" s="59"/>
      <c r="BC82" s="58" t="str">
        <f t="shared" si="57"/>
        <v/>
      </c>
      <c r="BD82" s="59"/>
      <c r="BE82" s="58" t="str">
        <f t="shared" si="58"/>
        <v/>
      </c>
      <c r="BF82" s="59"/>
      <c r="BG82" s="58" t="str">
        <f t="shared" si="59"/>
        <v/>
      </c>
      <c r="BH82" s="59"/>
      <c r="BI82" s="58" t="str">
        <f t="shared" si="60"/>
        <v/>
      </c>
      <c r="BJ82" s="59"/>
      <c r="BK82" s="58" t="str">
        <f t="shared" si="61"/>
        <v/>
      </c>
      <c r="BL82" s="59"/>
      <c r="BM82" s="58" t="str">
        <f t="shared" si="62"/>
        <v/>
      </c>
      <c r="BN82" s="59"/>
      <c r="BO82" s="58" t="str">
        <f t="shared" si="63"/>
        <v/>
      </c>
      <c r="BP82" s="59"/>
      <c r="BQ82" s="58" t="str">
        <f t="shared" si="64"/>
        <v/>
      </c>
      <c r="BR82" s="59"/>
      <c r="BS82" s="58" t="str">
        <f t="shared" si="65"/>
        <v/>
      </c>
      <c r="BT82" s="59"/>
      <c r="BU82" s="58" t="str">
        <f t="shared" si="66"/>
        <v/>
      </c>
      <c r="BV82" s="59"/>
    </row>
    <row r="83" spans="1:74" ht="14.5">
      <c r="A83" s="51" t="s">
        <v>466</v>
      </c>
      <c r="B83" s="52">
        <v>254</v>
      </c>
      <c r="C83" s="52" t="s">
        <v>89</v>
      </c>
      <c r="D83" s="41">
        <f t="shared" si="36"/>
        <v>2</v>
      </c>
      <c r="E83" s="52" t="s">
        <v>474</v>
      </c>
      <c r="F83" s="52" t="s">
        <v>475</v>
      </c>
      <c r="G83" s="52" t="s">
        <v>322</v>
      </c>
      <c r="H83" s="52" t="s">
        <v>434</v>
      </c>
      <c r="I83" s="53">
        <v>45663</v>
      </c>
      <c r="J83" s="108">
        <v>816</v>
      </c>
      <c r="K83" s="101"/>
      <c r="L83" s="101"/>
      <c r="M83" s="101">
        <f t="shared" si="37"/>
        <v>816</v>
      </c>
      <c r="N83" s="54">
        <f t="shared" si="38"/>
        <v>816</v>
      </c>
      <c r="O83" s="101" t="s">
        <v>178</v>
      </c>
      <c r="P83" s="102">
        <f t="shared" si="39"/>
        <v>1.7</v>
      </c>
      <c r="Q83" s="102">
        <v>6</v>
      </c>
      <c r="R83" s="99">
        <v>80</v>
      </c>
      <c r="S83" s="55">
        <f t="shared" si="67"/>
        <v>45631</v>
      </c>
      <c r="T83" s="55">
        <v>45626</v>
      </c>
      <c r="U83" s="56">
        <f t="shared" ca="1" si="40"/>
        <v>5</v>
      </c>
      <c r="V83" s="55">
        <f t="shared" si="41"/>
        <v>45647</v>
      </c>
      <c r="W83" s="55"/>
      <c r="X83" s="56">
        <f t="shared" ca="1" si="42"/>
        <v>-193</v>
      </c>
      <c r="Y83" s="55"/>
      <c r="Z83" s="57"/>
      <c r="AA83" s="58" t="str">
        <f t="shared" si="43"/>
        <v>-</v>
      </c>
      <c r="AB83" s="59"/>
      <c r="AC83" s="58" t="str">
        <f t="shared" si="44"/>
        <v/>
      </c>
      <c r="AD83" s="59"/>
      <c r="AE83" s="58" t="str">
        <f t="shared" si="45"/>
        <v/>
      </c>
      <c r="AF83" s="59"/>
      <c r="AG83" s="58" t="str">
        <f t="shared" si="46"/>
        <v/>
      </c>
      <c r="AH83" s="59"/>
      <c r="AI83" s="58" t="str">
        <f t="shared" si="47"/>
        <v/>
      </c>
      <c r="AJ83" s="59"/>
      <c r="AK83" s="58" t="str">
        <f t="shared" si="48"/>
        <v/>
      </c>
      <c r="AL83" s="59"/>
      <c r="AM83" s="58" t="str">
        <f t="shared" si="49"/>
        <v/>
      </c>
      <c r="AN83" s="59"/>
      <c r="AO83" s="58" t="str">
        <f t="shared" si="50"/>
        <v/>
      </c>
      <c r="AP83" s="59"/>
      <c r="AQ83" s="58">
        <f t="shared" si="51"/>
        <v>816</v>
      </c>
      <c r="AR83" s="59"/>
      <c r="AS83" s="58" t="str">
        <f t="shared" si="52"/>
        <v/>
      </c>
      <c r="AT83" s="59"/>
      <c r="AU83" s="58" t="str">
        <f t="shared" si="53"/>
        <v/>
      </c>
      <c r="AV83" s="59"/>
      <c r="AW83" s="58" t="str">
        <f t="shared" si="54"/>
        <v/>
      </c>
      <c r="AX83" s="59"/>
      <c r="AY83" s="58" t="str">
        <f t="shared" si="55"/>
        <v/>
      </c>
      <c r="AZ83" s="59"/>
      <c r="BA83" s="58" t="str">
        <f t="shared" si="56"/>
        <v/>
      </c>
      <c r="BB83" s="59"/>
      <c r="BC83" s="58" t="str">
        <f t="shared" si="57"/>
        <v/>
      </c>
      <c r="BD83" s="59"/>
      <c r="BE83" s="58" t="str">
        <f t="shared" si="58"/>
        <v/>
      </c>
      <c r="BF83" s="59"/>
      <c r="BG83" s="58" t="str">
        <f t="shared" si="59"/>
        <v/>
      </c>
      <c r="BH83" s="59"/>
      <c r="BI83" s="58" t="str">
        <f t="shared" si="60"/>
        <v/>
      </c>
      <c r="BJ83" s="59"/>
      <c r="BK83" s="58" t="str">
        <f t="shared" si="61"/>
        <v/>
      </c>
      <c r="BL83" s="59"/>
      <c r="BM83" s="58" t="str">
        <f t="shared" si="62"/>
        <v/>
      </c>
      <c r="BN83" s="59"/>
      <c r="BO83" s="58" t="str">
        <f t="shared" si="63"/>
        <v/>
      </c>
      <c r="BP83" s="59"/>
      <c r="BQ83" s="58" t="str">
        <f t="shared" si="64"/>
        <v/>
      </c>
      <c r="BR83" s="59"/>
      <c r="BS83" s="58" t="str">
        <f t="shared" si="65"/>
        <v/>
      </c>
      <c r="BT83" s="59"/>
      <c r="BU83" s="58" t="str">
        <f t="shared" si="66"/>
        <v/>
      </c>
      <c r="BV83" s="59"/>
    </row>
    <row r="84" spans="1:74" ht="14.5">
      <c r="A84" s="51" t="s">
        <v>466</v>
      </c>
      <c r="B84" s="52">
        <v>254</v>
      </c>
      <c r="C84" s="52" t="s">
        <v>89</v>
      </c>
      <c r="D84" s="41">
        <f t="shared" si="36"/>
        <v>2</v>
      </c>
      <c r="E84" s="52" t="s">
        <v>474</v>
      </c>
      <c r="F84" s="52" t="s">
        <v>472</v>
      </c>
      <c r="G84" s="52" t="s">
        <v>322</v>
      </c>
      <c r="H84" s="52" t="s">
        <v>473</v>
      </c>
      <c r="I84" s="53">
        <v>45663</v>
      </c>
      <c r="J84" s="108">
        <v>306</v>
      </c>
      <c r="K84" s="101"/>
      <c r="L84" s="101"/>
      <c r="M84" s="101">
        <f t="shared" si="37"/>
        <v>306</v>
      </c>
      <c r="N84" s="54">
        <f t="shared" si="38"/>
        <v>306</v>
      </c>
      <c r="O84" s="101" t="s">
        <v>178</v>
      </c>
      <c r="P84" s="102">
        <f t="shared" si="39"/>
        <v>0.63749999999999996</v>
      </c>
      <c r="Q84" s="102">
        <v>6</v>
      </c>
      <c r="R84" s="99">
        <v>80</v>
      </c>
      <c r="S84" s="55">
        <f t="shared" si="67"/>
        <v>45631</v>
      </c>
      <c r="T84" s="55">
        <v>45626</v>
      </c>
      <c r="U84" s="56">
        <f t="shared" ca="1" si="40"/>
        <v>5</v>
      </c>
      <c r="V84" s="55">
        <f t="shared" si="41"/>
        <v>45647</v>
      </c>
      <c r="W84" s="55"/>
      <c r="X84" s="56">
        <f t="shared" ca="1" si="42"/>
        <v>-193</v>
      </c>
      <c r="Y84" s="55"/>
      <c r="Z84" s="57"/>
      <c r="AA84" s="58" t="str">
        <f t="shared" si="43"/>
        <v>-</v>
      </c>
      <c r="AB84" s="59"/>
      <c r="AC84" s="58" t="str">
        <f t="shared" si="44"/>
        <v/>
      </c>
      <c r="AD84" s="59"/>
      <c r="AE84" s="58" t="str">
        <f t="shared" si="45"/>
        <v/>
      </c>
      <c r="AF84" s="59"/>
      <c r="AG84" s="58" t="str">
        <f t="shared" si="46"/>
        <v/>
      </c>
      <c r="AH84" s="59"/>
      <c r="AI84" s="58" t="str">
        <f t="shared" si="47"/>
        <v/>
      </c>
      <c r="AJ84" s="59"/>
      <c r="AK84" s="58" t="str">
        <f t="shared" si="48"/>
        <v/>
      </c>
      <c r="AL84" s="59"/>
      <c r="AM84" s="58" t="str">
        <f t="shared" si="49"/>
        <v/>
      </c>
      <c r="AN84" s="59"/>
      <c r="AO84" s="58" t="str">
        <f t="shared" si="50"/>
        <v/>
      </c>
      <c r="AP84" s="59"/>
      <c r="AQ84" s="58">
        <f t="shared" si="51"/>
        <v>306</v>
      </c>
      <c r="AR84" s="59"/>
      <c r="AS84" s="58" t="str">
        <f t="shared" si="52"/>
        <v/>
      </c>
      <c r="AT84" s="59"/>
      <c r="AU84" s="58" t="str">
        <f t="shared" si="53"/>
        <v/>
      </c>
      <c r="AV84" s="59"/>
      <c r="AW84" s="58" t="str">
        <f t="shared" si="54"/>
        <v/>
      </c>
      <c r="AX84" s="59"/>
      <c r="AY84" s="58" t="str">
        <f t="shared" si="55"/>
        <v/>
      </c>
      <c r="AZ84" s="59"/>
      <c r="BA84" s="58" t="str">
        <f t="shared" si="56"/>
        <v/>
      </c>
      <c r="BB84" s="59"/>
      <c r="BC84" s="58" t="str">
        <f t="shared" si="57"/>
        <v/>
      </c>
      <c r="BD84" s="59"/>
      <c r="BE84" s="58" t="str">
        <f t="shared" si="58"/>
        <v/>
      </c>
      <c r="BF84" s="59"/>
      <c r="BG84" s="58" t="str">
        <f t="shared" si="59"/>
        <v/>
      </c>
      <c r="BH84" s="59"/>
      <c r="BI84" s="58" t="str">
        <f t="shared" si="60"/>
        <v/>
      </c>
      <c r="BJ84" s="59"/>
      <c r="BK84" s="58" t="str">
        <f t="shared" si="61"/>
        <v/>
      </c>
      <c r="BL84" s="59"/>
      <c r="BM84" s="58" t="str">
        <f t="shared" si="62"/>
        <v/>
      </c>
      <c r="BN84" s="59"/>
      <c r="BO84" s="58" t="str">
        <f t="shared" si="63"/>
        <v/>
      </c>
      <c r="BP84" s="59"/>
      <c r="BQ84" s="58" t="str">
        <f t="shared" si="64"/>
        <v/>
      </c>
      <c r="BR84" s="59"/>
      <c r="BS84" s="58" t="str">
        <f t="shared" si="65"/>
        <v/>
      </c>
      <c r="BT84" s="59"/>
      <c r="BU84" s="58" t="str">
        <f t="shared" si="66"/>
        <v/>
      </c>
      <c r="BV84" s="59"/>
    </row>
    <row r="85" spans="1:74" ht="14.5">
      <c r="A85" s="51" t="s">
        <v>466</v>
      </c>
      <c r="B85" s="52">
        <v>254</v>
      </c>
      <c r="C85" s="52" t="s">
        <v>89</v>
      </c>
      <c r="D85" s="41">
        <f t="shared" si="36"/>
        <v>2</v>
      </c>
      <c r="E85" s="52" t="s">
        <v>474</v>
      </c>
      <c r="F85" s="52" t="s">
        <v>468</v>
      </c>
      <c r="G85" s="52" t="s">
        <v>327</v>
      </c>
      <c r="H85" s="52" t="s">
        <v>469</v>
      </c>
      <c r="I85" s="53">
        <v>45663</v>
      </c>
      <c r="J85" s="108">
        <v>612</v>
      </c>
      <c r="K85" s="101"/>
      <c r="L85" s="101"/>
      <c r="M85" s="101">
        <f t="shared" si="37"/>
        <v>612</v>
      </c>
      <c r="N85" s="54">
        <f t="shared" si="38"/>
        <v>612</v>
      </c>
      <c r="O85" s="101" t="s">
        <v>178</v>
      </c>
      <c r="P85" s="102">
        <f t="shared" si="39"/>
        <v>1.2749999999999999</v>
      </c>
      <c r="Q85" s="102">
        <v>6</v>
      </c>
      <c r="R85" s="99">
        <v>80</v>
      </c>
      <c r="S85" s="55">
        <f t="shared" si="67"/>
        <v>45631</v>
      </c>
      <c r="T85" s="55">
        <v>45626</v>
      </c>
      <c r="U85" s="56">
        <f t="shared" ca="1" si="40"/>
        <v>5</v>
      </c>
      <c r="V85" s="55">
        <f t="shared" si="41"/>
        <v>45647</v>
      </c>
      <c r="W85" s="55"/>
      <c r="X85" s="56">
        <f t="shared" ca="1" si="42"/>
        <v>-193</v>
      </c>
      <c r="Y85" s="55"/>
      <c r="Z85" s="57"/>
      <c r="AA85" s="58" t="str">
        <f t="shared" si="43"/>
        <v>-</v>
      </c>
      <c r="AB85" s="59"/>
      <c r="AC85" s="58" t="str">
        <f t="shared" si="44"/>
        <v/>
      </c>
      <c r="AD85" s="59"/>
      <c r="AE85" s="58" t="str">
        <f t="shared" si="45"/>
        <v/>
      </c>
      <c r="AF85" s="59"/>
      <c r="AG85" s="58" t="str">
        <f t="shared" si="46"/>
        <v/>
      </c>
      <c r="AH85" s="59"/>
      <c r="AI85" s="58" t="str">
        <f t="shared" si="47"/>
        <v/>
      </c>
      <c r="AJ85" s="59"/>
      <c r="AK85" s="58" t="str">
        <f t="shared" si="48"/>
        <v/>
      </c>
      <c r="AL85" s="59"/>
      <c r="AM85" s="58" t="str">
        <f t="shared" si="49"/>
        <v/>
      </c>
      <c r="AN85" s="59"/>
      <c r="AO85" s="58" t="str">
        <f t="shared" si="50"/>
        <v/>
      </c>
      <c r="AP85" s="59"/>
      <c r="AQ85" s="58">
        <f t="shared" si="51"/>
        <v>612</v>
      </c>
      <c r="AR85" s="59"/>
      <c r="AS85" s="58" t="str">
        <f t="shared" si="52"/>
        <v/>
      </c>
      <c r="AT85" s="59"/>
      <c r="AU85" s="58" t="str">
        <f t="shared" si="53"/>
        <v/>
      </c>
      <c r="AV85" s="59"/>
      <c r="AW85" s="58" t="str">
        <f t="shared" si="54"/>
        <v/>
      </c>
      <c r="AX85" s="59"/>
      <c r="AY85" s="58" t="str">
        <f t="shared" si="55"/>
        <v/>
      </c>
      <c r="AZ85" s="59"/>
      <c r="BA85" s="58" t="str">
        <f t="shared" si="56"/>
        <v/>
      </c>
      <c r="BB85" s="59"/>
      <c r="BC85" s="58" t="str">
        <f t="shared" si="57"/>
        <v/>
      </c>
      <c r="BD85" s="59"/>
      <c r="BE85" s="58" t="str">
        <f t="shared" si="58"/>
        <v/>
      </c>
      <c r="BF85" s="59"/>
      <c r="BG85" s="58" t="str">
        <f t="shared" si="59"/>
        <v/>
      </c>
      <c r="BH85" s="59"/>
      <c r="BI85" s="58" t="str">
        <f t="shared" si="60"/>
        <v/>
      </c>
      <c r="BJ85" s="59"/>
      <c r="BK85" s="58" t="str">
        <f t="shared" si="61"/>
        <v/>
      </c>
      <c r="BL85" s="59"/>
      <c r="BM85" s="58" t="str">
        <f t="shared" si="62"/>
        <v/>
      </c>
      <c r="BN85" s="59"/>
      <c r="BO85" s="58" t="str">
        <f t="shared" si="63"/>
        <v/>
      </c>
      <c r="BP85" s="59"/>
      <c r="BQ85" s="58" t="str">
        <f t="shared" si="64"/>
        <v/>
      </c>
      <c r="BR85" s="59"/>
      <c r="BS85" s="58" t="str">
        <f t="shared" si="65"/>
        <v/>
      </c>
      <c r="BT85" s="59"/>
      <c r="BU85" s="58" t="str">
        <f t="shared" si="66"/>
        <v/>
      </c>
      <c r="BV85" s="59"/>
    </row>
    <row r="86" spans="1:74" ht="14.5">
      <c r="A86" s="51" t="s">
        <v>466</v>
      </c>
      <c r="B86" s="52">
        <v>254</v>
      </c>
      <c r="C86" s="52" t="s">
        <v>89</v>
      </c>
      <c r="D86" s="41">
        <f t="shared" si="36"/>
        <v>2</v>
      </c>
      <c r="E86" s="52" t="s">
        <v>474</v>
      </c>
      <c r="F86" s="52" t="s">
        <v>242</v>
      </c>
      <c r="G86" s="52" t="s">
        <v>327</v>
      </c>
      <c r="H86" s="52" t="s">
        <v>434</v>
      </c>
      <c r="I86" s="53">
        <v>45663</v>
      </c>
      <c r="J86" s="108">
        <v>816</v>
      </c>
      <c r="K86" s="101"/>
      <c r="L86" s="101"/>
      <c r="M86" s="101">
        <f t="shared" si="37"/>
        <v>816</v>
      </c>
      <c r="N86" s="54">
        <f t="shared" si="38"/>
        <v>816</v>
      </c>
      <c r="O86" s="101" t="s">
        <v>178</v>
      </c>
      <c r="P86" s="102">
        <f t="shared" si="39"/>
        <v>0.75555555555555554</v>
      </c>
      <c r="Q86" s="102">
        <v>6</v>
      </c>
      <c r="R86" s="99">
        <v>180</v>
      </c>
      <c r="S86" s="55">
        <f t="shared" si="67"/>
        <v>45631</v>
      </c>
      <c r="T86" s="55">
        <v>45626</v>
      </c>
      <c r="U86" s="56">
        <f t="shared" ca="1" si="40"/>
        <v>5</v>
      </c>
      <c r="V86" s="55">
        <f t="shared" si="41"/>
        <v>45647</v>
      </c>
      <c r="W86" s="55"/>
      <c r="X86" s="56">
        <f t="shared" ca="1" si="42"/>
        <v>-193</v>
      </c>
      <c r="Y86" s="55"/>
      <c r="Z86" s="57"/>
      <c r="AA86" s="58" t="str">
        <f t="shared" si="43"/>
        <v>-</v>
      </c>
      <c r="AB86" s="59"/>
      <c r="AC86" s="58" t="str">
        <f t="shared" si="44"/>
        <v/>
      </c>
      <c r="AD86" s="59"/>
      <c r="AE86" s="58" t="str">
        <f t="shared" si="45"/>
        <v/>
      </c>
      <c r="AF86" s="59"/>
      <c r="AG86" s="58" t="str">
        <f t="shared" si="46"/>
        <v/>
      </c>
      <c r="AH86" s="59"/>
      <c r="AI86" s="58" t="str">
        <f t="shared" si="47"/>
        <v/>
      </c>
      <c r="AJ86" s="59"/>
      <c r="AK86" s="58" t="str">
        <f t="shared" si="48"/>
        <v/>
      </c>
      <c r="AL86" s="59"/>
      <c r="AM86" s="58" t="str">
        <f t="shared" si="49"/>
        <v/>
      </c>
      <c r="AN86" s="59"/>
      <c r="AO86" s="58" t="str">
        <f t="shared" si="50"/>
        <v/>
      </c>
      <c r="AP86" s="59"/>
      <c r="AQ86" s="58">
        <f t="shared" si="51"/>
        <v>816</v>
      </c>
      <c r="AR86" s="59"/>
      <c r="AS86" s="58" t="str">
        <f t="shared" si="52"/>
        <v/>
      </c>
      <c r="AT86" s="59"/>
      <c r="AU86" s="58" t="str">
        <f t="shared" si="53"/>
        <v/>
      </c>
      <c r="AV86" s="59"/>
      <c r="AW86" s="58" t="str">
        <f t="shared" si="54"/>
        <v/>
      </c>
      <c r="AX86" s="59"/>
      <c r="AY86" s="58" t="str">
        <f t="shared" si="55"/>
        <v/>
      </c>
      <c r="AZ86" s="59"/>
      <c r="BA86" s="58" t="str">
        <f t="shared" si="56"/>
        <v/>
      </c>
      <c r="BB86" s="59"/>
      <c r="BC86" s="58" t="str">
        <f t="shared" si="57"/>
        <v/>
      </c>
      <c r="BD86" s="59"/>
      <c r="BE86" s="58" t="str">
        <f t="shared" si="58"/>
        <v/>
      </c>
      <c r="BF86" s="59"/>
      <c r="BG86" s="58" t="str">
        <f t="shared" si="59"/>
        <v/>
      </c>
      <c r="BH86" s="59"/>
      <c r="BI86" s="58" t="str">
        <f t="shared" si="60"/>
        <v/>
      </c>
      <c r="BJ86" s="59"/>
      <c r="BK86" s="58" t="str">
        <f t="shared" si="61"/>
        <v/>
      </c>
      <c r="BL86" s="59"/>
      <c r="BM86" s="58" t="str">
        <f t="shared" si="62"/>
        <v/>
      </c>
      <c r="BN86" s="59"/>
      <c r="BO86" s="58" t="str">
        <f t="shared" si="63"/>
        <v/>
      </c>
      <c r="BP86" s="59"/>
      <c r="BQ86" s="58" t="str">
        <f t="shared" si="64"/>
        <v/>
      </c>
      <c r="BR86" s="59"/>
      <c r="BS86" s="58" t="str">
        <f t="shared" si="65"/>
        <v/>
      </c>
      <c r="BT86" s="59"/>
      <c r="BU86" s="58" t="str">
        <f t="shared" si="66"/>
        <v/>
      </c>
      <c r="BV86" s="59"/>
    </row>
    <row r="87" spans="1:74" ht="14.5">
      <c r="A87" s="51" t="s">
        <v>466</v>
      </c>
      <c r="B87" s="52">
        <v>254</v>
      </c>
      <c r="C87" s="52" t="s">
        <v>89</v>
      </c>
      <c r="D87" s="41">
        <f t="shared" si="36"/>
        <v>2</v>
      </c>
      <c r="E87" s="52" t="s">
        <v>474</v>
      </c>
      <c r="F87" s="52" t="s">
        <v>242</v>
      </c>
      <c r="G87" s="52" t="s">
        <v>327</v>
      </c>
      <c r="H87" s="52" t="s">
        <v>471</v>
      </c>
      <c r="I87" s="53">
        <v>45663</v>
      </c>
      <c r="J87" s="108">
        <v>816</v>
      </c>
      <c r="K87" s="101"/>
      <c r="L87" s="101"/>
      <c r="M87" s="101">
        <f t="shared" si="37"/>
        <v>816</v>
      </c>
      <c r="N87" s="54">
        <f t="shared" si="38"/>
        <v>816</v>
      </c>
      <c r="O87" s="101" t="s">
        <v>178</v>
      </c>
      <c r="P87" s="102">
        <f t="shared" si="39"/>
        <v>0.75555555555555554</v>
      </c>
      <c r="Q87" s="102">
        <v>6</v>
      </c>
      <c r="R87" s="99">
        <v>180</v>
      </c>
      <c r="S87" s="55">
        <f t="shared" si="67"/>
        <v>45631</v>
      </c>
      <c r="T87" s="55">
        <v>45626</v>
      </c>
      <c r="U87" s="56">
        <f t="shared" ca="1" si="40"/>
        <v>5</v>
      </c>
      <c r="V87" s="55">
        <f t="shared" si="41"/>
        <v>45647</v>
      </c>
      <c r="W87" s="55"/>
      <c r="X87" s="56">
        <f t="shared" ca="1" si="42"/>
        <v>-193</v>
      </c>
      <c r="Y87" s="55"/>
      <c r="Z87" s="57"/>
      <c r="AA87" s="58" t="str">
        <f t="shared" si="43"/>
        <v>-</v>
      </c>
      <c r="AB87" s="59"/>
      <c r="AC87" s="58" t="str">
        <f t="shared" si="44"/>
        <v/>
      </c>
      <c r="AD87" s="59"/>
      <c r="AE87" s="58" t="str">
        <f t="shared" si="45"/>
        <v/>
      </c>
      <c r="AF87" s="59"/>
      <c r="AG87" s="58" t="str">
        <f t="shared" si="46"/>
        <v/>
      </c>
      <c r="AH87" s="59"/>
      <c r="AI87" s="58" t="str">
        <f t="shared" si="47"/>
        <v/>
      </c>
      <c r="AJ87" s="59"/>
      <c r="AK87" s="58" t="str">
        <f t="shared" si="48"/>
        <v/>
      </c>
      <c r="AL87" s="59"/>
      <c r="AM87" s="58" t="str">
        <f t="shared" si="49"/>
        <v/>
      </c>
      <c r="AN87" s="59"/>
      <c r="AO87" s="58" t="str">
        <f t="shared" si="50"/>
        <v/>
      </c>
      <c r="AP87" s="59"/>
      <c r="AQ87" s="58">
        <f t="shared" si="51"/>
        <v>816</v>
      </c>
      <c r="AR87" s="59"/>
      <c r="AS87" s="58" t="str">
        <f t="shared" si="52"/>
        <v/>
      </c>
      <c r="AT87" s="59"/>
      <c r="AU87" s="58" t="str">
        <f t="shared" si="53"/>
        <v/>
      </c>
      <c r="AV87" s="59"/>
      <c r="AW87" s="58" t="str">
        <f t="shared" si="54"/>
        <v/>
      </c>
      <c r="AX87" s="59"/>
      <c r="AY87" s="58" t="str">
        <f t="shared" si="55"/>
        <v/>
      </c>
      <c r="AZ87" s="59"/>
      <c r="BA87" s="58" t="str">
        <f t="shared" si="56"/>
        <v/>
      </c>
      <c r="BB87" s="59"/>
      <c r="BC87" s="58" t="str">
        <f t="shared" si="57"/>
        <v/>
      </c>
      <c r="BD87" s="59"/>
      <c r="BE87" s="58" t="str">
        <f t="shared" si="58"/>
        <v/>
      </c>
      <c r="BF87" s="59"/>
      <c r="BG87" s="58" t="str">
        <f t="shared" si="59"/>
        <v/>
      </c>
      <c r="BH87" s="59"/>
      <c r="BI87" s="58" t="str">
        <f t="shared" si="60"/>
        <v/>
      </c>
      <c r="BJ87" s="59"/>
      <c r="BK87" s="58" t="str">
        <f t="shared" si="61"/>
        <v/>
      </c>
      <c r="BL87" s="59"/>
      <c r="BM87" s="58" t="str">
        <f t="shared" si="62"/>
        <v/>
      </c>
      <c r="BN87" s="59"/>
      <c r="BO87" s="58" t="str">
        <f t="shared" si="63"/>
        <v/>
      </c>
      <c r="BP87" s="59"/>
      <c r="BQ87" s="58" t="str">
        <f t="shared" si="64"/>
        <v/>
      </c>
      <c r="BR87" s="59"/>
      <c r="BS87" s="58" t="str">
        <f t="shared" si="65"/>
        <v/>
      </c>
      <c r="BT87" s="59"/>
      <c r="BU87" s="58" t="str">
        <f t="shared" si="66"/>
        <v/>
      </c>
      <c r="BV87" s="59"/>
    </row>
    <row r="88" spans="1:74" ht="14.5">
      <c r="A88" s="51" t="s">
        <v>466</v>
      </c>
      <c r="B88" s="52">
        <v>254</v>
      </c>
      <c r="C88" s="52" t="s">
        <v>89</v>
      </c>
      <c r="D88" s="41">
        <f t="shared" si="36"/>
        <v>2</v>
      </c>
      <c r="E88" s="52" t="s">
        <v>474</v>
      </c>
      <c r="F88" s="52" t="s">
        <v>242</v>
      </c>
      <c r="G88" s="52" t="s">
        <v>327</v>
      </c>
      <c r="H88" s="52" t="s">
        <v>476</v>
      </c>
      <c r="I88" s="53">
        <v>45663</v>
      </c>
      <c r="J88" s="108">
        <v>612</v>
      </c>
      <c r="K88" s="101"/>
      <c r="L88" s="101"/>
      <c r="M88" s="101">
        <f t="shared" si="37"/>
        <v>612</v>
      </c>
      <c r="N88" s="54">
        <f t="shared" si="38"/>
        <v>612</v>
      </c>
      <c r="O88" s="101" t="s">
        <v>178</v>
      </c>
      <c r="P88" s="102">
        <f t="shared" si="39"/>
        <v>0.56666666666666665</v>
      </c>
      <c r="Q88" s="102">
        <v>6</v>
      </c>
      <c r="R88" s="99">
        <v>180</v>
      </c>
      <c r="S88" s="55">
        <f t="shared" si="67"/>
        <v>45631</v>
      </c>
      <c r="T88" s="55">
        <v>45626</v>
      </c>
      <c r="U88" s="56">
        <f t="shared" ca="1" si="40"/>
        <v>5</v>
      </c>
      <c r="V88" s="55">
        <f t="shared" si="41"/>
        <v>45647</v>
      </c>
      <c r="W88" s="55"/>
      <c r="X88" s="56">
        <f t="shared" ca="1" si="42"/>
        <v>-193</v>
      </c>
      <c r="Y88" s="55"/>
      <c r="Z88" s="57"/>
      <c r="AA88" s="58" t="str">
        <f t="shared" si="43"/>
        <v>-</v>
      </c>
      <c r="AB88" s="59"/>
      <c r="AC88" s="58" t="str">
        <f t="shared" si="44"/>
        <v/>
      </c>
      <c r="AD88" s="59"/>
      <c r="AE88" s="58" t="str">
        <f t="shared" si="45"/>
        <v/>
      </c>
      <c r="AF88" s="59"/>
      <c r="AG88" s="58" t="str">
        <f t="shared" si="46"/>
        <v/>
      </c>
      <c r="AH88" s="59"/>
      <c r="AI88" s="58" t="str">
        <f t="shared" si="47"/>
        <v/>
      </c>
      <c r="AJ88" s="59"/>
      <c r="AK88" s="58" t="str">
        <f t="shared" si="48"/>
        <v/>
      </c>
      <c r="AL88" s="59"/>
      <c r="AM88" s="58" t="str">
        <f t="shared" si="49"/>
        <v/>
      </c>
      <c r="AN88" s="59"/>
      <c r="AO88" s="58" t="str">
        <f t="shared" si="50"/>
        <v/>
      </c>
      <c r="AP88" s="59"/>
      <c r="AQ88" s="58">
        <f t="shared" si="51"/>
        <v>612</v>
      </c>
      <c r="AR88" s="59"/>
      <c r="AS88" s="58" t="str">
        <f t="shared" si="52"/>
        <v/>
      </c>
      <c r="AT88" s="59"/>
      <c r="AU88" s="58" t="str">
        <f t="shared" si="53"/>
        <v/>
      </c>
      <c r="AV88" s="59"/>
      <c r="AW88" s="58" t="str">
        <f t="shared" si="54"/>
        <v/>
      </c>
      <c r="AX88" s="59"/>
      <c r="AY88" s="58" t="str">
        <f t="shared" si="55"/>
        <v/>
      </c>
      <c r="AZ88" s="59"/>
      <c r="BA88" s="58" t="str">
        <f t="shared" si="56"/>
        <v/>
      </c>
      <c r="BB88" s="59"/>
      <c r="BC88" s="58" t="str">
        <f t="shared" si="57"/>
        <v/>
      </c>
      <c r="BD88" s="59"/>
      <c r="BE88" s="58" t="str">
        <f t="shared" si="58"/>
        <v/>
      </c>
      <c r="BF88" s="59"/>
      <c r="BG88" s="58" t="str">
        <f t="shared" si="59"/>
        <v/>
      </c>
      <c r="BH88" s="59"/>
      <c r="BI88" s="58" t="str">
        <f t="shared" si="60"/>
        <v/>
      </c>
      <c r="BJ88" s="59"/>
      <c r="BK88" s="58" t="str">
        <f t="shared" si="61"/>
        <v/>
      </c>
      <c r="BL88" s="59"/>
      <c r="BM88" s="58" t="str">
        <f t="shared" si="62"/>
        <v/>
      </c>
      <c r="BN88" s="59"/>
      <c r="BO88" s="58" t="str">
        <f t="shared" si="63"/>
        <v/>
      </c>
      <c r="BP88" s="59"/>
      <c r="BQ88" s="58" t="str">
        <f t="shared" si="64"/>
        <v/>
      </c>
      <c r="BR88" s="59"/>
      <c r="BS88" s="58" t="str">
        <f t="shared" si="65"/>
        <v/>
      </c>
      <c r="BT88" s="59"/>
      <c r="BU88" s="58" t="str">
        <f t="shared" si="66"/>
        <v/>
      </c>
      <c r="BV88" s="59"/>
    </row>
    <row r="89" spans="1:74" ht="14.5">
      <c r="A89" s="51" t="s">
        <v>466</v>
      </c>
      <c r="B89" s="52">
        <v>254</v>
      </c>
      <c r="C89" s="52" t="s">
        <v>89</v>
      </c>
      <c r="D89" s="41">
        <f t="shared" si="36"/>
        <v>2</v>
      </c>
      <c r="E89" s="52" t="s">
        <v>474</v>
      </c>
      <c r="F89" s="52" t="s">
        <v>475</v>
      </c>
      <c r="G89" s="52" t="s">
        <v>327</v>
      </c>
      <c r="H89" s="52" t="s">
        <v>434</v>
      </c>
      <c r="I89" s="53">
        <v>45663</v>
      </c>
      <c r="J89" s="108">
        <v>816</v>
      </c>
      <c r="K89" s="101"/>
      <c r="L89" s="101"/>
      <c r="M89" s="101">
        <f t="shared" si="37"/>
        <v>816</v>
      </c>
      <c r="N89" s="54">
        <f t="shared" si="38"/>
        <v>816</v>
      </c>
      <c r="O89" s="101" t="s">
        <v>178</v>
      </c>
      <c r="P89" s="102">
        <f t="shared" si="39"/>
        <v>1.7</v>
      </c>
      <c r="Q89" s="102">
        <v>6</v>
      </c>
      <c r="R89" s="99">
        <v>80</v>
      </c>
      <c r="S89" s="55">
        <f t="shared" si="67"/>
        <v>45631</v>
      </c>
      <c r="T89" s="55">
        <v>45626</v>
      </c>
      <c r="U89" s="56">
        <f t="shared" ca="1" si="40"/>
        <v>5</v>
      </c>
      <c r="V89" s="55">
        <f t="shared" si="41"/>
        <v>45647</v>
      </c>
      <c r="W89" s="55"/>
      <c r="X89" s="56">
        <f t="shared" ca="1" si="42"/>
        <v>-193</v>
      </c>
      <c r="Y89" s="55"/>
      <c r="Z89" s="57"/>
      <c r="AA89" s="58" t="str">
        <f t="shared" si="43"/>
        <v>-</v>
      </c>
      <c r="AB89" s="59"/>
      <c r="AC89" s="58" t="str">
        <f t="shared" si="44"/>
        <v/>
      </c>
      <c r="AD89" s="59"/>
      <c r="AE89" s="58" t="str">
        <f t="shared" si="45"/>
        <v/>
      </c>
      <c r="AF89" s="59"/>
      <c r="AG89" s="58" t="str">
        <f t="shared" si="46"/>
        <v/>
      </c>
      <c r="AH89" s="59"/>
      <c r="AI89" s="58" t="str">
        <f t="shared" si="47"/>
        <v/>
      </c>
      <c r="AJ89" s="59"/>
      <c r="AK89" s="58" t="str">
        <f t="shared" si="48"/>
        <v/>
      </c>
      <c r="AL89" s="59"/>
      <c r="AM89" s="58" t="str">
        <f t="shared" si="49"/>
        <v/>
      </c>
      <c r="AN89" s="59"/>
      <c r="AO89" s="58" t="str">
        <f t="shared" si="50"/>
        <v/>
      </c>
      <c r="AP89" s="59"/>
      <c r="AQ89" s="58">
        <f t="shared" si="51"/>
        <v>816</v>
      </c>
      <c r="AR89" s="59"/>
      <c r="AS89" s="58" t="str">
        <f t="shared" si="52"/>
        <v/>
      </c>
      <c r="AT89" s="59"/>
      <c r="AU89" s="58" t="str">
        <f t="shared" si="53"/>
        <v/>
      </c>
      <c r="AV89" s="59"/>
      <c r="AW89" s="58" t="str">
        <f t="shared" si="54"/>
        <v/>
      </c>
      <c r="AX89" s="59"/>
      <c r="AY89" s="58" t="str">
        <f t="shared" si="55"/>
        <v/>
      </c>
      <c r="AZ89" s="59"/>
      <c r="BA89" s="58" t="str">
        <f t="shared" si="56"/>
        <v/>
      </c>
      <c r="BB89" s="59"/>
      <c r="BC89" s="58" t="str">
        <f t="shared" si="57"/>
        <v/>
      </c>
      <c r="BD89" s="59"/>
      <c r="BE89" s="58" t="str">
        <f t="shared" si="58"/>
        <v/>
      </c>
      <c r="BF89" s="59"/>
      <c r="BG89" s="58" t="str">
        <f t="shared" si="59"/>
        <v/>
      </c>
      <c r="BH89" s="59"/>
      <c r="BI89" s="58" t="str">
        <f t="shared" si="60"/>
        <v/>
      </c>
      <c r="BJ89" s="59"/>
      <c r="BK89" s="58" t="str">
        <f t="shared" si="61"/>
        <v/>
      </c>
      <c r="BL89" s="59"/>
      <c r="BM89" s="58" t="str">
        <f t="shared" si="62"/>
        <v/>
      </c>
      <c r="BN89" s="59"/>
      <c r="BO89" s="58" t="str">
        <f t="shared" si="63"/>
        <v/>
      </c>
      <c r="BP89" s="59"/>
      <c r="BQ89" s="58" t="str">
        <f t="shared" si="64"/>
        <v/>
      </c>
      <c r="BR89" s="59"/>
      <c r="BS89" s="58" t="str">
        <f t="shared" si="65"/>
        <v/>
      </c>
      <c r="BT89" s="59"/>
      <c r="BU89" s="58" t="str">
        <f t="shared" si="66"/>
        <v/>
      </c>
      <c r="BV89" s="59"/>
    </row>
    <row r="90" spans="1:74" ht="14.5">
      <c r="A90" s="51" t="s">
        <v>466</v>
      </c>
      <c r="B90" s="52">
        <v>254</v>
      </c>
      <c r="C90" s="52" t="s">
        <v>89</v>
      </c>
      <c r="D90" s="41">
        <f t="shared" si="36"/>
        <v>2</v>
      </c>
      <c r="E90" s="52" t="s">
        <v>474</v>
      </c>
      <c r="F90" s="52" t="s">
        <v>472</v>
      </c>
      <c r="G90" s="52" t="s">
        <v>327</v>
      </c>
      <c r="H90" s="52" t="s">
        <v>473</v>
      </c>
      <c r="I90" s="53">
        <v>45663</v>
      </c>
      <c r="J90" s="108">
        <v>306</v>
      </c>
      <c r="K90" s="101"/>
      <c r="L90" s="101"/>
      <c r="M90" s="101">
        <f t="shared" si="37"/>
        <v>306</v>
      </c>
      <c r="N90" s="54">
        <f t="shared" si="38"/>
        <v>306</v>
      </c>
      <c r="O90" s="101" t="s">
        <v>178</v>
      </c>
      <c r="P90" s="102">
        <f t="shared" si="39"/>
        <v>0.63749999999999996</v>
      </c>
      <c r="Q90" s="102">
        <v>6</v>
      </c>
      <c r="R90" s="99">
        <v>80</v>
      </c>
      <c r="S90" s="55">
        <f t="shared" si="67"/>
        <v>45631</v>
      </c>
      <c r="T90" s="55">
        <v>45626</v>
      </c>
      <c r="U90" s="56">
        <f t="shared" ca="1" si="40"/>
        <v>5</v>
      </c>
      <c r="V90" s="55">
        <f t="shared" si="41"/>
        <v>45647</v>
      </c>
      <c r="W90" s="55"/>
      <c r="X90" s="56">
        <f t="shared" ca="1" si="42"/>
        <v>-193</v>
      </c>
      <c r="Y90" s="55"/>
      <c r="Z90" s="57"/>
      <c r="AA90" s="58" t="str">
        <f t="shared" si="43"/>
        <v>-</v>
      </c>
      <c r="AB90" s="59"/>
      <c r="AC90" s="58" t="str">
        <f t="shared" si="44"/>
        <v/>
      </c>
      <c r="AD90" s="59"/>
      <c r="AE90" s="58" t="str">
        <f t="shared" si="45"/>
        <v/>
      </c>
      <c r="AF90" s="59"/>
      <c r="AG90" s="58" t="str">
        <f t="shared" si="46"/>
        <v/>
      </c>
      <c r="AH90" s="59"/>
      <c r="AI90" s="58" t="str">
        <f t="shared" si="47"/>
        <v/>
      </c>
      <c r="AJ90" s="59"/>
      <c r="AK90" s="58" t="str">
        <f t="shared" si="48"/>
        <v/>
      </c>
      <c r="AL90" s="59"/>
      <c r="AM90" s="58" t="str">
        <f t="shared" si="49"/>
        <v/>
      </c>
      <c r="AN90" s="59"/>
      <c r="AO90" s="58" t="str">
        <f t="shared" si="50"/>
        <v/>
      </c>
      <c r="AP90" s="59"/>
      <c r="AQ90" s="58">
        <f t="shared" si="51"/>
        <v>306</v>
      </c>
      <c r="AR90" s="59"/>
      <c r="AS90" s="58" t="str">
        <f t="shared" si="52"/>
        <v/>
      </c>
      <c r="AT90" s="59"/>
      <c r="AU90" s="58" t="str">
        <f t="shared" si="53"/>
        <v/>
      </c>
      <c r="AV90" s="59"/>
      <c r="AW90" s="58" t="str">
        <f t="shared" si="54"/>
        <v/>
      </c>
      <c r="AX90" s="59"/>
      <c r="AY90" s="58" t="str">
        <f t="shared" si="55"/>
        <v/>
      </c>
      <c r="AZ90" s="59"/>
      <c r="BA90" s="58" t="str">
        <f t="shared" si="56"/>
        <v/>
      </c>
      <c r="BB90" s="59"/>
      <c r="BC90" s="58" t="str">
        <f t="shared" si="57"/>
        <v/>
      </c>
      <c r="BD90" s="59"/>
      <c r="BE90" s="58" t="str">
        <f t="shared" si="58"/>
        <v/>
      </c>
      <c r="BF90" s="59"/>
      <c r="BG90" s="58" t="str">
        <f t="shared" si="59"/>
        <v/>
      </c>
      <c r="BH90" s="59"/>
      <c r="BI90" s="58" t="str">
        <f t="shared" si="60"/>
        <v/>
      </c>
      <c r="BJ90" s="59"/>
      <c r="BK90" s="58" t="str">
        <f t="shared" si="61"/>
        <v/>
      </c>
      <c r="BL90" s="59"/>
      <c r="BM90" s="58" t="str">
        <f t="shared" si="62"/>
        <v/>
      </c>
      <c r="BN90" s="59"/>
      <c r="BO90" s="58" t="str">
        <f t="shared" si="63"/>
        <v/>
      </c>
      <c r="BP90" s="59"/>
      <c r="BQ90" s="58" t="str">
        <f t="shared" si="64"/>
        <v/>
      </c>
      <c r="BR90" s="59"/>
      <c r="BS90" s="58" t="str">
        <f t="shared" si="65"/>
        <v/>
      </c>
      <c r="BT90" s="59"/>
      <c r="BU90" s="58" t="str">
        <f t="shared" si="66"/>
        <v/>
      </c>
      <c r="BV90" s="59"/>
    </row>
    <row r="91" spans="1:74" ht="14.5">
      <c r="A91" s="51" t="s">
        <v>466</v>
      </c>
      <c r="B91" s="52">
        <v>254</v>
      </c>
      <c r="C91" s="52" t="s">
        <v>89</v>
      </c>
      <c r="D91" s="41">
        <f t="shared" si="36"/>
        <v>2</v>
      </c>
      <c r="E91" s="52" t="s">
        <v>477</v>
      </c>
      <c r="F91" s="52" t="s">
        <v>242</v>
      </c>
      <c r="G91" s="52" t="s">
        <v>332</v>
      </c>
      <c r="H91" s="52" t="s">
        <v>434</v>
      </c>
      <c r="I91" s="53">
        <v>45663</v>
      </c>
      <c r="J91" s="108">
        <v>816</v>
      </c>
      <c r="K91" s="101"/>
      <c r="L91" s="101"/>
      <c r="M91" s="101">
        <f t="shared" si="37"/>
        <v>816</v>
      </c>
      <c r="N91" s="54">
        <f t="shared" si="38"/>
        <v>816</v>
      </c>
      <c r="O91" s="101" t="s">
        <v>178</v>
      </c>
      <c r="P91" s="102">
        <f t="shared" si="39"/>
        <v>0.75555555555555554</v>
      </c>
      <c r="Q91" s="102">
        <v>6</v>
      </c>
      <c r="R91" s="99">
        <v>180</v>
      </c>
      <c r="S91" s="55">
        <f t="shared" si="67"/>
        <v>45631</v>
      </c>
      <c r="T91" s="55">
        <v>45626</v>
      </c>
      <c r="U91" s="56">
        <f t="shared" ca="1" si="40"/>
        <v>5</v>
      </c>
      <c r="V91" s="55">
        <f t="shared" si="41"/>
        <v>45647</v>
      </c>
      <c r="W91" s="55"/>
      <c r="X91" s="56">
        <f t="shared" ca="1" si="42"/>
        <v>-193</v>
      </c>
      <c r="Y91" s="55"/>
      <c r="Z91" s="57"/>
      <c r="AA91" s="58" t="str">
        <f t="shared" si="43"/>
        <v>-</v>
      </c>
      <c r="AB91" s="59"/>
      <c r="AC91" s="58" t="str">
        <f t="shared" si="44"/>
        <v/>
      </c>
      <c r="AD91" s="59"/>
      <c r="AE91" s="58" t="str">
        <f t="shared" si="45"/>
        <v/>
      </c>
      <c r="AF91" s="59"/>
      <c r="AG91" s="58" t="str">
        <f t="shared" si="46"/>
        <v/>
      </c>
      <c r="AH91" s="59"/>
      <c r="AI91" s="58" t="str">
        <f t="shared" si="47"/>
        <v/>
      </c>
      <c r="AJ91" s="59"/>
      <c r="AK91" s="58" t="str">
        <f t="shared" si="48"/>
        <v/>
      </c>
      <c r="AL91" s="59"/>
      <c r="AM91" s="58" t="str">
        <f t="shared" si="49"/>
        <v/>
      </c>
      <c r="AN91" s="59"/>
      <c r="AO91" s="58" t="str">
        <f t="shared" si="50"/>
        <v/>
      </c>
      <c r="AP91" s="59"/>
      <c r="AQ91" s="58">
        <f t="shared" si="51"/>
        <v>816</v>
      </c>
      <c r="AR91" s="59"/>
      <c r="AS91" s="58" t="str">
        <f t="shared" si="52"/>
        <v/>
      </c>
      <c r="AT91" s="59"/>
      <c r="AU91" s="58" t="str">
        <f t="shared" si="53"/>
        <v/>
      </c>
      <c r="AV91" s="59"/>
      <c r="AW91" s="58" t="str">
        <f t="shared" si="54"/>
        <v/>
      </c>
      <c r="AX91" s="59"/>
      <c r="AY91" s="58" t="str">
        <f t="shared" si="55"/>
        <v/>
      </c>
      <c r="AZ91" s="59"/>
      <c r="BA91" s="58" t="str">
        <f t="shared" si="56"/>
        <v/>
      </c>
      <c r="BB91" s="59"/>
      <c r="BC91" s="58" t="str">
        <f t="shared" si="57"/>
        <v/>
      </c>
      <c r="BD91" s="59"/>
      <c r="BE91" s="58" t="str">
        <f t="shared" si="58"/>
        <v/>
      </c>
      <c r="BF91" s="59"/>
      <c r="BG91" s="58" t="str">
        <f t="shared" si="59"/>
        <v/>
      </c>
      <c r="BH91" s="59"/>
      <c r="BI91" s="58" t="str">
        <f t="shared" si="60"/>
        <v/>
      </c>
      <c r="BJ91" s="59"/>
      <c r="BK91" s="58" t="str">
        <f t="shared" si="61"/>
        <v/>
      </c>
      <c r="BL91" s="59"/>
      <c r="BM91" s="58" t="str">
        <f t="shared" si="62"/>
        <v/>
      </c>
      <c r="BN91" s="59"/>
      <c r="BO91" s="58" t="str">
        <f t="shared" si="63"/>
        <v/>
      </c>
      <c r="BP91" s="59"/>
      <c r="BQ91" s="58" t="str">
        <f t="shared" si="64"/>
        <v/>
      </c>
      <c r="BR91" s="59"/>
      <c r="BS91" s="58" t="str">
        <f t="shared" si="65"/>
        <v/>
      </c>
      <c r="BT91" s="59"/>
      <c r="BU91" s="58" t="str">
        <f t="shared" si="66"/>
        <v/>
      </c>
      <c r="BV91" s="59"/>
    </row>
    <row r="92" spans="1:74" ht="14.5">
      <c r="A92" s="51" t="s">
        <v>466</v>
      </c>
      <c r="B92" s="52">
        <v>254</v>
      </c>
      <c r="C92" s="52" t="s">
        <v>89</v>
      </c>
      <c r="D92" s="41">
        <f t="shared" si="36"/>
        <v>2</v>
      </c>
      <c r="E92" s="52" t="s">
        <v>477</v>
      </c>
      <c r="F92" s="52" t="s">
        <v>242</v>
      </c>
      <c r="G92" s="52" t="s">
        <v>334</v>
      </c>
      <c r="H92" s="52" t="s">
        <v>434</v>
      </c>
      <c r="I92" s="53">
        <v>45663</v>
      </c>
      <c r="J92" s="108">
        <v>816</v>
      </c>
      <c r="K92" s="101"/>
      <c r="L92" s="101"/>
      <c r="M92" s="101">
        <f t="shared" si="37"/>
        <v>816</v>
      </c>
      <c r="N92" s="54">
        <f t="shared" si="38"/>
        <v>816</v>
      </c>
      <c r="O92" s="101" t="s">
        <v>178</v>
      </c>
      <c r="P92" s="102">
        <f t="shared" si="39"/>
        <v>0.75555555555555554</v>
      </c>
      <c r="Q92" s="102">
        <v>6</v>
      </c>
      <c r="R92" s="99">
        <v>180</v>
      </c>
      <c r="S92" s="55">
        <f t="shared" si="67"/>
        <v>45631</v>
      </c>
      <c r="T92" s="55">
        <v>45626</v>
      </c>
      <c r="U92" s="56">
        <f t="shared" ca="1" si="40"/>
        <v>5</v>
      </c>
      <c r="V92" s="55">
        <f t="shared" si="41"/>
        <v>45647</v>
      </c>
      <c r="W92" s="55"/>
      <c r="X92" s="56">
        <f t="shared" ca="1" si="42"/>
        <v>-193</v>
      </c>
      <c r="Y92" s="55"/>
      <c r="Z92" s="57"/>
      <c r="AA92" s="58" t="str">
        <f t="shared" si="43"/>
        <v>-</v>
      </c>
      <c r="AB92" s="59"/>
      <c r="AC92" s="58" t="str">
        <f t="shared" si="44"/>
        <v/>
      </c>
      <c r="AD92" s="59"/>
      <c r="AE92" s="58" t="str">
        <f t="shared" si="45"/>
        <v/>
      </c>
      <c r="AF92" s="59"/>
      <c r="AG92" s="58" t="str">
        <f t="shared" si="46"/>
        <v/>
      </c>
      <c r="AH92" s="59"/>
      <c r="AI92" s="58" t="str">
        <f t="shared" si="47"/>
        <v/>
      </c>
      <c r="AJ92" s="59"/>
      <c r="AK92" s="58" t="str">
        <f t="shared" si="48"/>
        <v/>
      </c>
      <c r="AL92" s="59"/>
      <c r="AM92" s="58" t="str">
        <f t="shared" si="49"/>
        <v/>
      </c>
      <c r="AN92" s="59"/>
      <c r="AO92" s="58" t="str">
        <f t="shared" si="50"/>
        <v/>
      </c>
      <c r="AP92" s="59"/>
      <c r="AQ92" s="58">
        <f t="shared" si="51"/>
        <v>816</v>
      </c>
      <c r="AR92" s="59"/>
      <c r="AS92" s="58" t="str">
        <f t="shared" si="52"/>
        <v/>
      </c>
      <c r="AT92" s="59"/>
      <c r="AU92" s="58" t="str">
        <f t="shared" si="53"/>
        <v/>
      </c>
      <c r="AV92" s="59"/>
      <c r="AW92" s="58" t="str">
        <f t="shared" si="54"/>
        <v/>
      </c>
      <c r="AX92" s="59"/>
      <c r="AY92" s="58" t="str">
        <f t="shared" si="55"/>
        <v/>
      </c>
      <c r="AZ92" s="59"/>
      <c r="BA92" s="58" t="str">
        <f t="shared" si="56"/>
        <v/>
      </c>
      <c r="BB92" s="59"/>
      <c r="BC92" s="58" t="str">
        <f t="shared" si="57"/>
        <v/>
      </c>
      <c r="BD92" s="59"/>
      <c r="BE92" s="58" t="str">
        <f t="shared" si="58"/>
        <v/>
      </c>
      <c r="BF92" s="59"/>
      <c r="BG92" s="58" t="str">
        <f t="shared" si="59"/>
        <v/>
      </c>
      <c r="BH92" s="59"/>
      <c r="BI92" s="58" t="str">
        <f t="shared" si="60"/>
        <v/>
      </c>
      <c r="BJ92" s="59"/>
      <c r="BK92" s="58" t="str">
        <f t="shared" si="61"/>
        <v/>
      </c>
      <c r="BL92" s="59"/>
      <c r="BM92" s="58" t="str">
        <f t="shared" si="62"/>
        <v/>
      </c>
      <c r="BN92" s="59"/>
      <c r="BO92" s="58" t="str">
        <f t="shared" si="63"/>
        <v/>
      </c>
      <c r="BP92" s="59"/>
      <c r="BQ92" s="58" t="str">
        <f t="shared" si="64"/>
        <v/>
      </c>
      <c r="BR92" s="59"/>
      <c r="BS92" s="58" t="str">
        <f t="shared" si="65"/>
        <v/>
      </c>
      <c r="BT92" s="59"/>
      <c r="BU92" s="58" t="str">
        <f t="shared" si="66"/>
        <v/>
      </c>
      <c r="BV92" s="59"/>
    </row>
    <row r="93" spans="1:74" ht="14.5">
      <c r="A93" s="51" t="s">
        <v>466</v>
      </c>
      <c r="B93" s="52">
        <v>254</v>
      </c>
      <c r="C93" s="52" t="s">
        <v>89</v>
      </c>
      <c r="D93" s="41">
        <f t="shared" si="36"/>
        <v>2</v>
      </c>
      <c r="E93" s="52" t="s">
        <v>477</v>
      </c>
      <c r="F93" s="52" t="s">
        <v>242</v>
      </c>
      <c r="G93" s="52" t="s">
        <v>332</v>
      </c>
      <c r="H93" s="52" t="s">
        <v>434</v>
      </c>
      <c r="I93" s="53">
        <v>45663</v>
      </c>
      <c r="J93" s="108">
        <v>312</v>
      </c>
      <c r="K93" s="101"/>
      <c r="L93" s="101"/>
      <c r="M93" s="101">
        <f t="shared" si="37"/>
        <v>312</v>
      </c>
      <c r="N93" s="54">
        <f t="shared" si="38"/>
        <v>312</v>
      </c>
      <c r="O93" s="101" t="s">
        <v>178</v>
      </c>
      <c r="P93" s="102">
        <f t="shared" si="39"/>
        <v>0.28888888888888886</v>
      </c>
      <c r="Q93" s="102">
        <v>6</v>
      </c>
      <c r="R93" s="99">
        <v>180</v>
      </c>
      <c r="S93" s="55">
        <f t="shared" si="67"/>
        <v>45631</v>
      </c>
      <c r="T93" s="55">
        <v>45626</v>
      </c>
      <c r="U93" s="56">
        <f t="shared" ca="1" si="40"/>
        <v>5</v>
      </c>
      <c r="V93" s="55">
        <f t="shared" si="41"/>
        <v>45647</v>
      </c>
      <c r="W93" s="55"/>
      <c r="X93" s="56">
        <f t="shared" ca="1" si="42"/>
        <v>-193</v>
      </c>
      <c r="Y93" s="55"/>
      <c r="Z93" s="57"/>
      <c r="AA93" s="58" t="str">
        <f t="shared" si="43"/>
        <v>-</v>
      </c>
      <c r="AB93" s="59"/>
      <c r="AC93" s="58" t="str">
        <f t="shared" si="44"/>
        <v/>
      </c>
      <c r="AD93" s="59"/>
      <c r="AE93" s="58" t="str">
        <f t="shared" si="45"/>
        <v/>
      </c>
      <c r="AF93" s="59"/>
      <c r="AG93" s="58" t="str">
        <f t="shared" si="46"/>
        <v/>
      </c>
      <c r="AH93" s="59"/>
      <c r="AI93" s="58" t="str">
        <f t="shared" si="47"/>
        <v/>
      </c>
      <c r="AJ93" s="59"/>
      <c r="AK93" s="58" t="str">
        <f t="shared" si="48"/>
        <v/>
      </c>
      <c r="AL93" s="59"/>
      <c r="AM93" s="58" t="str">
        <f t="shared" si="49"/>
        <v/>
      </c>
      <c r="AN93" s="59"/>
      <c r="AO93" s="58" t="str">
        <f t="shared" si="50"/>
        <v/>
      </c>
      <c r="AP93" s="59"/>
      <c r="AQ93" s="58">
        <f t="shared" si="51"/>
        <v>312</v>
      </c>
      <c r="AR93" s="59"/>
      <c r="AS93" s="58" t="str">
        <f t="shared" si="52"/>
        <v/>
      </c>
      <c r="AT93" s="59"/>
      <c r="AU93" s="58" t="str">
        <f t="shared" si="53"/>
        <v/>
      </c>
      <c r="AV93" s="59"/>
      <c r="AW93" s="58" t="str">
        <f t="shared" si="54"/>
        <v/>
      </c>
      <c r="AX93" s="59"/>
      <c r="AY93" s="58" t="str">
        <f t="shared" si="55"/>
        <v/>
      </c>
      <c r="AZ93" s="59"/>
      <c r="BA93" s="58" t="str">
        <f t="shared" si="56"/>
        <v/>
      </c>
      <c r="BB93" s="59"/>
      <c r="BC93" s="58" t="str">
        <f t="shared" si="57"/>
        <v/>
      </c>
      <c r="BD93" s="59"/>
      <c r="BE93" s="58" t="str">
        <f t="shared" si="58"/>
        <v/>
      </c>
      <c r="BF93" s="59"/>
      <c r="BG93" s="58" t="str">
        <f t="shared" si="59"/>
        <v/>
      </c>
      <c r="BH93" s="59"/>
      <c r="BI93" s="58" t="str">
        <f t="shared" si="60"/>
        <v/>
      </c>
      <c r="BJ93" s="59"/>
      <c r="BK93" s="58" t="str">
        <f t="shared" si="61"/>
        <v/>
      </c>
      <c r="BL93" s="59"/>
      <c r="BM93" s="58" t="str">
        <f t="shared" si="62"/>
        <v/>
      </c>
      <c r="BN93" s="59"/>
      <c r="BO93" s="58" t="str">
        <f t="shared" si="63"/>
        <v/>
      </c>
      <c r="BP93" s="59"/>
      <c r="BQ93" s="58" t="str">
        <f t="shared" si="64"/>
        <v/>
      </c>
      <c r="BR93" s="59"/>
      <c r="BS93" s="58" t="str">
        <f t="shared" si="65"/>
        <v/>
      </c>
      <c r="BT93" s="59"/>
      <c r="BU93" s="58" t="str">
        <f t="shared" si="66"/>
        <v/>
      </c>
      <c r="BV93" s="59"/>
    </row>
    <row r="94" spans="1:74" ht="14.5">
      <c r="A94" s="51" t="s">
        <v>466</v>
      </c>
      <c r="B94" s="52">
        <v>254</v>
      </c>
      <c r="C94" s="52" t="s">
        <v>89</v>
      </c>
      <c r="D94" s="41">
        <f t="shared" si="36"/>
        <v>2</v>
      </c>
      <c r="E94" s="52" t="s">
        <v>477</v>
      </c>
      <c r="F94" s="52" t="s">
        <v>242</v>
      </c>
      <c r="G94" s="52" t="s">
        <v>334</v>
      </c>
      <c r="H94" s="52" t="s">
        <v>434</v>
      </c>
      <c r="I94" s="53">
        <v>45663</v>
      </c>
      <c r="J94" s="108">
        <v>312</v>
      </c>
      <c r="K94" s="101"/>
      <c r="L94" s="101"/>
      <c r="M94" s="101">
        <f t="shared" si="37"/>
        <v>312</v>
      </c>
      <c r="N94" s="54">
        <f t="shared" si="38"/>
        <v>312</v>
      </c>
      <c r="O94" s="101" t="s">
        <v>178</v>
      </c>
      <c r="P94" s="102">
        <f t="shared" si="39"/>
        <v>0.28888888888888886</v>
      </c>
      <c r="Q94" s="102">
        <v>6</v>
      </c>
      <c r="R94" s="99">
        <v>180</v>
      </c>
      <c r="S94" s="55">
        <f t="shared" si="67"/>
        <v>45631</v>
      </c>
      <c r="T94" s="55">
        <v>45626</v>
      </c>
      <c r="U94" s="56">
        <f t="shared" ca="1" si="40"/>
        <v>5</v>
      </c>
      <c r="V94" s="55">
        <f t="shared" si="41"/>
        <v>45647</v>
      </c>
      <c r="W94" s="55"/>
      <c r="X94" s="56">
        <f t="shared" ca="1" si="42"/>
        <v>-193</v>
      </c>
      <c r="Y94" s="55"/>
      <c r="Z94" s="57"/>
      <c r="AA94" s="58" t="str">
        <f t="shared" si="43"/>
        <v>-</v>
      </c>
      <c r="AB94" s="59"/>
      <c r="AC94" s="58" t="str">
        <f t="shared" si="44"/>
        <v/>
      </c>
      <c r="AD94" s="59"/>
      <c r="AE94" s="58" t="str">
        <f t="shared" si="45"/>
        <v/>
      </c>
      <c r="AF94" s="59"/>
      <c r="AG94" s="58" t="str">
        <f t="shared" si="46"/>
        <v/>
      </c>
      <c r="AH94" s="59"/>
      <c r="AI94" s="58" t="str">
        <f t="shared" si="47"/>
        <v/>
      </c>
      <c r="AJ94" s="59"/>
      <c r="AK94" s="58" t="str">
        <f t="shared" si="48"/>
        <v/>
      </c>
      <c r="AL94" s="59"/>
      <c r="AM94" s="58" t="str">
        <f t="shared" si="49"/>
        <v/>
      </c>
      <c r="AN94" s="59"/>
      <c r="AO94" s="58" t="str">
        <f t="shared" si="50"/>
        <v/>
      </c>
      <c r="AP94" s="59"/>
      <c r="AQ94" s="58">
        <f t="shared" si="51"/>
        <v>312</v>
      </c>
      <c r="AR94" s="59"/>
      <c r="AS94" s="58" t="str">
        <f t="shared" si="52"/>
        <v/>
      </c>
      <c r="AT94" s="59"/>
      <c r="AU94" s="58" t="str">
        <f t="shared" si="53"/>
        <v/>
      </c>
      <c r="AV94" s="59"/>
      <c r="AW94" s="58" t="str">
        <f t="shared" si="54"/>
        <v/>
      </c>
      <c r="AX94" s="59"/>
      <c r="AY94" s="58" t="str">
        <f t="shared" si="55"/>
        <v/>
      </c>
      <c r="AZ94" s="59"/>
      <c r="BA94" s="58" t="str">
        <f t="shared" si="56"/>
        <v/>
      </c>
      <c r="BB94" s="59"/>
      <c r="BC94" s="58" t="str">
        <f t="shared" si="57"/>
        <v/>
      </c>
      <c r="BD94" s="59"/>
      <c r="BE94" s="58" t="str">
        <f t="shared" si="58"/>
        <v/>
      </c>
      <c r="BF94" s="59"/>
      <c r="BG94" s="58" t="str">
        <f t="shared" si="59"/>
        <v/>
      </c>
      <c r="BH94" s="59"/>
      <c r="BI94" s="58" t="str">
        <f t="shared" si="60"/>
        <v/>
      </c>
      <c r="BJ94" s="59"/>
      <c r="BK94" s="58" t="str">
        <f t="shared" si="61"/>
        <v/>
      </c>
      <c r="BL94" s="59"/>
      <c r="BM94" s="58" t="str">
        <f t="shared" si="62"/>
        <v/>
      </c>
      <c r="BN94" s="59"/>
      <c r="BO94" s="58" t="str">
        <f t="shared" si="63"/>
        <v/>
      </c>
      <c r="BP94" s="59"/>
      <c r="BQ94" s="58" t="str">
        <f t="shared" si="64"/>
        <v/>
      </c>
      <c r="BR94" s="59"/>
      <c r="BS94" s="58" t="str">
        <f t="shared" si="65"/>
        <v/>
      </c>
      <c r="BT94" s="59"/>
      <c r="BU94" s="58" t="str">
        <f t="shared" si="66"/>
        <v/>
      </c>
      <c r="BV94" s="59"/>
    </row>
    <row r="95" spans="1:74" ht="14.5">
      <c r="A95" s="51" t="s">
        <v>466</v>
      </c>
      <c r="B95" s="52">
        <v>254</v>
      </c>
      <c r="C95" s="52" t="s">
        <v>89</v>
      </c>
      <c r="D95" s="41">
        <f t="shared" si="36"/>
        <v>2</v>
      </c>
      <c r="E95" s="52" t="s">
        <v>478</v>
      </c>
      <c r="F95" s="52" t="s">
        <v>242</v>
      </c>
      <c r="G95" s="52" t="s">
        <v>334</v>
      </c>
      <c r="H95" s="52" t="s">
        <v>430</v>
      </c>
      <c r="I95" s="53">
        <v>45663</v>
      </c>
      <c r="J95" s="108">
        <v>816</v>
      </c>
      <c r="K95" s="101"/>
      <c r="L95" s="101"/>
      <c r="M95" s="101">
        <f t="shared" si="37"/>
        <v>816</v>
      </c>
      <c r="N95" s="54">
        <f t="shared" si="38"/>
        <v>816</v>
      </c>
      <c r="O95" s="101" t="s">
        <v>178</v>
      </c>
      <c r="P95" s="102">
        <f t="shared" si="39"/>
        <v>0.38857142857142857</v>
      </c>
      <c r="Q95" s="102">
        <v>6</v>
      </c>
      <c r="R95" s="99">
        <v>350</v>
      </c>
      <c r="S95" s="55">
        <f t="shared" si="67"/>
        <v>45631</v>
      </c>
      <c r="T95" s="55">
        <v>45626</v>
      </c>
      <c r="U95" s="56">
        <f t="shared" ca="1" si="40"/>
        <v>5</v>
      </c>
      <c r="V95" s="55">
        <f t="shared" si="41"/>
        <v>45647</v>
      </c>
      <c r="W95" s="55"/>
      <c r="X95" s="56">
        <f t="shared" ca="1" si="42"/>
        <v>-193</v>
      </c>
      <c r="Y95" s="55"/>
      <c r="Z95" s="57"/>
      <c r="AA95" s="58" t="str">
        <f t="shared" si="43"/>
        <v>-</v>
      </c>
      <c r="AB95" s="59"/>
      <c r="AC95" s="58" t="str">
        <f t="shared" si="44"/>
        <v/>
      </c>
      <c r="AD95" s="59"/>
      <c r="AE95" s="58" t="str">
        <f t="shared" si="45"/>
        <v/>
      </c>
      <c r="AF95" s="59"/>
      <c r="AG95" s="58" t="str">
        <f t="shared" si="46"/>
        <v/>
      </c>
      <c r="AH95" s="59"/>
      <c r="AI95" s="58" t="str">
        <f t="shared" si="47"/>
        <v/>
      </c>
      <c r="AJ95" s="59"/>
      <c r="AK95" s="58" t="str">
        <f t="shared" si="48"/>
        <v/>
      </c>
      <c r="AL95" s="59"/>
      <c r="AM95" s="58" t="str">
        <f t="shared" si="49"/>
        <v/>
      </c>
      <c r="AN95" s="59"/>
      <c r="AO95" s="58" t="str">
        <f t="shared" si="50"/>
        <v/>
      </c>
      <c r="AP95" s="59"/>
      <c r="AQ95" s="58">
        <f t="shared" si="51"/>
        <v>816</v>
      </c>
      <c r="AR95" s="59"/>
      <c r="AS95" s="58" t="str">
        <f t="shared" si="52"/>
        <v/>
      </c>
      <c r="AT95" s="59"/>
      <c r="AU95" s="58" t="str">
        <f t="shared" si="53"/>
        <v/>
      </c>
      <c r="AV95" s="59"/>
      <c r="AW95" s="58" t="str">
        <f t="shared" si="54"/>
        <v/>
      </c>
      <c r="AX95" s="59"/>
      <c r="AY95" s="58" t="str">
        <f t="shared" si="55"/>
        <v/>
      </c>
      <c r="AZ95" s="59"/>
      <c r="BA95" s="58" t="str">
        <f t="shared" si="56"/>
        <v/>
      </c>
      <c r="BB95" s="59"/>
      <c r="BC95" s="58" t="str">
        <f t="shared" si="57"/>
        <v/>
      </c>
      <c r="BD95" s="59"/>
      <c r="BE95" s="58" t="str">
        <f t="shared" si="58"/>
        <v/>
      </c>
      <c r="BF95" s="59"/>
      <c r="BG95" s="58" t="str">
        <f t="shared" si="59"/>
        <v/>
      </c>
      <c r="BH95" s="59"/>
      <c r="BI95" s="58" t="str">
        <f t="shared" si="60"/>
        <v/>
      </c>
      <c r="BJ95" s="59"/>
      <c r="BK95" s="58" t="str">
        <f t="shared" si="61"/>
        <v/>
      </c>
      <c r="BL95" s="59"/>
      <c r="BM95" s="58" t="str">
        <f t="shared" si="62"/>
        <v/>
      </c>
      <c r="BN95" s="59"/>
      <c r="BO95" s="58" t="str">
        <f t="shared" si="63"/>
        <v/>
      </c>
      <c r="BP95" s="59"/>
      <c r="BQ95" s="58" t="str">
        <f t="shared" si="64"/>
        <v/>
      </c>
      <c r="BR95" s="59"/>
      <c r="BS95" s="58" t="str">
        <f t="shared" si="65"/>
        <v/>
      </c>
      <c r="BT95" s="59"/>
      <c r="BU95" s="58" t="str">
        <f t="shared" si="66"/>
        <v/>
      </c>
      <c r="BV95" s="59"/>
    </row>
    <row r="96" spans="1:74" ht="14.5">
      <c r="A96" s="51" t="s">
        <v>466</v>
      </c>
      <c r="B96" s="52">
        <v>254</v>
      </c>
      <c r="C96" s="52" t="s">
        <v>89</v>
      </c>
      <c r="D96" s="41">
        <f t="shared" si="36"/>
        <v>2</v>
      </c>
      <c r="E96" s="52" t="s">
        <v>478</v>
      </c>
      <c r="F96" s="52" t="s">
        <v>242</v>
      </c>
      <c r="G96" s="52" t="s">
        <v>316</v>
      </c>
      <c r="H96" s="52" t="s">
        <v>430</v>
      </c>
      <c r="I96" s="53">
        <v>45663</v>
      </c>
      <c r="J96" s="108">
        <v>816</v>
      </c>
      <c r="K96" s="101"/>
      <c r="L96" s="101"/>
      <c r="M96" s="101">
        <f t="shared" si="37"/>
        <v>816</v>
      </c>
      <c r="N96" s="54">
        <f t="shared" si="38"/>
        <v>816</v>
      </c>
      <c r="O96" s="101" t="s">
        <v>178</v>
      </c>
      <c r="P96" s="102">
        <f t="shared" si="39"/>
        <v>0.38857142857142857</v>
      </c>
      <c r="Q96" s="102">
        <v>6</v>
      </c>
      <c r="R96" s="99">
        <v>350</v>
      </c>
      <c r="S96" s="55">
        <f t="shared" si="67"/>
        <v>45631</v>
      </c>
      <c r="T96" s="55">
        <v>45626</v>
      </c>
      <c r="U96" s="56">
        <f t="shared" ca="1" si="40"/>
        <v>5</v>
      </c>
      <c r="V96" s="55">
        <f t="shared" si="41"/>
        <v>45647</v>
      </c>
      <c r="W96" s="55"/>
      <c r="X96" s="56">
        <f t="shared" ca="1" si="42"/>
        <v>-193</v>
      </c>
      <c r="Y96" s="55"/>
      <c r="Z96" s="57"/>
      <c r="AA96" s="58" t="str">
        <f t="shared" si="43"/>
        <v>-</v>
      </c>
      <c r="AB96" s="59"/>
      <c r="AC96" s="58" t="str">
        <f t="shared" si="44"/>
        <v/>
      </c>
      <c r="AD96" s="59"/>
      <c r="AE96" s="58" t="str">
        <f t="shared" si="45"/>
        <v/>
      </c>
      <c r="AF96" s="59"/>
      <c r="AG96" s="58" t="str">
        <f t="shared" si="46"/>
        <v/>
      </c>
      <c r="AH96" s="59"/>
      <c r="AI96" s="58" t="str">
        <f t="shared" si="47"/>
        <v/>
      </c>
      <c r="AJ96" s="59"/>
      <c r="AK96" s="58" t="str">
        <f t="shared" si="48"/>
        <v/>
      </c>
      <c r="AL96" s="59"/>
      <c r="AM96" s="58" t="str">
        <f t="shared" si="49"/>
        <v/>
      </c>
      <c r="AN96" s="59"/>
      <c r="AO96" s="58" t="str">
        <f t="shared" si="50"/>
        <v/>
      </c>
      <c r="AP96" s="59"/>
      <c r="AQ96" s="58">
        <f t="shared" si="51"/>
        <v>816</v>
      </c>
      <c r="AR96" s="59"/>
      <c r="AS96" s="58" t="str">
        <f t="shared" si="52"/>
        <v/>
      </c>
      <c r="AT96" s="59"/>
      <c r="AU96" s="58" t="str">
        <f t="shared" si="53"/>
        <v/>
      </c>
      <c r="AV96" s="59"/>
      <c r="AW96" s="58" t="str">
        <f t="shared" si="54"/>
        <v/>
      </c>
      <c r="AX96" s="59"/>
      <c r="AY96" s="58" t="str">
        <f t="shared" si="55"/>
        <v/>
      </c>
      <c r="AZ96" s="59"/>
      <c r="BA96" s="58" t="str">
        <f t="shared" si="56"/>
        <v/>
      </c>
      <c r="BB96" s="59"/>
      <c r="BC96" s="58" t="str">
        <f t="shared" si="57"/>
        <v/>
      </c>
      <c r="BD96" s="59"/>
      <c r="BE96" s="58" t="str">
        <f t="shared" si="58"/>
        <v/>
      </c>
      <c r="BF96" s="59"/>
      <c r="BG96" s="58" t="str">
        <f t="shared" si="59"/>
        <v/>
      </c>
      <c r="BH96" s="59"/>
      <c r="BI96" s="58" t="str">
        <f t="shared" si="60"/>
        <v/>
      </c>
      <c r="BJ96" s="59"/>
      <c r="BK96" s="58" t="str">
        <f t="shared" si="61"/>
        <v/>
      </c>
      <c r="BL96" s="59"/>
      <c r="BM96" s="58" t="str">
        <f t="shared" si="62"/>
        <v/>
      </c>
      <c r="BN96" s="59"/>
      <c r="BO96" s="58" t="str">
        <f t="shared" si="63"/>
        <v/>
      </c>
      <c r="BP96" s="59"/>
      <c r="BQ96" s="58" t="str">
        <f t="shared" si="64"/>
        <v/>
      </c>
      <c r="BR96" s="59"/>
      <c r="BS96" s="58" t="str">
        <f t="shared" si="65"/>
        <v/>
      </c>
      <c r="BT96" s="59"/>
      <c r="BU96" s="58" t="str">
        <f t="shared" si="66"/>
        <v/>
      </c>
      <c r="BV96" s="59"/>
    </row>
    <row r="97" spans="1:74" ht="14.5">
      <c r="A97" s="51" t="s">
        <v>466</v>
      </c>
      <c r="B97" s="52">
        <v>254</v>
      </c>
      <c r="C97" s="52" t="s">
        <v>89</v>
      </c>
      <c r="D97" s="41">
        <f t="shared" si="36"/>
        <v>2</v>
      </c>
      <c r="E97" s="52" t="s">
        <v>478</v>
      </c>
      <c r="F97" s="52" t="s">
        <v>242</v>
      </c>
      <c r="G97" s="52" t="s">
        <v>332</v>
      </c>
      <c r="H97" s="52" t="s">
        <v>430</v>
      </c>
      <c r="I97" s="53">
        <v>45663</v>
      </c>
      <c r="J97" s="108">
        <v>816</v>
      </c>
      <c r="K97" s="101"/>
      <c r="L97" s="101"/>
      <c r="M97" s="101">
        <f t="shared" si="37"/>
        <v>816</v>
      </c>
      <c r="N97" s="54">
        <f t="shared" si="38"/>
        <v>816</v>
      </c>
      <c r="O97" s="101" t="s">
        <v>178</v>
      </c>
      <c r="P97" s="102">
        <f t="shared" si="39"/>
        <v>0.38857142857142857</v>
      </c>
      <c r="Q97" s="102">
        <v>6</v>
      </c>
      <c r="R97" s="99">
        <v>350</v>
      </c>
      <c r="S97" s="55">
        <f t="shared" si="67"/>
        <v>45631</v>
      </c>
      <c r="T97" s="55">
        <v>45626</v>
      </c>
      <c r="U97" s="56">
        <f t="shared" ca="1" si="40"/>
        <v>5</v>
      </c>
      <c r="V97" s="55">
        <f t="shared" si="41"/>
        <v>45647</v>
      </c>
      <c r="W97" s="55"/>
      <c r="X97" s="56">
        <f t="shared" ca="1" si="42"/>
        <v>-193</v>
      </c>
      <c r="Y97" s="55"/>
      <c r="Z97" s="57"/>
      <c r="AA97" s="58" t="str">
        <f t="shared" si="43"/>
        <v>-</v>
      </c>
      <c r="AB97" s="59"/>
      <c r="AC97" s="58" t="str">
        <f t="shared" si="44"/>
        <v/>
      </c>
      <c r="AD97" s="59"/>
      <c r="AE97" s="58" t="str">
        <f t="shared" si="45"/>
        <v/>
      </c>
      <c r="AF97" s="59"/>
      <c r="AG97" s="58" t="str">
        <f t="shared" si="46"/>
        <v/>
      </c>
      <c r="AH97" s="59"/>
      <c r="AI97" s="58" t="str">
        <f t="shared" si="47"/>
        <v/>
      </c>
      <c r="AJ97" s="59"/>
      <c r="AK97" s="58" t="str">
        <f t="shared" si="48"/>
        <v/>
      </c>
      <c r="AL97" s="59"/>
      <c r="AM97" s="58" t="str">
        <f t="shared" si="49"/>
        <v/>
      </c>
      <c r="AN97" s="59"/>
      <c r="AO97" s="58" t="str">
        <f t="shared" si="50"/>
        <v/>
      </c>
      <c r="AP97" s="59"/>
      <c r="AQ97" s="58">
        <f t="shared" si="51"/>
        <v>816</v>
      </c>
      <c r="AR97" s="59"/>
      <c r="AS97" s="58" t="str">
        <f t="shared" si="52"/>
        <v/>
      </c>
      <c r="AT97" s="59"/>
      <c r="AU97" s="58" t="str">
        <f t="shared" si="53"/>
        <v/>
      </c>
      <c r="AV97" s="59"/>
      <c r="AW97" s="58" t="str">
        <f t="shared" si="54"/>
        <v/>
      </c>
      <c r="AX97" s="59"/>
      <c r="AY97" s="58" t="str">
        <f t="shared" si="55"/>
        <v/>
      </c>
      <c r="AZ97" s="59"/>
      <c r="BA97" s="58" t="str">
        <f t="shared" si="56"/>
        <v/>
      </c>
      <c r="BB97" s="59"/>
      <c r="BC97" s="58" t="str">
        <f t="shared" si="57"/>
        <v/>
      </c>
      <c r="BD97" s="59"/>
      <c r="BE97" s="58" t="str">
        <f t="shared" si="58"/>
        <v/>
      </c>
      <c r="BF97" s="59"/>
      <c r="BG97" s="58" t="str">
        <f t="shared" si="59"/>
        <v/>
      </c>
      <c r="BH97" s="59"/>
      <c r="BI97" s="58" t="str">
        <f t="shared" si="60"/>
        <v/>
      </c>
      <c r="BJ97" s="59"/>
      <c r="BK97" s="58" t="str">
        <f t="shared" si="61"/>
        <v/>
      </c>
      <c r="BL97" s="59"/>
      <c r="BM97" s="58" t="str">
        <f t="shared" si="62"/>
        <v/>
      </c>
      <c r="BN97" s="59"/>
      <c r="BO97" s="58" t="str">
        <f t="shared" si="63"/>
        <v/>
      </c>
      <c r="BP97" s="59"/>
      <c r="BQ97" s="58" t="str">
        <f t="shared" si="64"/>
        <v/>
      </c>
      <c r="BR97" s="59"/>
      <c r="BS97" s="58" t="str">
        <f t="shared" si="65"/>
        <v/>
      </c>
      <c r="BT97" s="59"/>
      <c r="BU97" s="58" t="str">
        <f t="shared" si="66"/>
        <v/>
      </c>
      <c r="BV97" s="59"/>
    </row>
    <row r="98" spans="1:74" ht="14.5">
      <c r="A98" s="51" t="s">
        <v>466</v>
      </c>
      <c r="B98" s="52">
        <v>254</v>
      </c>
      <c r="C98" s="52" t="s">
        <v>89</v>
      </c>
      <c r="D98" s="41">
        <f t="shared" si="36"/>
        <v>2</v>
      </c>
      <c r="E98" s="52" t="s">
        <v>478</v>
      </c>
      <c r="F98" s="52" t="s">
        <v>242</v>
      </c>
      <c r="G98" s="52" t="s">
        <v>341</v>
      </c>
      <c r="H98" s="52" t="s">
        <v>430</v>
      </c>
      <c r="I98" s="53">
        <v>45663</v>
      </c>
      <c r="J98" s="108">
        <v>816</v>
      </c>
      <c r="K98" s="101"/>
      <c r="L98" s="101"/>
      <c r="M98" s="101">
        <f t="shared" si="37"/>
        <v>816</v>
      </c>
      <c r="N98" s="54">
        <f t="shared" si="38"/>
        <v>816</v>
      </c>
      <c r="O98" s="101" t="s">
        <v>178</v>
      </c>
      <c r="P98" s="102">
        <f t="shared" si="39"/>
        <v>0.38857142857142857</v>
      </c>
      <c r="Q98" s="102">
        <v>6</v>
      </c>
      <c r="R98" s="99">
        <v>350</v>
      </c>
      <c r="S98" s="55">
        <f t="shared" si="67"/>
        <v>45631</v>
      </c>
      <c r="T98" s="55">
        <v>45626</v>
      </c>
      <c r="U98" s="56">
        <f t="shared" ca="1" si="40"/>
        <v>5</v>
      </c>
      <c r="V98" s="55">
        <f t="shared" si="41"/>
        <v>45647</v>
      </c>
      <c r="W98" s="55"/>
      <c r="X98" s="56">
        <f t="shared" ca="1" si="42"/>
        <v>-193</v>
      </c>
      <c r="Y98" s="55"/>
      <c r="Z98" s="57"/>
      <c r="AA98" s="58" t="str">
        <f t="shared" si="43"/>
        <v>-</v>
      </c>
      <c r="AB98" s="59"/>
      <c r="AC98" s="58" t="str">
        <f t="shared" si="44"/>
        <v/>
      </c>
      <c r="AD98" s="59"/>
      <c r="AE98" s="58" t="str">
        <f t="shared" si="45"/>
        <v/>
      </c>
      <c r="AF98" s="59"/>
      <c r="AG98" s="58" t="str">
        <f t="shared" si="46"/>
        <v/>
      </c>
      <c r="AH98" s="59"/>
      <c r="AI98" s="58" t="str">
        <f t="shared" si="47"/>
        <v/>
      </c>
      <c r="AJ98" s="59"/>
      <c r="AK98" s="58" t="str">
        <f t="shared" si="48"/>
        <v/>
      </c>
      <c r="AL98" s="59"/>
      <c r="AM98" s="58" t="str">
        <f t="shared" si="49"/>
        <v/>
      </c>
      <c r="AN98" s="59"/>
      <c r="AO98" s="58" t="str">
        <f t="shared" si="50"/>
        <v/>
      </c>
      <c r="AP98" s="59"/>
      <c r="AQ98" s="58">
        <f t="shared" si="51"/>
        <v>816</v>
      </c>
      <c r="AR98" s="59"/>
      <c r="AS98" s="58" t="str">
        <f t="shared" si="52"/>
        <v/>
      </c>
      <c r="AT98" s="59"/>
      <c r="AU98" s="58" t="str">
        <f t="shared" si="53"/>
        <v/>
      </c>
      <c r="AV98" s="59"/>
      <c r="AW98" s="58" t="str">
        <f t="shared" si="54"/>
        <v/>
      </c>
      <c r="AX98" s="59"/>
      <c r="AY98" s="58" t="str">
        <f t="shared" si="55"/>
        <v/>
      </c>
      <c r="AZ98" s="59"/>
      <c r="BA98" s="58" t="str">
        <f t="shared" si="56"/>
        <v/>
      </c>
      <c r="BB98" s="59"/>
      <c r="BC98" s="58" t="str">
        <f t="shared" si="57"/>
        <v/>
      </c>
      <c r="BD98" s="59"/>
      <c r="BE98" s="58" t="str">
        <f t="shared" si="58"/>
        <v/>
      </c>
      <c r="BF98" s="59"/>
      <c r="BG98" s="58" t="str">
        <f t="shared" si="59"/>
        <v/>
      </c>
      <c r="BH98" s="59"/>
      <c r="BI98" s="58" t="str">
        <f t="shared" si="60"/>
        <v/>
      </c>
      <c r="BJ98" s="59"/>
      <c r="BK98" s="58" t="str">
        <f t="shared" si="61"/>
        <v/>
      </c>
      <c r="BL98" s="59"/>
      <c r="BM98" s="58" t="str">
        <f t="shared" si="62"/>
        <v/>
      </c>
      <c r="BN98" s="59"/>
      <c r="BO98" s="58" t="str">
        <f t="shared" si="63"/>
        <v/>
      </c>
      <c r="BP98" s="59"/>
      <c r="BQ98" s="58" t="str">
        <f t="shared" si="64"/>
        <v/>
      </c>
      <c r="BR98" s="59"/>
      <c r="BS98" s="58" t="str">
        <f t="shared" si="65"/>
        <v/>
      </c>
      <c r="BT98" s="59"/>
      <c r="BU98" s="58" t="str">
        <f t="shared" si="66"/>
        <v/>
      </c>
      <c r="BV98" s="59"/>
    </row>
    <row r="99" spans="1:74" ht="14.5">
      <c r="A99" s="51" t="s">
        <v>466</v>
      </c>
      <c r="B99" s="52">
        <v>254</v>
      </c>
      <c r="C99" s="52" t="s">
        <v>89</v>
      </c>
      <c r="D99" s="41">
        <f t="shared" si="36"/>
        <v>2</v>
      </c>
      <c r="E99" s="52" t="s">
        <v>478</v>
      </c>
      <c r="F99" s="52" t="s">
        <v>242</v>
      </c>
      <c r="G99" s="52" t="s">
        <v>334</v>
      </c>
      <c r="H99" s="52" t="s">
        <v>471</v>
      </c>
      <c r="I99" s="53">
        <v>45663</v>
      </c>
      <c r="J99" s="108">
        <v>1020</v>
      </c>
      <c r="K99" s="101"/>
      <c r="L99" s="101"/>
      <c r="M99" s="101">
        <f t="shared" si="37"/>
        <v>1020</v>
      </c>
      <c r="N99" s="54">
        <f t="shared" si="38"/>
        <v>1020</v>
      </c>
      <c r="O99" s="101" t="s">
        <v>178</v>
      </c>
      <c r="P99" s="102">
        <f t="shared" si="39"/>
        <v>0.48571428571428571</v>
      </c>
      <c r="Q99" s="102">
        <v>6</v>
      </c>
      <c r="R99" s="99">
        <v>350</v>
      </c>
      <c r="S99" s="55">
        <f t="shared" si="67"/>
        <v>45631</v>
      </c>
      <c r="T99" s="55">
        <v>45626</v>
      </c>
      <c r="U99" s="56">
        <f t="shared" ca="1" si="40"/>
        <v>5</v>
      </c>
      <c r="V99" s="55">
        <f t="shared" si="41"/>
        <v>45647</v>
      </c>
      <c r="W99" s="55"/>
      <c r="X99" s="56">
        <f t="shared" ca="1" si="42"/>
        <v>-193</v>
      </c>
      <c r="Y99" s="55"/>
      <c r="Z99" s="57"/>
      <c r="AA99" s="58" t="str">
        <f t="shared" si="43"/>
        <v>-</v>
      </c>
      <c r="AB99" s="59"/>
      <c r="AC99" s="58" t="str">
        <f t="shared" si="44"/>
        <v/>
      </c>
      <c r="AD99" s="59"/>
      <c r="AE99" s="58" t="str">
        <f t="shared" si="45"/>
        <v/>
      </c>
      <c r="AF99" s="59"/>
      <c r="AG99" s="58" t="str">
        <f t="shared" si="46"/>
        <v/>
      </c>
      <c r="AH99" s="59"/>
      <c r="AI99" s="58" t="str">
        <f t="shared" si="47"/>
        <v/>
      </c>
      <c r="AJ99" s="59"/>
      <c r="AK99" s="58" t="str">
        <f t="shared" si="48"/>
        <v/>
      </c>
      <c r="AL99" s="59"/>
      <c r="AM99" s="58" t="str">
        <f t="shared" si="49"/>
        <v/>
      </c>
      <c r="AN99" s="59"/>
      <c r="AO99" s="58" t="str">
        <f t="shared" si="50"/>
        <v/>
      </c>
      <c r="AP99" s="59"/>
      <c r="AQ99" s="58">
        <f t="shared" si="51"/>
        <v>1020</v>
      </c>
      <c r="AR99" s="59"/>
      <c r="AS99" s="58" t="str">
        <f t="shared" si="52"/>
        <v/>
      </c>
      <c r="AT99" s="59"/>
      <c r="AU99" s="58" t="str">
        <f t="shared" si="53"/>
        <v/>
      </c>
      <c r="AV99" s="59"/>
      <c r="AW99" s="58" t="str">
        <f t="shared" si="54"/>
        <v/>
      </c>
      <c r="AX99" s="59"/>
      <c r="AY99" s="58" t="str">
        <f t="shared" si="55"/>
        <v/>
      </c>
      <c r="AZ99" s="59"/>
      <c r="BA99" s="58" t="str">
        <f t="shared" si="56"/>
        <v/>
      </c>
      <c r="BB99" s="59"/>
      <c r="BC99" s="58" t="str">
        <f t="shared" si="57"/>
        <v/>
      </c>
      <c r="BD99" s="59"/>
      <c r="BE99" s="58" t="str">
        <f t="shared" si="58"/>
        <v/>
      </c>
      <c r="BF99" s="59"/>
      <c r="BG99" s="58" t="str">
        <f t="shared" si="59"/>
        <v/>
      </c>
      <c r="BH99" s="59"/>
      <c r="BI99" s="58" t="str">
        <f t="shared" si="60"/>
        <v/>
      </c>
      <c r="BJ99" s="59"/>
      <c r="BK99" s="58" t="str">
        <f t="shared" si="61"/>
        <v/>
      </c>
      <c r="BL99" s="59"/>
      <c r="BM99" s="58" t="str">
        <f t="shared" si="62"/>
        <v/>
      </c>
      <c r="BN99" s="59"/>
      <c r="BO99" s="58" t="str">
        <f t="shared" si="63"/>
        <v/>
      </c>
      <c r="BP99" s="59"/>
      <c r="BQ99" s="58" t="str">
        <f t="shared" si="64"/>
        <v/>
      </c>
      <c r="BR99" s="59"/>
      <c r="BS99" s="58" t="str">
        <f t="shared" si="65"/>
        <v/>
      </c>
      <c r="BT99" s="59"/>
      <c r="BU99" s="58" t="str">
        <f t="shared" si="66"/>
        <v/>
      </c>
      <c r="BV99" s="59"/>
    </row>
    <row r="100" spans="1:74" ht="14.5">
      <c r="A100" s="51" t="s">
        <v>466</v>
      </c>
      <c r="B100" s="52">
        <v>254</v>
      </c>
      <c r="C100" s="52" t="s">
        <v>89</v>
      </c>
      <c r="D100" s="41">
        <f t="shared" si="36"/>
        <v>2</v>
      </c>
      <c r="E100" s="52" t="s">
        <v>478</v>
      </c>
      <c r="F100" s="52" t="s">
        <v>242</v>
      </c>
      <c r="G100" s="52" t="s">
        <v>316</v>
      </c>
      <c r="H100" s="52" t="s">
        <v>471</v>
      </c>
      <c r="I100" s="53">
        <v>45663</v>
      </c>
      <c r="J100" s="108">
        <v>1020</v>
      </c>
      <c r="K100" s="101"/>
      <c r="L100" s="101"/>
      <c r="M100" s="101">
        <f t="shared" si="37"/>
        <v>1020</v>
      </c>
      <c r="N100" s="54">
        <f t="shared" si="38"/>
        <v>1020</v>
      </c>
      <c r="O100" s="101" t="s">
        <v>178</v>
      </c>
      <c r="P100" s="102">
        <f t="shared" si="39"/>
        <v>0.48571428571428571</v>
      </c>
      <c r="Q100" s="102">
        <v>6</v>
      </c>
      <c r="R100" s="99">
        <v>350</v>
      </c>
      <c r="S100" s="55">
        <f t="shared" si="67"/>
        <v>45631</v>
      </c>
      <c r="T100" s="55">
        <v>45626</v>
      </c>
      <c r="U100" s="56">
        <f t="shared" ca="1" si="40"/>
        <v>5</v>
      </c>
      <c r="V100" s="55">
        <f t="shared" si="41"/>
        <v>45647</v>
      </c>
      <c r="W100" s="55"/>
      <c r="X100" s="56">
        <f t="shared" ca="1" si="42"/>
        <v>-193</v>
      </c>
      <c r="Y100" s="55"/>
      <c r="Z100" s="57"/>
      <c r="AA100" s="58" t="str">
        <f t="shared" si="43"/>
        <v>-</v>
      </c>
      <c r="AB100" s="59"/>
      <c r="AC100" s="58" t="str">
        <f t="shared" si="44"/>
        <v/>
      </c>
      <c r="AD100" s="59"/>
      <c r="AE100" s="58" t="str">
        <f t="shared" si="45"/>
        <v/>
      </c>
      <c r="AF100" s="59"/>
      <c r="AG100" s="58" t="str">
        <f t="shared" si="46"/>
        <v/>
      </c>
      <c r="AH100" s="59"/>
      <c r="AI100" s="58" t="str">
        <f t="shared" si="47"/>
        <v/>
      </c>
      <c r="AJ100" s="59"/>
      <c r="AK100" s="58" t="str">
        <f t="shared" si="48"/>
        <v/>
      </c>
      <c r="AL100" s="59"/>
      <c r="AM100" s="58" t="str">
        <f t="shared" si="49"/>
        <v/>
      </c>
      <c r="AN100" s="59"/>
      <c r="AO100" s="58" t="str">
        <f t="shared" si="50"/>
        <v/>
      </c>
      <c r="AP100" s="59"/>
      <c r="AQ100" s="58">
        <f t="shared" si="51"/>
        <v>1020</v>
      </c>
      <c r="AR100" s="59"/>
      <c r="AS100" s="58" t="str">
        <f t="shared" si="52"/>
        <v/>
      </c>
      <c r="AT100" s="59"/>
      <c r="AU100" s="58" t="str">
        <f t="shared" si="53"/>
        <v/>
      </c>
      <c r="AV100" s="59"/>
      <c r="AW100" s="58" t="str">
        <f t="shared" si="54"/>
        <v/>
      </c>
      <c r="AX100" s="59"/>
      <c r="AY100" s="58" t="str">
        <f t="shared" si="55"/>
        <v/>
      </c>
      <c r="AZ100" s="59"/>
      <c r="BA100" s="58" t="str">
        <f t="shared" si="56"/>
        <v/>
      </c>
      <c r="BB100" s="59"/>
      <c r="BC100" s="58" t="str">
        <f t="shared" si="57"/>
        <v/>
      </c>
      <c r="BD100" s="59"/>
      <c r="BE100" s="58" t="str">
        <f t="shared" si="58"/>
        <v/>
      </c>
      <c r="BF100" s="59"/>
      <c r="BG100" s="58" t="str">
        <f t="shared" si="59"/>
        <v/>
      </c>
      <c r="BH100" s="59"/>
      <c r="BI100" s="58" t="str">
        <f t="shared" si="60"/>
        <v/>
      </c>
      <c r="BJ100" s="59"/>
      <c r="BK100" s="58" t="str">
        <f t="shared" si="61"/>
        <v/>
      </c>
      <c r="BL100" s="59"/>
      <c r="BM100" s="58" t="str">
        <f t="shared" si="62"/>
        <v/>
      </c>
      <c r="BN100" s="59"/>
      <c r="BO100" s="58" t="str">
        <f t="shared" si="63"/>
        <v/>
      </c>
      <c r="BP100" s="59"/>
      <c r="BQ100" s="58" t="str">
        <f t="shared" si="64"/>
        <v/>
      </c>
      <c r="BR100" s="59"/>
      <c r="BS100" s="58" t="str">
        <f t="shared" si="65"/>
        <v/>
      </c>
      <c r="BT100" s="59"/>
      <c r="BU100" s="58" t="str">
        <f t="shared" si="66"/>
        <v/>
      </c>
      <c r="BV100" s="59"/>
    </row>
    <row r="101" spans="1:74" ht="14.5">
      <c r="A101" s="51" t="s">
        <v>466</v>
      </c>
      <c r="B101" s="52">
        <v>254</v>
      </c>
      <c r="C101" s="52" t="s">
        <v>89</v>
      </c>
      <c r="D101" s="41">
        <f t="shared" si="36"/>
        <v>2</v>
      </c>
      <c r="E101" s="52" t="s">
        <v>478</v>
      </c>
      <c r="F101" s="52" t="s">
        <v>242</v>
      </c>
      <c r="G101" s="52" t="s">
        <v>332</v>
      </c>
      <c r="H101" s="52" t="s">
        <v>471</v>
      </c>
      <c r="I101" s="53">
        <v>45663</v>
      </c>
      <c r="J101" s="108">
        <v>1020</v>
      </c>
      <c r="K101" s="101"/>
      <c r="L101" s="101"/>
      <c r="M101" s="101">
        <f t="shared" si="37"/>
        <v>1020</v>
      </c>
      <c r="N101" s="54">
        <f t="shared" si="38"/>
        <v>1020</v>
      </c>
      <c r="O101" s="101" t="s">
        <v>178</v>
      </c>
      <c r="P101" s="102">
        <f t="shared" si="39"/>
        <v>0.48571428571428571</v>
      </c>
      <c r="Q101" s="102">
        <v>6</v>
      </c>
      <c r="R101" s="99">
        <v>350</v>
      </c>
      <c r="S101" s="55">
        <f t="shared" si="67"/>
        <v>45631</v>
      </c>
      <c r="T101" s="55">
        <v>45626</v>
      </c>
      <c r="U101" s="56">
        <f t="shared" ca="1" si="40"/>
        <v>5</v>
      </c>
      <c r="V101" s="55">
        <f t="shared" si="41"/>
        <v>45647</v>
      </c>
      <c r="W101" s="55"/>
      <c r="X101" s="56">
        <f t="shared" ca="1" si="42"/>
        <v>-193</v>
      </c>
      <c r="Y101" s="55"/>
      <c r="Z101" s="57"/>
      <c r="AA101" s="58" t="str">
        <f t="shared" si="43"/>
        <v>-</v>
      </c>
      <c r="AB101" s="59"/>
      <c r="AC101" s="58" t="str">
        <f t="shared" si="44"/>
        <v/>
      </c>
      <c r="AD101" s="59"/>
      <c r="AE101" s="58" t="str">
        <f t="shared" si="45"/>
        <v/>
      </c>
      <c r="AF101" s="59"/>
      <c r="AG101" s="58" t="str">
        <f t="shared" si="46"/>
        <v/>
      </c>
      <c r="AH101" s="59"/>
      <c r="AI101" s="58" t="str">
        <f t="shared" si="47"/>
        <v/>
      </c>
      <c r="AJ101" s="59"/>
      <c r="AK101" s="58" t="str">
        <f t="shared" si="48"/>
        <v/>
      </c>
      <c r="AL101" s="59"/>
      <c r="AM101" s="58" t="str">
        <f t="shared" si="49"/>
        <v/>
      </c>
      <c r="AN101" s="59"/>
      <c r="AO101" s="58" t="str">
        <f t="shared" si="50"/>
        <v/>
      </c>
      <c r="AP101" s="59"/>
      <c r="AQ101" s="58">
        <f t="shared" si="51"/>
        <v>1020</v>
      </c>
      <c r="AR101" s="59"/>
      <c r="AS101" s="58" t="str">
        <f t="shared" si="52"/>
        <v/>
      </c>
      <c r="AT101" s="59"/>
      <c r="AU101" s="58" t="str">
        <f t="shared" si="53"/>
        <v/>
      </c>
      <c r="AV101" s="59"/>
      <c r="AW101" s="58" t="str">
        <f t="shared" si="54"/>
        <v/>
      </c>
      <c r="AX101" s="59"/>
      <c r="AY101" s="58" t="str">
        <f t="shared" si="55"/>
        <v/>
      </c>
      <c r="AZ101" s="59"/>
      <c r="BA101" s="58" t="str">
        <f t="shared" si="56"/>
        <v/>
      </c>
      <c r="BB101" s="59"/>
      <c r="BC101" s="58" t="str">
        <f t="shared" si="57"/>
        <v/>
      </c>
      <c r="BD101" s="59"/>
      <c r="BE101" s="58" t="str">
        <f t="shared" si="58"/>
        <v/>
      </c>
      <c r="BF101" s="59"/>
      <c r="BG101" s="58" t="str">
        <f t="shared" si="59"/>
        <v/>
      </c>
      <c r="BH101" s="59"/>
      <c r="BI101" s="58" t="str">
        <f t="shared" si="60"/>
        <v/>
      </c>
      <c r="BJ101" s="59"/>
      <c r="BK101" s="58" t="str">
        <f t="shared" si="61"/>
        <v/>
      </c>
      <c r="BL101" s="59"/>
      <c r="BM101" s="58" t="str">
        <f t="shared" si="62"/>
        <v/>
      </c>
      <c r="BN101" s="59"/>
      <c r="BO101" s="58" t="str">
        <f t="shared" si="63"/>
        <v/>
      </c>
      <c r="BP101" s="59"/>
      <c r="BQ101" s="58" t="str">
        <f t="shared" si="64"/>
        <v/>
      </c>
      <c r="BR101" s="59"/>
      <c r="BS101" s="58" t="str">
        <f t="shared" si="65"/>
        <v/>
      </c>
      <c r="BT101" s="59"/>
      <c r="BU101" s="58" t="str">
        <f t="shared" si="66"/>
        <v/>
      </c>
      <c r="BV101" s="59"/>
    </row>
    <row r="102" spans="1:74" ht="14.5">
      <c r="A102" s="51" t="s">
        <v>466</v>
      </c>
      <c r="B102" s="52">
        <v>254</v>
      </c>
      <c r="C102" s="52" t="s">
        <v>89</v>
      </c>
      <c r="D102" s="41">
        <f t="shared" si="36"/>
        <v>2</v>
      </c>
      <c r="E102" s="52" t="s">
        <v>478</v>
      </c>
      <c r="F102" s="52" t="s">
        <v>242</v>
      </c>
      <c r="G102" s="52" t="s">
        <v>341</v>
      </c>
      <c r="H102" s="52" t="s">
        <v>471</v>
      </c>
      <c r="I102" s="53">
        <v>45663</v>
      </c>
      <c r="J102" s="108">
        <v>1020</v>
      </c>
      <c r="K102" s="101"/>
      <c r="L102" s="101"/>
      <c r="M102" s="101">
        <f t="shared" si="37"/>
        <v>1020</v>
      </c>
      <c r="N102" s="54">
        <f t="shared" si="38"/>
        <v>1020</v>
      </c>
      <c r="O102" s="101" t="s">
        <v>178</v>
      </c>
      <c r="P102" s="102">
        <f t="shared" si="39"/>
        <v>0.48571428571428571</v>
      </c>
      <c r="Q102" s="102">
        <v>6</v>
      </c>
      <c r="R102" s="99">
        <v>350</v>
      </c>
      <c r="S102" s="55">
        <f t="shared" si="67"/>
        <v>45631</v>
      </c>
      <c r="T102" s="55">
        <v>45626</v>
      </c>
      <c r="U102" s="56">
        <f t="shared" ca="1" si="40"/>
        <v>5</v>
      </c>
      <c r="V102" s="55">
        <f t="shared" si="41"/>
        <v>45647</v>
      </c>
      <c r="W102" s="55"/>
      <c r="X102" s="56">
        <f t="shared" ca="1" si="42"/>
        <v>-193</v>
      </c>
      <c r="Y102" s="55"/>
      <c r="Z102" s="57"/>
      <c r="AA102" s="58" t="str">
        <f t="shared" si="43"/>
        <v>-</v>
      </c>
      <c r="AB102" s="59"/>
      <c r="AC102" s="58" t="str">
        <f t="shared" si="44"/>
        <v/>
      </c>
      <c r="AD102" s="59"/>
      <c r="AE102" s="58" t="str">
        <f t="shared" si="45"/>
        <v/>
      </c>
      <c r="AF102" s="59"/>
      <c r="AG102" s="58" t="str">
        <f t="shared" si="46"/>
        <v/>
      </c>
      <c r="AH102" s="59"/>
      <c r="AI102" s="58" t="str">
        <f t="shared" si="47"/>
        <v/>
      </c>
      <c r="AJ102" s="59"/>
      <c r="AK102" s="58" t="str">
        <f t="shared" si="48"/>
        <v/>
      </c>
      <c r="AL102" s="59"/>
      <c r="AM102" s="58" t="str">
        <f t="shared" si="49"/>
        <v/>
      </c>
      <c r="AN102" s="59"/>
      <c r="AO102" s="58" t="str">
        <f t="shared" si="50"/>
        <v/>
      </c>
      <c r="AP102" s="59"/>
      <c r="AQ102" s="58">
        <f t="shared" si="51"/>
        <v>1020</v>
      </c>
      <c r="AR102" s="59"/>
      <c r="AS102" s="58" t="str">
        <f t="shared" si="52"/>
        <v/>
      </c>
      <c r="AT102" s="59"/>
      <c r="AU102" s="58" t="str">
        <f t="shared" si="53"/>
        <v/>
      </c>
      <c r="AV102" s="59"/>
      <c r="AW102" s="58" t="str">
        <f t="shared" si="54"/>
        <v/>
      </c>
      <c r="AX102" s="59"/>
      <c r="AY102" s="58" t="str">
        <f t="shared" si="55"/>
        <v/>
      </c>
      <c r="AZ102" s="59"/>
      <c r="BA102" s="58" t="str">
        <f t="shared" si="56"/>
        <v/>
      </c>
      <c r="BB102" s="59"/>
      <c r="BC102" s="58" t="str">
        <f t="shared" si="57"/>
        <v/>
      </c>
      <c r="BD102" s="59"/>
      <c r="BE102" s="58" t="str">
        <f t="shared" si="58"/>
        <v/>
      </c>
      <c r="BF102" s="59"/>
      <c r="BG102" s="58" t="str">
        <f t="shared" si="59"/>
        <v/>
      </c>
      <c r="BH102" s="59"/>
      <c r="BI102" s="58" t="str">
        <f t="shared" si="60"/>
        <v/>
      </c>
      <c r="BJ102" s="59"/>
      <c r="BK102" s="58" t="str">
        <f t="shared" si="61"/>
        <v/>
      </c>
      <c r="BL102" s="59"/>
      <c r="BM102" s="58" t="str">
        <f t="shared" si="62"/>
        <v/>
      </c>
      <c r="BN102" s="59"/>
      <c r="BO102" s="58" t="str">
        <f t="shared" si="63"/>
        <v/>
      </c>
      <c r="BP102" s="59"/>
      <c r="BQ102" s="58" t="str">
        <f t="shared" si="64"/>
        <v/>
      </c>
      <c r="BR102" s="59"/>
      <c r="BS102" s="58" t="str">
        <f t="shared" si="65"/>
        <v/>
      </c>
      <c r="BT102" s="59"/>
      <c r="BU102" s="58" t="str">
        <f t="shared" si="66"/>
        <v/>
      </c>
      <c r="BV102" s="59"/>
    </row>
    <row r="103" spans="1:74" ht="14.5">
      <c r="A103" s="51" t="s">
        <v>466</v>
      </c>
      <c r="B103" s="52">
        <v>254</v>
      </c>
      <c r="C103" s="52" t="s">
        <v>89</v>
      </c>
      <c r="D103" s="41">
        <f t="shared" si="36"/>
        <v>2</v>
      </c>
      <c r="E103" s="52" t="s">
        <v>479</v>
      </c>
      <c r="F103" s="52" t="s">
        <v>347</v>
      </c>
      <c r="G103" s="52" t="s">
        <v>348</v>
      </c>
      <c r="H103" s="52" t="s">
        <v>480</v>
      </c>
      <c r="I103" s="53">
        <v>45663</v>
      </c>
      <c r="J103" s="108">
        <v>1056</v>
      </c>
      <c r="K103" s="101"/>
      <c r="L103" s="101"/>
      <c r="M103" s="101">
        <f t="shared" si="37"/>
        <v>1056</v>
      </c>
      <c r="N103" s="54">
        <f t="shared" si="38"/>
        <v>1056</v>
      </c>
      <c r="O103" s="101" t="s">
        <v>178</v>
      </c>
      <c r="P103" s="102">
        <f t="shared" si="39"/>
        <v>2.2000000000000002</v>
      </c>
      <c r="Q103" s="102">
        <v>6</v>
      </c>
      <c r="R103" s="99">
        <v>80</v>
      </c>
      <c r="S103" s="55">
        <f t="shared" si="67"/>
        <v>45631</v>
      </c>
      <c r="T103" s="55">
        <v>45626</v>
      </c>
      <c r="U103" s="56">
        <f t="shared" ca="1" si="40"/>
        <v>5</v>
      </c>
      <c r="V103" s="55">
        <f t="shared" si="41"/>
        <v>45647</v>
      </c>
      <c r="W103" s="55"/>
      <c r="X103" s="56">
        <f t="shared" ca="1" si="42"/>
        <v>-193</v>
      </c>
      <c r="Y103" s="55"/>
      <c r="Z103" s="57"/>
      <c r="AA103" s="58" t="str">
        <f t="shared" si="43"/>
        <v>-</v>
      </c>
      <c r="AB103" s="59"/>
      <c r="AC103" s="58" t="str">
        <f t="shared" si="44"/>
        <v/>
      </c>
      <c r="AD103" s="59"/>
      <c r="AE103" s="58" t="str">
        <f t="shared" si="45"/>
        <v/>
      </c>
      <c r="AF103" s="59"/>
      <c r="AG103" s="58" t="str">
        <f t="shared" si="46"/>
        <v/>
      </c>
      <c r="AH103" s="59"/>
      <c r="AI103" s="58" t="str">
        <f t="shared" si="47"/>
        <v/>
      </c>
      <c r="AJ103" s="59"/>
      <c r="AK103" s="58" t="str">
        <f t="shared" si="48"/>
        <v/>
      </c>
      <c r="AL103" s="59"/>
      <c r="AM103" s="58" t="str">
        <f t="shared" si="49"/>
        <v/>
      </c>
      <c r="AN103" s="59"/>
      <c r="AO103" s="58" t="str">
        <f t="shared" si="50"/>
        <v/>
      </c>
      <c r="AP103" s="59"/>
      <c r="AQ103" s="58">
        <f t="shared" si="51"/>
        <v>1056</v>
      </c>
      <c r="AR103" s="59"/>
      <c r="AS103" s="58" t="str">
        <f t="shared" si="52"/>
        <v/>
      </c>
      <c r="AT103" s="59"/>
      <c r="AU103" s="58" t="str">
        <f t="shared" si="53"/>
        <v/>
      </c>
      <c r="AV103" s="59"/>
      <c r="AW103" s="58" t="str">
        <f t="shared" si="54"/>
        <v/>
      </c>
      <c r="AX103" s="59"/>
      <c r="AY103" s="58" t="str">
        <f t="shared" si="55"/>
        <v/>
      </c>
      <c r="AZ103" s="59"/>
      <c r="BA103" s="58" t="str">
        <f t="shared" si="56"/>
        <v/>
      </c>
      <c r="BB103" s="59"/>
      <c r="BC103" s="58" t="str">
        <f t="shared" si="57"/>
        <v/>
      </c>
      <c r="BD103" s="59"/>
      <c r="BE103" s="58" t="str">
        <f t="shared" si="58"/>
        <v/>
      </c>
      <c r="BF103" s="59"/>
      <c r="BG103" s="58" t="str">
        <f t="shared" si="59"/>
        <v/>
      </c>
      <c r="BH103" s="59"/>
      <c r="BI103" s="58" t="str">
        <f t="shared" si="60"/>
        <v/>
      </c>
      <c r="BJ103" s="59"/>
      <c r="BK103" s="58" t="str">
        <f t="shared" si="61"/>
        <v/>
      </c>
      <c r="BL103" s="59"/>
      <c r="BM103" s="58" t="str">
        <f t="shared" si="62"/>
        <v/>
      </c>
      <c r="BN103" s="59"/>
      <c r="BO103" s="58" t="str">
        <f t="shared" si="63"/>
        <v/>
      </c>
      <c r="BP103" s="59"/>
      <c r="BQ103" s="58" t="str">
        <f t="shared" si="64"/>
        <v/>
      </c>
      <c r="BR103" s="59"/>
      <c r="BS103" s="58" t="str">
        <f t="shared" si="65"/>
        <v/>
      </c>
      <c r="BT103" s="59"/>
      <c r="BU103" s="58" t="str">
        <f t="shared" si="66"/>
        <v/>
      </c>
      <c r="BV103" s="59"/>
    </row>
    <row r="104" spans="1:74" ht="14.5">
      <c r="A104" s="51" t="s">
        <v>466</v>
      </c>
      <c r="B104" s="52">
        <v>254</v>
      </c>
      <c r="C104" s="52" t="s">
        <v>89</v>
      </c>
      <c r="D104" s="41">
        <f t="shared" si="36"/>
        <v>2</v>
      </c>
      <c r="E104" s="52" t="s">
        <v>479</v>
      </c>
      <c r="F104" s="52" t="s">
        <v>347</v>
      </c>
      <c r="G104" s="52" t="s">
        <v>154</v>
      </c>
      <c r="H104" s="52" t="s">
        <v>480</v>
      </c>
      <c r="I104" s="53">
        <v>45663</v>
      </c>
      <c r="J104" s="108">
        <v>1056</v>
      </c>
      <c r="K104" s="101"/>
      <c r="L104" s="101"/>
      <c r="M104" s="101">
        <f t="shared" si="37"/>
        <v>1056</v>
      </c>
      <c r="N104" s="54">
        <f t="shared" si="38"/>
        <v>1056</v>
      </c>
      <c r="O104" s="101" t="s">
        <v>178</v>
      </c>
      <c r="P104" s="102">
        <f t="shared" si="39"/>
        <v>2.2000000000000002</v>
      </c>
      <c r="Q104" s="102">
        <v>6</v>
      </c>
      <c r="R104" s="99">
        <v>80</v>
      </c>
      <c r="S104" s="55">
        <f t="shared" si="67"/>
        <v>45631</v>
      </c>
      <c r="T104" s="55">
        <v>45626</v>
      </c>
      <c r="U104" s="56">
        <f t="shared" ca="1" si="40"/>
        <v>5</v>
      </c>
      <c r="V104" s="55">
        <f t="shared" si="41"/>
        <v>45647</v>
      </c>
      <c r="W104" s="55"/>
      <c r="X104" s="56">
        <f t="shared" ca="1" si="42"/>
        <v>-193</v>
      </c>
      <c r="Y104" s="55"/>
      <c r="Z104" s="57"/>
      <c r="AA104" s="58" t="str">
        <f t="shared" si="43"/>
        <v>-</v>
      </c>
      <c r="AB104" s="59"/>
      <c r="AC104" s="58" t="str">
        <f t="shared" si="44"/>
        <v/>
      </c>
      <c r="AD104" s="59"/>
      <c r="AE104" s="58" t="str">
        <f t="shared" si="45"/>
        <v/>
      </c>
      <c r="AF104" s="59"/>
      <c r="AG104" s="58" t="str">
        <f t="shared" si="46"/>
        <v/>
      </c>
      <c r="AH104" s="59"/>
      <c r="AI104" s="58" t="str">
        <f t="shared" si="47"/>
        <v/>
      </c>
      <c r="AJ104" s="59"/>
      <c r="AK104" s="58" t="str">
        <f t="shared" si="48"/>
        <v/>
      </c>
      <c r="AL104" s="59"/>
      <c r="AM104" s="58" t="str">
        <f t="shared" si="49"/>
        <v/>
      </c>
      <c r="AN104" s="59"/>
      <c r="AO104" s="58" t="str">
        <f t="shared" si="50"/>
        <v/>
      </c>
      <c r="AP104" s="59"/>
      <c r="AQ104" s="58">
        <f t="shared" si="51"/>
        <v>1056</v>
      </c>
      <c r="AR104" s="59"/>
      <c r="AS104" s="58" t="str">
        <f t="shared" si="52"/>
        <v/>
      </c>
      <c r="AT104" s="59"/>
      <c r="AU104" s="58" t="str">
        <f t="shared" si="53"/>
        <v/>
      </c>
      <c r="AV104" s="59"/>
      <c r="AW104" s="58" t="str">
        <f t="shared" si="54"/>
        <v/>
      </c>
      <c r="AX104" s="59"/>
      <c r="AY104" s="58" t="str">
        <f t="shared" si="55"/>
        <v/>
      </c>
      <c r="AZ104" s="59"/>
      <c r="BA104" s="58" t="str">
        <f t="shared" si="56"/>
        <v/>
      </c>
      <c r="BB104" s="59"/>
      <c r="BC104" s="58" t="str">
        <f t="shared" si="57"/>
        <v/>
      </c>
      <c r="BD104" s="59"/>
      <c r="BE104" s="58" t="str">
        <f t="shared" si="58"/>
        <v/>
      </c>
      <c r="BF104" s="59"/>
      <c r="BG104" s="58" t="str">
        <f t="shared" si="59"/>
        <v/>
      </c>
      <c r="BH104" s="59"/>
      <c r="BI104" s="58" t="str">
        <f t="shared" si="60"/>
        <v/>
      </c>
      <c r="BJ104" s="59"/>
      <c r="BK104" s="58" t="str">
        <f t="shared" si="61"/>
        <v/>
      </c>
      <c r="BL104" s="59"/>
      <c r="BM104" s="58" t="str">
        <f t="shared" si="62"/>
        <v/>
      </c>
      <c r="BN104" s="59"/>
      <c r="BO104" s="58" t="str">
        <f t="shared" si="63"/>
        <v/>
      </c>
      <c r="BP104" s="59"/>
      <c r="BQ104" s="58" t="str">
        <f t="shared" si="64"/>
        <v/>
      </c>
      <c r="BR104" s="59"/>
      <c r="BS104" s="58" t="str">
        <f t="shared" si="65"/>
        <v/>
      </c>
      <c r="BT104" s="59"/>
      <c r="BU104" s="58" t="str">
        <f t="shared" si="66"/>
        <v/>
      </c>
      <c r="BV104" s="59"/>
    </row>
    <row r="105" spans="1:74" ht="14.5">
      <c r="A105" s="51" t="s">
        <v>466</v>
      </c>
      <c r="B105" s="52">
        <v>254</v>
      </c>
      <c r="C105" s="52" t="s">
        <v>89</v>
      </c>
      <c r="D105" s="41">
        <f t="shared" si="36"/>
        <v>2</v>
      </c>
      <c r="E105" s="52" t="s">
        <v>479</v>
      </c>
      <c r="F105" s="52" t="s">
        <v>300</v>
      </c>
      <c r="G105" s="52" t="s">
        <v>348</v>
      </c>
      <c r="H105" s="52" t="s">
        <v>440</v>
      </c>
      <c r="I105" s="53">
        <v>45663</v>
      </c>
      <c r="J105" s="108">
        <v>1020</v>
      </c>
      <c r="K105" s="101"/>
      <c r="L105" s="101"/>
      <c r="M105" s="101">
        <f t="shared" si="37"/>
        <v>1020</v>
      </c>
      <c r="N105" s="54">
        <f t="shared" si="38"/>
        <v>1020</v>
      </c>
      <c r="O105" s="101" t="s">
        <v>178</v>
      </c>
      <c r="P105" s="102">
        <f t="shared" si="39"/>
        <v>1.4166666666666667</v>
      </c>
      <c r="Q105" s="102">
        <v>6</v>
      </c>
      <c r="R105" s="99">
        <v>120</v>
      </c>
      <c r="S105" s="55">
        <f t="shared" ref="S105:S135" si="68">+I105-(32)</f>
        <v>45631</v>
      </c>
      <c r="T105" s="55">
        <v>45626</v>
      </c>
      <c r="U105" s="56">
        <f t="shared" ca="1" si="40"/>
        <v>5</v>
      </c>
      <c r="V105" s="55">
        <f t="shared" si="41"/>
        <v>45647</v>
      </c>
      <c r="W105" s="55"/>
      <c r="X105" s="56">
        <f t="shared" ca="1" si="42"/>
        <v>-193</v>
      </c>
      <c r="Y105" s="55"/>
      <c r="Z105" s="57"/>
      <c r="AA105" s="58" t="str">
        <f t="shared" si="43"/>
        <v>-</v>
      </c>
      <c r="AB105" s="59"/>
      <c r="AC105" s="58" t="str">
        <f t="shared" si="44"/>
        <v/>
      </c>
      <c r="AD105" s="59"/>
      <c r="AE105" s="58" t="str">
        <f t="shared" si="45"/>
        <v/>
      </c>
      <c r="AF105" s="59"/>
      <c r="AG105" s="58" t="str">
        <f t="shared" si="46"/>
        <v/>
      </c>
      <c r="AH105" s="59"/>
      <c r="AI105" s="58" t="str">
        <f t="shared" si="47"/>
        <v/>
      </c>
      <c r="AJ105" s="59"/>
      <c r="AK105" s="58" t="str">
        <f t="shared" si="48"/>
        <v/>
      </c>
      <c r="AL105" s="59"/>
      <c r="AM105" s="58" t="str">
        <f t="shared" si="49"/>
        <v/>
      </c>
      <c r="AN105" s="59"/>
      <c r="AO105" s="58" t="str">
        <f t="shared" si="50"/>
        <v/>
      </c>
      <c r="AP105" s="59"/>
      <c r="AQ105" s="58">
        <f t="shared" si="51"/>
        <v>1020</v>
      </c>
      <c r="AR105" s="59"/>
      <c r="AS105" s="58" t="str">
        <f t="shared" si="52"/>
        <v/>
      </c>
      <c r="AT105" s="59"/>
      <c r="AU105" s="58" t="str">
        <f t="shared" si="53"/>
        <v/>
      </c>
      <c r="AV105" s="59"/>
      <c r="AW105" s="58" t="str">
        <f t="shared" si="54"/>
        <v/>
      </c>
      <c r="AX105" s="59"/>
      <c r="AY105" s="58" t="str">
        <f t="shared" si="55"/>
        <v/>
      </c>
      <c r="AZ105" s="59"/>
      <c r="BA105" s="58" t="str">
        <f t="shared" si="56"/>
        <v/>
      </c>
      <c r="BB105" s="59"/>
      <c r="BC105" s="58" t="str">
        <f t="shared" si="57"/>
        <v/>
      </c>
      <c r="BD105" s="59"/>
      <c r="BE105" s="58" t="str">
        <f t="shared" si="58"/>
        <v/>
      </c>
      <c r="BF105" s="59"/>
      <c r="BG105" s="58" t="str">
        <f t="shared" si="59"/>
        <v/>
      </c>
      <c r="BH105" s="59"/>
      <c r="BI105" s="58" t="str">
        <f t="shared" si="60"/>
        <v/>
      </c>
      <c r="BJ105" s="59"/>
      <c r="BK105" s="58" t="str">
        <f t="shared" si="61"/>
        <v/>
      </c>
      <c r="BL105" s="59"/>
      <c r="BM105" s="58" t="str">
        <f t="shared" si="62"/>
        <v/>
      </c>
      <c r="BN105" s="59"/>
      <c r="BO105" s="58" t="str">
        <f t="shared" si="63"/>
        <v/>
      </c>
      <c r="BP105" s="59"/>
      <c r="BQ105" s="58" t="str">
        <f t="shared" si="64"/>
        <v/>
      </c>
      <c r="BR105" s="59"/>
      <c r="BS105" s="58" t="str">
        <f t="shared" si="65"/>
        <v/>
      </c>
      <c r="BT105" s="59"/>
      <c r="BU105" s="58" t="str">
        <f t="shared" si="66"/>
        <v/>
      </c>
      <c r="BV105" s="59"/>
    </row>
    <row r="106" spans="1:74" ht="14.5">
      <c r="A106" s="51" t="s">
        <v>466</v>
      </c>
      <c r="B106" s="52">
        <v>254</v>
      </c>
      <c r="C106" s="52" t="s">
        <v>89</v>
      </c>
      <c r="D106" s="41">
        <f t="shared" si="36"/>
        <v>2</v>
      </c>
      <c r="E106" s="52" t="s">
        <v>479</v>
      </c>
      <c r="F106" s="52" t="s">
        <v>300</v>
      </c>
      <c r="G106" s="52" t="s">
        <v>154</v>
      </c>
      <c r="H106" s="52" t="s">
        <v>440</v>
      </c>
      <c r="I106" s="53">
        <v>45663</v>
      </c>
      <c r="J106" s="108">
        <v>1020</v>
      </c>
      <c r="K106" s="101"/>
      <c r="L106" s="101"/>
      <c r="M106" s="101">
        <f t="shared" si="37"/>
        <v>1020</v>
      </c>
      <c r="N106" s="54">
        <f t="shared" si="38"/>
        <v>1020</v>
      </c>
      <c r="O106" s="101" t="s">
        <v>178</v>
      </c>
      <c r="P106" s="102">
        <f t="shared" si="39"/>
        <v>1.4166666666666667</v>
      </c>
      <c r="Q106" s="102">
        <v>6</v>
      </c>
      <c r="R106" s="99">
        <v>120</v>
      </c>
      <c r="S106" s="55">
        <f t="shared" si="68"/>
        <v>45631</v>
      </c>
      <c r="T106" s="55">
        <v>45626</v>
      </c>
      <c r="U106" s="56">
        <f t="shared" ca="1" si="40"/>
        <v>5</v>
      </c>
      <c r="V106" s="55">
        <f t="shared" si="41"/>
        <v>45647</v>
      </c>
      <c r="W106" s="55"/>
      <c r="X106" s="56">
        <f t="shared" ca="1" si="42"/>
        <v>-193</v>
      </c>
      <c r="Y106" s="55"/>
      <c r="Z106" s="57"/>
      <c r="AA106" s="58" t="str">
        <f t="shared" si="43"/>
        <v>-</v>
      </c>
      <c r="AB106" s="59"/>
      <c r="AC106" s="58" t="str">
        <f t="shared" si="44"/>
        <v/>
      </c>
      <c r="AD106" s="59"/>
      <c r="AE106" s="58" t="str">
        <f t="shared" si="45"/>
        <v/>
      </c>
      <c r="AF106" s="59"/>
      <c r="AG106" s="58" t="str">
        <f t="shared" si="46"/>
        <v/>
      </c>
      <c r="AH106" s="59"/>
      <c r="AI106" s="58" t="str">
        <f t="shared" si="47"/>
        <v/>
      </c>
      <c r="AJ106" s="59"/>
      <c r="AK106" s="58" t="str">
        <f t="shared" si="48"/>
        <v/>
      </c>
      <c r="AL106" s="59"/>
      <c r="AM106" s="58" t="str">
        <f t="shared" si="49"/>
        <v/>
      </c>
      <c r="AN106" s="59"/>
      <c r="AO106" s="58" t="str">
        <f t="shared" si="50"/>
        <v/>
      </c>
      <c r="AP106" s="59"/>
      <c r="AQ106" s="58">
        <f t="shared" si="51"/>
        <v>1020</v>
      </c>
      <c r="AR106" s="59"/>
      <c r="AS106" s="58" t="str">
        <f t="shared" si="52"/>
        <v/>
      </c>
      <c r="AT106" s="59"/>
      <c r="AU106" s="58" t="str">
        <f t="shared" si="53"/>
        <v/>
      </c>
      <c r="AV106" s="59"/>
      <c r="AW106" s="58" t="str">
        <f t="shared" si="54"/>
        <v/>
      </c>
      <c r="AX106" s="59"/>
      <c r="AY106" s="58" t="str">
        <f t="shared" si="55"/>
        <v/>
      </c>
      <c r="AZ106" s="59"/>
      <c r="BA106" s="58" t="str">
        <f t="shared" si="56"/>
        <v/>
      </c>
      <c r="BB106" s="59"/>
      <c r="BC106" s="58" t="str">
        <f t="shared" si="57"/>
        <v/>
      </c>
      <c r="BD106" s="59"/>
      <c r="BE106" s="58" t="str">
        <f t="shared" si="58"/>
        <v/>
      </c>
      <c r="BF106" s="59"/>
      <c r="BG106" s="58" t="str">
        <f t="shared" si="59"/>
        <v/>
      </c>
      <c r="BH106" s="59"/>
      <c r="BI106" s="58" t="str">
        <f t="shared" si="60"/>
        <v/>
      </c>
      <c r="BJ106" s="59"/>
      <c r="BK106" s="58" t="str">
        <f t="shared" si="61"/>
        <v/>
      </c>
      <c r="BL106" s="59"/>
      <c r="BM106" s="58" t="str">
        <f t="shared" si="62"/>
        <v/>
      </c>
      <c r="BN106" s="59"/>
      <c r="BO106" s="58" t="str">
        <f t="shared" si="63"/>
        <v/>
      </c>
      <c r="BP106" s="59"/>
      <c r="BQ106" s="58" t="str">
        <f t="shared" si="64"/>
        <v/>
      </c>
      <c r="BR106" s="59"/>
      <c r="BS106" s="58" t="str">
        <f t="shared" si="65"/>
        <v/>
      </c>
      <c r="BT106" s="59"/>
      <c r="BU106" s="58" t="str">
        <f t="shared" si="66"/>
        <v/>
      </c>
      <c r="BV106" s="59"/>
    </row>
    <row r="107" spans="1:74" ht="14.5">
      <c r="A107" s="51" t="s">
        <v>466</v>
      </c>
      <c r="B107" s="52">
        <v>254</v>
      </c>
      <c r="C107" s="52" t="s">
        <v>89</v>
      </c>
      <c r="D107" s="41">
        <f t="shared" si="36"/>
        <v>2</v>
      </c>
      <c r="E107" s="52" t="s">
        <v>479</v>
      </c>
      <c r="F107" s="52" t="s">
        <v>300</v>
      </c>
      <c r="G107" s="52" t="s">
        <v>348</v>
      </c>
      <c r="H107" s="52" t="s">
        <v>481</v>
      </c>
      <c r="I107" s="53">
        <v>45663</v>
      </c>
      <c r="J107" s="108">
        <v>518</v>
      </c>
      <c r="K107" s="101"/>
      <c r="L107" s="101"/>
      <c r="M107" s="101">
        <f t="shared" si="37"/>
        <v>518</v>
      </c>
      <c r="N107" s="54">
        <f t="shared" si="38"/>
        <v>518</v>
      </c>
      <c r="O107" s="101" t="s">
        <v>178</v>
      </c>
      <c r="P107" s="102">
        <f t="shared" si="39"/>
        <v>0.71944444444444444</v>
      </c>
      <c r="Q107" s="102">
        <v>6</v>
      </c>
      <c r="R107" s="99">
        <v>120</v>
      </c>
      <c r="S107" s="55">
        <f t="shared" si="68"/>
        <v>45631</v>
      </c>
      <c r="T107" s="55">
        <v>45626</v>
      </c>
      <c r="U107" s="56">
        <f t="shared" ca="1" si="40"/>
        <v>5</v>
      </c>
      <c r="V107" s="55">
        <f t="shared" si="41"/>
        <v>45647</v>
      </c>
      <c r="W107" s="55"/>
      <c r="X107" s="56">
        <f t="shared" ca="1" si="42"/>
        <v>-193</v>
      </c>
      <c r="Y107" s="55"/>
      <c r="Z107" s="57"/>
      <c r="AA107" s="58" t="str">
        <f t="shared" si="43"/>
        <v>-</v>
      </c>
      <c r="AB107" s="59"/>
      <c r="AC107" s="58" t="str">
        <f t="shared" si="44"/>
        <v/>
      </c>
      <c r="AD107" s="59"/>
      <c r="AE107" s="58" t="str">
        <f t="shared" si="45"/>
        <v/>
      </c>
      <c r="AF107" s="59"/>
      <c r="AG107" s="58" t="str">
        <f t="shared" si="46"/>
        <v/>
      </c>
      <c r="AH107" s="59"/>
      <c r="AI107" s="58" t="str">
        <f t="shared" si="47"/>
        <v/>
      </c>
      <c r="AJ107" s="59"/>
      <c r="AK107" s="58" t="str">
        <f t="shared" si="48"/>
        <v/>
      </c>
      <c r="AL107" s="59"/>
      <c r="AM107" s="58" t="str">
        <f t="shared" si="49"/>
        <v/>
      </c>
      <c r="AN107" s="59"/>
      <c r="AO107" s="58" t="str">
        <f t="shared" si="50"/>
        <v/>
      </c>
      <c r="AP107" s="59"/>
      <c r="AQ107" s="58">
        <f t="shared" si="51"/>
        <v>518</v>
      </c>
      <c r="AR107" s="59"/>
      <c r="AS107" s="58" t="str">
        <f t="shared" si="52"/>
        <v/>
      </c>
      <c r="AT107" s="59"/>
      <c r="AU107" s="58" t="str">
        <f t="shared" si="53"/>
        <v/>
      </c>
      <c r="AV107" s="59"/>
      <c r="AW107" s="58" t="str">
        <f t="shared" si="54"/>
        <v/>
      </c>
      <c r="AX107" s="59"/>
      <c r="AY107" s="58" t="str">
        <f t="shared" si="55"/>
        <v/>
      </c>
      <c r="AZ107" s="59"/>
      <c r="BA107" s="58" t="str">
        <f t="shared" si="56"/>
        <v/>
      </c>
      <c r="BB107" s="59"/>
      <c r="BC107" s="58" t="str">
        <f t="shared" si="57"/>
        <v/>
      </c>
      <c r="BD107" s="59"/>
      <c r="BE107" s="58" t="str">
        <f t="shared" si="58"/>
        <v/>
      </c>
      <c r="BF107" s="59"/>
      <c r="BG107" s="58" t="str">
        <f t="shared" si="59"/>
        <v/>
      </c>
      <c r="BH107" s="59"/>
      <c r="BI107" s="58" t="str">
        <f t="shared" si="60"/>
        <v/>
      </c>
      <c r="BJ107" s="59"/>
      <c r="BK107" s="58" t="str">
        <f t="shared" si="61"/>
        <v/>
      </c>
      <c r="BL107" s="59"/>
      <c r="BM107" s="58" t="str">
        <f t="shared" si="62"/>
        <v/>
      </c>
      <c r="BN107" s="59"/>
      <c r="BO107" s="58" t="str">
        <f t="shared" si="63"/>
        <v/>
      </c>
      <c r="BP107" s="59"/>
      <c r="BQ107" s="58" t="str">
        <f t="shared" si="64"/>
        <v/>
      </c>
      <c r="BR107" s="59"/>
      <c r="BS107" s="58" t="str">
        <f t="shared" si="65"/>
        <v/>
      </c>
      <c r="BT107" s="59"/>
      <c r="BU107" s="58" t="str">
        <f t="shared" si="66"/>
        <v/>
      </c>
      <c r="BV107" s="59"/>
    </row>
    <row r="108" spans="1:74" ht="14.5">
      <c r="A108" s="51" t="s">
        <v>466</v>
      </c>
      <c r="B108" s="52">
        <v>254</v>
      </c>
      <c r="C108" s="52" t="s">
        <v>89</v>
      </c>
      <c r="D108" s="41">
        <f t="shared" si="36"/>
        <v>2</v>
      </c>
      <c r="E108" s="52" t="s">
        <v>479</v>
      </c>
      <c r="F108" s="52" t="s">
        <v>300</v>
      </c>
      <c r="G108" s="52" t="s">
        <v>154</v>
      </c>
      <c r="H108" s="52" t="s">
        <v>481</v>
      </c>
      <c r="I108" s="53">
        <v>45663</v>
      </c>
      <c r="J108" s="108">
        <v>518</v>
      </c>
      <c r="K108" s="101"/>
      <c r="L108" s="101"/>
      <c r="M108" s="101">
        <f t="shared" si="37"/>
        <v>518</v>
      </c>
      <c r="N108" s="54">
        <f t="shared" si="38"/>
        <v>518</v>
      </c>
      <c r="O108" s="101" t="s">
        <v>178</v>
      </c>
      <c r="P108" s="102">
        <f t="shared" si="39"/>
        <v>0.71944444444444444</v>
      </c>
      <c r="Q108" s="102">
        <v>6</v>
      </c>
      <c r="R108" s="99">
        <v>120</v>
      </c>
      <c r="S108" s="55">
        <f t="shared" si="68"/>
        <v>45631</v>
      </c>
      <c r="T108" s="55">
        <v>45626</v>
      </c>
      <c r="U108" s="56">
        <f t="shared" ca="1" si="40"/>
        <v>5</v>
      </c>
      <c r="V108" s="55">
        <f t="shared" si="41"/>
        <v>45647</v>
      </c>
      <c r="W108" s="55"/>
      <c r="X108" s="56">
        <f t="shared" ca="1" si="42"/>
        <v>-193</v>
      </c>
      <c r="Y108" s="55"/>
      <c r="Z108" s="57"/>
      <c r="AA108" s="58" t="str">
        <f t="shared" si="43"/>
        <v>-</v>
      </c>
      <c r="AB108" s="59"/>
      <c r="AC108" s="58" t="str">
        <f t="shared" si="44"/>
        <v/>
      </c>
      <c r="AD108" s="59"/>
      <c r="AE108" s="58" t="str">
        <f t="shared" si="45"/>
        <v/>
      </c>
      <c r="AF108" s="59"/>
      <c r="AG108" s="58" t="str">
        <f t="shared" si="46"/>
        <v/>
      </c>
      <c r="AH108" s="59"/>
      <c r="AI108" s="58" t="str">
        <f t="shared" si="47"/>
        <v/>
      </c>
      <c r="AJ108" s="59"/>
      <c r="AK108" s="58" t="str">
        <f t="shared" si="48"/>
        <v/>
      </c>
      <c r="AL108" s="59"/>
      <c r="AM108" s="58" t="str">
        <f t="shared" si="49"/>
        <v/>
      </c>
      <c r="AN108" s="59"/>
      <c r="AO108" s="58" t="str">
        <f t="shared" si="50"/>
        <v/>
      </c>
      <c r="AP108" s="59"/>
      <c r="AQ108" s="58">
        <f t="shared" si="51"/>
        <v>518</v>
      </c>
      <c r="AR108" s="59"/>
      <c r="AS108" s="58" t="str">
        <f t="shared" si="52"/>
        <v/>
      </c>
      <c r="AT108" s="59"/>
      <c r="AU108" s="58" t="str">
        <f t="shared" si="53"/>
        <v/>
      </c>
      <c r="AV108" s="59"/>
      <c r="AW108" s="58" t="str">
        <f t="shared" si="54"/>
        <v/>
      </c>
      <c r="AX108" s="59"/>
      <c r="AY108" s="58" t="str">
        <f t="shared" si="55"/>
        <v/>
      </c>
      <c r="AZ108" s="59"/>
      <c r="BA108" s="58" t="str">
        <f t="shared" si="56"/>
        <v/>
      </c>
      <c r="BB108" s="59"/>
      <c r="BC108" s="58" t="str">
        <f t="shared" si="57"/>
        <v/>
      </c>
      <c r="BD108" s="59"/>
      <c r="BE108" s="58" t="str">
        <f t="shared" si="58"/>
        <v/>
      </c>
      <c r="BF108" s="59"/>
      <c r="BG108" s="58" t="str">
        <f t="shared" si="59"/>
        <v/>
      </c>
      <c r="BH108" s="59"/>
      <c r="BI108" s="58" t="str">
        <f t="shared" si="60"/>
        <v/>
      </c>
      <c r="BJ108" s="59"/>
      <c r="BK108" s="58" t="str">
        <f t="shared" si="61"/>
        <v/>
      </c>
      <c r="BL108" s="59"/>
      <c r="BM108" s="58" t="str">
        <f t="shared" si="62"/>
        <v/>
      </c>
      <c r="BN108" s="59"/>
      <c r="BO108" s="58" t="str">
        <f t="shared" si="63"/>
        <v/>
      </c>
      <c r="BP108" s="59"/>
      <c r="BQ108" s="58" t="str">
        <f t="shared" si="64"/>
        <v/>
      </c>
      <c r="BR108" s="59"/>
      <c r="BS108" s="58" t="str">
        <f t="shared" si="65"/>
        <v/>
      </c>
      <c r="BT108" s="59"/>
      <c r="BU108" s="58" t="str">
        <f t="shared" si="66"/>
        <v/>
      </c>
      <c r="BV108" s="59"/>
    </row>
    <row r="109" spans="1:74" ht="14.5">
      <c r="A109" s="51" t="s">
        <v>466</v>
      </c>
      <c r="B109" s="52">
        <v>254</v>
      </c>
      <c r="C109" s="52" t="s">
        <v>89</v>
      </c>
      <c r="D109" s="41">
        <f t="shared" si="36"/>
        <v>2</v>
      </c>
      <c r="E109" s="52" t="s">
        <v>479</v>
      </c>
      <c r="F109" s="52" t="s">
        <v>300</v>
      </c>
      <c r="G109" s="52" t="s">
        <v>348</v>
      </c>
      <c r="H109" s="52" t="s">
        <v>482</v>
      </c>
      <c r="I109" s="53">
        <v>45663</v>
      </c>
      <c r="J109" s="108">
        <v>672</v>
      </c>
      <c r="K109" s="101"/>
      <c r="L109" s="101"/>
      <c r="M109" s="101">
        <f t="shared" si="37"/>
        <v>672</v>
      </c>
      <c r="N109" s="54">
        <f t="shared" si="38"/>
        <v>672</v>
      </c>
      <c r="O109" s="101" t="s">
        <v>178</v>
      </c>
      <c r="P109" s="102">
        <f t="shared" si="39"/>
        <v>0.93333333333333335</v>
      </c>
      <c r="Q109" s="102">
        <v>6</v>
      </c>
      <c r="R109" s="99">
        <v>120</v>
      </c>
      <c r="S109" s="55">
        <f t="shared" si="68"/>
        <v>45631</v>
      </c>
      <c r="T109" s="55">
        <v>45626</v>
      </c>
      <c r="U109" s="56">
        <f t="shared" ca="1" si="40"/>
        <v>5</v>
      </c>
      <c r="V109" s="55">
        <f t="shared" si="41"/>
        <v>45647</v>
      </c>
      <c r="W109" s="55"/>
      <c r="X109" s="56">
        <f t="shared" ca="1" si="42"/>
        <v>-193</v>
      </c>
      <c r="Y109" s="55"/>
      <c r="Z109" s="57"/>
      <c r="AA109" s="58" t="str">
        <f t="shared" si="43"/>
        <v>-</v>
      </c>
      <c r="AB109" s="59"/>
      <c r="AC109" s="58" t="str">
        <f t="shared" si="44"/>
        <v/>
      </c>
      <c r="AD109" s="59"/>
      <c r="AE109" s="58" t="str">
        <f t="shared" si="45"/>
        <v/>
      </c>
      <c r="AF109" s="59"/>
      <c r="AG109" s="58" t="str">
        <f t="shared" si="46"/>
        <v/>
      </c>
      <c r="AH109" s="59"/>
      <c r="AI109" s="58" t="str">
        <f t="shared" si="47"/>
        <v/>
      </c>
      <c r="AJ109" s="59"/>
      <c r="AK109" s="58" t="str">
        <f t="shared" si="48"/>
        <v/>
      </c>
      <c r="AL109" s="59"/>
      <c r="AM109" s="58" t="str">
        <f t="shared" si="49"/>
        <v/>
      </c>
      <c r="AN109" s="59"/>
      <c r="AO109" s="58" t="str">
        <f t="shared" si="50"/>
        <v/>
      </c>
      <c r="AP109" s="59"/>
      <c r="AQ109" s="58">
        <f t="shared" si="51"/>
        <v>672</v>
      </c>
      <c r="AR109" s="59"/>
      <c r="AS109" s="58" t="str">
        <f t="shared" si="52"/>
        <v/>
      </c>
      <c r="AT109" s="59"/>
      <c r="AU109" s="58" t="str">
        <f t="shared" si="53"/>
        <v/>
      </c>
      <c r="AV109" s="59"/>
      <c r="AW109" s="58" t="str">
        <f t="shared" si="54"/>
        <v/>
      </c>
      <c r="AX109" s="59"/>
      <c r="AY109" s="58" t="str">
        <f t="shared" si="55"/>
        <v/>
      </c>
      <c r="AZ109" s="59"/>
      <c r="BA109" s="58" t="str">
        <f t="shared" si="56"/>
        <v/>
      </c>
      <c r="BB109" s="59"/>
      <c r="BC109" s="58" t="str">
        <f t="shared" si="57"/>
        <v/>
      </c>
      <c r="BD109" s="59"/>
      <c r="BE109" s="58" t="str">
        <f t="shared" si="58"/>
        <v/>
      </c>
      <c r="BF109" s="59"/>
      <c r="BG109" s="58" t="str">
        <f t="shared" si="59"/>
        <v/>
      </c>
      <c r="BH109" s="59"/>
      <c r="BI109" s="58" t="str">
        <f t="shared" si="60"/>
        <v/>
      </c>
      <c r="BJ109" s="59"/>
      <c r="BK109" s="58" t="str">
        <f t="shared" si="61"/>
        <v/>
      </c>
      <c r="BL109" s="59"/>
      <c r="BM109" s="58" t="str">
        <f t="shared" si="62"/>
        <v/>
      </c>
      <c r="BN109" s="59"/>
      <c r="BO109" s="58" t="str">
        <f t="shared" si="63"/>
        <v/>
      </c>
      <c r="BP109" s="59"/>
      <c r="BQ109" s="58" t="str">
        <f t="shared" si="64"/>
        <v/>
      </c>
      <c r="BR109" s="59"/>
      <c r="BS109" s="58" t="str">
        <f t="shared" si="65"/>
        <v/>
      </c>
      <c r="BT109" s="59"/>
      <c r="BU109" s="58" t="str">
        <f t="shared" si="66"/>
        <v/>
      </c>
      <c r="BV109" s="59"/>
    </row>
    <row r="110" spans="1:74" ht="14.5">
      <c r="A110" s="51" t="s">
        <v>466</v>
      </c>
      <c r="B110" s="52">
        <v>254</v>
      </c>
      <c r="C110" s="52" t="s">
        <v>89</v>
      </c>
      <c r="D110" s="41">
        <f t="shared" si="36"/>
        <v>2</v>
      </c>
      <c r="E110" s="52" t="s">
        <v>479</v>
      </c>
      <c r="F110" s="52" t="s">
        <v>300</v>
      </c>
      <c r="G110" s="52" t="s">
        <v>154</v>
      </c>
      <c r="H110" s="52" t="s">
        <v>482</v>
      </c>
      <c r="I110" s="53">
        <v>45663</v>
      </c>
      <c r="J110" s="108">
        <v>672</v>
      </c>
      <c r="K110" s="101"/>
      <c r="L110" s="101"/>
      <c r="M110" s="101">
        <f t="shared" si="37"/>
        <v>672</v>
      </c>
      <c r="N110" s="54">
        <f t="shared" si="38"/>
        <v>672</v>
      </c>
      <c r="O110" s="101" t="s">
        <v>178</v>
      </c>
      <c r="P110" s="102">
        <f t="shared" si="39"/>
        <v>0.93333333333333335</v>
      </c>
      <c r="Q110" s="102">
        <v>6</v>
      </c>
      <c r="R110" s="99">
        <v>120</v>
      </c>
      <c r="S110" s="55">
        <f t="shared" si="68"/>
        <v>45631</v>
      </c>
      <c r="T110" s="55">
        <v>45626</v>
      </c>
      <c r="U110" s="56">
        <f t="shared" ca="1" si="40"/>
        <v>5</v>
      </c>
      <c r="V110" s="55">
        <f t="shared" si="41"/>
        <v>45647</v>
      </c>
      <c r="W110" s="55"/>
      <c r="X110" s="56">
        <f t="shared" ca="1" si="42"/>
        <v>-193</v>
      </c>
      <c r="Y110" s="55"/>
      <c r="Z110" s="57"/>
      <c r="AA110" s="58" t="str">
        <f t="shared" si="43"/>
        <v>-</v>
      </c>
      <c r="AB110" s="59"/>
      <c r="AC110" s="58" t="str">
        <f t="shared" si="44"/>
        <v/>
      </c>
      <c r="AD110" s="59"/>
      <c r="AE110" s="58" t="str">
        <f t="shared" si="45"/>
        <v/>
      </c>
      <c r="AF110" s="59"/>
      <c r="AG110" s="58" t="str">
        <f t="shared" si="46"/>
        <v/>
      </c>
      <c r="AH110" s="59"/>
      <c r="AI110" s="58" t="str">
        <f t="shared" si="47"/>
        <v/>
      </c>
      <c r="AJ110" s="59"/>
      <c r="AK110" s="58" t="str">
        <f t="shared" si="48"/>
        <v/>
      </c>
      <c r="AL110" s="59"/>
      <c r="AM110" s="58" t="str">
        <f t="shared" si="49"/>
        <v/>
      </c>
      <c r="AN110" s="59"/>
      <c r="AO110" s="58" t="str">
        <f t="shared" si="50"/>
        <v/>
      </c>
      <c r="AP110" s="59"/>
      <c r="AQ110" s="58">
        <f t="shared" si="51"/>
        <v>672</v>
      </c>
      <c r="AR110" s="59"/>
      <c r="AS110" s="58" t="str">
        <f t="shared" si="52"/>
        <v/>
      </c>
      <c r="AT110" s="59"/>
      <c r="AU110" s="58" t="str">
        <f t="shared" si="53"/>
        <v/>
      </c>
      <c r="AV110" s="59"/>
      <c r="AW110" s="58" t="str">
        <f t="shared" si="54"/>
        <v/>
      </c>
      <c r="AX110" s="59"/>
      <c r="AY110" s="58" t="str">
        <f t="shared" si="55"/>
        <v/>
      </c>
      <c r="AZ110" s="59"/>
      <c r="BA110" s="58" t="str">
        <f t="shared" si="56"/>
        <v/>
      </c>
      <c r="BB110" s="59"/>
      <c r="BC110" s="58" t="str">
        <f t="shared" si="57"/>
        <v/>
      </c>
      <c r="BD110" s="59"/>
      <c r="BE110" s="58" t="str">
        <f t="shared" si="58"/>
        <v/>
      </c>
      <c r="BF110" s="59"/>
      <c r="BG110" s="58" t="str">
        <f t="shared" si="59"/>
        <v/>
      </c>
      <c r="BH110" s="59"/>
      <c r="BI110" s="58" t="str">
        <f t="shared" si="60"/>
        <v/>
      </c>
      <c r="BJ110" s="59"/>
      <c r="BK110" s="58" t="str">
        <f t="shared" si="61"/>
        <v/>
      </c>
      <c r="BL110" s="59"/>
      <c r="BM110" s="58" t="str">
        <f t="shared" si="62"/>
        <v/>
      </c>
      <c r="BN110" s="59"/>
      <c r="BO110" s="58" t="str">
        <f t="shared" si="63"/>
        <v/>
      </c>
      <c r="BP110" s="59"/>
      <c r="BQ110" s="58" t="str">
        <f t="shared" si="64"/>
        <v/>
      </c>
      <c r="BR110" s="59"/>
      <c r="BS110" s="58" t="str">
        <f t="shared" si="65"/>
        <v/>
      </c>
      <c r="BT110" s="59"/>
      <c r="BU110" s="58" t="str">
        <f t="shared" si="66"/>
        <v/>
      </c>
      <c r="BV110" s="59"/>
    </row>
    <row r="111" spans="1:74" ht="14.5">
      <c r="A111" s="51" t="s">
        <v>466</v>
      </c>
      <c r="B111" s="52">
        <v>254</v>
      </c>
      <c r="C111" s="52" t="s">
        <v>89</v>
      </c>
      <c r="D111" s="41">
        <f t="shared" si="36"/>
        <v>2</v>
      </c>
      <c r="E111" s="52" t="s">
        <v>479</v>
      </c>
      <c r="F111" s="52" t="s">
        <v>300</v>
      </c>
      <c r="G111" s="52" t="s">
        <v>348</v>
      </c>
      <c r="H111" s="52" t="s">
        <v>483</v>
      </c>
      <c r="I111" s="53">
        <v>45663</v>
      </c>
      <c r="J111" s="108">
        <v>612</v>
      </c>
      <c r="K111" s="101"/>
      <c r="L111" s="101"/>
      <c r="M111" s="101">
        <f t="shared" si="37"/>
        <v>612</v>
      </c>
      <c r="N111" s="54">
        <f t="shared" si="38"/>
        <v>612</v>
      </c>
      <c r="O111" s="101" t="s">
        <v>178</v>
      </c>
      <c r="P111" s="102">
        <f t="shared" si="39"/>
        <v>0.85</v>
      </c>
      <c r="Q111" s="102">
        <v>6</v>
      </c>
      <c r="R111" s="99">
        <v>120</v>
      </c>
      <c r="S111" s="55">
        <f t="shared" si="68"/>
        <v>45631</v>
      </c>
      <c r="T111" s="55">
        <v>45626</v>
      </c>
      <c r="U111" s="56">
        <f t="shared" ca="1" si="40"/>
        <v>5</v>
      </c>
      <c r="V111" s="55">
        <f t="shared" si="41"/>
        <v>45647</v>
      </c>
      <c r="W111" s="55"/>
      <c r="X111" s="56">
        <f t="shared" ca="1" si="42"/>
        <v>-193</v>
      </c>
      <c r="Y111" s="55"/>
      <c r="Z111" s="57"/>
      <c r="AA111" s="58" t="str">
        <f t="shared" si="43"/>
        <v>-</v>
      </c>
      <c r="AB111" s="59"/>
      <c r="AC111" s="58" t="str">
        <f t="shared" si="44"/>
        <v/>
      </c>
      <c r="AD111" s="59"/>
      <c r="AE111" s="58" t="str">
        <f t="shared" si="45"/>
        <v/>
      </c>
      <c r="AF111" s="59"/>
      <c r="AG111" s="58" t="str">
        <f t="shared" si="46"/>
        <v/>
      </c>
      <c r="AH111" s="59"/>
      <c r="AI111" s="58" t="str">
        <f t="shared" si="47"/>
        <v/>
      </c>
      <c r="AJ111" s="59"/>
      <c r="AK111" s="58" t="str">
        <f t="shared" si="48"/>
        <v/>
      </c>
      <c r="AL111" s="59"/>
      <c r="AM111" s="58" t="str">
        <f t="shared" si="49"/>
        <v/>
      </c>
      <c r="AN111" s="59"/>
      <c r="AO111" s="58" t="str">
        <f t="shared" si="50"/>
        <v/>
      </c>
      <c r="AP111" s="59"/>
      <c r="AQ111" s="58">
        <f t="shared" si="51"/>
        <v>612</v>
      </c>
      <c r="AR111" s="59"/>
      <c r="AS111" s="58" t="str">
        <f t="shared" si="52"/>
        <v/>
      </c>
      <c r="AT111" s="59"/>
      <c r="AU111" s="58" t="str">
        <f t="shared" si="53"/>
        <v/>
      </c>
      <c r="AV111" s="59"/>
      <c r="AW111" s="58" t="str">
        <f t="shared" si="54"/>
        <v/>
      </c>
      <c r="AX111" s="59"/>
      <c r="AY111" s="58" t="str">
        <f t="shared" si="55"/>
        <v/>
      </c>
      <c r="AZ111" s="59"/>
      <c r="BA111" s="58" t="str">
        <f t="shared" si="56"/>
        <v/>
      </c>
      <c r="BB111" s="59"/>
      <c r="BC111" s="58" t="str">
        <f t="shared" si="57"/>
        <v/>
      </c>
      <c r="BD111" s="59"/>
      <c r="BE111" s="58" t="str">
        <f t="shared" si="58"/>
        <v/>
      </c>
      <c r="BF111" s="59"/>
      <c r="BG111" s="58" t="str">
        <f t="shared" si="59"/>
        <v/>
      </c>
      <c r="BH111" s="59"/>
      <c r="BI111" s="58" t="str">
        <f t="shared" si="60"/>
        <v/>
      </c>
      <c r="BJ111" s="59"/>
      <c r="BK111" s="58" t="str">
        <f t="shared" si="61"/>
        <v/>
      </c>
      <c r="BL111" s="59"/>
      <c r="BM111" s="58" t="str">
        <f t="shared" si="62"/>
        <v/>
      </c>
      <c r="BN111" s="59"/>
      <c r="BO111" s="58" t="str">
        <f t="shared" si="63"/>
        <v/>
      </c>
      <c r="BP111" s="59"/>
      <c r="BQ111" s="58" t="str">
        <f t="shared" si="64"/>
        <v/>
      </c>
      <c r="BR111" s="59"/>
      <c r="BS111" s="58" t="str">
        <f t="shared" si="65"/>
        <v/>
      </c>
      <c r="BT111" s="59"/>
      <c r="BU111" s="58" t="str">
        <f t="shared" si="66"/>
        <v/>
      </c>
      <c r="BV111" s="59"/>
    </row>
    <row r="112" spans="1:74" ht="14.5">
      <c r="A112" s="51" t="s">
        <v>466</v>
      </c>
      <c r="B112" s="52">
        <v>254</v>
      </c>
      <c r="C112" s="52" t="s">
        <v>89</v>
      </c>
      <c r="D112" s="41">
        <f t="shared" si="36"/>
        <v>2</v>
      </c>
      <c r="E112" s="52" t="s">
        <v>479</v>
      </c>
      <c r="F112" s="52" t="s">
        <v>300</v>
      </c>
      <c r="G112" s="52" t="s">
        <v>154</v>
      </c>
      <c r="H112" s="52" t="s">
        <v>483</v>
      </c>
      <c r="I112" s="53">
        <v>45663</v>
      </c>
      <c r="J112" s="108">
        <v>612</v>
      </c>
      <c r="K112" s="101"/>
      <c r="L112" s="101"/>
      <c r="M112" s="101">
        <f t="shared" si="37"/>
        <v>612</v>
      </c>
      <c r="N112" s="54">
        <f t="shared" si="38"/>
        <v>612</v>
      </c>
      <c r="O112" s="101" t="s">
        <v>178</v>
      </c>
      <c r="P112" s="102">
        <f t="shared" si="39"/>
        <v>0.85</v>
      </c>
      <c r="Q112" s="102">
        <v>6</v>
      </c>
      <c r="R112" s="99">
        <v>120</v>
      </c>
      <c r="S112" s="55">
        <f t="shared" si="68"/>
        <v>45631</v>
      </c>
      <c r="T112" s="55">
        <v>45626</v>
      </c>
      <c r="U112" s="56">
        <f t="shared" ca="1" si="40"/>
        <v>5</v>
      </c>
      <c r="V112" s="55">
        <f t="shared" si="41"/>
        <v>45647</v>
      </c>
      <c r="W112" s="55"/>
      <c r="X112" s="56">
        <f t="shared" ca="1" si="42"/>
        <v>-193</v>
      </c>
      <c r="Y112" s="55"/>
      <c r="Z112" s="57"/>
      <c r="AA112" s="58" t="str">
        <f t="shared" si="43"/>
        <v>-</v>
      </c>
      <c r="AB112" s="59"/>
      <c r="AC112" s="58" t="str">
        <f t="shared" si="44"/>
        <v/>
      </c>
      <c r="AD112" s="59"/>
      <c r="AE112" s="58" t="str">
        <f t="shared" si="45"/>
        <v/>
      </c>
      <c r="AF112" s="59"/>
      <c r="AG112" s="58" t="str">
        <f t="shared" si="46"/>
        <v/>
      </c>
      <c r="AH112" s="59"/>
      <c r="AI112" s="58" t="str">
        <f t="shared" si="47"/>
        <v/>
      </c>
      <c r="AJ112" s="59"/>
      <c r="AK112" s="58" t="str">
        <f t="shared" si="48"/>
        <v/>
      </c>
      <c r="AL112" s="59"/>
      <c r="AM112" s="58" t="str">
        <f t="shared" si="49"/>
        <v/>
      </c>
      <c r="AN112" s="59"/>
      <c r="AO112" s="58" t="str">
        <f t="shared" si="50"/>
        <v/>
      </c>
      <c r="AP112" s="59"/>
      <c r="AQ112" s="58">
        <f t="shared" si="51"/>
        <v>612</v>
      </c>
      <c r="AR112" s="59"/>
      <c r="AS112" s="58" t="str">
        <f t="shared" si="52"/>
        <v/>
      </c>
      <c r="AT112" s="59"/>
      <c r="AU112" s="58" t="str">
        <f t="shared" si="53"/>
        <v/>
      </c>
      <c r="AV112" s="59"/>
      <c r="AW112" s="58" t="str">
        <f t="shared" si="54"/>
        <v/>
      </c>
      <c r="AX112" s="59"/>
      <c r="AY112" s="58" t="str">
        <f t="shared" si="55"/>
        <v/>
      </c>
      <c r="AZ112" s="59"/>
      <c r="BA112" s="58" t="str">
        <f t="shared" si="56"/>
        <v/>
      </c>
      <c r="BB112" s="59"/>
      <c r="BC112" s="58" t="str">
        <f t="shared" si="57"/>
        <v/>
      </c>
      <c r="BD112" s="59"/>
      <c r="BE112" s="58" t="str">
        <f t="shared" si="58"/>
        <v/>
      </c>
      <c r="BF112" s="59"/>
      <c r="BG112" s="58" t="str">
        <f t="shared" si="59"/>
        <v/>
      </c>
      <c r="BH112" s="59"/>
      <c r="BI112" s="58" t="str">
        <f t="shared" si="60"/>
        <v/>
      </c>
      <c r="BJ112" s="59"/>
      <c r="BK112" s="58" t="str">
        <f t="shared" si="61"/>
        <v/>
      </c>
      <c r="BL112" s="59"/>
      <c r="BM112" s="58" t="str">
        <f t="shared" si="62"/>
        <v/>
      </c>
      <c r="BN112" s="59"/>
      <c r="BO112" s="58" t="str">
        <f t="shared" si="63"/>
        <v/>
      </c>
      <c r="BP112" s="59"/>
      <c r="BQ112" s="58" t="str">
        <f t="shared" si="64"/>
        <v/>
      </c>
      <c r="BR112" s="59"/>
      <c r="BS112" s="58" t="str">
        <f t="shared" si="65"/>
        <v/>
      </c>
      <c r="BT112" s="59"/>
      <c r="BU112" s="58" t="str">
        <f t="shared" si="66"/>
        <v/>
      </c>
      <c r="BV112" s="59"/>
    </row>
    <row r="113" spans="1:74" ht="14.5">
      <c r="A113" s="51" t="s">
        <v>466</v>
      </c>
      <c r="B113" s="52">
        <v>254</v>
      </c>
      <c r="C113" s="52" t="s">
        <v>89</v>
      </c>
      <c r="D113" s="41">
        <f t="shared" si="36"/>
        <v>2</v>
      </c>
      <c r="E113" s="52" t="s">
        <v>479</v>
      </c>
      <c r="F113" s="52" t="s">
        <v>484</v>
      </c>
      <c r="G113" s="52" t="s">
        <v>348</v>
      </c>
      <c r="H113" s="52" t="s">
        <v>485</v>
      </c>
      <c r="I113" s="53">
        <v>45663</v>
      </c>
      <c r="J113" s="108">
        <v>620</v>
      </c>
      <c r="K113" s="101"/>
      <c r="L113" s="101"/>
      <c r="M113" s="101">
        <f t="shared" si="37"/>
        <v>620</v>
      </c>
      <c r="N113" s="54">
        <f t="shared" si="38"/>
        <v>620</v>
      </c>
      <c r="O113" s="101" t="s">
        <v>178</v>
      </c>
      <c r="P113" s="102">
        <f t="shared" si="39"/>
        <v>0.29523809523809524</v>
      </c>
      <c r="Q113" s="102">
        <v>6</v>
      </c>
      <c r="R113" s="99">
        <v>350</v>
      </c>
      <c r="S113" s="55">
        <f t="shared" si="68"/>
        <v>45631</v>
      </c>
      <c r="T113" s="55">
        <v>45626</v>
      </c>
      <c r="U113" s="56">
        <f t="shared" ca="1" si="40"/>
        <v>5</v>
      </c>
      <c r="V113" s="55">
        <f t="shared" si="41"/>
        <v>45647</v>
      </c>
      <c r="W113" s="55"/>
      <c r="X113" s="56">
        <f t="shared" ca="1" si="42"/>
        <v>-193</v>
      </c>
      <c r="Y113" s="55"/>
      <c r="Z113" s="57"/>
      <c r="AA113" s="58" t="str">
        <f t="shared" si="43"/>
        <v>-</v>
      </c>
      <c r="AB113" s="59"/>
      <c r="AC113" s="58" t="str">
        <f t="shared" si="44"/>
        <v/>
      </c>
      <c r="AD113" s="59"/>
      <c r="AE113" s="58" t="str">
        <f t="shared" si="45"/>
        <v/>
      </c>
      <c r="AF113" s="59"/>
      <c r="AG113" s="58" t="str">
        <f t="shared" si="46"/>
        <v/>
      </c>
      <c r="AH113" s="59"/>
      <c r="AI113" s="58" t="str">
        <f t="shared" si="47"/>
        <v/>
      </c>
      <c r="AJ113" s="59"/>
      <c r="AK113" s="58" t="str">
        <f t="shared" si="48"/>
        <v/>
      </c>
      <c r="AL113" s="59"/>
      <c r="AM113" s="58" t="str">
        <f t="shared" si="49"/>
        <v/>
      </c>
      <c r="AN113" s="59"/>
      <c r="AO113" s="58" t="str">
        <f t="shared" si="50"/>
        <v/>
      </c>
      <c r="AP113" s="59"/>
      <c r="AQ113" s="58">
        <f t="shared" si="51"/>
        <v>620</v>
      </c>
      <c r="AR113" s="59"/>
      <c r="AS113" s="58" t="str">
        <f t="shared" si="52"/>
        <v/>
      </c>
      <c r="AT113" s="59"/>
      <c r="AU113" s="58" t="str">
        <f t="shared" si="53"/>
        <v/>
      </c>
      <c r="AV113" s="59"/>
      <c r="AW113" s="58" t="str">
        <f t="shared" si="54"/>
        <v/>
      </c>
      <c r="AX113" s="59"/>
      <c r="AY113" s="58" t="str">
        <f t="shared" si="55"/>
        <v/>
      </c>
      <c r="AZ113" s="59"/>
      <c r="BA113" s="58" t="str">
        <f t="shared" si="56"/>
        <v/>
      </c>
      <c r="BB113" s="59"/>
      <c r="BC113" s="58" t="str">
        <f t="shared" si="57"/>
        <v/>
      </c>
      <c r="BD113" s="59"/>
      <c r="BE113" s="58" t="str">
        <f t="shared" si="58"/>
        <v/>
      </c>
      <c r="BF113" s="59"/>
      <c r="BG113" s="58" t="str">
        <f t="shared" si="59"/>
        <v/>
      </c>
      <c r="BH113" s="59"/>
      <c r="BI113" s="58" t="str">
        <f t="shared" si="60"/>
        <v/>
      </c>
      <c r="BJ113" s="59"/>
      <c r="BK113" s="58" t="str">
        <f t="shared" si="61"/>
        <v/>
      </c>
      <c r="BL113" s="59"/>
      <c r="BM113" s="58" t="str">
        <f t="shared" si="62"/>
        <v/>
      </c>
      <c r="BN113" s="59"/>
      <c r="BO113" s="58" t="str">
        <f t="shared" si="63"/>
        <v/>
      </c>
      <c r="BP113" s="59"/>
      <c r="BQ113" s="58" t="str">
        <f t="shared" si="64"/>
        <v/>
      </c>
      <c r="BR113" s="59"/>
      <c r="BS113" s="58" t="str">
        <f t="shared" si="65"/>
        <v/>
      </c>
      <c r="BT113" s="59"/>
      <c r="BU113" s="58" t="str">
        <f t="shared" si="66"/>
        <v/>
      </c>
      <c r="BV113" s="59"/>
    </row>
    <row r="114" spans="1:74" ht="14.5">
      <c r="A114" s="51" t="s">
        <v>466</v>
      </c>
      <c r="B114" s="52">
        <v>254</v>
      </c>
      <c r="C114" s="52" t="s">
        <v>89</v>
      </c>
      <c r="D114" s="41">
        <f t="shared" si="36"/>
        <v>2</v>
      </c>
      <c r="E114" s="52" t="s">
        <v>479</v>
      </c>
      <c r="F114" s="52" t="s">
        <v>484</v>
      </c>
      <c r="G114" s="52" t="s">
        <v>154</v>
      </c>
      <c r="H114" s="52" t="s">
        <v>485</v>
      </c>
      <c r="I114" s="53">
        <v>45663</v>
      </c>
      <c r="J114" s="108">
        <v>620</v>
      </c>
      <c r="K114" s="101"/>
      <c r="L114" s="101"/>
      <c r="M114" s="101">
        <f t="shared" si="37"/>
        <v>620</v>
      </c>
      <c r="N114" s="54">
        <f t="shared" si="38"/>
        <v>620</v>
      </c>
      <c r="O114" s="101" t="s">
        <v>178</v>
      </c>
      <c r="P114" s="102">
        <f t="shared" si="39"/>
        <v>0.29523809523809524</v>
      </c>
      <c r="Q114" s="102">
        <v>6</v>
      </c>
      <c r="R114" s="99">
        <v>350</v>
      </c>
      <c r="S114" s="55">
        <f t="shared" si="68"/>
        <v>45631</v>
      </c>
      <c r="T114" s="55">
        <v>45626</v>
      </c>
      <c r="U114" s="56">
        <f t="shared" ca="1" si="40"/>
        <v>5</v>
      </c>
      <c r="V114" s="55">
        <f t="shared" si="41"/>
        <v>45647</v>
      </c>
      <c r="W114" s="55"/>
      <c r="X114" s="56">
        <f t="shared" ca="1" si="42"/>
        <v>-193</v>
      </c>
      <c r="Y114" s="55"/>
      <c r="Z114" s="57"/>
      <c r="AA114" s="58" t="str">
        <f t="shared" si="43"/>
        <v>-</v>
      </c>
      <c r="AB114" s="59"/>
      <c r="AC114" s="58" t="str">
        <f t="shared" si="44"/>
        <v/>
      </c>
      <c r="AD114" s="59"/>
      <c r="AE114" s="58" t="str">
        <f t="shared" si="45"/>
        <v/>
      </c>
      <c r="AF114" s="59"/>
      <c r="AG114" s="58" t="str">
        <f t="shared" si="46"/>
        <v/>
      </c>
      <c r="AH114" s="59"/>
      <c r="AI114" s="58" t="str">
        <f t="shared" si="47"/>
        <v/>
      </c>
      <c r="AJ114" s="59"/>
      <c r="AK114" s="58" t="str">
        <f t="shared" si="48"/>
        <v/>
      </c>
      <c r="AL114" s="59"/>
      <c r="AM114" s="58" t="str">
        <f t="shared" si="49"/>
        <v/>
      </c>
      <c r="AN114" s="59"/>
      <c r="AO114" s="58" t="str">
        <f t="shared" si="50"/>
        <v/>
      </c>
      <c r="AP114" s="59"/>
      <c r="AQ114" s="58">
        <f t="shared" si="51"/>
        <v>620</v>
      </c>
      <c r="AR114" s="59"/>
      <c r="AS114" s="58" t="str">
        <f t="shared" si="52"/>
        <v/>
      </c>
      <c r="AT114" s="59"/>
      <c r="AU114" s="58" t="str">
        <f t="shared" si="53"/>
        <v/>
      </c>
      <c r="AV114" s="59"/>
      <c r="AW114" s="58" t="str">
        <f t="shared" si="54"/>
        <v/>
      </c>
      <c r="AX114" s="59"/>
      <c r="AY114" s="58" t="str">
        <f t="shared" si="55"/>
        <v/>
      </c>
      <c r="AZ114" s="59"/>
      <c r="BA114" s="58" t="str">
        <f t="shared" si="56"/>
        <v/>
      </c>
      <c r="BB114" s="59"/>
      <c r="BC114" s="58" t="str">
        <f t="shared" si="57"/>
        <v/>
      </c>
      <c r="BD114" s="59"/>
      <c r="BE114" s="58" t="str">
        <f t="shared" si="58"/>
        <v/>
      </c>
      <c r="BF114" s="59"/>
      <c r="BG114" s="58" t="str">
        <f t="shared" si="59"/>
        <v/>
      </c>
      <c r="BH114" s="59"/>
      <c r="BI114" s="58" t="str">
        <f t="shared" si="60"/>
        <v/>
      </c>
      <c r="BJ114" s="59"/>
      <c r="BK114" s="58" t="str">
        <f t="shared" si="61"/>
        <v/>
      </c>
      <c r="BL114" s="59"/>
      <c r="BM114" s="58" t="str">
        <f t="shared" si="62"/>
        <v/>
      </c>
      <c r="BN114" s="59"/>
      <c r="BO114" s="58" t="str">
        <f t="shared" si="63"/>
        <v/>
      </c>
      <c r="BP114" s="59"/>
      <c r="BQ114" s="58" t="str">
        <f t="shared" si="64"/>
        <v/>
      </c>
      <c r="BR114" s="59"/>
      <c r="BS114" s="58" t="str">
        <f t="shared" si="65"/>
        <v/>
      </c>
      <c r="BT114" s="59"/>
      <c r="BU114" s="58" t="str">
        <f t="shared" si="66"/>
        <v/>
      </c>
      <c r="BV114" s="59"/>
    </row>
    <row r="115" spans="1:74" ht="14.5">
      <c r="A115" s="51" t="s">
        <v>466</v>
      </c>
      <c r="B115" s="52">
        <v>254</v>
      </c>
      <c r="C115" s="52" t="s">
        <v>89</v>
      </c>
      <c r="D115" s="41">
        <f t="shared" si="36"/>
        <v>2</v>
      </c>
      <c r="E115" s="52" t="s">
        <v>479</v>
      </c>
      <c r="F115" s="52" t="s">
        <v>462</v>
      </c>
      <c r="G115" s="52" t="s">
        <v>348</v>
      </c>
      <c r="H115" s="52" t="s">
        <v>486</v>
      </c>
      <c r="I115" s="53">
        <v>45663</v>
      </c>
      <c r="J115" s="108">
        <v>1440</v>
      </c>
      <c r="K115" s="101"/>
      <c r="L115" s="101"/>
      <c r="M115" s="101">
        <f t="shared" si="37"/>
        <v>1440</v>
      </c>
      <c r="N115" s="54">
        <f t="shared" si="38"/>
        <v>1440</v>
      </c>
      <c r="O115" s="101" t="s">
        <v>443</v>
      </c>
      <c r="P115" s="102">
        <f t="shared" si="39"/>
        <v>0.82285714285714284</v>
      </c>
      <c r="Q115" s="102">
        <v>5</v>
      </c>
      <c r="R115" s="99">
        <v>350</v>
      </c>
      <c r="S115" s="55">
        <f t="shared" si="68"/>
        <v>45631</v>
      </c>
      <c r="T115" s="55">
        <v>45626</v>
      </c>
      <c r="U115" s="56">
        <f t="shared" ca="1" si="40"/>
        <v>5</v>
      </c>
      <c r="V115" s="55">
        <f t="shared" si="41"/>
        <v>45647</v>
      </c>
      <c r="W115" s="55"/>
      <c r="X115" s="56">
        <f t="shared" ca="1" si="42"/>
        <v>-193</v>
      </c>
      <c r="Y115" s="55"/>
      <c r="Z115" s="57"/>
      <c r="AA115" s="58" t="str">
        <f t="shared" si="43"/>
        <v>-</v>
      </c>
      <c r="AB115" s="59"/>
      <c r="AC115" s="58" t="str">
        <f t="shared" si="44"/>
        <v/>
      </c>
      <c r="AD115" s="59"/>
      <c r="AE115" s="58" t="str">
        <f t="shared" si="45"/>
        <v/>
      </c>
      <c r="AF115" s="59"/>
      <c r="AG115" s="58" t="str">
        <f t="shared" si="46"/>
        <v/>
      </c>
      <c r="AH115" s="59"/>
      <c r="AI115" s="58" t="str">
        <f t="shared" si="47"/>
        <v/>
      </c>
      <c r="AJ115" s="59"/>
      <c r="AK115" s="58" t="str">
        <f t="shared" si="48"/>
        <v/>
      </c>
      <c r="AL115" s="59"/>
      <c r="AM115" s="58" t="str">
        <f t="shared" si="49"/>
        <v/>
      </c>
      <c r="AN115" s="59"/>
      <c r="AO115" s="58" t="str">
        <f t="shared" si="50"/>
        <v/>
      </c>
      <c r="AP115" s="59"/>
      <c r="AQ115" s="58">
        <f t="shared" si="51"/>
        <v>1440</v>
      </c>
      <c r="AR115" s="59"/>
      <c r="AS115" s="58" t="str">
        <f t="shared" si="52"/>
        <v/>
      </c>
      <c r="AT115" s="59"/>
      <c r="AU115" s="58" t="str">
        <f t="shared" si="53"/>
        <v/>
      </c>
      <c r="AV115" s="59"/>
      <c r="AW115" s="58" t="str">
        <f t="shared" si="54"/>
        <v/>
      </c>
      <c r="AX115" s="59"/>
      <c r="AY115" s="58" t="str">
        <f t="shared" si="55"/>
        <v/>
      </c>
      <c r="AZ115" s="59"/>
      <c r="BA115" s="58" t="str">
        <f t="shared" si="56"/>
        <v/>
      </c>
      <c r="BB115" s="59"/>
      <c r="BC115" s="58" t="str">
        <f t="shared" si="57"/>
        <v/>
      </c>
      <c r="BD115" s="59"/>
      <c r="BE115" s="58" t="str">
        <f t="shared" si="58"/>
        <v/>
      </c>
      <c r="BF115" s="59"/>
      <c r="BG115" s="58" t="str">
        <f t="shared" si="59"/>
        <v/>
      </c>
      <c r="BH115" s="59"/>
      <c r="BI115" s="58" t="str">
        <f t="shared" si="60"/>
        <v/>
      </c>
      <c r="BJ115" s="59"/>
      <c r="BK115" s="58" t="str">
        <f t="shared" si="61"/>
        <v/>
      </c>
      <c r="BL115" s="59"/>
      <c r="BM115" s="58" t="str">
        <f t="shared" si="62"/>
        <v/>
      </c>
      <c r="BN115" s="59"/>
      <c r="BO115" s="58" t="str">
        <f t="shared" si="63"/>
        <v/>
      </c>
      <c r="BP115" s="59"/>
      <c r="BQ115" s="58" t="str">
        <f t="shared" si="64"/>
        <v/>
      </c>
      <c r="BR115" s="59"/>
      <c r="BS115" s="58" t="str">
        <f t="shared" si="65"/>
        <v/>
      </c>
      <c r="BT115" s="59"/>
      <c r="BU115" s="58" t="str">
        <f t="shared" si="66"/>
        <v/>
      </c>
      <c r="BV115" s="59"/>
    </row>
    <row r="116" spans="1:74" ht="14.5">
      <c r="A116" s="51" t="s">
        <v>466</v>
      </c>
      <c r="B116" s="52">
        <v>254</v>
      </c>
      <c r="C116" s="52" t="s">
        <v>89</v>
      </c>
      <c r="D116" s="41">
        <f t="shared" si="36"/>
        <v>2</v>
      </c>
      <c r="E116" s="52" t="s">
        <v>479</v>
      </c>
      <c r="F116" s="52" t="s">
        <v>462</v>
      </c>
      <c r="G116" s="52" t="s">
        <v>154</v>
      </c>
      <c r="H116" s="52" t="s">
        <v>486</v>
      </c>
      <c r="I116" s="53">
        <v>45663</v>
      </c>
      <c r="J116" s="108">
        <v>1440</v>
      </c>
      <c r="K116" s="101"/>
      <c r="L116" s="101"/>
      <c r="M116" s="101">
        <f t="shared" si="37"/>
        <v>1440</v>
      </c>
      <c r="N116" s="54">
        <f t="shared" si="38"/>
        <v>1440</v>
      </c>
      <c r="O116" s="101" t="s">
        <v>443</v>
      </c>
      <c r="P116" s="102">
        <f t="shared" si="39"/>
        <v>0.82285714285714284</v>
      </c>
      <c r="Q116" s="102">
        <v>5</v>
      </c>
      <c r="R116" s="99">
        <v>350</v>
      </c>
      <c r="S116" s="55">
        <f t="shared" si="68"/>
        <v>45631</v>
      </c>
      <c r="T116" s="55">
        <v>45626</v>
      </c>
      <c r="U116" s="56">
        <f t="shared" ca="1" si="40"/>
        <v>5</v>
      </c>
      <c r="V116" s="55">
        <f t="shared" si="41"/>
        <v>45647</v>
      </c>
      <c r="W116" s="55"/>
      <c r="X116" s="56">
        <f t="shared" ca="1" si="42"/>
        <v>-193</v>
      </c>
      <c r="Y116" s="55"/>
      <c r="Z116" s="57"/>
      <c r="AA116" s="58" t="str">
        <f t="shared" si="43"/>
        <v>-</v>
      </c>
      <c r="AB116" s="59"/>
      <c r="AC116" s="58" t="str">
        <f t="shared" si="44"/>
        <v/>
      </c>
      <c r="AD116" s="59"/>
      <c r="AE116" s="58" t="str">
        <f t="shared" si="45"/>
        <v/>
      </c>
      <c r="AF116" s="59"/>
      <c r="AG116" s="58" t="str">
        <f t="shared" si="46"/>
        <v/>
      </c>
      <c r="AH116" s="59"/>
      <c r="AI116" s="58" t="str">
        <f t="shared" si="47"/>
        <v/>
      </c>
      <c r="AJ116" s="59"/>
      <c r="AK116" s="58" t="str">
        <f t="shared" si="48"/>
        <v/>
      </c>
      <c r="AL116" s="59"/>
      <c r="AM116" s="58" t="str">
        <f t="shared" si="49"/>
        <v/>
      </c>
      <c r="AN116" s="59"/>
      <c r="AO116" s="58" t="str">
        <f t="shared" si="50"/>
        <v/>
      </c>
      <c r="AP116" s="59"/>
      <c r="AQ116" s="58">
        <f t="shared" si="51"/>
        <v>1440</v>
      </c>
      <c r="AR116" s="59"/>
      <c r="AS116" s="58" t="str">
        <f t="shared" si="52"/>
        <v/>
      </c>
      <c r="AT116" s="59"/>
      <c r="AU116" s="58" t="str">
        <f t="shared" si="53"/>
        <v/>
      </c>
      <c r="AV116" s="59"/>
      <c r="AW116" s="58" t="str">
        <f t="shared" si="54"/>
        <v/>
      </c>
      <c r="AX116" s="59"/>
      <c r="AY116" s="58" t="str">
        <f t="shared" si="55"/>
        <v/>
      </c>
      <c r="AZ116" s="59"/>
      <c r="BA116" s="58" t="str">
        <f t="shared" si="56"/>
        <v/>
      </c>
      <c r="BB116" s="59"/>
      <c r="BC116" s="58" t="str">
        <f t="shared" si="57"/>
        <v/>
      </c>
      <c r="BD116" s="59"/>
      <c r="BE116" s="58" t="str">
        <f t="shared" si="58"/>
        <v/>
      </c>
      <c r="BF116" s="59"/>
      <c r="BG116" s="58" t="str">
        <f t="shared" si="59"/>
        <v/>
      </c>
      <c r="BH116" s="59"/>
      <c r="BI116" s="58" t="str">
        <f t="shared" si="60"/>
        <v/>
      </c>
      <c r="BJ116" s="59"/>
      <c r="BK116" s="58" t="str">
        <f t="shared" si="61"/>
        <v/>
      </c>
      <c r="BL116" s="59"/>
      <c r="BM116" s="58" t="str">
        <f t="shared" si="62"/>
        <v/>
      </c>
      <c r="BN116" s="59"/>
      <c r="BO116" s="58" t="str">
        <f t="shared" si="63"/>
        <v/>
      </c>
      <c r="BP116" s="59"/>
      <c r="BQ116" s="58" t="str">
        <f t="shared" si="64"/>
        <v/>
      </c>
      <c r="BR116" s="59"/>
      <c r="BS116" s="58" t="str">
        <f t="shared" si="65"/>
        <v/>
      </c>
      <c r="BT116" s="59"/>
      <c r="BU116" s="58" t="str">
        <f t="shared" si="66"/>
        <v/>
      </c>
      <c r="BV116" s="59"/>
    </row>
    <row r="117" spans="1:74" ht="14.5">
      <c r="A117" s="51" t="s">
        <v>466</v>
      </c>
      <c r="B117" s="52">
        <v>254</v>
      </c>
      <c r="C117" s="52" t="s">
        <v>89</v>
      </c>
      <c r="D117" s="41">
        <f t="shared" si="36"/>
        <v>2</v>
      </c>
      <c r="E117" s="52" t="s">
        <v>479</v>
      </c>
      <c r="F117" s="52" t="s">
        <v>487</v>
      </c>
      <c r="G117" s="52" t="s">
        <v>348</v>
      </c>
      <c r="H117" s="52" t="s">
        <v>488</v>
      </c>
      <c r="I117" s="53">
        <v>45663</v>
      </c>
      <c r="J117" s="108">
        <v>1248</v>
      </c>
      <c r="K117" s="101"/>
      <c r="L117" s="101"/>
      <c r="M117" s="101">
        <f t="shared" si="37"/>
        <v>1248</v>
      </c>
      <c r="N117" s="54">
        <f t="shared" si="38"/>
        <v>1248</v>
      </c>
      <c r="O117" s="101" t="s">
        <v>443</v>
      </c>
      <c r="P117" s="102">
        <f t="shared" si="39"/>
        <v>2.6</v>
      </c>
      <c r="Q117" s="102">
        <v>6</v>
      </c>
      <c r="R117" s="99">
        <v>80</v>
      </c>
      <c r="S117" s="55">
        <f t="shared" si="68"/>
        <v>45631</v>
      </c>
      <c r="T117" s="55">
        <v>45626</v>
      </c>
      <c r="U117" s="56">
        <f t="shared" ca="1" si="40"/>
        <v>5</v>
      </c>
      <c r="V117" s="55">
        <f t="shared" si="41"/>
        <v>45647</v>
      </c>
      <c r="W117" s="55"/>
      <c r="X117" s="56">
        <f t="shared" ca="1" si="42"/>
        <v>-193</v>
      </c>
      <c r="Y117" s="55"/>
      <c r="Z117" s="57"/>
      <c r="AA117" s="58" t="str">
        <f t="shared" si="43"/>
        <v>-</v>
      </c>
      <c r="AB117" s="59"/>
      <c r="AC117" s="58" t="str">
        <f t="shared" si="44"/>
        <v/>
      </c>
      <c r="AD117" s="59"/>
      <c r="AE117" s="58" t="str">
        <f t="shared" si="45"/>
        <v/>
      </c>
      <c r="AF117" s="59"/>
      <c r="AG117" s="58" t="str">
        <f t="shared" si="46"/>
        <v/>
      </c>
      <c r="AH117" s="59"/>
      <c r="AI117" s="58" t="str">
        <f t="shared" si="47"/>
        <v/>
      </c>
      <c r="AJ117" s="59"/>
      <c r="AK117" s="58" t="str">
        <f t="shared" si="48"/>
        <v/>
      </c>
      <c r="AL117" s="59"/>
      <c r="AM117" s="58" t="str">
        <f t="shared" si="49"/>
        <v/>
      </c>
      <c r="AN117" s="59"/>
      <c r="AO117" s="58" t="str">
        <f t="shared" si="50"/>
        <v/>
      </c>
      <c r="AP117" s="59"/>
      <c r="AQ117" s="58">
        <f t="shared" si="51"/>
        <v>1248</v>
      </c>
      <c r="AR117" s="59"/>
      <c r="AS117" s="58" t="str">
        <f t="shared" si="52"/>
        <v/>
      </c>
      <c r="AT117" s="59"/>
      <c r="AU117" s="58" t="str">
        <f t="shared" si="53"/>
        <v/>
      </c>
      <c r="AV117" s="59"/>
      <c r="AW117" s="58" t="str">
        <f t="shared" si="54"/>
        <v/>
      </c>
      <c r="AX117" s="59"/>
      <c r="AY117" s="58" t="str">
        <f t="shared" si="55"/>
        <v/>
      </c>
      <c r="AZ117" s="59"/>
      <c r="BA117" s="58" t="str">
        <f t="shared" si="56"/>
        <v/>
      </c>
      <c r="BB117" s="59"/>
      <c r="BC117" s="58" t="str">
        <f t="shared" si="57"/>
        <v/>
      </c>
      <c r="BD117" s="59"/>
      <c r="BE117" s="58" t="str">
        <f t="shared" si="58"/>
        <v/>
      </c>
      <c r="BF117" s="59"/>
      <c r="BG117" s="58" t="str">
        <f t="shared" si="59"/>
        <v/>
      </c>
      <c r="BH117" s="59"/>
      <c r="BI117" s="58" t="str">
        <f t="shared" si="60"/>
        <v/>
      </c>
      <c r="BJ117" s="59"/>
      <c r="BK117" s="58" t="str">
        <f t="shared" si="61"/>
        <v/>
      </c>
      <c r="BL117" s="59"/>
      <c r="BM117" s="58" t="str">
        <f t="shared" si="62"/>
        <v/>
      </c>
      <c r="BN117" s="59"/>
      <c r="BO117" s="58" t="str">
        <f t="shared" si="63"/>
        <v/>
      </c>
      <c r="BP117" s="59"/>
      <c r="BQ117" s="58" t="str">
        <f t="shared" si="64"/>
        <v/>
      </c>
      <c r="BR117" s="59"/>
      <c r="BS117" s="58" t="str">
        <f t="shared" si="65"/>
        <v/>
      </c>
      <c r="BT117" s="59"/>
      <c r="BU117" s="58" t="str">
        <f t="shared" si="66"/>
        <v/>
      </c>
      <c r="BV117" s="59"/>
    </row>
    <row r="118" spans="1:74" ht="14.5">
      <c r="A118" s="51" t="s">
        <v>466</v>
      </c>
      <c r="B118" s="52">
        <v>254</v>
      </c>
      <c r="C118" s="52" t="s">
        <v>89</v>
      </c>
      <c r="D118" s="41">
        <f t="shared" si="36"/>
        <v>2</v>
      </c>
      <c r="E118" s="52" t="s">
        <v>479</v>
      </c>
      <c r="F118" s="52" t="s">
        <v>487</v>
      </c>
      <c r="G118" s="52" t="s">
        <v>154</v>
      </c>
      <c r="H118" s="52" t="s">
        <v>488</v>
      </c>
      <c r="I118" s="53">
        <v>45663</v>
      </c>
      <c r="J118" s="108">
        <v>1248</v>
      </c>
      <c r="K118" s="101"/>
      <c r="L118" s="101"/>
      <c r="M118" s="101">
        <f t="shared" si="37"/>
        <v>1248</v>
      </c>
      <c r="N118" s="54">
        <f t="shared" si="38"/>
        <v>1248</v>
      </c>
      <c r="O118" s="101" t="s">
        <v>443</v>
      </c>
      <c r="P118" s="102">
        <f t="shared" si="39"/>
        <v>2.6</v>
      </c>
      <c r="Q118" s="102">
        <v>6</v>
      </c>
      <c r="R118" s="99">
        <v>80</v>
      </c>
      <c r="S118" s="55">
        <f t="shared" si="68"/>
        <v>45631</v>
      </c>
      <c r="T118" s="55">
        <v>45626</v>
      </c>
      <c r="U118" s="56">
        <f t="shared" ca="1" si="40"/>
        <v>5</v>
      </c>
      <c r="V118" s="55">
        <f t="shared" si="41"/>
        <v>45647</v>
      </c>
      <c r="W118" s="55"/>
      <c r="X118" s="56">
        <f t="shared" ca="1" si="42"/>
        <v>-193</v>
      </c>
      <c r="Y118" s="55"/>
      <c r="Z118" s="57"/>
      <c r="AA118" s="58" t="str">
        <f t="shared" si="43"/>
        <v>-</v>
      </c>
      <c r="AB118" s="59"/>
      <c r="AC118" s="58" t="str">
        <f t="shared" si="44"/>
        <v/>
      </c>
      <c r="AD118" s="59"/>
      <c r="AE118" s="58" t="str">
        <f t="shared" si="45"/>
        <v/>
      </c>
      <c r="AF118" s="59"/>
      <c r="AG118" s="58" t="str">
        <f t="shared" si="46"/>
        <v/>
      </c>
      <c r="AH118" s="59"/>
      <c r="AI118" s="58" t="str">
        <f t="shared" si="47"/>
        <v/>
      </c>
      <c r="AJ118" s="59"/>
      <c r="AK118" s="58" t="str">
        <f t="shared" si="48"/>
        <v/>
      </c>
      <c r="AL118" s="59"/>
      <c r="AM118" s="58" t="str">
        <f t="shared" si="49"/>
        <v/>
      </c>
      <c r="AN118" s="59"/>
      <c r="AO118" s="58" t="str">
        <f t="shared" si="50"/>
        <v/>
      </c>
      <c r="AP118" s="59"/>
      <c r="AQ118" s="58">
        <f t="shared" si="51"/>
        <v>1248</v>
      </c>
      <c r="AR118" s="59"/>
      <c r="AS118" s="58" t="str">
        <f t="shared" si="52"/>
        <v/>
      </c>
      <c r="AT118" s="59"/>
      <c r="AU118" s="58" t="str">
        <f t="shared" si="53"/>
        <v/>
      </c>
      <c r="AV118" s="59"/>
      <c r="AW118" s="58" t="str">
        <f t="shared" si="54"/>
        <v/>
      </c>
      <c r="AX118" s="59"/>
      <c r="AY118" s="58" t="str">
        <f t="shared" si="55"/>
        <v/>
      </c>
      <c r="AZ118" s="59"/>
      <c r="BA118" s="58" t="str">
        <f t="shared" si="56"/>
        <v/>
      </c>
      <c r="BB118" s="59"/>
      <c r="BC118" s="58" t="str">
        <f t="shared" si="57"/>
        <v/>
      </c>
      <c r="BD118" s="59"/>
      <c r="BE118" s="58" t="str">
        <f t="shared" si="58"/>
        <v/>
      </c>
      <c r="BF118" s="59"/>
      <c r="BG118" s="58" t="str">
        <f t="shared" si="59"/>
        <v/>
      </c>
      <c r="BH118" s="59"/>
      <c r="BI118" s="58" t="str">
        <f t="shared" si="60"/>
        <v/>
      </c>
      <c r="BJ118" s="59"/>
      <c r="BK118" s="58" t="str">
        <f t="shared" si="61"/>
        <v/>
      </c>
      <c r="BL118" s="59"/>
      <c r="BM118" s="58" t="str">
        <f t="shared" si="62"/>
        <v/>
      </c>
      <c r="BN118" s="59"/>
      <c r="BO118" s="58" t="str">
        <f t="shared" si="63"/>
        <v/>
      </c>
      <c r="BP118" s="59"/>
      <c r="BQ118" s="58" t="str">
        <f t="shared" si="64"/>
        <v/>
      </c>
      <c r="BR118" s="59"/>
      <c r="BS118" s="58" t="str">
        <f t="shared" si="65"/>
        <v/>
      </c>
      <c r="BT118" s="59"/>
      <c r="BU118" s="58" t="str">
        <f t="shared" si="66"/>
        <v/>
      </c>
      <c r="BV118" s="59"/>
    </row>
    <row r="119" spans="1:74" ht="14.5">
      <c r="A119" s="51" t="s">
        <v>466</v>
      </c>
      <c r="B119" s="52">
        <v>254</v>
      </c>
      <c r="C119" s="52" t="s">
        <v>89</v>
      </c>
      <c r="D119" s="41">
        <f t="shared" si="36"/>
        <v>2</v>
      </c>
      <c r="E119" s="52" t="s">
        <v>479</v>
      </c>
      <c r="F119" s="52" t="s">
        <v>309</v>
      </c>
      <c r="G119" s="52" t="s">
        <v>348</v>
      </c>
      <c r="H119" s="52" t="s">
        <v>489</v>
      </c>
      <c r="I119" s="53">
        <v>45663</v>
      </c>
      <c r="J119" s="108">
        <v>1440</v>
      </c>
      <c r="K119" s="101"/>
      <c r="L119" s="101"/>
      <c r="M119" s="101">
        <f t="shared" si="37"/>
        <v>1440</v>
      </c>
      <c r="N119" s="54">
        <f t="shared" si="38"/>
        <v>1440</v>
      </c>
      <c r="O119" s="101" t="s">
        <v>178</v>
      </c>
      <c r="P119" s="102">
        <f t="shared" si="39"/>
        <v>3</v>
      </c>
      <c r="Q119" s="102">
        <v>6</v>
      </c>
      <c r="R119" s="99">
        <v>80</v>
      </c>
      <c r="S119" s="55">
        <f t="shared" si="68"/>
        <v>45631</v>
      </c>
      <c r="T119" s="55">
        <v>45626</v>
      </c>
      <c r="U119" s="56">
        <f t="shared" ca="1" si="40"/>
        <v>5</v>
      </c>
      <c r="V119" s="55">
        <f t="shared" si="41"/>
        <v>45647</v>
      </c>
      <c r="W119" s="55"/>
      <c r="X119" s="56">
        <f t="shared" ca="1" si="42"/>
        <v>-193</v>
      </c>
      <c r="Y119" s="55"/>
      <c r="Z119" s="57"/>
      <c r="AA119" s="58" t="str">
        <f t="shared" si="43"/>
        <v>-</v>
      </c>
      <c r="AB119" s="59"/>
      <c r="AC119" s="58" t="str">
        <f t="shared" si="44"/>
        <v/>
      </c>
      <c r="AD119" s="59"/>
      <c r="AE119" s="58" t="str">
        <f t="shared" si="45"/>
        <v/>
      </c>
      <c r="AF119" s="59"/>
      <c r="AG119" s="58" t="str">
        <f t="shared" si="46"/>
        <v/>
      </c>
      <c r="AH119" s="59"/>
      <c r="AI119" s="58" t="str">
        <f t="shared" si="47"/>
        <v/>
      </c>
      <c r="AJ119" s="59"/>
      <c r="AK119" s="58" t="str">
        <f t="shared" si="48"/>
        <v/>
      </c>
      <c r="AL119" s="59"/>
      <c r="AM119" s="58" t="str">
        <f t="shared" si="49"/>
        <v/>
      </c>
      <c r="AN119" s="59"/>
      <c r="AO119" s="58" t="str">
        <f t="shared" si="50"/>
        <v/>
      </c>
      <c r="AP119" s="59"/>
      <c r="AQ119" s="58">
        <f t="shared" si="51"/>
        <v>1440</v>
      </c>
      <c r="AR119" s="59"/>
      <c r="AS119" s="58" t="str">
        <f t="shared" si="52"/>
        <v/>
      </c>
      <c r="AT119" s="59"/>
      <c r="AU119" s="58" t="str">
        <f t="shared" si="53"/>
        <v/>
      </c>
      <c r="AV119" s="59"/>
      <c r="AW119" s="58" t="str">
        <f t="shared" si="54"/>
        <v/>
      </c>
      <c r="AX119" s="59"/>
      <c r="AY119" s="58" t="str">
        <f t="shared" si="55"/>
        <v/>
      </c>
      <c r="AZ119" s="59"/>
      <c r="BA119" s="58" t="str">
        <f t="shared" si="56"/>
        <v/>
      </c>
      <c r="BB119" s="59"/>
      <c r="BC119" s="58" t="str">
        <f t="shared" si="57"/>
        <v/>
      </c>
      <c r="BD119" s="59"/>
      <c r="BE119" s="58" t="str">
        <f t="shared" si="58"/>
        <v/>
      </c>
      <c r="BF119" s="59"/>
      <c r="BG119" s="58" t="str">
        <f t="shared" si="59"/>
        <v/>
      </c>
      <c r="BH119" s="59"/>
      <c r="BI119" s="58" t="str">
        <f t="shared" si="60"/>
        <v/>
      </c>
      <c r="BJ119" s="59"/>
      <c r="BK119" s="58" t="str">
        <f t="shared" si="61"/>
        <v/>
      </c>
      <c r="BL119" s="59"/>
      <c r="BM119" s="58" t="str">
        <f t="shared" si="62"/>
        <v/>
      </c>
      <c r="BN119" s="59"/>
      <c r="BO119" s="58" t="str">
        <f t="shared" si="63"/>
        <v/>
      </c>
      <c r="BP119" s="59"/>
      <c r="BQ119" s="58" t="str">
        <f t="shared" si="64"/>
        <v/>
      </c>
      <c r="BR119" s="59"/>
      <c r="BS119" s="58" t="str">
        <f t="shared" si="65"/>
        <v/>
      </c>
      <c r="BT119" s="59"/>
      <c r="BU119" s="58" t="str">
        <f t="shared" si="66"/>
        <v/>
      </c>
      <c r="BV119" s="59"/>
    </row>
    <row r="120" spans="1:74" ht="14.5">
      <c r="A120" s="51" t="s">
        <v>466</v>
      </c>
      <c r="B120" s="52">
        <v>254</v>
      </c>
      <c r="C120" s="52" t="s">
        <v>89</v>
      </c>
      <c r="D120" s="41">
        <f t="shared" si="36"/>
        <v>2</v>
      </c>
      <c r="E120" s="52" t="s">
        <v>479</v>
      </c>
      <c r="F120" s="52" t="s">
        <v>309</v>
      </c>
      <c r="G120" s="52" t="s">
        <v>154</v>
      </c>
      <c r="H120" s="52" t="s">
        <v>489</v>
      </c>
      <c r="I120" s="53">
        <v>45663</v>
      </c>
      <c r="J120" s="108">
        <v>1440</v>
      </c>
      <c r="K120" s="101"/>
      <c r="L120" s="101"/>
      <c r="M120" s="101">
        <f t="shared" si="37"/>
        <v>1440</v>
      </c>
      <c r="N120" s="54">
        <f t="shared" si="38"/>
        <v>1440</v>
      </c>
      <c r="O120" s="101" t="s">
        <v>178</v>
      </c>
      <c r="P120" s="102">
        <f t="shared" si="39"/>
        <v>3</v>
      </c>
      <c r="Q120" s="102">
        <v>6</v>
      </c>
      <c r="R120" s="99">
        <v>80</v>
      </c>
      <c r="S120" s="55">
        <f t="shared" si="68"/>
        <v>45631</v>
      </c>
      <c r="T120" s="55">
        <v>45626</v>
      </c>
      <c r="U120" s="56">
        <f t="shared" ca="1" si="40"/>
        <v>5</v>
      </c>
      <c r="V120" s="55">
        <f t="shared" si="41"/>
        <v>45647</v>
      </c>
      <c r="W120" s="55"/>
      <c r="X120" s="56">
        <f t="shared" ca="1" si="42"/>
        <v>-193</v>
      </c>
      <c r="Y120" s="55"/>
      <c r="Z120" s="57"/>
      <c r="AA120" s="58" t="str">
        <f t="shared" si="43"/>
        <v>-</v>
      </c>
      <c r="AB120" s="59"/>
      <c r="AC120" s="58" t="str">
        <f t="shared" si="44"/>
        <v/>
      </c>
      <c r="AD120" s="59"/>
      <c r="AE120" s="58" t="str">
        <f t="shared" si="45"/>
        <v/>
      </c>
      <c r="AF120" s="59"/>
      <c r="AG120" s="58" t="str">
        <f t="shared" si="46"/>
        <v/>
      </c>
      <c r="AH120" s="59"/>
      <c r="AI120" s="58" t="str">
        <f t="shared" si="47"/>
        <v/>
      </c>
      <c r="AJ120" s="59"/>
      <c r="AK120" s="58" t="str">
        <f t="shared" si="48"/>
        <v/>
      </c>
      <c r="AL120" s="59"/>
      <c r="AM120" s="58" t="str">
        <f t="shared" si="49"/>
        <v/>
      </c>
      <c r="AN120" s="59"/>
      <c r="AO120" s="58" t="str">
        <f t="shared" si="50"/>
        <v/>
      </c>
      <c r="AP120" s="59"/>
      <c r="AQ120" s="58">
        <f t="shared" si="51"/>
        <v>1440</v>
      </c>
      <c r="AR120" s="59"/>
      <c r="AS120" s="58" t="str">
        <f t="shared" si="52"/>
        <v/>
      </c>
      <c r="AT120" s="59"/>
      <c r="AU120" s="58" t="str">
        <f t="shared" si="53"/>
        <v/>
      </c>
      <c r="AV120" s="59"/>
      <c r="AW120" s="58" t="str">
        <f t="shared" si="54"/>
        <v/>
      </c>
      <c r="AX120" s="59"/>
      <c r="AY120" s="58" t="str">
        <f t="shared" si="55"/>
        <v/>
      </c>
      <c r="AZ120" s="59"/>
      <c r="BA120" s="58" t="str">
        <f t="shared" si="56"/>
        <v/>
      </c>
      <c r="BB120" s="59"/>
      <c r="BC120" s="58" t="str">
        <f t="shared" si="57"/>
        <v/>
      </c>
      <c r="BD120" s="59"/>
      <c r="BE120" s="58" t="str">
        <f t="shared" si="58"/>
        <v/>
      </c>
      <c r="BF120" s="59"/>
      <c r="BG120" s="58" t="str">
        <f t="shared" si="59"/>
        <v/>
      </c>
      <c r="BH120" s="59"/>
      <c r="BI120" s="58" t="str">
        <f t="shared" si="60"/>
        <v/>
      </c>
      <c r="BJ120" s="59"/>
      <c r="BK120" s="58" t="str">
        <f t="shared" si="61"/>
        <v/>
      </c>
      <c r="BL120" s="59"/>
      <c r="BM120" s="58" t="str">
        <f t="shared" si="62"/>
        <v/>
      </c>
      <c r="BN120" s="59"/>
      <c r="BO120" s="58" t="str">
        <f t="shared" si="63"/>
        <v/>
      </c>
      <c r="BP120" s="59"/>
      <c r="BQ120" s="58" t="str">
        <f t="shared" si="64"/>
        <v/>
      </c>
      <c r="BR120" s="59"/>
      <c r="BS120" s="58" t="str">
        <f t="shared" si="65"/>
        <v/>
      </c>
      <c r="BT120" s="59"/>
      <c r="BU120" s="58" t="str">
        <f t="shared" si="66"/>
        <v/>
      </c>
      <c r="BV120" s="59"/>
    </row>
    <row r="121" spans="1:74" ht="14.5">
      <c r="A121" s="51" t="s">
        <v>466</v>
      </c>
      <c r="B121" s="52">
        <v>254</v>
      </c>
      <c r="C121" s="52" t="s">
        <v>89</v>
      </c>
      <c r="D121" s="41">
        <f t="shared" si="36"/>
        <v>2</v>
      </c>
      <c r="E121" s="52" t="s">
        <v>490</v>
      </c>
      <c r="F121" s="52" t="s">
        <v>286</v>
      </c>
      <c r="G121" s="52" t="s">
        <v>316</v>
      </c>
      <c r="H121" s="52" t="s">
        <v>434</v>
      </c>
      <c r="I121" s="53">
        <v>45663</v>
      </c>
      <c r="J121" s="108">
        <v>1020</v>
      </c>
      <c r="K121" s="101"/>
      <c r="L121" s="101"/>
      <c r="M121" s="101">
        <f t="shared" si="37"/>
        <v>1020</v>
      </c>
      <c r="N121" s="54">
        <f t="shared" si="38"/>
        <v>1020</v>
      </c>
      <c r="O121" s="101" t="s">
        <v>178</v>
      </c>
      <c r="P121" s="102">
        <f t="shared" si="39"/>
        <v>0.48571428571428571</v>
      </c>
      <c r="Q121" s="102">
        <v>6</v>
      </c>
      <c r="R121" s="99">
        <v>350</v>
      </c>
      <c r="S121" s="55">
        <f t="shared" si="68"/>
        <v>45631</v>
      </c>
      <c r="T121" s="55">
        <v>45626</v>
      </c>
      <c r="U121" s="56">
        <f t="shared" ca="1" si="40"/>
        <v>5</v>
      </c>
      <c r="V121" s="55">
        <f t="shared" si="41"/>
        <v>45647</v>
      </c>
      <c r="W121" s="55"/>
      <c r="X121" s="56">
        <f t="shared" ca="1" si="42"/>
        <v>-193</v>
      </c>
      <c r="Y121" s="55"/>
      <c r="Z121" s="57"/>
      <c r="AA121" s="58" t="str">
        <f t="shared" si="43"/>
        <v>-</v>
      </c>
      <c r="AB121" s="59"/>
      <c r="AC121" s="58" t="str">
        <f t="shared" si="44"/>
        <v/>
      </c>
      <c r="AD121" s="59"/>
      <c r="AE121" s="58" t="str">
        <f t="shared" si="45"/>
        <v/>
      </c>
      <c r="AF121" s="59"/>
      <c r="AG121" s="58" t="str">
        <f t="shared" si="46"/>
        <v/>
      </c>
      <c r="AH121" s="59"/>
      <c r="AI121" s="58" t="str">
        <f t="shared" si="47"/>
        <v/>
      </c>
      <c r="AJ121" s="59"/>
      <c r="AK121" s="58" t="str">
        <f t="shared" si="48"/>
        <v/>
      </c>
      <c r="AL121" s="59"/>
      <c r="AM121" s="58" t="str">
        <f t="shared" si="49"/>
        <v/>
      </c>
      <c r="AN121" s="59"/>
      <c r="AO121" s="58" t="str">
        <f t="shared" si="50"/>
        <v/>
      </c>
      <c r="AP121" s="59"/>
      <c r="AQ121" s="58">
        <f t="shared" si="51"/>
        <v>1020</v>
      </c>
      <c r="AR121" s="59"/>
      <c r="AS121" s="58" t="str">
        <f t="shared" si="52"/>
        <v/>
      </c>
      <c r="AT121" s="59"/>
      <c r="AU121" s="58" t="str">
        <f t="shared" si="53"/>
        <v/>
      </c>
      <c r="AV121" s="59"/>
      <c r="AW121" s="58" t="str">
        <f t="shared" si="54"/>
        <v/>
      </c>
      <c r="AX121" s="59"/>
      <c r="AY121" s="58" t="str">
        <f t="shared" si="55"/>
        <v/>
      </c>
      <c r="AZ121" s="59"/>
      <c r="BA121" s="58" t="str">
        <f t="shared" si="56"/>
        <v/>
      </c>
      <c r="BB121" s="59"/>
      <c r="BC121" s="58" t="str">
        <f t="shared" si="57"/>
        <v/>
      </c>
      <c r="BD121" s="59"/>
      <c r="BE121" s="58" t="str">
        <f t="shared" si="58"/>
        <v/>
      </c>
      <c r="BF121" s="59"/>
      <c r="BG121" s="58" t="str">
        <f t="shared" si="59"/>
        <v/>
      </c>
      <c r="BH121" s="59"/>
      <c r="BI121" s="58" t="str">
        <f t="shared" si="60"/>
        <v/>
      </c>
      <c r="BJ121" s="59"/>
      <c r="BK121" s="58" t="str">
        <f t="shared" si="61"/>
        <v/>
      </c>
      <c r="BL121" s="59"/>
      <c r="BM121" s="58" t="str">
        <f t="shared" si="62"/>
        <v/>
      </c>
      <c r="BN121" s="59"/>
      <c r="BO121" s="58" t="str">
        <f t="shared" si="63"/>
        <v/>
      </c>
      <c r="BP121" s="59"/>
      <c r="BQ121" s="58" t="str">
        <f t="shared" si="64"/>
        <v/>
      </c>
      <c r="BR121" s="59"/>
      <c r="BS121" s="58" t="str">
        <f t="shared" si="65"/>
        <v/>
      </c>
      <c r="BT121" s="59"/>
      <c r="BU121" s="58" t="str">
        <f t="shared" si="66"/>
        <v/>
      </c>
      <c r="BV121" s="59"/>
    </row>
    <row r="122" spans="1:74" ht="14.5">
      <c r="A122" s="51" t="s">
        <v>466</v>
      </c>
      <c r="B122" s="52">
        <v>254</v>
      </c>
      <c r="C122" s="52" t="s">
        <v>89</v>
      </c>
      <c r="D122" s="41">
        <f t="shared" si="36"/>
        <v>2</v>
      </c>
      <c r="E122" s="52" t="s">
        <v>490</v>
      </c>
      <c r="F122" s="52" t="s">
        <v>286</v>
      </c>
      <c r="G122" s="52" t="s">
        <v>491</v>
      </c>
      <c r="H122" s="52" t="s">
        <v>434</v>
      </c>
      <c r="I122" s="53">
        <v>45663</v>
      </c>
      <c r="J122" s="108">
        <v>1020</v>
      </c>
      <c r="K122" s="101"/>
      <c r="L122" s="101"/>
      <c r="M122" s="101">
        <f t="shared" si="37"/>
        <v>1020</v>
      </c>
      <c r="N122" s="54">
        <f t="shared" si="38"/>
        <v>1020</v>
      </c>
      <c r="O122" s="101" t="s">
        <v>178</v>
      </c>
      <c r="P122" s="102">
        <f t="shared" si="39"/>
        <v>0.48571428571428571</v>
      </c>
      <c r="Q122" s="102">
        <v>6</v>
      </c>
      <c r="R122" s="99">
        <v>350</v>
      </c>
      <c r="S122" s="55">
        <f t="shared" si="68"/>
        <v>45631</v>
      </c>
      <c r="T122" s="55">
        <v>45626</v>
      </c>
      <c r="U122" s="56">
        <f t="shared" ca="1" si="40"/>
        <v>5</v>
      </c>
      <c r="V122" s="55">
        <f t="shared" si="41"/>
        <v>45647</v>
      </c>
      <c r="W122" s="55"/>
      <c r="X122" s="56">
        <f t="shared" ca="1" si="42"/>
        <v>-193</v>
      </c>
      <c r="Y122" s="55"/>
      <c r="Z122" s="57"/>
      <c r="AA122" s="58" t="str">
        <f t="shared" si="43"/>
        <v>-</v>
      </c>
      <c r="AB122" s="59"/>
      <c r="AC122" s="58" t="str">
        <f t="shared" si="44"/>
        <v/>
      </c>
      <c r="AD122" s="59"/>
      <c r="AE122" s="58" t="str">
        <f t="shared" si="45"/>
        <v/>
      </c>
      <c r="AF122" s="59"/>
      <c r="AG122" s="58" t="str">
        <f t="shared" si="46"/>
        <v/>
      </c>
      <c r="AH122" s="59"/>
      <c r="AI122" s="58" t="str">
        <f t="shared" si="47"/>
        <v/>
      </c>
      <c r="AJ122" s="59"/>
      <c r="AK122" s="58" t="str">
        <f t="shared" si="48"/>
        <v/>
      </c>
      <c r="AL122" s="59"/>
      <c r="AM122" s="58" t="str">
        <f t="shared" si="49"/>
        <v/>
      </c>
      <c r="AN122" s="59"/>
      <c r="AO122" s="58" t="str">
        <f t="shared" si="50"/>
        <v/>
      </c>
      <c r="AP122" s="59"/>
      <c r="AQ122" s="58">
        <f t="shared" si="51"/>
        <v>1020</v>
      </c>
      <c r="AR122" s="59"/>
      <c r="AS122" s="58" t="str">
        <f t="shared" si="52"/>
        <v/>
      </c>
      <c r="AT122" s="59"/>
      <c r="AU122" s="58" t="str">
        <f t="shared" si="53"/>
        <v/>
      </c>
      <c r="AV122" s="59"/>
      <c r="AW122" s="58" t="str">
        <f t="shared" si="54"/>
        <v/>
      </c>
      <c r="AX122" s="59"/>
      <c r="AY122" s="58" t="str">
        <f t="shared" si="55"/>
        <v/>
      </c>
      <c r="AZ122" s="59"/>
      <c r="BA122" s="58" t="str">
        <f t="shared" si="56"/>
        <v/>
      </c>
      <c r="BB122" s="59"/>
      <c r="BC122" s="58" t="str">
        <f t="shared" si="57"/>
        <v/>
      </c>
      <c r="BD122" s="59"/>
      <c r="BE122" s="58" t="str">
        <f t="shared" si="58"/>
        <v/>
      </c>
      <c r="BF122" s="59"/>
      <c r="BG122" s="58" t="str">
        <f t="shared" si="59"/>
        <v/>
      </c>
      <c r="BH122" s="59"/>
      <c r="BI122" s="58" t="str">
        <f t="shared" si="60"/>
        <v/>
      </c>
      <c r="BJ122" s="59"/>
      <c r="BK122" s="58" t="str">
        <f t="shared" si="61"/>
        <v/>
      </c>
      <c r="BL122" s="59"/>
      <c r="BM122" s="58" t="str">
        <f t="shared" si="62"/>
        <v/>
      </c>
      <c r="BN122" s="59"/>
      <c r="BO122" s="58" t="str">
        <f t="shared" si="63"/>
        <v/>
      </c>
      <c r="BP122" s="59"/>
      <c r="BQ122" s="58" t="str">
        <f t="shared" si="64"/>
        <v/>
      </c>
      <c r="BR122" s="59"/>
      <c r="BS122" s="58" t="str">
        <f t="shared" si="65"/>
        <v/>
      </c>
      <c r="BT122" s="59"/>
      <c r="BU122" s="58" t="str">
        <f t="shared" si="66"/>
        <v/>
      </c>
      <c r="BV122" s="59"/>
    </row>
    <row r="123" spans="1:74" ht="14.5">
      <c r="A123" s="51" t="s">
        <v>466</v>
      </c>
      <c r="B123" s="52">
        <v>254</v>
      </c>
      <c r="C123" s="52" t="s">
        <v>89</v>
      </c>
      <c r="D123" s="41">
        <f t="shared" si="36"/>
        <v>2</v>
      </c>
      <c r="E123" s="52" t="s">
        <v>490</v>
      </c>
      <c r="F123" s="52" t="s">
        <v>286</v>
      </c>
      <c r="G123" s="52" t="s">
        <v>492</v>
      </c>
      <c r="H123" s="52" t="s">
        <v>434</v>
      </c>
      <c r="I123" s="53">
        <v>45663</v>
      </c>
      <c r="J123" s="108">
        <v>1020</v>
      </c>
      <c r="K123" s="101"/>
      <c r="L123" s="101"/>
      <c r="M123" s="101">
        <f t="shared" si="37"/>
        <v>1020</v>
      </c>
      <c r="N123" s="54">
        <f t="shared" si="38"/>
        <v>1020</v>
      </c>
      <c r="O123" s="101" t="s">
        <v>178</v>
      </c>
      <c r="P123" s="102">
        <f t="shared" si="39"/>
        <v>0.48571428571428571</v>
      </c>
      <c r="Q123" s="102">
        <v>6</v>
      </c>
      <c r="R123" s="99">
        <v>350</v>
      </c>
      <c r="S123" s="55">
        <f t="shared" si="68"/>
        <v>45631</v>
      </c>
      <c r="T123" s="55">
        <v>45626</v>
      </c>
      <c r="U123" s="56">
        <f t="shared" ca="1" si="40"/>
        <v>5</v>
      </c>
      <c r="V123" s="55">
        <f t="shared" si="41"/>
        <v>45647</v>
      </c>
      <c r="W123" s="55"/>
      <c r="X123" s="56">
        <f t="shared" ca="1" si="42"/>
        <v>-193</v>
      </c>
      <c r="Y123" s="55"/>
      <c r="Z123" s="57"/>
      <c r="AA123" s="58" t="str">
        <f t="shared" si="43"/>
        <v>-</v>
      </c>
      <c r="AB123" s="59"/>
      <c r="AC123" s="58" t="str">
        <f t="shared" si="44"/>
        <v/>
      </c>
      <c r="AD123" s="59"/>
      <c r="AE123" s="58" t="str">
        <f t="shared" si="45"/>
        <v/>
      </c>
      <c r="AF123" s="59"/>
      <c r="AG123" s="58" t="str">
        <f t="shared" si="46"/>
        <v/>
      </c>
      <c r="AH123" s="59"/>
      <c r="AI123" s="58" t="str">
        <f t="shared" si="47"/>
        <v/>
      </c>
      <c r="AJ123" s="59"/>
      <c r="AK123" s="58" t="str">
        <f t="shared" si="48"/>
        <v/>
      </c>
      <c r="AL123" s="59"/>
      <c r="AM123" s="58" t="str">
        <f t="shared" si="49"/>
        <v/>
      </c>
      <c r="AN123" s="59"/>
      <c r="AO123" s="58" t="str">
        <f t="shared" si="50"/>
        <v/>
      </c>
      <c r="AP123" s="59"/>
      <c r="AQ123" s="58">
        <f t="shared" si="51"/>
        <v>1020</v>
      </c>
      <c r="AR123" s="59"/>
      <c r="AS123" s="58" t="str">
        <f t="shared" si="52"/>
        <v/>
      </c>
      <c r="AT123" s="59"/>
      <c r="AU123" s="58" t="str">
        <f t="shared" si="53"/>
        <v/>
      </c>
      <c r="AV123" s="59"/>
      <c r="AW123" s="58" t="str">
        <f t="shared" si="54"/>
        <v/>
      </c>
      <c r="AX123" s="59"/>
      <c r="AY123" s="58" t="str">
        <f t="shared" si="55"/>
        <v/>
      </c>
      <c r="AZ123" s="59"/>
      <c r="BA123" s="58" t="str">
        <f t="shared" si="56"/>
        <v/>
      </c>
      <c r="BB123" s="59"/>
      <c r="BC123" s="58" t="str">
        <f t="shared" si="57"/>
        <v/>
      </c>
      <c r="BD123" s="59"/>
      <c r="BE123" s="58" t="str">
        <f t="shared" si="58"/>
        <v/>
      </c>
      <c r="BF123" s="59"/>
      <c r="BG123" s="58" t="str">
        <f t="shared" si="59"/>
        <v/>
      </c>
      <c r="BH123" s="59"/>
      <c r="BI123" s="58" t="str">
        <f t="shared" si="60"/>
        <v/>
      </c>
      <c r="BJ123" s="59"/>
      <c r="BK123" s="58" t="str">
        <f t="shared" si="61"/>
        <v/>
      </c>
      <c r="BL123" s="59"/>
      <c r="BM123" s="58" t="str">
        <f t="shared" si="62"/>
        <v/>
      </c>
      <c r="BN123" s="59"/>
      <c r="BO123" s="58" t="str">
        <f t="shared" si="63"/>
        <v/>
      </c>
      <c r="BP123" s="59"/>
      <c r="BQ123" s="58" t="str">
        <f t="shared" si="64"/>
        <v/>
      </c>
      <c r="BR123" s="59"/>
      <c r="BS123" s="58" t="str">
        <f t="shared" si="65"/>
        <v/>
      </c>
      <c r="BT123" s="59"/>
      <c r="BU123" s="58" t="str">
        <f t="shared" si="66"/>
        <v/>
      </c>
      <c r="BV123" s="59"/>
    </row>
    <row r="124" spans="1:74" ht="14.5">
      <c r="A124" s="51" t="s">
        <v>466</v>
      </c>
      <c r="B124" s="52">
        <v>254</v>
      </c>
      <c r="C124" s="52" t="s">
        <v>89</v>
      </c>
      <c r="D124" s="41">
        <f t="shared" si="36"/>
        <v>2</v>
      </c>
      <c r="E124" s="52" t="s">
        <v>490</v>
      </c>
      <c r="F124" s="52" t="s">
        <v>286</v>
      </c>
      <c r="G124" s="52" t="s">
        <v>322</v>
      </c>
      <c r="H124" s="52" t="s">
        <v>434</v>
      </c>
      <c r="I124" s="53">
        <v>45663</v>
      </c>
      <c r="J124" s="108">
        <v>1020</v>
      </c>
      <c r="K124" s="101"/>
      <c r="L124" s="101"/>
      <c r="M124" s="101">
        <f t="shared" si="37"/>
        <v>1020</v>
      </c>
      <c r="N124" s="54">
        <f t="shared" si="38"/>
        <v>1020</v>
      </c>
      <c r="O124" s="101" t="s">
        <v>178</v>
      </c>
      <c r="P124" s="102">
        <f t="shared" si="39"/>
        <v>0.48571428571428571</v>
      </c>
      <c r="Q124" s="102">
        <v>6</v>
      </c>
      <c r="R124" s="99">
        <v>350</v>
      </c>
      <c r="S124" s="55">
        <f t="shared" si="68"/>
        <v>45631</v>
      </c>
      <c r="T124" s="55">
        <v>45626</v>
      </c>
      <c r="U124" s="56">
        <f t="shared" ca="1" si="40"/>
        <v>5</v>
      </c>
      <c r="V124" s="55">
        <f t="shared" si="41"/>
        <v>45647</v>
      </c>
      <c r="W124" s="55"/>
      <c r="X124" s="56">
        <f t="shared" ca="1" si="42"/>
        <v>-193</v>
      </c>
      <c r="Y124" s="55"/>
      <c r="Z124" s="57"/>
      <c r="AA124" s="58" t="str">
        <f t="shared" si="43"/>
        <v>-</v>
      </c>
      <c r="AB124" s="59"/>
      <c r="AC124" s="58" t="str">
        <f t="shared" si="44"/>
        <v/>
      </c>
      <c r="AD124" s="59"/>
      <c r="AE124" s="58" t="str">
        <f t="shared" si="45"/>
        <v/>
      </c>
      <c r="AF124" s="59"/>
      <c r="AG124" s="58" t="str">
        <f t="shared" si="46"/>
        <v/>
      </c>
      <c r="AH124" s="59"/>
      <c r="AI124" s="58" t="str">
        <f t="shared" si="47"/>
        <v/>
      </c>
      <c r="AJ124" s="59"/>
      <c r="AK124" s="58" t="str">
        <f t="shared" si="48"/>
        <v/>
      </c>
      <c r="AL124" s="59"/>
      <c r="AM124" s="58" t="str">
        <f t="shared" si="49"/>
        <v/>
      </c>
      <c r="AN124" s="59"/>
      <c r="AO124" s="58" t="str">
        <f t="shared" si="50"/>
        <v/>
      </c>
      <c r="AP124" s="59"/>
      <c r="AQ124" s="58">
        <f t="shared" si="51"/>
        <v>1020</v>
      </c>
      <c r="AR124" s="59"/>
      <c r="AS124" s="58" t="str">
        <f t="shared" si="52"/>
        <v/>
      </c>
      <c r="AT124" s="59"/>
      <c r="AU124" s="58" t="str">
        <f t="shared" si="53"/>
        <v/>
      </c>
      <c r="AV124" s="59"/>
      <c r="AW124" s="58" t="str">
        <f t="shared" si="54"/>
        <v/>
      </c>
      <c r="AX124" s="59"/>
      <c r="AY124" s="58" t="str">
        <f t="shared" si="55"/>
        <v/>
      </c>
      <c r="AZ124" s="59"/>
      <c r="BA124" s="58" t="str">
        <f t="shared" si="56"/>
        <v/>
      </c>
      <c r="BB124" s="59"/>
      <c r="BC124" s="58" t="str">
        <f t="shared" si="57"/>
        <v/>
      </c>
      <c r="BD124" s="59"/>
      <c r="BE124" s="58" t="str">
        <f t="shared" si="58"/>
        <v/>
      </c>
      <c r="BF124" s="59"/>
      <c r="BG124" s="58" t="str">
        <f t="shared" si="59"/>
        <v/>
      </c>
      <c r="BH124" s="59"/>
      <c r="BI124" s="58" t="str">
        <f t="shared" si="60"/>
        <v/>
      </c>
      <c r="BJ124" s="59"/>
      <c r="BK124" s="58" t="str">
        <f t="shared" si="61"/>
        <v/>
      </c>
      <c r="BL124" s="59"/>
      <c r="BM124" s="58" t="str">
        <f t="shared" si="62"/>
        <v/>
      </c>
      <c r="BN124" s="59"/>
      <c r="BO124" s="58" t="str">
        <f t="shared" si="63"/>
        <v/>
      </c>
      <c r="BP124" s="59"/>
      <c r="BQ124" s="58" t="str">
        <f t="shared" si="64"/>
        <v/>
      </c>
      <c r="BR124" s="59"/>
      <c r="BS124" s="58" t="str">
        <f t="shared" si="65"/>
        <v/>
      </c>
      <c r="BT124" s="59"/>
      <c r="BU124" s="58" t="str">
        <f t="shared" si="66"/>
        <v/>
      </c>
      <c r="BV124" s="59"/>
    </row>
    <row r="125" spans="1:74" ht="14.5">
      <c r="A125" s="51" t="s">
        <v>466</v>
      </c>
      <c r="B125" s="52">
        <v>254</v>
      </c>
      <c r="C125" s="52" t="s">
        <v>89</v>
      </c>
      <c r="D125" s="41">
        <f t="shared" si="36"/>
        <v>2</v>
      </c>
      <c r="E125" s="52" t="s">
        <v>493</v>
      </c>
      <c r="F125" s="52" t="s">
        <v>286</v>
      </c>
      <c r="G125" s="52" t="s">
        <v>494</v>
      </c>
      <c r="H125" s="52" t="s">
        <v>434</v>
      </c>
      <c r="I125" s="53">
        <v>45663</v>
      </c>
      <c r="J125" s="108">
        <v>1020</v>
      </c>
      <c r="K125" s="101"/>
      <c r="L125" s="101"/>
      <c r="M125" s="101">
        <f t="shared" si="37"/>
        <v>1020</v>
      </c>
      <c r="N125" s="54">
        <f t="shared" si="38"/>
        <v>1020</v>
      </c>
      <c r="O125" s="101" t="s">
        <v>178</v>
      </c>
      <c r="P125" s="102">
        <f t="shared" si="39"/>
        <v>0.94444444444444442</v>
      </c>
      <c r="Q125" s="102">
        <v>6</v>
      </c>
      <c r="R125" s="99">
        <v>180</v>
      </c>
      <c r="S125" s="55">
        <f t="shared" si="68"/>
        <v>45631</v>
      </c>
      <c r="T125" s="55">
        <v>45626</v>
      </c>
      <c r="U125" s="56">
        <f t="shared" ca="1" si="40"/>
        <v>5</v>
      </c>
      <c r="V125" s="55">
        <f t="shared" si="41"/>
        <v>45647</v>
      </c>
      <c r="W125" s="55"/>
      <c r="X125" s="56">
        <f t="shared" ca="1" si="42"/>
        <v>-193</v>
      </c>
      <c r="Y125" s="55"/>
      <c r="Z125" s="57"/>
      <c r="AA125" s="58" t="str">
        <f t="shared" si="43"/>
        <v>-</v>
      </c>
      <c r="AB125" s="59"/>
      <c r="AC125" s="58" t="str">
        <f t="shared" si="44"/>
        <v/>
      </c>
      <c r="AD125" s="59"/>
      <c r="AE125" s="58" t="str">
        <f t="shared" si="45"/>
        <v/>
      </c>
      <c r="AF125" s="59"/>
      <c r="AG125" s="58" t="str">
        <f t="shared" si="46"/>
        <v/>
      </c>
      <c r="AH125" s="59"/>
      <c r="AI125" s="58" t="str">
        <f t="shared" si="47"/>
        <v/>
      </c>
      <c r="AJ125" s="59"/>
      <c r="AK125" s="58" t="str">
        <f t="shared" si="48"/>
        <v/>
      </c>
      <c r="AL125" s="59"/>
      <c r="AM125" s="58" t="str">
        <f t="shared" si="49"/>
        <v/>
      </c>
      <c r="AN125" s="59"/>
      <c r="AO125" s="58" t="str">
        <f t="shared" si="50"/>
        <v/>
      </c>
      <c r="AP125" s="59"/>
      <c r="AQ125" s="58">
        <f t="shared" si="51"/>
        <v>1020</v>
      </c>
      <c r="AR125" s="59"/>
      <c r="AS125" s="58" t="str">
        <f t="shared" si="52"/>
        <v/>
      </c>
      <c r="AT125" s="59"/>
      <c r="AU125" s="58" t="str">
        <f t="shared" si="53"/>
        <v/>
      </c>
      <c r="AV125" s="59"/>
      <c r="AW125" s="58" t="str">
        <f t="shared" si="54"/>
        <v/>
      </c>
      <c r="AX125" s="59"/>
      <c r="AY125" s="58" t="str">
        <f t="shared" si="55"/>
        <v/>
      </c>
      <c r="AZ125" s="59"/>
      <c r="BA125" s="58" t="str">
        <f t="shared" si="56"/>
        <v/>
      </c>
      <c r="BB125" s="59"/>
      <c r="BC125" s="58" t="str">
        <f t="shared" si="57"/>
        <v/>
      </c>
      <c r="BD125" s="59"/>
      <c r="BE125" s="58" t="str">
        <f t="shared" si="58"/>
        <v/>
      </c>
      <c r="BF125" s="59"/>
      <c r="BG125" s="58" t="str">
        <f t="shared" si="59"/>
        <v/>
      </c>
      <c r="BH125" s="59"/>
      <c r="BI125" s="58" t="str">
        <f t="shared" si="60"/>
        <v/>
      </c>
      <c r="BJ125" s="59"/>
      <c r="BK125" s="58" t="str">
        <f t="shared" si="61"/>
        <v/>
      </c>
      <c r="BL125" s="59"/>
      <c r="BM125" s="58" t="str">
        <f t="shared" si="62"/>
        <v/>
      </c>
      <c r="BN125" s="59"/>
      <c r="BO125" s="58" t="str">
        <f t="shared" si="63"/>
        <v/>
      </c>
      <c r="BP125" s="59"/>
      <c r="BQ125" s="58" t="str">
        <f t="shared" si="64"/>
        <v/>
      </c>
      <c r="BR125" s="59"/>
      <c r="BS125" s="58" t="str">
        <f t="shared" si="65"/>
        <v/>
      </c>
      <c r="BT125" s="59"/>
      <c r="BU125" s="58" t="str">
        <f t="shared" si="66"/>
        <v/>
      </c>
      <c r="BV125" s="59"/>
    </row>
    <row r="126" spans="1:74" ht="14.5">
      <c r="A126" s="51" t="s">
        <v>466</v>
      </c>
      <c r="B126" s="52">
        <v>254</v>
      </c>
      <c r="C126" s="52" t="s">
        <v>89</v>
      </c>
      <c r="D126" s="41">
        <f t="shared" si="36"/>
        <v>2</v>
      </c>
      <c r="E126" s="52" t="s">
        <v>493</v>
      </c>
      <c r="F126" s="52" t="s">
        <v>286</v>
      </c>
      <c r="G126" s="52" t="s">
        <v>491</v>
      </c>
      <c r="H126" s="52" t="s">
        <v>434</v>
      </c>
      <c r="I126" s="53">
        <v>45663</v>
      </c>
      <c r="J126" s="108">
        <v>1020</v>
      </c>
      <c r="K126" s="101"/>
      <c r="L126" s="101"/>
      <c r="M126" s="101">
        <f t="shared" si="37"/>
        <v>1020</v>
      </c>
      <c r="N126" s="54">
        <f t="shared" si="38"/>
        <v>1020</v>
      </c>
      <c r="O126" s="101" t="s">
        <v>178</v>
      </c>
      <c r="P126" s="102">
        <f t="shared" si="39"/>
        <v>0.94444444444444442</v>
      </c>
      <c r="Q126" s="102">
        <v>6</v>
      </c>
      <c r="R126" s="99">
        <v>180</v>
      </c>
      <c r="S126" s="55">
        <f t="shared" si="68"/>
        <v>45631</v>
      </c>
      <c r="T126" s="55">
        <v>45626</v>
      </c>
      <c r="U126" s="56">
        <f t="shared" ca="1" si="40"/>
        <v>5</v>
      </c>
      <c r="V126" s="55">
        <f t="shared" si="41"/>
        <v>45647</v>
      </c>
      <c r="W126" s="55"/>
      <c r="X126" s="56">
        <f t="shared" ca="1" si="42"/>
        <v>-193</v>
      </c>
      <c r="Y126" s="55"/>
      <c r="Z126" s="57"/>
      <c r="AA126" s="58" t="str">
        <f t="shared" si="43"/>
        <v>-</v>
      </c>
      <c r="AB126" s="59"/>
      <c r="AC126" s="58" t="str">
        <f t="shared" si="44"/>
        <v/>
      </c>
      <c r="AD126" s="59"/>
      <c r="AE126" s="58" t="str">
        <f t="shared" si="45"/>
        <v/>
      </c>
      <c r="AF126" s="59"/>
      <c r="AG126" s="58" t="str">
        <f t="shared" si="46"/>
        <v/>
      </c>
      <c r="AH126" s="59"/>
      <c r="AI126" s="58" t="str">
        <f t="shared" si="47"/>
        <v/>
      </c>
      <c r="AJ126" s="59"/>
      <c r="AK126" s="58" t="str">
        <f t="shared" si="48"/>
        <v/>
      </c>
      <c r="AL126" s="59"/>
      <c r="AM126" s="58" t="str">
        <f t="shared" si="49"/>
        <v/>
      </c>
      <c r="AN126" s="59"/>
      <c r="AO126" s="58" t="str">
        <f t="shared" si="50"/>
        <v/>
      </c>
      <c r="AP126" s="59"/>
      <c r="AQ126" s="58">
        <f t="shared" si="51"/>
        <v>1020</v>
      </c>
      <c r="AR126" s="59"/>
      <c r="AS126" s="58" t="str">
        <f t="shared" si="52"/>
        <v/>
      </c>
      <c r="AT126" s="59"/>
      <c r="AU126" s="58" t="str">
        <f t="shared" si="53"/>
        <v/>
      </c>
      <c r="AV126" s="59"/>
      <c r="AW126" s="58" t="str">
        <f t="shared" si="54"/>
        <v/>
      </c>
      <c r="AX126" s="59"/>
      <c r="AY126" s="58" t="str">
        <f t="shared" si="55"/>
        <v/>
      </c>
      <c r="AZ126" s="59"/>
      <c r="BA126" s="58" t="str">
        <f t="shared" si="56"/>
        <v/>
      </c>
      <c r="BB126" s="59"/>
      <c r="BC126" s="58" t="str">
        <f t="shared" si="57"/>
        <v/>
      </c>
      <c r="BD126" s="59"/>
      <c r="BE126" s="58" t="str">
        <f t="shared" si="58"/>
        <v/>
      </c>
      <c r="BF126" s="59"/>
      <c r="BG126" s="58" t="str">
        <f t="shared" si="59"/>
        <v/>
      </c>
      <c r="BH126" s="59"/>
      <c r="BI126" s="58" t="str">
        <f t="shared" si="60"/>
        <v/>
      </c>
      <c r="BJ126" s="59"/>
      <c r="BK126" s="58" t="str">
        <f t="shared" si="61"/>
        <v/>
      </c>
      <c r="BL126" s="59"/>
      <c r="BM126" s="58" t="str">
        <f t="shared" si="62"/>
        <v/>
      </c>
      <c r="BN126" s="59"/>
      <c r="BO126" s="58" t="str">
        <f t="shared" si="63"/>
        <v/>
      </c>
      <c r="BP126" s="59"/>
      <c r="BQ126" s="58" t="str">
        <f t="shared" si="64"/>
        <v/>
      </c>
      <c r="BR126" s="59"/>
      <c r="BS126" s="58" t="str">
        <f t="shared" si="65"/>
        <v/>
      </c>
      <c r="BT126" s="59"/>
      <c r="BU126" s="58" t="str">
        <f t="shared" si="66"/>
        <v/>
      </c>
      <c r="BV126" s="59"/>
    </row>
    <row r="127" spans="1:74" ht="14.5">
      <c r="A127" s="51" t="s">
        <v>466</v>
      </c>
      <c r="B127" s="52">
        <v>254</v>
      </c>
      <c r="C127" s="52" t="s">
        <v>89</v>
      </c>
      <c r="D127" s="41">
        <f t="shared" si="36"/>
        <v>2</v>
      </c>
      <c r="E127" s="52" t="s">
        <v>493</v>
      </c>
      <c r="F127" s="52" t="s">
        <v>286</v>
      </c>
      <c r="G127" s="52" t="s">
        <v>332</v>
      </c>
      <c r="H127" s="52" t="s">
        <v>434</v>
      </c>
      <c r="I127" s="53">
        <v>45663</v>
      </c>
      <c r="J127" s="108">
        <v>1020</v>
      </c>
      <c r="K127" s="101"/>
      <c r="L127" s="101"/>
      <c r="M127" s="101">
        <f t="shared" si="37"/>
        <v>1020</v>
      </c>
      <c r="N127" s="54">
        <f t="shared" si="38"/>
        <v>1020</v>
      </c>
      <c r="O127" s="101" t="s">
        <v>178</v>
      </c>
      <c r="P127" s="102">
        <f t="shared" si="39"/>
        <v>0.94444444444444442</v>
      </c>
      <c r="Q127" s="102">
        <v>6</v>
      </c>
      <c r="R127" s="99">
        <v>180</v>
      </c>
      <c r="S127" s="55">
        <f t="shared" si="68"/>
        <v>45631</v>
      </c>
      <c r="T127" s="55">
        <v>45626</v>
      </c>
      <c r="U127" s="56">
        <f t="shared" ca="1" si="40"/>
        <v>5</v>
      </c>
      <c r="V127" s="55">
        <f t="shared" si="41"/>
        <v>45647</v>
      </c>
      <c r="W127" s="55"/>
      <c r="X127" s="56">
        <f t="shared" ca="1" si="42"/>
        <v>-193</v>
      </c>
      <c r="Y127" s="55"/>
      <c r="Z127" s="57"/>
      <c r="AA127" s="58" t="str">
        <f t="shared" si="43"/>
        <v>-</v>
      </c>
      <c r="AB127" s="59"/>
      <c r="AC127" s="58" t="str">
        <f t="shared" si="44"/>
        <v/>
      </c>
      <c r="AD127" s="59"/>
      <c r="AE127" s="58" t="str">
        <f t="shared" si="45"/>
        <v/>
      </c>
      <c r="AF127" s="59"/>
      <c r="AG127" s="58" t="str">
        <f t="shared" si="46"/>
        <v/>
      </c>
      <c r="AH127" s="59"/>
      <c r="AI127" s="58" t="str">
        <f t="shared" si="47"/>
        <v/>
      </c>
      <c r="AJ127" s="59"/>
      <c r="AK127" s="58" t="str">
        <f t="shared" si="48"/>
        <v/>
      </c>
      <c r="AL127" s="59"/>
      <c r="AM127" s="58" t="str">
        <f t="shared" si="49"/>
        <v/>
      </c>
      <c r="AN127" s="59"/>
      <c r="AO127" s="58" t="str">
        <f t="shared" si="50"/>
        <v/>
      </c>
      <c r="AP127" s="59"/>
      <c r="AQ127" s="58">
        <f t="shared" si="51"/>
        <v>1020</v>
      </c>
      <c r="AR127" s="59"/>
      <c r="AS127" s="58" t="str">
        <f t="shared" si="52"/>
        <v/>
      </c>
      <c r="AT127" s="59"/>
      <c r="AU127" s="58" t="str">
        <f t="shared" si="53"/>
        <v/>
      </c>
      <c r="AV127" s="59"/>
      <c r="AW127" s="58" t="str">
        <f t="shared" si="54"/>
        <v/>
      </c>
      <c r="AX127" s="59"/>
      <c r="AY127" s="58" t="str">
        <f t="shared" si="55"/>
        <v/>
      </c>
      <c r="AZ127" s="59"/>
      <c r="BA127" s="58" t="str">
        <f t="shared" si="56"/>
        <v/>
      </c>
      <c r="BB127" s="59"/>
      <c r="BC127" s="58" t="str">
        <f t="shared" si="57"/>
        <v/>
      </c>
      <c r="BD127" s="59"/>
      <c r="BE127" s="58" t="str">
        <f t="shared" si="58"/>
        <v/>
      </c>
      <c r="BF127" s="59"/>
      <c r="BG127" s="58" t="str">
        <f t="shared" si="59"/>
        <v/>
      </c>
      <c r="BH127" s="59"/>
      <c r="BI127" s="58" t="str">
        <f t="shared" si="60"/>
        <v/>
      </c>
      <c r="BJ127" s="59"/>
      <c r="BK127" s="58" t="str">
        <f t="shared" si="61"/>
        <v/>
      </c>
      <c r="BL127" s="59"/>
      <c r="BM127" s="58" t="str">
        <f t="shared" si="62"/>
        <v/>
      </c>
      <c r="BN127" s="59"/>
      <c r="BO127" s="58" t="str">
        <f t="shared" si="63"/>
        <v/>
      </c>
      <c r="BP127" s="59"/>
      <c r="BQ127" s="58" t="str">
        <f t="shared" si="64"/>
        <v/>
      </c>
      <c r="BR127" s="59"/>
      <c r="BS127" s="58" t="str">
        <f t="shared" si="65"/>
        <v/>
      </c>
      <c r="BT127" s="59"/>
      <c r="BU127" s="58" t="str">
        <f t="shared" si="66"/>
        <v/>
      </c>
      <c r="BV127" s="59"/>
    </row>
    <row r="128" spans="1:74" ht="14.5">
      <c r="A128" s="51" t="s">
        <v>466</v>
      </c>
      <c r="B128" s="52">
        <v>254</v>
      </c>
      <c r="C128" s="52" t="s">
        <v>89</v>
      </c>
      <c r="D128" s="41">
        <f t="shared" si="36"/>
        <v>2</v>
      </c>
      <c r="E128" s="52" t="s">
        <v>493</v>
      </c>
      <c r="F128" s="52" t="s">
        <v>286</v>
      </c>
      <c r="G128" s="52" t="s">
        <v>322</v>
      </c>
      <c r="H128" s="52" t="s">
        <v>434</v>
      </c>
      <c r="I128" s="53">
        <v>45663</v>
      </c>
      <c r="J128" s="108">
        <v>1020</v>
      </c>
      <c r="K128" s="101"/>
      <c r="L128" s="101"/>
      <c r="M128" s="101">
        <f t="shared" si="37"/>
        <v>1020</v>
      </c>
      <c r="N128" s="54">
        <f t="shared" si="38"/>
        <v>1020</v>
      </c>
      <c r="O128" s="101" t="s">
        <v>178</v>
      </c>
      <c r="P128" s="102">
        <f t="shared" si="39"/>
        <v>0.94444444444444442</v>
      </c>
      <c r="Q128" s="102">
        <v>6</v>
      </c>
      <c r="R128" s="99">
        <v>180</v>
      </c>
      <c r="S128" s="55">
        <f t="shared" si="68"/>
        <v>45631</v>
      </c>
      <c r="T128" s="55">
        <v>45626</v>
      </c>
      <c r="U128" s="56">
        <f t="shared" ca="1" si="40"/>
        <v>5</v>
      </c>
      <c r="V128" s="55">
        <f t="shared" si="41"/>
        <v>45647</v>
      </c>
      <c r="W128" s="55"/>
      <c r="X128" s="56">
        <f t="shared" ca="1" si="42"/>
        <v>-193</v>
      </c>
      <c r="Y128" s="55"/>
      <c r="Z128" s="57"/>
      <c r="AA128" s="58" t="str">
        <f t="shared" si="43"/>
        <v>-</v>
      </c>
      <c r="AB128" s="59"/>
      <c r="AC128" s="58" t="str">
        <f t="shared" si="44"/>
        <v/>
      </c>
      <c r="AD128" s="59"/>
      <c r="AE128" s="58" t="str">
        <f t="shared" si="45"/>
        <v/>
      </c>
      <c r="AF128" s="59"/>
      <c r="AG128" s="58" t="str">
        <f t="shared" si="46"/>
        <v/>
      </c>
      <c r="AH128" s="59"/>
      <c r="AI128" s="58" t="str">
        <f t="shared" si="47"/>
        <v/>
      </c>
      <c r="AJ128" s="59"/>
      <c r="AK128" s="58" t="str">
        <f t="shared" si="48"/>
        <v/>
      </c>
      <c r="AL128" s="59"/>
      <c r="AM128" s="58" t="str">
        <f t="shared" si="49"/>
        <v/>
      </c>
      <c r="AN128" s="59"/>
      <c r="AO128" s="58" t="str">
        <f t="shared" si="50"/>
        <v/>
      </c>
      <c r="AP128" s="59"/>
      <c r="AQ128" s="58">
        <f t="shared" si="51"/>
        <v>1020</v>
      </c>
      <c r="AR128" s="59"/>
      <c r="AS128" s="58" t="str">
        <f t="shared" si="52"/>
        <v/>
      </c>
      <c r="AT128" s="59"/>
      <c r="AU128" s="58" t="str">
        <f t="shared" si="53"/>
        <v/>
      </c>
      <c r="AV128" s="59"/>
      <c r="AW128" s="58" t="str">
        <f t="shared" si="54"/>
        <v/>
      </c>
      <c r="AX128" s="59"/>
      <c r="AY128" s="58" t="str">
        <f t="shared" si="55"/>
        <v/>
      </c>
      <c r="AZ128" s="59"/>
      <c r="BA128" s="58" t="str">
        <f t="shared" si="56"/>
        <v/>
      </c>
      <c r="BB128" s="59"/>
      <c r="BC128" s="58" t="str">
        <f t="shared" si="57"/>
        <v/>
      </c>
      <c r="BD128" s="59"/>
      <c r="BE128" s="58" t="str">
        <f t="shared" si="58"/>
        <v/>
      </c>
      <c r="BF128" s="59"/>
      <c r="BG128" s="58" t="str">
        <f t="shared" si="59"/>
        <v/>
      </c>
      <c r="BH128" s="59"/>
      <c r="BI128" s="58" t="str">
        <f t="shared" si="60"/>
        <v/>
      </c>
      <c r="BJ128" s="59"/>
      <c r="BK128" s="58" t="str">
        <f t="shared" si="61"/>
        <v/>
      </c>
      <c r="BL128" s="59"/>
      <c r="BM128" s="58" t="str">
        <f t="shared" si="62"/>
        <v/>
      </c>
      <c r="BN128" s="59"/>
      <c r="BO128" s="58" t="str">
        <f t="shared" si="63"/>
        <v/>
      </c>
      <c r="BP128" s="59"/>
      <c r="BQ128" s="58" t="str">
        <f t="shared" si="64"/>
        <v/>
      </c>
      <c r="BR128" s="59"/>
      <c r="BS128" s="58" t="str">
        <f t="shared" si="65"/>
        <v/>
      </c>
      <c r="BT128" s="59"/>
      <c r="BU128" s="58" t="str">
        <f t="shared" si="66"/>
        <v/>
      </c>
      <c r="BV128" s="59"/>
    </row>
    <row r="129" spans="1:74" ht="14.5">
      <c r="A129" s="51" t="s">
        <v>466</v>
      </c>
      <c r="B129" s="52">
        <v>254</v>
      </c>
      <c r="C129" s="52" t="s">
        <v>89</v>
      </c>
      <c r="D129" s="41">
        <f t="shared" si="36"/>
        <v>2</v>
      </c>
      <c r="E129" s="52" t="s">
        <v>465</v>
      </c>
      <c r="F129" s="52" t="s">
        <v>495</v>
      </c>
      <c r="G129" s="52" t="s">
        <v>316</v>
      </c>
      <c r="H129" s="52" t="s">
        <v>434</v>
      </c>
      <c r="I129" s="53">
        <v>45663</v>
      </c>
      <c r="J129" s="108">
        <v>1524</v>
      </c>
      <c r="K129" s="101"/>
      <c r="L129" s="101"/>
      <c r="M129" s="101">
        <f t="shared" si="37"/>
        <v>1524</v>
      </c>
      <c r="N129" s="54">
        <f t="shared" si="38"/>
        <v>1524</v>
      </c>
      <c r="O129" s="101" t="s">
        <v>178</v>
      </c>
      <c r="P129" s="102">
        <f t="shared" si="39"/>
        <v>3.1749999999999998</v>
      </c>
      <c r="Q129" s="102">
        <v>6</v>
      </c>
      <c r="R129" s="99">
        <v>80</v>
      </c>
      <c r="S129" s="55">
        <f t="shared" si="68"/>
        <v>45631</v>
      </c>
      <c r="T129" s="55">
        <v>45626</v>
      </c>
      <c r="U129" s="56">
        <f t="shared" ca="1" si="40"/>
        <v>5</v>
      </c>
      <c r="V129" s="55">
        <f t="shared" si="41"/>
        <v>45647</v>
      </c>
      <c r="W129" s="55"/>
      <c r="X129" s="56">
        <f t="shared" ca="1" si="42"/>
        <v>-193</v>
      </c>
      <c r="Y129" s="55"/>
      <c r="Z129" s="57"/>
      <c r="AA129" s="58" t="str">
        <f t="shared" si="43"/>
        <v>-</v>
      </c>
      <c r="AB129" s="59"/>
      <c r="AC129" s="58" t="str">
        <f t="shared" si="44"/>
        <v/>
      </c>
      <c r="AD129" s="59"/>
      <c r="AE129" s="58" t="str">
        <f t="shared" si="45"/>
        <v/>
      </c>
      <c r="AF129" s="59"/>
      <c r="AG129" s="58" t="str">
        <f t="shared" si="46"/>
        <v/>
      </c>
      <c r="AH129" s="59"/>
      <c r="AI129" s="58" t="str">
        <f t="shared" si="47"/>
        <v/>
      </c>
      <c r="AJ129" s="59"/>
      <c r="AK129" s="58" t="str">
        <f t="shared" si="48"/>
        <v/>
      </c>
      <c r="AL129" s="59"/>
      <c r="AM129" s="58" t="str">
        <f t="shared" si="49"/>
        <v/>
      </c>
      <c r="AN129" s="59"/>
      <c r="AO129" s="58" t="str">
        <f t="shared" si="50"/>
        <v/>
      </c>
      <c r="AP129" s="59"/>
      <c r="AQ129" s="58">
        <f t="shared" si="51"/>
        <v>1524</v>
      </c>
      <c r="AR129" s="59"/>
      <c r="AS129" s="58" t="str">
        <f t="shared" si="52"/>
        <v/>
      </c>
      <c r="AT129" s="59"/>
      <c r="AU129" s="58" t="str">
        <f t="shared" si="53"/>
        <v/>
      </c>
      <c r="AV129" s="59"/>
      <c r="AW129" s="58" t="str">
        <f t="shared" si="54"/>
        <v/>
      </c>
      <c r="AX129" s="59"/>
      <c r="AY129" s="58" t="str">
        <f t="shared" si="55"/>
        <v/>
      </c>
      <c r="AZ129" s="59"/>
      <c r="BA129" s="58" t="str">
        <f t="shared" si="56"/>
        <v/>
      </c>
      <c r="BB129" s="59"/>
      <c r="BC129" s="58" t="str">
        <f t="shared" si="57"/>
        <v/>
      </c>
      <c r="BD129" s="59"/>
      <c r="BE129" s="58" t="str">
        <f t="shared" si="58"/>
        <v/>
      </c>
      <c r="BF129" s="59"/>
      <c r="BG129" s="58" t="str">
        <f t="shared" si="59"/>
        <v/>
      </c>
      <c r="BH129" s="59"/>
      <c r="BI129" s="58" t="str">
        <f t="shared" si="60"/>
        <v/>
      </c>
      <c r="BJ129" s="59"/>
      <c r="BK129" s="58" t="str">
        <f t="shared" si="61"/>
        <v/>
      </c>
      <c r="BL129" s="59"/>
      <c r="BM129" s="58" t="str">
        <f t="shared" si="62"/>
        <v/>
      </c>
      <c r="BN129" s="59"/>
      <c r="BO129" s="58" t="str">
        <f t="shared" si="63"/>
        <v/>
      </c>
      <c r="BP129" s="59"/>
      <c r="BQ129" s="58" t="str">
        <f t="shared" si="64"/>
        <v/>
      </c>
      <c r="BR129" s="59"/>
      <c r="BS129" s="58" t="str">
        <f t="shared" si="65"/>
        <v/>
      </c>
      <c r="BT129" s="59"/>
      <c r="BU129" s="58" t="str">
        <f t="shared" si="66"/>
        <v/>
      </c>
      <c r="BV129" s="59"/>
    </row>
    <row r="130" spans="1:74" ht="14.5">
      <c r="A130" s="51" t="s">
        <v>466</v>
      </c>
      <c r="B130" s="52">
        <v>254</v>
      </c>
      <c r="C130" s="52" t="s">
        <v>89</v>
      </c>
      <c r="D130" s="41">
        <f t="shared" si="36"/>
        <v>2</v>
      </c>
      <c r="E130" s="52" t="s">
        <v>465</v>
      </c>
      <c r="F130" s="52" t="s">
        <v>495</v>
      </c>
      <c r="G130" s="52" t="s">
        <v>491</v>
      </c>
      <c r="H130" s="52" t="s">
        <v>434</v>
      </c>
      <c r="I130" s="53">
        <v>45663</v>
      </c>
      <c r="J130" s="108">
        <v>1524</v>
      </c>
      <c r="K130" s="101"/>
      <c r="L130" s="101"/>
      <c r="M130" s="101">
        <f t="shared" si="37"/>
        <v>1524</v>
      </c>
      <c r="N130" s="54">
        <f t="shared" si="38"/>
        <v>1524</v>
      </c>
      <c r="O130" s="101" t="s">
        <v>178</v>
      </c>
      <c r="P130" s="102">
        <f t="shared" si="39"/>
        <v>3.1749999999999998</v>
      </c>
      <c r="Q130" s="102">
        <v>6</v>
      </c>
      <c r="R130" s="99">
        <v>80</v>
      </c>
      <c r="S130" s="55">
        <f t="shared" si="68"/>
        <v>45631</v>
      </c>
      <c r="T130" s="55">
        <v>45626</v>
      </c>
      <c r="U130" s="56">
        <f t="shared" ca="1" si="40"/>
        <v>5</v>
      </c>
      <c r="V130" s="55">
        <f t="shared" si="41"/>
        <v>45647</v>
      </c>
      <c r="W130" s="55"/>
      <c r="X130" s="56">
        <f t="shared" ca="1" si="42"/>
        <v>-193</v>
      </c>
      <c r="Y130" s="55"/>
      <c r="Z130" s="57"/>
      <c r="AA130" s="58" t="str">
        <f t="shared" si="43"/>
        <v>-</v>
      </c>
      <c r="AB130" s="59"/>
      <c r="AC130" s="58" t="str">
        <f t="shared" si="44"/>
        <v/>
      </c>
      <c r="AD130" s="59"/>
      <c r="AE130" s="58" t="str">
        <f t="shared" si="45"/>
        <v/>
      </c>
      <c r="AF130" s="59"/>
      <c r="AG130" s="58" t="str">
        <f t="shared" si="46"/>
        <v/>
      </c>
      <c r="AH130" s="59"/>
      <c r="AI130" s="58" t="str">
        <f t="shared" si="47"/>
        <v/>
      </c>
      <c r="AJ130" s="59"/>
      <c r="AK130" s="58" t="str">
        <f t="shared" si="48"/>
        <v/>
      </c>
      <c r="AL130" s="59"/>
      <c r="AM130" s="58" t="str">
        <f t="shared" si="49"/>
        <v/>
      </c>
      <c r="AN130" s="59"/>
      <c r="AO130" s="58" t="str">
        <f t="shared" si="50"/>
        <v/>
      </c>
      <c r="AP130" s="59"/>
      <c r="AQ130" s="58">
        <f t="shared" si="51"/>
        <v>1524</v>
      </c>
      <c r="AR130" s="59"/>
      <c r="AS130" s="58" t="str">
        <f t="shared" si="52"/>
        <v/>
      </c>
      <c r="AT130" s="59"/>
      <c r="AU130" s="58" t="str">
        <f t="shared" si="53"/>
        <v/>
      </c>
      <c r="AV130" s="59"/>
      <c r="AW130" s="58" t="str">
        <f t="shared" si="54"/>
        <v/>
      </c>
      <c r="AX130" s="59"/>
      <c r="AY130" s="58" t="str">
        <f t="shared" si="55"/>
        <v/>
      </c>
      <c r="AZ130" s="59"/>
      <c r="BA130" s="58" t="str">
        <f t="shared" si="56"/>
        <v/>
      </c>
      <c r="BB130" s="59"/>
      <c r="BC130" s="58" t="str">
        <f t="shared" si="57"/>
        <v/>
      </c>
      <c r="BD130" s="59"/>
      <c r="BE130" s="58" t="str">
        <f t="shared" si="58"/>
        <v/>
      </c>
      <c r="BF130" s="59"/>
      <c r="BG130" s="58" t="str">
        <f t="shared" si="59"/>
        <v/>
      </c>
      <c r="BH130" s="59"/>
      <c r="BI130" s="58" t="str">
        <f t="shared" si="60"/>
        <v/>
      </c>
      <c r="BJ130" s="59"/>
      <c r="BK130" s="58" t="str">
        <f t="shared" si="61"/>
        <v/>
      </c>
      <c r="BL130" s="59"/>
      <c r="BM130" s="58" t="str">
        <f t="shared" si="62"/>
        <v/>
      </c>
      <c r="BN130" s="59"/>
      <c r="BO130" s="58" t="str">
        <f t="shared" si="63"/>
        <v/>
      </c>
      <c r="BP130" s="59"/>
      <c r="BQ130" s="58" t="str">
        <f t="shared" si="64"/>
        <v/>
      </c>
      <c r="BR130" s="59"/>
      <c r="BS130" s="58" t="str">
        <f t="shared" si="65"/>
        <v/>
      </c>
      <c r="BT130" s="59"/>
      <c r="BU130" s="58" t="str">
        <f t="shared" si="66"/>
        <v/>
      </c>
      <c r="BV130" s="59"/>
    </row>
    <row r="131" spans="1:74" ht="14.5">
      <c r="A131" s="51" t="s">
        <v>466</v>
      </c>
      <c r="B131" s="52">
        <v>254</v>
      </c>
      <c r="C131" s="52" t="s">
        <v>89</v>
      </c>
      <c r="D131" s="41">
        <f t="shared" si="36"/>
        <v>2</v>
      </c>
      <c r="E131" s="52" t="s">
        <v>465</v>
      </c>
      <c r="F131" s="52" t="s">
        <v>495</v>
      </c>
      <c r="G131" s="52" t="s">
        <v>492</v>
      </c>
      <c r="H131" s="52" t="s">
        <v>434</v>
      </c>
      <c r="I131" s="53">
        <v>45663</v>
      </c>
      <c r="J131" s="108">
        <v>1524</v>
      </c>
      <c r="K131" s="101"/>
      <c r="L131" s="101"/>
      <c r="M131" s="101">
        <f t="shared" si="37"/>
        <v>1524</v>
      </c>
      <c r="N131" s="54">
        <f t="shared" si="38"/>
        <v>1524</v>
      </c>
      <c r="O131" s="101" t="s">
        <v>178</v>
      </c>
      <c r="P131" s="102">
        <f t="shared" si="39"/>
        <v>3.1749999999999998</v>
      </c>
      <c r="Q131" s="102">
        <v>6</v>
      </c>
      <c r="R131" s="99">
        <v>80</v>
      </c>
      <c r="S131" s="55">
        <f t="shared" si="68"/>
        <v>45631</v>
      </c>
      <c r="T131" s="55">
        <v>45626</v>
      </c>
      <c r="U131" s="56">
        <f t="shared" ca="1" si="40"/>
        <v>5</v>
      </c>
      <c r="V131" s="55">
        <f t="shared" si="41"/>
        <v>45647</v>
      </c>
      <c r="W131" s="55"/>
      <c r="X131" s="56">
        <f t="shared" ca="1" si="42"/>
        <v>-193</v>
      </c>
      <c r="Y131" s="55"/>
      <c r="Z131" s="57"/>
      <c r="AA131" s="58" t="str">
        <f t="shared" si="43"/>
        <v>-</v>
      </c>
      <c r="AB131" s="59"/>
      <c r="AC131" s="58" t="str">
        <f t="shared" si="44"/>
        <v/>
      </c>
      <c r="AD131" s="59"/>
      <c r="AE131" s="58" t="str">
        <f t="shared" si="45"/>
        <v/>
      </c>
      <c r="AF131" s="59"/>
      <c r="AG131" s="58" t="str">
        <f t="shared" si="46"/>
        <v/>
      </c>
      <c r="AH131" s="59"/>
      <c r="AI131" s="58" t="str">
        <f t="shared" si="47"/>
        <v/>
      </c>
      <c r="AJ131" s="59"/>
      <c r="AK131" s="58" t="str">
        <f t="shared" si="48"/>
        <v/>
      </c>
      <c r="AL131" s="59"/>
      <c r="AM131" s="58" t="str">
        <f t="shared" si="49"/>
        <v/>
      </c>
      <c r="AN131" s="59"/>
      <c r="AO131" s="58" t="str">
        <f t="shared" si="50"/>
        <v/>
      </c>
      <c r="AP131" s="59"/>
      <c r="AQ131" s="58">
        <f t="shared" si="51"/>
        <v>1524</v>
      </c>
      <c r="AR131" s="59"/>
      <c r="AS131" s="58" t="str">
        <f t="shared" si="52"/>
        <v/>
      </c>
      <c r="AT131" s="59"/>
      <c r="AU131" s="58" t="str">
        <f t="shared" si="53"/>
        <v/>
      </c>
      <c r="AV131" s="59"/>
      <c r="AW131" s="58" t="str">
        <f t="shared" si="54"/>
        <v/>
      </c>
      <c r="AX131" s="59"/>
      <c r="AY131" s="58" t="str">
        <f t="shared" si="55"/>
        <v/>
      </c>
      <c r="AZ131" s="59"/>
      <c r="BA131" s="58" t="str">
        <f t="shared" si="56"/>
        <v/>
      </c>
      <c r="BB131" s="59"/>
      <c r="BC131" s="58" t="str">
        <f t="shared" si="57"/>
        <v/>
      </c>
      <c r="BD131" s="59"/>
      <c r="BE131" s="58" t="str">
        <f t="shared" si="58"/>
        <v/>
      </c>
      <c r="BF131" s="59"/>
      <c r="BG131" s="58" t="str">
        <f t="shared" si="59"/>
        <v/>
      </c>
      <c r="BH131" s="59"/>
      <c r="BI131" s="58" t="str">
        <f t="shared" si="60"/>
        <v/>
      </c>
      <c r="BJ131" s="59"/>
      <c r="BK131" s="58" t="str">
        <f t="shared" si="61"/>
        <v/>
      </c>
      <c r="BL131" s="59"/>
      <c r="BM131" s="58" t="str">
        <f t="shared" si="62"/>
        <v/>
      </c>
      <c r="BN131" s="59"/>
      <c r="BO131" s="58" t="str">
        <f t="shared" si="63"/>
        <v/>
      </c>
      <c r="BP131" s="59"/>
      <c r="BQ131" s="58" t="str">
        <f t="shared" si="64"/>
        <v/>
      </c>
      <c r="BR131" s="59"/>
      <c r="BS131" s="58" t="str">
        <f t="shared" si="65"/>
        <v/>
      </c>
      <c r="BT131" s="59"/>
      <c r="BU131" s="58" t="str">
        <f t="shared" si="66"/>
        <v/>
      </c>
      <c r="BV131" s="59"/>
    </row>
    <row r="132" spans="1:74" ht="14.5">
      <c r="A132" s="51" t="s">
        <v>466</v>
      </c>
      <c r="B132" s="52">
        <v>254</v>
      </c>
      <c r="C132" s="52" t="s">
        <v>89</v>
      </c>
      <c r="D132" s="41">
        <f t="shared" si="36"/>
        <v>2</v>
      </c>
      <c r="E132" s="52" t="s">
        <v>465</v>
      </c>
      <c r="F132" s="52" t="s">
        <v>495</v>
      </c>
      <c r="G132" s="52" t="s">
        <v>322</v>
      </c>
      <c r="H132" s="52" t="s">
        <v>434</v>
      </c>
      <c r="I132" s="53">
        <v>45663</v>
      </c>
      <c r="J132" s="108">
        <v>1524</v>
      </c>
      <c r="K132" s="101"/>
      <c r="L132" s="101"/>
      <c r="M132" s="101">
        <f t="shared" si="37"/>
        <v>1524</v>
      </c>
      <c r="N132" s="54">
        <f t="shared" si="38"/>
        <v>1524</v>
      </c>
      <c r="O132" s="101" t="s">
        <v>178</v>
      </c>
      <c r="P132" s="102">
        <f t="shared" si="39"/>
        <v>3.1749999999999998</v>
      </c>
      <c r="Q132" s="102">
        <v>6</v>
      </c>
      <c r="R132" s="99">
        <v>80</v>
      </c>
      <c r="S132" s="55">
        <f t="shared" si="68"/>
        <v>45631</v>
      </c>
      <c r="T132" s="55">
        <v>45626</v>
      </c>
      <c r="U132" s="56">
        <f t="shared" ca="1" si="40"/>
        <v>5</v>
      </c>
      <c r="V132" s="55">
        <f t="shared" si="41"/>
        <v>45647</v>
      </c>
      <c r="W132" s="55"/>
      <c r="X132" s="56">
        <f t="shared" ca="1" si="42"/>
        <v>-193</v>
      </c>
      <c r="Y132" s="55"/>
      <c r="Z132" s="57"/>
      <c r="AA132" s="58" t="str">
        <f t="shared" si="43"/>
        <v>-</v>
      </c>
      <c r="AB132" s="59"/>
      <c r="AC132" s="58" t="str">
        <f t="shared" si="44"/>
        <v/>
      </c>
      <c r="AD132" s="59"/>
      <c r="AE132" s="58" t="str">
        <f t="shared" si="45"/>
        <v/>
      </c>
      <c r="AF132" s="59"/>
      <c r="AG132" s="58" t="str">
        <f t="shared" si="46"/>
        <v/>
      </c>
      <c r="AH132" s="59"/>
      <c r="AI132" s="58" t="str">
        <f t="shared" si="47"/>
        <v/>
      </c>
      <c r="AJ132" s="59"/>
      <c r="AK132" s="58" t="str">
        <f t="shared" si="48"/>
        <v/>
      </c>
      <c r="AL132" s="59"/>
      <c r="AM132" s="58" t="str">
        <f t="shared" si="49"/>
        <v/>
      </c>
      <c r="AN132" s="59"/>
      <c r="AO132" s="58" t="str">
        <f t="shared" si="50"/>
        <v/>
      </c>
      <c r="AP132" s="59"/>
      <c r="AQ132" s="58">
        <f t="shared" si="51"/>
        <v>1524</v>
      </c>
      <c r="AR132" s="59"/>
      <c r="AS132" s="58" t="str">
        <f t="shared" si="52"/>
        <v/>
      </c>
      <c r="AT132" s="59"/>
      <c r="AU132" s="58" t="str">
        <f t="shared" si="53"/>
        <v/>
      </c>
      <c r="AV132" s="59"/>
      <c r="AW132" s="58" t="str">
        <f t="shared" si="54"/>
        <v/>
      </c>
      <c r="AX132" s="59"/>
      <c r="AY132" s="58" t="str">
        <f t="shared" si="55"/>
        <v/>
      </c>
      <c r="AZ132" s="59"/>
      <c r="BA132" s="58" t="str">
        <f t="shared" si="56"/>
        <v/>
      </c>
      <c r="BB132" s="59"/>
      <c r="BC132" s="58" t="str">
        <f t="shared" si="57"/>
        <v/>
      </c>
      <c r="BD132" s="59"/>
      <c r="BE132" s="58" t="str">
        <f t="shared" si="58"/>
        <v/>
      </c>
      <c r="BF132" s="59"/>
      <c r="BG132" s="58" t="str">
        <f t="shared" si="59"/>
        <v/>
      </c>
      <c r="BH132" s="59"/>
      <c r="BI132" s="58" t="str">
        <f t="shared" si="60"/>
        <v/>
      </c>
      <c r="BJ132" s="59"/>
      <c r="BK132" s="58" t="str">
        <f t="shared" si="61"/>
        <v/>
      </c>
      <c r="BL132" s="59"/>
      <c r="BM132" s="58" t="str">
        <f t="shared" si="62"/>
        <v/>
      </c>
      <c r="BN132" s="59"/>
      <c r="BO132" s="58" t="str">
        <f t="shared" si="63"/>
        <v/>
      </c>
      <c r="BP132" s="59"/>
      <c r="BQ132" s="58" t="str">
        <f t="shared" si="64"/>
        <v/>
      </c>
      <c r="BR132" s="59"/>
      <c r="BS132" s="58" t="str">
        <f t="shared" si="65"/>
        <v/>
      </c>
      <c r="BT132" s="59"/>
      <c r="BU132" s="58" t="str">
        <f t="shared" si="66"/>
        <v/>
      </c>
      <c r="BV132" s="59"/>
    </row>
    <row r="133" spans="1:74" ht="14.5">
      <c r="A133" s="51" t="s">
        <v>466</v>
      </c>
      <c r="B133" s="52">
        <v>254</v>
      </c>
      <c r="C133" s="52" t="s">
        <v>89</v>
      </c>
      <c r="D133" s="41">
        <f t="shared" si="36"/>
        <v>2</v>
      </c>
      <c r="E133" s="52" t="s">
        <v>465</v>
      </c>
      <c r="F133" s="52" t="s">
        <v>495</v>
      </c>
      <c r="G133" s="52" t="s">
        <v>491</v>
      </c>
      <c r="H133" s="52" t="s">
        <v>434</v>
      </c>
      <c r="I133" s="53">
        <v>45663</v>
      </c>
      <c r="J133" s="108">
        <v>1524</v>
      </c>
      <c r="K133" s="101"/>
      <c r="L133" s="101"/>
      <c r="M133" s="101">
        <f t="shared" si="37"/>
        <v>1524</v>
      </c>
      <c r="N133" s="54">
        <f t="shared" si="38"/>
        <v>1524</v>
      </c>
      <c r="O133" s="101" t="s">
        <v>178</v>
      </c>
      <c r="P133" s="102">
        <f t="shared" si="39"/>
        <v>3.1749999999999998</v>
      </c>
      <c r="Q133" s="102">
        <v>6</v>
      </c>
      <c r="R133" s="99">
        <v>80</v>
      </c>
      <c r="S133" s="55">
        <f t="shared" si="68"/>
        <v>45631</v>
      </c>
      <c r="T133" s="55">
        <v>45626</v>
      </c>
      <c r="U133" s="56">
        <f t="shared" ca="1" si="40"/>
        <v>5</v>
      </c>
      <c r="V133" s="55">
        <f t="shared" si="41"/>
        <v>45647</v>
      </c>
      <c r="W133" s="55"/>
      <c r="X133" s="56">
        <f t="shared" ca="1" si="42"/>
        <v>-193</v>
      </c>
      <c r="Y133" s="55"/>
      <c r="Z133" s="57"/>
      <c r="AA133" s="58" t="str">
        <f t="shared" si="43"/>
        <v>-</v>
      </c>
      <c r="AB133" s="59"/>
      <c r="AC133" s="58" t="str">
        <f t="shared" si="44"/>
        <v/>
      </c>
      <c r="AD133" s="59"/>
      <c r="AE133" s="58" t="str">
        <f t="shared" si="45"/>
        <v/>
      </c>
      <c r="AF133" s="59"/>
      <c r="AG133" s="58" t="str">
        <f t="shared" si="46"/>
        <v/>
      </c>
      <c r="AH133" s="59"/>
      <c r="AI133" s="58" t="str">
        <f t="shared" si="47"/>
        <v/>
      </c>
      <c r="AJ133" s="59"/>
      <c r="AK133" s="58" t="str">
        <f t="shared" si="48"/>
        <v/>
      </c>
      <c r="AL133" s="59"/>
      <c r="AM133" s="58" t="str">
        <f t="shared" si="49"/>
        <v/>
      </c>
      <c r="AN133" s="59"/>
      <c r="AO133" s="58" t="str">
        <f t="shared" si="50"/>
        <v/>
      </c>
      <c r="AP133" s="59"/>
      <c r="AQ133" s="58">
        <f t="shared" si="51"/>
        <v>1524</v>
      </c>
      <c r="AR133" s="59"/>
      <c r="AS133" s="58" t="str">
        <f t="shared" si="52"/>
        <v/>
      </c>
      <c r="AT133" s="59"/>
      <c r="AU133" s="58" t="str">
        <f t="shared" si="53"/>
        <v/>
      </c>
      <c r="AV133" s="59"/>
      <c r="AW133" s="58" t="str">
        <f t="shared" si="54"/>
        <v/>
      </c>
      <c r="AX133" s="59"/>
      <c r="AY133" s="58" t="str">
        <f t="shared" si="55"/>
        <v/>
      </c>
      <c r="AZ133" s="59"/>
      <c r="BA133" s="58" t="str">
        <f t="shared" si="56"/>
        <v/>
      </c>
      <c r="BB133" s="59"/>
      <c r="BC133" s="58" t="str">
        <f t="shared" si="57"/>
        <v/>
      </c>
      <c r="BD133" s="59"/>
      <c r="BE133" s="58" t="str">
        <f t="shared" si="58"/>
        <v/>
      </c>
      <c r="BF133" s="59"/>
      <c r="BG133" s="58" t="str">
        <f t="shared" si="59"/>
        <v/>
      </c>
      <c r="BH133" s="59"/>
      <c r="BI133" s="58" t="str">
        <f t="shared" si="60"/>
        <v/>
      </c>
      <c r="BJ133" s="59"/>
      <c r="BK133" s="58" t="str">
        <f t="shared" si="61"/>
        <v/>
      </c>
      <c r="BL133" s="59"/>
      <c r="BM133" s="58" t="str">
        <f t="shared" si="62"/>
        <v/>
      </c>
      <c r="BN133" s="59"/>
      <c r="BO133" s="58" t="str">
        <f t="shared" si="63"/>
        <v/>
      </c>
      <c r="BP133" s="59"/>
      <c r="BQ133" s="58" t="str">
        <f t="shared" si="64"/>
        <v/>
      </c>
      <c r="BR133" s="59"/>
      <c r="BS133" s="58" t="str">
        <f t="shared" si="65"/>
        <v/>
      </c>
      <c r="BT133" s="59"/>
      <c r="BU133" s="58" t="str">
        <f t="shared" si="66"/>
        <v/>
      </c>
      <c r="BV133" s="59"/>
    </row>
    <row r="134" spans="1:74" ht="14.5">
      <c r="A134" s="51" t="s">
        <v>466</v>
      </c>
      <c r="B134" s="52">
        <v>254</v>
      </c>
      <c r="C134" s="52" t="s">
        <v>89</v>
      </c>
      <c r="D134" s="41">
        <f t="shared" si="36"/>
        <v>2</v>
      </c>
      <c r="E134" s="52" t="s">
        <v>465</v>
      </c>
      <c r="F134" s="52" t="s">
        <v>495</v>
      </c>
      <c r="G134" s="52" t="s">
        <v>332</v>
      </c>
      <c r="H134" s="52" t="s">
        <v>434</v>
      </c>
      <c r="I134" s="53">
        <v>45663</v>
      </c>
      <c r="J134" s="108">
        <v>1524</v>
      </c>
      <c r="K134" s="101"/>
      <c r="L134" s="101"/>
      <c r="M134" s="101">
        <f t="shared" si="37"/>
        <v>1524</v>
      </c>
      <c r="N134" s="54">
        <f t="shared" si="38"/>
        <v>1524</v>
      </c>
      <c r="O134" s="101" t="s">
        <v>178</v>
      </c>
      <c r="P134" s="102">
        <f t="shared" si="39"/>
        <v>3.1749999999999998</v>
      </c>
      <c r="Q134" s="102">
        <v>6</v>
      </c>
      <c r="R134" s="99">
        <v>80</v>
      </c>
      <c r="S134" s="55">
        <f t="shared" si="68"/>
        <v>45631</v>
      </c>
      <c r="T134" s="55">
        <v>45626</v>
      </c>
      <c r="U134" s="56">
        <f t="shared" ca="1" si="40"/>
        <v>5</v>
      </c>
      <c r="V134" s="55">
        <f t="shared" si="41"/>
        <v>45647</v>
      </c>
      <c r="W134" s="55"/>
      <c r="X134" s="56">
        <f t="shared" ca="1" si="42"/>
        <v>-193</v>
      </c>
      <c r="Y134" s="55"/>
      <c r="Z134" s="57"/>
      <c r="AA134" s="58" t="str">
        <f t="shared" si="43"/>
        <v>-</v>
      </c>
      <c r="AB134" s="59"/>
      <c r="AC134" s="58" t="str">
        <f t="shared" si="44"/>
        <v/>
      </c>
      <c r="AD134" s="59"/>
      <c r="AE134" s="58" t="str">
        <f t="shared" si="45"/>
        <v/>
      </c>
      <c r="AF134" s="59"/>
      <c r="AG134" s="58" t="str">
        <f t="shared" si="46"/>
        <v/>
      </c>
      <c r="AH134" s="59"/>
      <c r="AI134" s="58" t="str">
        <f t="shared" si="47"/>
        <v/>
      </c>
      <c r="AJ134" s="59"/>
      <c r="AK134" s="58" t="str">
        <f t="shared" si="48"/>
        <v/>
      </c>
      <c r="AL134" s="59"/>
      <c r="AM134" s="58" t="str">
        <f t="shared" si="49"/>
        <v/>
      </c>
      <c r="AN134" s="59"/>
      <c r="AO134" s="58" t="str">
        <f t="shared" si="50"/>
        <v/>
      </c>
      <c r="AP134" s="59"/>
      <c r="AQ134" s="58">
        <f t="shared" si="51"/>
        <v>1524</v>
      </c>
      <c r="AR134" s="59"/>
      <c r="AS134" s="58" t="str">
        <f t="shared" si="52"/>
        <v/>
      </c>
      <c r="AT134" s="59"/>
      <c r="AU134" s="58" t="str">
        <f t="shared" si="53"/>
        <v/>
      </c>
      <c r="AV134" s="59"/>
      <c r="AW134" s="58" t="str">
        <f t="shared" si="54"/>
        <v/>
      </c>
      <c r="AX134" s="59"/>
      <c r="AY134" s="58" t="str">
        <f t="shared" si="55"/>
        <v/>
      </c>
      <c r="AZ134" s="59"/>
      <c r="BA134" s="58" t="str">
        <f t="shared" si="56"/>
        <v/>
      </c>
      <c r="BB134" s="59"/>
      <c r="BC134" s="58" t="str">
        <f t="shared" si="57"/>
        <v/>
      </c>
      <c r="BD134" s="59"/>
      <c r="BE134" s="58" t="str">
        <f t="shared" si="58"/>
        <v/>
      </c>
      <c r="BF134" s="59"/>
      <c r="BG134" s="58" t="str">
        <f t="shared" si="59"/>
        <v/>
      </c>
      <c r="BH134" s="59"/>
      <c r="BI134" s="58" t="str">
        <f t="shared" si="60"/>
        <v/>
      </c>
      <c r="BJ134" s="59"/>
      <c r="BK134" s="58" t="str">
        <f t="shared" si="61"/>
        <v/>
      </c>
      <c r="BL134" s="59"/>
      <c r="BM134" s="58" t="str">
        <f t="shared" si="62"/>
        <v/>
      </c>
      <c r="BN134" s="59"/>
      <c r="BO134" s="58" t="str">
        <f t="shared" si="63"/>
        <v/>
      </c>
      <c r="BP134" s="59"/>
      <c r="BQ134" s="58" t="str">
        <f t="shared" si="64"/>
        <v/>
      </c>
      <c r="BR134" s="59"/>
      <c r="BS134" s="58" t="str">
        <f t="shared" si="65"/>
        <v/>
      </c>
      <c r="BT134" s="59"/>
      <c r="BU134" s="58" t="str">
        <f t="shared" si="66"/>
        <v/>
      </c>
      <c r="BV134" s="59"/>
    </row>
    <row r="135" spans="1:74" ht="14.5">
      <c r="A135" s="51" t="s">
        <v>466</v>
      </c>
      <c r="B135" s="52">
        <v>254</v>
      </c>
      <c r="C135" s="52" t="s">
        <v>89</v>
      </c>
      <c r="D135" s="41">
        <f t="shared" ref="D135:D198" si="69">+WEEKNUM(I135)</f>
        <v>2</v>
      </c>
      <c r="E135" s="52" t="s">
        <v>465</v>
      </c>
      <c r="F135" s="52" t="s">
        <v>495</v>
      </c>
      <c r="G135" s="52" t="s">
        <v>322</v>
      </c>
      <c r="H135" s="52" t="s">
        <v>434</v>
      </c>
      <c r="I135" s="53">
        <v>45663</v>
      </c>
      <c r="J135" s="108">
        <v>1524</v>
      </c>
      <c r="K135" s="101"/>
      <c r="L135" s="101"/>
      <c r="M135" s="101">
        <f t="shared" ref="M135:M198" si="70">+J135-L135</f>
        <v>1524</v>
      </c>
      <c r="N135" s="54">
        <f t="shared" ref="N135:N198" si="71">+J135-K135</f>
        <v>1524</v>
      </c>
      <c r="O135" s="101" t="s">
        <v>178</v>
      </c>
      <c r="P135" s="102">
        <f t="shared" ref="P135:P198" si="72">J135/(R135*Q135)</f>
        <v>3.1749999999999998</v>
      </c>
      <c r="Q135" s="102">
        <v>6</v>
      </c>
      <c r="R135" s="99">
        <v>80</v>
      </c>
      <c r="S135" s="55">
        <f t="shared" si="68"/>
        <v>45631</v>
      </c>
      <c r="T135" s="55">
        <v>45626</v>
      </c>
      <c r="U135" s="56">
        <f t="shared" ref="U135:U198" ca="1" si="73">+IF(T135="",S135-TODAY(),S135-T135)</f>
        <v>5</v>
      </c>
      <c r="V135" s="55">
        <f t="shared" ref="V135:V198" si="74">+S135+16</f>
        <v>45647</v>
      </c>
      <c r="W135" s="55"/>
      <c r="X135" s="56">
        <f t="shared" ref="X135:X198" ca="1" si="75">+IF(W135="",V135-TODAY(),V135-W135)</f>
        <v>-193</v>
      </c>
      <c r="Y135" s="55"/>
      <c r="Z135" s="57"/>
      <c r="AA135" s="58" t="str">
        <f t="shared" ref="AA135:AA198" si="76">+IF($AA$4=WEEKNUM(S135),J135,"-")</f>
        <v>-</v>
      </c>
      <c r="AB135" s="59"/>
      <c r="AC135" s="58" t="str">
        <f t="shared" ref="AC135:AC198" si="77">+IF($AC$4=WEEKNUM(S135),J135,"")</f>
        <v/>
      </c>
      <c r="AD135" s="59"/>
      <c r="AE135" s="58" t="str">
        <f t="shared" ref="AE135:AE198" si="78">+IF($AE$4=WEEKNUM(S135),J135,"")</f>
        <v/>
      </c>
      <c r="AF135" s="59"/>
      <c r="AG135" s="58" t="str">
        <f t="shared" ref="AG135:AG198" si="79">+IF($AG$4=WEEKNUM(S135),J135,"")</f>
        <v/>
      </c>
      <c r="AH135" s="59"/>
      <c r="AI135" s="58" t="str">
        <f t="shared" ref="AI135:AI198" si="80">+IF($AI$4=WEEKNUM(S135),J135,"")</f>
        <v/>
      </c>
      <c r="AJ135" s="59"/>
      <c r="AK135" s="58" t="str">
        <f t="shared" ref="AK135:AK198" si="81">+IF($AK$4=WEEKNUM(S135),J135,"")</f>
        <v/>
      </c>
      <c r="AL135" s="59"/>
      <c r="AM135" s="58" t="str">
        <f t="shared" ref="AM135:AM198" si="82">+IF($AM$4=WEEKNUM(S135),J135,"")</f>
        <v/>
      </c>
      <c r="AN135" s="59"/>
      <c r="AO135" s="58" t="str">
        <f t="shared" ref="AO135:AO198" si="83">+IF($AO$4=WEEKNUM(S135),J135,"")</f>
        <v/>
      </c>
      <c r="AP135" s="59"/>
      <c r="AQ135" s="58">
        <f t="shared" ref="AQ135:AQ198" si="84">+IF($AQ$4=WEEKNUM(S135),J135,"")</f>
        <v>1524</v>
      </c>
      <c r="AR135" s="59"/>
      <c r="AS135" s="58" t="str">
        <f t="shared" ref="AS135:AS198" si="85">+IF($AS$4=WEEKNUM(S135),J135,"")</f>
        <v/>
      </c>
      <c r="AT135" s="59"/>
      <c r="AU135" s="58" t="str">
        <f t="shared" ref="AU135:AU198" si="86">+IF($AU$4=WEEKNUM(S135),J135,"")</f>
        <v/>
      </c>
      <c r="AV135" s="59"/>
      <c r="AW135" s="58" t="str">
        <f t="shared" ref="AW135:AW198" si="87">+IF($AW$4=WEEKNUM(S135),J135,"")</f>
        <v/>
      </c>
      <c r="AX135" s="59"/>
      <c r="AY135" s="58" t="str">
        <f t="shared" ref="AY135:AY198" si="88">+IF($AY$4=WEEKNUM(S135),J135,"")</f>
        <v/>
      </c>
      <c r="AZ135" s="59"/>
      <c r="BA135" s="58" t="str">
        <f t="shared" ref="BA135:BA198" si="89">+IF($BA$4=WEEKNUM(S135),J135,"")</f>
        <v/>
      </c>
      <c r="BB135" s="59"/>
      <c r="BC135" s="58" t="str">
        <f t="shared" ref="BC135:BC198" si="90">+IF($BC$4=WEEKNUM(S135),J135,"")</f>
        <v/>
      </c>
      <c r="BD135" s="59"/>
      <c r="BE135" s="58" t="str">
        <f t="shared" ref="BE135:BE198" si="91">+IF($BE$4=WEEKNUM(S135),J135,"")</f>
        <v/>
      </c>
      <c r="BF135" s="59"/>
      <c r="BG135" s="58" t="str">
        <f t="shared" ref="BG135:BG198" si="92">+IF($BG$4=WEEKNUM(S135),J135,"")</f>
        <v/>
      </c>
      <c r="BH135" s="59"/>
      <c r="BI135" s="58" t="str">
        <f t="shared" ref="BI135:BI198" si="93">+IF($BI$4=WEEKNUM(S135),J135,"")</f>
        <v/>
      </c>
      <c r="BJ135" s="59"/>
      <c r="BK135" s="58" t="str">
        <f t="shared" ref="BK135:BK198" si="94">+IF($BK$4=WEEKNUM(S135),J135,"")</f>
        <v/>
      </c>
      <c r="BL135" s="59"/>
      <c r="BM135" s="58" t="str">
        <f t="shared" ref="BM135:BM198" si="95">+IF($BM$4=WEEKNUM(S135),J135,"")</f>
        <v/>
      </c>
      <c r="BN135" s="59"/>
      <c r="BO135" s="58" t="str">
        <f t="shared" ref="BO135:BO198" si="96">+IF($BO$4=WEEKNUM(S135),J135,"")</f>
        <v/>
      </c>
      <c r="BP135" s="59"/>
      <c r="BQ135" s="58" t="str">
        <f t="shared" ref="BQ135:BQ198" si="97">+IF($BQ$4=WEEKNUM(S135),J135,"")</f>
        <v/>
      </c>
      <c r="BR135" s="59"/>
      <c r="BS135" s="58" t="str">
        <f t="shared" ref="BS135:BS198" si="98">+IF($BS$4=WEEKNUM(S135),J135,"")</f>
        <v/>
      </c>
      <c r="BT135" s="59"/>
      <c r="BU135" s="58" t="str">
        <f t="shared" ref="BU135:BU198" si="99">+IF($BU$4=WEEKNUM(S135),J135,"")</f>
        <v/>
      </c>
      <c r="BV135" s="59"/>
    </row>
    <row r="136" spans="1:74" ht="14.5">
      <c r="A136" s="51" t="s">
        <v>58</v>
      </c>
      <c r="B136" s="52">
        <v>356</v>
      </c>
      <c r="C136" s="52" t="s">
        <v>188</v>
      </c>
      <c r="D136" s="41">
        <f t="shared" si="69"/>
        <v>2</v>
      </c>
      <c r="E136" s="52" t="s">
        <v>201</v>
      </c>
      <c r="F136" s="52" t="s">
        <v>247</v>
      </c>
      <c r="G136" s="52" t="s">
        <v>441</v>
      </c>
      <c r="H136" s="52" t="s">
        <v>442</v>
      </c>
      <c r="I136" s="53">
        <v>45664</v>
      </c>
      <c r="J136" s="108">
        <v>14256</v>
      </c>
      <c r="K136" s="101"/>
      <c r="L136" s="101"/>
      <c r="M136" s="101">
        <f t="shared" si="70"/>
        <v>14256</v>
      </c>
      <c r="N136" s="54">
        <f t="shared" si="71"/>
        <v>14256</v>
      </c>
      <c r="O136" s="101" t="s">
        <v>443</v>
      </c>
      <c r="P136" s="102">
        <f t="shared" si="72"/>
        <v>8.1462857142857139</v>
      </c>
      <c r="Q136" s="102">
        <v>5</v>
      </c>
      <c r="R136" s="99">
        <v>350</v>
      </c>
      <c r="S136" s="55">
        <f t="shared" ref="S136:S174" si="100">+I136-(28)</f>
        <v>45636</v>
      </c>
      <c r="T136" s="55">
        <v>45627</v>
      </c>
      <c r="U136" s="56">
        <f t="shared" ca="1" si="73"/>
        <v>9</v>
      </c>
      <c r="V136" s="55">
        <f t="shared" si="74"/>
        <v>45652</v>
      </c>
      <c r="W136" s="55"/>
      <c r="X136" s="56">
        <f t="shared" ca="1" si="75"/>
        <v>-188</v>
      </c>
      <c r="Y136" s="55"/>
      <c r="Z136" s="57"/>
      <c r="AA136" s="58" t="str">
        <f t="shared" si="76"/>
        <v>-</v>
      </c>
      <c r="AB136" s="59"/>
      <c r="AC136" s="58" t="str">
        <f t="shared" si="77"/>
        <v/>
      </c>
      <c r="AD136" s="59"/>
      <c r="AE136" s="58" t="str">
        <f t="shared" si="78"/>
        <v/>
      </c>
      <c r="AF136" s="59"/>
      <c r="AG136" s="58" t="str">
        <f t="shared" si="79"/>
        <v/>
      </c>
      <c r="AH136" s="59"/>
      <c r="AI136" s="58" t="str">
        <f t="shared" si="80"/>
        <v/>
      </c>
      <c r="AJ136" s="59"/>
      <c r="AK136" s="58" t="str">
        <f t="shared" si="81"/>
        <v/>
      </c>
      <c r="AL136" s="59"/>
      <c r="AM136" s="58" t="str">
        <f t="shared" si="82"/>
        <v/>
      </c>
      <c r="AN136" s="59"/>
      <c r="AO136" s="58" t="str">
        <f t="shared" si="83"/>
        <v/>
      </c>
      <c r="AP136" s="59"/>
      <c r="AQ136" s="58" t="str">
        <f t="shared" si="84"/>
        <v/>
      </c>
      <c r="AR136" s="59"/>
      <c r="AS136" s="58">
        <f t="shared" si="85"/>
        <v>14256</v>
      </c>
      <c r="AT136" s="59"/>
      <c r="AU136" s="58" t="str">
        <f t="shared" si="86"/>
        <v/>
      </c>
      <c r="AV136" s="59"/>
      <c r="AW136" s="58" t="str">
        <f t="shared" si="87"/>
        <v/>
      </c>
      <c r="AX136" s="59"/>
      <c r="AY136" s="58" t="str">
        <f t="shared" si="88"/>
        <v/>
      </c>
      <c r="AZ136" s="59"/>
      <c r="BA136" s="58" t="str">
        <f t="shared" si="89"/>
        <v/>
      </c>
      <c r="BB136" s="59"/>
      <c r="BC136" s="58" t="str">
        <f t="shared" si="90"/>
        <v/>
      </c>
      <c r="BD136" s="59"/>
      <c r="BE136" s="58" t="str">
        <f t="shared" si="91"/>
        <v/>
      </c>
      <c r="BF136" s="59"/>
      <c r="BG136" s="58" t="str">
        <f t="shared" si="92"/>
        <v/>
      </c>
      <c r="BH136" s="59"/>
      <c r="BI136" s="58" t="str">
        <f t="shared" si="93"/>
        <v/>
      </c>
      <c r="BJ136" s="59"/>
      <c r="BK136" s="58" t="str">
        <f t="shared" si="94"/>
        <v/>
      </c>
      <c r="BL136" s="59"/>
      <c r="BM136" s="58" t="str">
        <f t="shared" si="95"/>
        <v/>
      </c>
      <c r="BN136" s="59"/>
      <c r="BO136" s="58" t="str">
        <f t="shared" si="96"/>
        <v/>
      </c>
      <c r="BP136" s="59"/>
      <c r="BQ136" s="58" t="str">
        <f t="shared" si="97"/>
        <v/>
      </c>
      <c r="BR136" s="59"/>
      <c r="BS136" s="58" t="str">
        <f t="shared" si="98"/>
        <v/>
      </c>
      <c r="BT136" s="59"/>
      <c r="BU136" s="58" t="str">
        <f t="shared" si="99"/>
        <v/>
      </c>
      <c r="BV136" s="59"/>
    </row>
    <row r="137" spans="1:74" ht="14.5">
      <c r="A137" s="51" t="s">
        <v>58</v>
      </c>
      <c r="B137" s="52">
        <v>356</v>
      </c>
      <c r="C137" s="52" t="s">
        <v>188</v>
      </c>
      <c r="D137" s="41">
        <f t="shared" si="69"/>
        <v>2</v>
      </c>
      <c r="E137" s="52" t="s">
        <v>390</v>
      </c>
      <c r="F137" s="52" t="s">
        <v>242</v>
      </c>
      <c r="G137" s="52" t="s">
        <v>162</v>
      </c>
      <c r="H137" s="52" t="s">
        <v>430</v>
      </c>
      <c r="I137" s="53">
        <v>45664</v>
      </c>
      <c r="J137" s="108">
        <v>1980</v>
      </c>
      <c r="K137" s="101"/>
      <c r="L137" s="101"/>
      <c r="M137" s="101">
        <f t="shared" si="70"/>
        <v>1980</v>
      </c>
      <c r="N137" s="54">
        <f t="shared" si="71"/>
        <v>1980</v>
      </c>
      <c r="O137" s="101" t="s">
        <v>431</v>
      </c>
      <c r="P137" s="102">
        <f t="shared" si="72"/>
        <v>2.75</v>
      </c>
      <c r="Q137" s="102">
        <v>6</v>
      </c>
      <c r="R137" s="99">
        <v>120</v>
      </c>
      <c r="S137" s="55">
        <f t="shared" si="100"/>
        <v>45636</v>
      </c>
      <c r="T137" s="55">
        <v>45627</v>
      </c>
      <c r="U137" s="56">
        <f t="shared" ca="1" si="73"/>
        <v>9</v>
      </c>
      <c r="V137" s="55">
        <f t="shared" si="74"/>
        <v>45652</v>
      </c>
      <c r="W137" s="55"/>
      <c r="X137" s="56">
        <f t="shared" ca="1" si="75"/>
        <v>-188</v>
      </c>
      <c r="Y137" s="55"/>
      <c r="Z137" s="57"/>
      <c r="AA137" s="58" t="str">
        <f t="shared" si="76"/>
        <v>-</v>
      </c>
      <c r="AB137" s="59"/>
      <c r="AC137" s="58" t="str">
        <f t="shared" si="77"/>
        <v/>
      </c>
      <c r="AD137" s="59"/>
      <c r="AE137" s="58" t="str">
        <f t="shared" si="78"/>
        <v/>
      </c>
      <c r="AF137" s="59"/>
      <c r="AG137" s="58" t="str">
        <f t="shared" si="79"/>
        <v/>
      </c>
      <c r="AH137" s="59"/>
      <c r="AI137" s="58" t="str">
        <f t="shared" si="80"/>
        <v/>
      </c>
      <c r="AJ137" s="59"/>
      <c r="AK137" s="58" t="str">
        <f t="shared" si="81"/>
        <v/>
      </c>
      <c r="AL137" s="59"/>
      <c r="AM137" s="58" t="str">
        <f t="shared" si="82"/>
        <v/>
      </c>
      <c r="AN137" s="59"/>
      <c r="AO137" s="58" t="str">
        <f t="shared" si="83"/>
        <v/>
      </c>
      <c r="AP137" s="59"/>
      <c r="AQ137" s="58" t="str">
        <f t="shared" si="84"/>
        <v/>
      </c>
      <c r="AR137" s="59"/>
      <c r="AS137" s="58">
        <f t="shared" si="85"/>
        <v>1980</v>
      </c>
      <c r="AT137" s="59"/>
      <c r="AU137" s="58" t="str">
        <f t="shared" si="86"/>
        <v/>
      </c>
      <c r="AV137" s="59"/>
      <c r="AW137" s="58" t="str">
        <f t="shared" si="87"/>
        <v/>
      </c>
      <c r="AX137" s="59"/>
      <c r="AY137" s="58" t="str">
        <f t="shared" si="88"/>
        <v/>
      </c>
      <c r="AZ137" s="59"/>
      <c r="BA137" s="58" t="str">
        <f t="shared" si="89"/>
        <v/>
      </c>
      <c r="BB137" s="59"/>
      <c r="BC137" s="58" t="str">
        <f t="shared" si="90"/>
        <v/>
      </c>
      <c r="BD137" s="59"/>
      <c r="BE137" s="58" t="str">
        <f t="shared" si="91"/>
        <v/>
      </c>
      <c r="BF137" s="59"/>
      <c r="BG137" s="58" t="str">
        <f t="shared" si="92"/>
        <v/>
      </c>
      <c r="BH137" s="59"/>
      <c r="BI137" s="58" t="str">
        <f t="shared" si="93"/>
        <v/>
      </c>
      <c r="BJ137" s="59"/>
      <c r="BK137" s="58" t="str">
        <f t="shared" si="94"/>
        <v/>
      </c>
      <c r="BL137" s="59"/>
      <c r="BM137" s="58" t="str">
        <f t="shared" si="95"/>
        <v/>
      </c>
      <c r="BN137" s="59"/>
      <c r="BO137" s="58" t="str">
        <f t="shared" si="96"/>
        <v/>
      </c>
      <c r="BP137" s="59"/>
      <c r="BQ137" s="58" t="str">
        <f t="shared" si="97"/>
        <v/>
      </c>
      <c r="BR137" s="59"/>
      <c r="BS137" s="58" t="str">
        <f t="shared" si="98"/>
        <v/>
      </c>
      <c r="BT137" s="59"/>
      <c r="BU137" s="58" t="str">
        <f t="shared" si="99"/>
        <v/>
      </c>
      <c r="BV137" s="59"/>
    </row>
    <row r="138" spans="1:74" ht="14.5">
      <c r="A138" s="51" t="s">
        <v>58</v>
      </c>
      <c r="B138" s="52">
        <v>356</v>
      </c>
      <c r="C138" s="52" t="s">
        <v>188</v>
      </c>
      <c r="D138" s="41">
        <f t="shared" si="69"/>
        <v>2</v>
      </c>
      <c r="E138" s="52" t="s">
        <v>158</v>
      </c>
      <c r="F138" s="52" t="s">
        <v>242</v>
      </c>
      <c r="G138" s="52" t="s">
        <v>155</v>
      </c>
      <c r="H138" s="52" t="s">
        <v>432</v>
      </c>
      <c r="I138" s="53">
        <v>45664</v>
      </c>
      <c r="J138" s="108">
        <v>1336</v>
      </c>
      <c r="K138" s="101"/>
      <c r="L138" s="101"/>
      <c r="M138" s="101">
        <f t="shared" si="70"/>
        <v>1336</v>
      </c>
      <c r="N138" s="54">
        <f t="shared" si="71"/>
        <v>1336</v>
      </c>
      <c r="O138" s="101" t="s">
        <v>439</v>
      </c>
      <c r="P138" s="102">
        <f t="shared" si="72"/>
        <v>1.8555555555555556</v>
      </c>
      <c r="Q138" s="102">
        <v>6</v>
      </c>
      <c r="R138" s="99">
        <v>120</v>
      </c>
      <c r="S138" s="55">
        <f t="shared" si="100"/>
        <v>45636</v>
      </c>
      <c r="T138" s="55">
        <v>45627</v>
      </c>
      <c r="U138" s="56">
        <f t="shared" ca="1" si="73"/>
        <v>9</v>
      </c>
      <c r="V138" s="55">
        <f t="shared" si="74"/>
        <v>45652</v>
      </c>
      <c r="W138" s="55"/>
      <c r="X138" s="56">
        <f t="shared" ca="1" si="75"/>
        <v>-188</v>
      </c>
      <c r="Y138" s="55"/>
      <c r="Z138" s="57"/>
      <c r="AA138" s="58" t="str">
        <f t="shared" si="76"/>
        <v>-</v>
      </c>
      <c r="AB138" s="59"/>
      <c r="AC138" s="58" t="str">
        <f t="shared" si="77"/>
        <v/>
      </c>
      <c r="AD138" s="59"/>
      <c r="AE138" s="58" t="str">
        <f t="shared" si="78"/>
        <v/>
      </c>
      <c r="AF138" s="59"/>
      <c r="AG138" s="58" t="str">
        <f t="shared" si="79"/>
        <v/>
      </c>
      <c r="AH138" s="59"/>
      <c r="AI138" s="58" t="str">
        <f t="shared" si="80"/>
        <v/>
      </c>
      <c r="AJ138" s="59"/>
      <c r="AK138" s="58" t="str">
        <f t="shared" si="81"/>
        <v/>
      </c>
      <c r="AL138" s="59"/>
      <c r="AM138" s="58" t="str">
        <f t="shared" si="82"/>
        <v/>
      </c>
      <c r="AN138" s="59"/>
      <c r="AO138" s="58" t="str">
        <f t="shared" si="83"/>
        <v/>
      </c>
      <c r="AP138" s="59"/>
      <c r="AQ138" s="58" t="str">
        <f t="shared" si="84"/>
        <v/>
      </c>
      <c r="AR138" s="59"/>
      <c r="AS138" s="58">
        <f t="shared" si="85"/>
        <v>1336</v>
      </c>
      <c r="AT138" s="59"/>
      <c r="AU138" s="58" t="str">
        <f t="shared" si="86"/>
        <v/>
      </c>
      <c r="AV138" s="59"/>
      <c r="AW138" s="58" t="str">
        <f t="shared" si="87"/>
        <v/>
      </c>
      <c r="AX138" s="59"/>
      <c r="AY138" s="58" t="str">
        <f t="shared" si="88"/>
        <v/>
      </c>
      <c r="AZ138" s="59"/>
      <c r="BA138" s="58" t="str">
        <f t="shared" si="89"/>
        <v/>
      </c>
      <c r="BB138" s="59"/>
      <c r="BC138" s="58" t="str">
        <f t="shared" si="90"/>
        <v/>
      </c>
      <c r="BD138" s="59"/>
      <c r="BE138" s="58" t="str">
        <f t="shared" si="91"/>
        <v/>
      </c>
      <c r="BF138" s="59"/>
      <c r="BG138" s="58" t="str">
        <f t="shared" si="92"/>
        <v/>
      </c>
      <c r="BH138" s="59"/>
      <c r="BI138" s="58" t="str">
        <f t="shared" si="93"/>
        <v/>
      </c>
      <c r="BJ138" s="59"/>
      <c r="BK138" s="58" t="str">
        <f t="shared" si="94"/>
        <v/>
      </c>
      <c r="BL138" s="59"/>
      <c r="BM138" s="58" t="str">
        <f t="shared" si="95"/>
        <v/>
      </c>
      <c r="BN138" s="59"/>
      <c r="BO138" s="58" t="str">
        <f t="shared" si="96"/>
        <v/>
      </c>
      <c r="BP138" s="59"/>
      <c r="BQ138" s="58" t="str">
        <f t="shared" si="97"/>
        <v/>
      </c>
      <c r="BR138" s="59"/>
      <c r="BS138" s="58" t="str">
        <f t="shared" si="98"/>
        <v/>
      </c>
      <c r="BT138" s="59"/>
      <c r="BU138" s="58" t="str">
        <f t="shared" si="99"/>
        <v/>
      </c>
      <c r="BV138" s="59"/>
    </row>
    <row r="139" spans="1:74" ht="14.5">
      <c r="A139" s="51" t="s">
        <v>58</v>
      </c>
      <c r="B139" s="52">
        <v>356</v>
      </c>
      <c r="C139" s="52" t="s">
        <v>188</v>
      </c>
      <c r="D139" s="41">
        <f t="shared" si="69"/>
        <v>2</v>
      </c>
      <c r="E139" s="52" t="s">
        <v>189</v>
      </c>
      <c r="F139" s="52" t="s">
        <v>242</v>
      </c>
      <c r="G139" s="52" t="s">
        <v>162</v>
      </c>
      <c r="H139" s="52" t="s">
        <v>432</v>
      </c>
      <c r="I139" s="53">
        <v>45664</v>
      </c>
      <c r="J139" s="108">
        <v>744</v>
      </c>
      <c r="K139" s="101"/>
      <c r="L139" s="101"/>
      <c r="M139" s="101">
        <f t="shared" si="70"/>
        <v>744</v>
      </c>
      <c r="N139" s="54">
        <f t="shared" si="71"/>
        <v>744</v>
      </c>
      <c r="O139" s="101" t="s">
        <v>178</v>
      </c>
      <c r="P139" s="102">
        <f t="shared" si="72"/>
        <v>1.0333333333333334</v>
      </c>
      <c r="Q139" s="102">
        <v>6</v>
      </c>
      <c r="R139" s="99">
        <v>120</v>
      </c>
      <c r="S139" s="55">
        <f t="shared" si="100"/>
        <v>45636</v>
      </c>
      <c r="T139" s="55">
        <v>45627</v>
      </c>
      <c r="U139" s="56">
        <f t="shared" ca="1" si="73"/>
        <v>9</v>
      </c>
      <c r="V139" s="55">
        <f t="shared" si="74"/>
        <v>45652</v>
      </c>
      <c r="W139" s="55"/>
      <c r="X139" s="56">
        <f t="shared" ca="1" si="75"/>
        <v>-188</v>
      </c>
      <c r="Y139" s="55"/>
      <c r="Z139" s="57"/>
      <c r="AA139" s="58" t="str">
        <f t="shared" si="76"/>
        <v>-</v>
      </c>
      <c r="AB139" s="59"/>
      <c r="AC139" s="58" t="str">
        <f t="shared" si="77"/>
        <v/>
      </c>
      <c r="AD139" s="59"/>
      <c r="AE139" s="58" t="str">
        <f t="shared" si="78"/>
        <v/>
      </c>
      <c r="AF139" s="59"/>
      <c r="AG139" s="58" t="str">
        <f t="shared" si="79"/>
        <v/>
      </c>
      <c r="AH139" s="59"/>
      <c r="AI139" s="58" t="str">
        <f t="shared" si="80"/>
        <v/>
      </c>
      <c r="AJ139" s="59"/>
      <c r="AK139" s="58" t="str">
        <f t="shared" si="81"/>
        <v/>
      </c>
      <c r="AL139" s="59"/>
      <c r="AM139" s="58" t="str">
        <f t="shared" si="82"/>
        <v/>
      </c>
      <c r="AN139" s="59"/>
      <c r="AO139" s="58" t="str">
        <f t="shared" si="83"/>
        <v/>
      </c>
      <c r="AP139" s="59"/>
      <c r="AQ139" s="58" t="str">
        <f t="shared" si="84"/>
        <v/>
      </c>
      <c r="AR139" s="59"/>
      <c r="AS139" s="58">
        <f t="shared" si="85"/>
        <v>744</v>
      </c>
      <c r="AT139" s="59"/>
      <c r="AU139" s="58" t="str">
        <f t="shared" si="86"/>
        <v/>
      </c>
      <c r="AV139" s="59"/>
      <c r="AW139" s="58" t="str">
        <f t="shared" si="87"/>
        <v/>
      </c>
      <c r="AX139" s="59"/>
      <c r="AY139" s="58" t="str">
        <f t="shared" si="88"/>
        <v/>
      </c>
      <c r="AZ139" s="59"/>
      <c r="BA139" s="58" t="str">
        <f t="shared" si="89"/>
        <v/>
      </c>
      <c r="BB139" s="59"/>
      <c r="BC139" s="58" t="str">
        <f t="shared" si="90"/>
        <v/>
      </c>
      <c r="BD139" s="59"/>
      <c r="BE139" s="58" t="str">
        <f t="shared" si="91"/>
        <v/>
      </c>
      <c r="BF139" s="59"/>
      <c r="BG139" s="58" t="str">
        <f t="shared" si="92"/>
        <v/>
      </c>
      <c r="BH139" s="59"/>
      <c r="BI139" s="58" t="str">
        <f t="shared" si="93"/>
        <v/>
      </c>
      <c r="BJ139" s="59"/>
      <c r="BK139" s="58" t="str">
        <f t="shared" si="94"/>
        <v/>
      </c>
      <c r="BL139" s="59"/>
      <c r="BM139" s="58" t="str">
        <f t="shared" si="95"/>
        <v/>
      </c>
      <c r="BN139" s="59"/>
      <c r="BO139" s="58" t="str">
        <f t="shared" si="96"/>
        <v/>
      </c>
      <c r="BP139" s="59"/>
      <c r="BQ139" s="58" t="str">
        <f t="shared" si="97"/>
        <v/>
      </c>
      <c r="BR139" s="59"/>
      <c r="BS139" s="58" t="str">
        <f t="shared" si="98"/>
        <v/>
      </c>
      <c r="BT139" s="59"/>
      <c r="BU139" s="58" t="str">
        <f t="shared" si="99"/>
        <v/>
      </c>
      <c r="BV139" s="59"/>
    </row>
    <row r="140" spans="1:74" ht="14.5">
      <c r="A140" s="51" t="s">
        <v>58</v>
      </c>
      <c r="B140" s="52">
        <v>357</v>
      </c>
      <c r="C140" s="52" t="s">
        <v>188</v>
      </c>
      <c r="D140" s="41">
        <f t="shared" si="69"/>
        <v>2</v>
      </c>
      <c r="E140" s="52" t="s">
        <v>195</v>
      </c>
      <c r="F140" s="52" t="s">
        <v>454</v>
      </c>
      <c r="G140" s="52" t="s">
        <v>162</v>
      </c>
      <c r="H140" s="52" t="s">
        <v>496</v>
      </c>
      <c r="I140" s="53">
        <v>45664</v>
      </c>
      <c r="J140" s="108">
        <v>2880</v>
      </c>
      <c r="K140" s="101"/>
      <c r="L140" s="101"/>
      <c r="M140" s="101">
        <f t="shared" si="70"/>
        <v>2880</v>
      </c>
      <c r="N140" s="54">
        <f t="shared" si="71"/>
        <v>2880</v>
      </c>
      <c r="O140" s="101" t="s">
        <v>178</v>
      </c>
      <c r="P140" s="102">
        <f t="shared" si="72"/>
        <v>4</v>
      </c>
      <c r="Q140" s="102">
        <v>6</v>
      </c>
      <c r="R140" s="99">
        <v>120</v>
      </c>
      <c r="S140" s="55">
        <f t="shared" si="100"/>
        <v>45636</v>
      </c>
      <c r="T140" s="55">
        <v>45635</v>
      </c>
      <c r="U140" s="56">
        <f t="shared" ca="1" si="73"/>
        <v>1</v>
      </c>
      <c r="V140" s="55">
        <f t="shared" si="74"/>
        <v>45652</v>
      </c>
      <c r="W140" s="55"/>
      <c r="X140" s="56">
        <f t="shared" ca="1" si="75"/>
        <v>-188</v>
      </c>
      <c r="Y140" s="55"/>
      <c r="Z140" s="57"/>
      <c r="AA140" s="58" t="str">
        <f t="shared" si="76"/>
        <v>-</v>
      </c>
      <c r="AB140" s="59"/>
      <c r="AC140" s="58" t="str">
        <f t="shared" si="77"/>
        <v/>
      </c>
      <c r="AD140" s="59"/>
      <c r="AE140" s="58" t="str">
        <f t="shared" si="78"/>
        <v/>
      </c>
      <c r="AF140" s="59"/>
      <c r="AG140" s="58" t="str">
        <f t="shared" si="79"/>
        <v/>
      </c>
      <c r="AH140" s="59"/>
      <c r="AI140" s="58" t="str">
        <f t="shared" si="80"/>
        <v/>
      </c>
      <c r="AJ140" s="59"/>
      <c r="AK140" s="58" t="str">
        <f t="shared" si="81"/>
        <v/>
      </c>
      <c r="AL140" s="59"/>
      <c r="AM140" s="58" t="str">
        <f t="shared" si="82"/>
        <v/>
      </c>
      <c r="AN140" s="59"/>
      <c r="AO140" s="58" t="str">
        <f t="shared" si="83"/>
        <v/>
      </c>
      <c r="AP140" s="59"/>
      <c r="AQ140" s="58" t="str">
        <f t="shared" si="84"/>
        <v/>
      </c>
      <c r="AR140" s="59"/>
      <c r="AS140" s="58">
        <f t="shared" si="85"/>
        <v>2880</v>
      </c>
      <c r="AT140" s="59"/>
      <c r="AU140" s="58" t="str">
        <f t="shared" si="86"/>
        <v/>
      </c>
      <c r="AV140" s="59"/>
      <c r="AW140" s="58" t="str">
        <f t="shared" si="87"/>
        <v/>
      </c>
      <c r="AX140" s="59"/>
      <c r="AY140" s="58" t="str">
        <f t="shared" si="88"/>
        <v/>
      </c>
      <c r="AZ140" s="59"/>
      <c r="BA140" s="58" t="str">
        <f t="shared" si="89"/>
        <v/>
      </c>
      <c r="BB140" s="59"/>
      <c r="BC140" s="58" t="str">
        <f t="shared" si="90"/>
        <v/>
      </c>
      <c r="BD140" s="59"/>
      <c r="BE140" s="58" t="str">
        <f t="shared" si="91"/>
        <v/>
      </c>
      <c r="BF140" s="59"/>
      <c r="BG140" s="58" t="str">
        <f t="shared" si="92"/>
        <v/>
      </c>
      <c r="BH140" s="59"/>
      <c r="BI140" s="58" t="str">
        <f t="shared" si="93"/>
        <v/>
      </c>
      <c r="BJ140" s="59"/>
      <c r="BK140" s="58" t="str">
        <f t="shared" si="94"/>
        <v/>
      </c>
      <c r="BL140" s="59"/>
      <c r="BM140" s="58" t="str">
        <f t="shared" si="95"/>
        <v/>
      </c>
      <c r="BN140" s="59"/>
      <c r="BO140" s="58" t="str">
        <f t="shared" si="96"/>
        <v/>
      </c>
      <c r="BP140" s="59"/>
      <c r="BQ140" s="58" t="str">
        <f t="shared" si="97"/>
        <v/>
      </c>
      <c r="BR140" s="59"/>
      <c r="BS140" s="58" t="str">
        <f t="shared" si="98"/>
        <v/>
      </c>
      <c r="BT140" s="59"/>
      <c r="BU140" s="58" t="str">
        <f t="shared" si="99"/>
        <v/>
      </c>
      <c r="BV140" s="59"/>
    </row>
    <row r="141" spans="1:74" ht="14.5">
      <c r="A141" s="51" t="s">
        <v>58</v>
      </c>
      <c r="B141" s="52">
        <v>357</v>
      </c>
      <c r="C141" s="52" t="s">
        <v>188</v>
      </c>
      <c r="D141" s="41">
        <f t="shared" si="69"/>
        <v>2</v>
      </c>
      <c r="E141" s="52" t="s">
        <v>390</v>
      </c>
      <c r="F141" s="52" t="s">
        <v>242</v>
      </c>
      <c r="G141" s="52" t="s">
        <v>162</v>
      </c>
      <c r="H141" s="52" t="s">
        <v>497</v>
      </c>
      <c r="I141" s="53">
        <v>45664</v>
      </c>
      <c r="J141" s="108">
        <v>1872</v>
      </c>
      <c r="K141" s="101"/>
      <c r="L141" s="101"/>
      <c r="M141" s="101">
        <f t="shared" si="70"/>
        <v>1872</v>
      </c>
      <c r="N141" s="54">
        <f t="shared" si="71"/>
        <v>1872</v>
      </c>
      <c r="O141" s="101" t="s">
        <v>431</v>
      </c>
      <c r="P141" s="102">
        <f t="shared" si="72"/>
        <v>2.6</v>
      </c>
      <c r="Q141" s="102">
        <v>6</v>
      </c>
      <c r="R141" s="99">
        <v>120</v>
      </c>
      <c r="S141" s="55">
        <f t="shared" si="100"/>
        <v>45636</v>
      </c>
      <c r="T141" s="55">
        <v>45635</v>
      </c>
      <c r="U141" s="56">
        <f t="shared" ca="1" si="73"/>
        <v>1</v>
      </c>
      <c r="V141" s="55">
        <f t="shared" si="74"/>
        <v>45652</v>
      </c>
      <c r="W141" s="55"/>
      <c r="X141" s="56">
        <f t="shared" ca="1" si="75"/>
        <v>-188</v>
      </c>
      <c r="Y141" s="55"/>
      <c r="Z141" s="57"/>
      <c r="AA141" s="58" t="str">
        <f t="shared" si="76"/>
        <v>-</v>
      </c>
      <c r="AB141" s="59"/>
      <c r="AC141" s="58" t="str">
        <f t="shared" si="77"/>
        <v/>
      </c>
      <c r="AD141" s="59"/>
      <c r="AE141" s="58" t="str">
        <f t="shared" si="78"/>
        <v/>
      </c>
      <c r="AF141" s="59"/>
      <c r="AG141" s="58" t="str">
        <f t="shared" si="79"/>
        <v/>
      </c>
      <c r="AH141" s="59"/>
      <c r="AI141" s="58" t="str">
        <f t="shared" si="80"/>
        <v/>
      </c>
      <c r="AJ141" s="59"/>
      <c r="AK141" s="58" t="str">
        <f t="shared" si="81"/>
        <v/>
      </c>
      <c r="AL141" s="59"/>
      <c r="AM141" s="58" t="str">
        <f t="shared" si="82"/>
        <v/>
      </c>
      <c r="AN141" s="59"/>
      <c r="AO141" s="58" t="str">
        <f t="shared" si="83"/>
        <v/>
      </c>
      <c r="AP141" s="59"/>
      <c r="AQ141" s="58" t="str">
        <f t="shared" si="84"/>
        <v/>
      </c>
      <c r="AR141" s="59"/>
      <c r="AS141" s="58">
        <f t="shared" si="85"/>
        <v>1872</v>
      </c>
      <c r="AT141" s="59"/>
      <c r="AU141" s="58" t="str">
        <f t="shared" si="86"/>
        <v/>
      </c>
      <c r="AV141" s="59"/>
      <c r="AW141" s="58" t="str">
        <f t="shared" si="87"/>
        <v/>
      </c>
      <c r="AX141" s="59"/>
      <c r="AY141" s="58" t="str">
        <f t="shared" si="88"/>
        <v/>
      </c>
      <c r="AZ141" s="59"/>
      <c r="BA141" s="58" t="str">
        <f t="shared" si="89"/>
        <v/>
      </c>
      <c r="BB141" s="59"/>
      <c r="BC141" s="58" t="str">
        <f t="shared" si="90"/>
        <v/>
      </c>
      <c r="BD141" s="59"/>
      <c r="BE141" s="58" t="str">
        <f t="shared" si="91"/>
        <v/>
      </c>
      <c r="BF141" s="59"/>
      <c r="BG141" s="58" t="str">
        <f t="shared" si="92"/>
        <v/>
      </c>
      <c r="BH141" s="59"/>
      <c r="BI141" s="58" t="str">
        <f t="shared" si="93"/>
        <v/>
      </c>
      <c r="BJ141" s="59"/>
      <c r="BK141" s="58" t="str">
        <f t="shared" si="94"/>
        <v/>
      </c>
      <c r="BL141" s="59"/>
      <c r="BM141" s="58" t="str">
        <f t="shared" si="95"/>
        <v/>
      </c>
      <c r="BN141" s="59"/>
      <c r="BO141" s="58" t="str">
        <f t="shared" si="96"/>
        <v/>
      </c>
      <c r="BP141" s="59"/>
      <c r="BQ141" s="58" t="str">
        <f t="shared" si="97"/>
        <v/>
      </c>
      <c r="BR141" s="59"/>
      <c r="BS141" s="58" t="str">
        <f t="shared" si="98"/>
        <v/>
      </c>
      <c r="BT141" s="59"/>
      <c r="BU141" s="58" t="str">
        <f t="shared" si="99"/>
        <v/>
      </c>
      <c r="BV141" s="59"/>
    </row>
    <row r="142" spans="1:74" ht="14.5">
      <c r="A142" s="51" t="s">
        <v>58</v>
      </c>
      <c r="B142" s="52">
        <v>357</v>
      </c>
      <c r="C142" s="52" t="s">
        <v>188</v>
      </c>
      <c r="D142" s="41">
        <f t="shared" si="69"/>
        <v>2</v>
      </c>
      <c r="E142" s="52" t="s">
        <v>189</v>
      </c>
      <c r="F142" s="52" t="s">
        <v>242</v>
      </c>
      <c r="G142" s="52" t="s">
        <v>162</v>
      </c>
      <c r="H142" s="52" t="s">
        <v>498</v>
      </c>
      <c r="I142" s="53">
        <v>45664</v>
      </c>
      <c r="J142" s="108">
        <v>1144</v>
      </c>
      <c r="K142" s="101"/>
      <c r="L142" s="101"/>
      <c r="M142" s="101">
        <f t="shared" si="70"/>
        <v>1144</v>
      </c>
      <c r="N142" s="54">
        <f t="shared" si="71"/>
        <v>1144</v>
      </c>
      <c r="O142" s="101" t="s">
        <v>178</v>
      </c>
      <c r="P142" s="102">
        <f t="shared" si="72"/>
        <v>1.5888888888888888</v>
      </c>
      <c r="Q142" s="102">
        <v>6</v>
      </c>
      <c r="R142" s="99">
        <v>120</v>
      </c>
      <c r="S142" s="55">
        <f t="shared" si="100"/>
        <v>45636</v>
      </c>
      <c r="T142" s="55">
        <v>45635</v>
      </c>
      <c r="U142" s="56">
        <f t="shared" ca="1" si="73"/>
        <v>1</v>
      </c>
      <c r="V142" s="55">
        <f t="shared" si="74"/>
        <v>45652</v>
      </c>
      <c r="W142" s="55"/>
      <c r="X142" s="56">
        <f t="shared" ca="1" si="75"/>
        <v>-188</v>
      </c>
      <c r="Y142" s="55"/>
      <c r="Z142" s="57"/>
      <c r="AA142" s="58" t="str">
        <f t="shared" si="76"/>
        <v>-</v>
      </c>
      <c r="AB142" s="59"/>
      <c r="AC142" s="58" t="str">
        <f t="shared" si="77"/>
        <v/>
      </c>
      <c r="AD142" s="59"/>
      <c r="AE142" s="58" t="str">
        <f t="shared" si="78"/>
        <v/>
      </c>
      <c r="AF142" s="59"/>
      <c r="AG142" s="58" t="str">
        <f t="shared" si="79"/>
        <v/>
      </c>
      <c r="AH142" s="59"/>
      <c r="AI142" s="58" t="str">
        <f t="shared" si="80"/>
        <v/>
      </c>
      <c r="AJ142" s="59"/>
      <c r="AK142" s="58" t="str">
        <f t="shared" si="81"/>
        <v/>
      </c>
      <c r="AL142" s="59"/>
      <c r="AM142" s="58" t="str">
        <f t="shared" si="82"/>
        <v/>
      </c>
      <c r="AN142" s="59"/>
      <c r="AO142" s="58" t="str">
        <f t="shared" si="83"/>
        <v/>
      </c>
      <c r="AP142" s="59"/>
      <c r="AQ142" s="58" t="str">
        <f t="shared" si="84"/>
        <v/>
      </c>
      <c r="AR142" s="59"/>
      <c r="AS142" s="58">
        <f t="shared" si="85"/>
        <v>1144</v>
      </c>
      <c r="AT142" s="59"/>
      <c r="AU142" s="58" t="str">
        <f t="shared" si="86"/>
        <v/>
      </c>
      <c r="AV142" s="59"/>
      <c r="AW142" s="58" t="str">
        <f t="shared" si="87"/>
        <v/>
      </c>
      <c r="AX142" s="59"/>
      <c r="AY142" s="58" t="str">
        <f t="shared" si="88"/>
        <v/>
      </c>
      <c r="AZ142" s="59"/>
      <c r="BA142" s="58" t="str">
        <f t="shared" si="89"/>
        <v/>
      </c>
      <c r="BB142" s="59"/>
      <c r="BC142" s="58" t="str">
        <f t="shared" si="90"/>
        <v/>
      </c>
      <c r="BD142" s="59"/>
      <c r="BE142" s="58" t="str">
        <f t="shared" si="91"/>
        <v/>
      </c>
      <c r="BF142" s="59"/>
      <c r="BG142" s="58" t="str">
        <f t="shared" si="92"/>
        <v/>
      </c>
      <c r="BH142" s="59"/>
      <c r="BI142" s="58" t="str">
        <f t="shared" si="93"/>
        <v/>
      </c>
      <c r="BJ142" s="59"/>
      <c r="BK142" s="58" t="str">
        <f t="shared" si="94"/>
        <v/>
      </c>
      <c r="BL142" s="59"/>
      <c r="BM142" s="58" t="str">
        <f t="shared" si="95"/>
        <v/>
      </c>
      <c r="BN142" s="59"/>
      <c r="BO142" s="58" t="str">
        <f t="shared" si="96"/>
        <v/>
      </c>
      <c r="BP142" s="59"/>
      <c r="BQ142" s="58" t="str">
        <f t="shared" si="97"/>
        <v/>
      </c>
      <c r="BR142" s="59"/>
      <c r="BS142" s="58" t="str">
        <f t="shared" si="98"/>
        <v/>
      </c>
      <c r="BT142" s="59"/>
      <c r="BU142" s="58" t="str">
        <f t="shared" si="99"/>
        <v/>
      </c>
      <c r="BV142" s="59"/>
    </row>
    <row r="143" spans="1:74" ht="14.5">
      <c r="A143" s="51" t="s">
        <v>58</v>
      </c>
      <c r="B143" s="52">
        <v>357</v>
      </c>
      <c r="C143" s="52" t="s">
        <v>188</v>
      </c>
      <c r="D143" s="41">
        <f t="shared" si="69"/>
        <v>2</v>
      </c>
      <c r="E143" s="52" t="s">
        <v>391</v>
      </c>
      <c r="F143" s="52" t="s">
        <v>392</v>
      </c>
      <c r="G143" s="52" t="s">
        <v>393</v>
      </c>
      <c r="H143" s="52" t="s">
        <v>499</v>
      </c>
      <c r="I143" s="53">
        <v>45664</v>
      </c>
      <c r="J143" s="108">
        <v>1488</v>
      </c>
      <c r="K143" s="101"/>
      <c r="L143" s="101"/>
      <c r="M143" s="101">
        <f t="shared" si="70"/>
        <v>1488</v>
      </c>
      <c r="N143" s="54">
        <f t="shared" si="71"/>
        <v>1488</v>
      </c>
      <c r="O143" s="101" t="s">
        <v>178</v>
      </c>
      <c r="P143" s="102">
        <f t="shared" si="72"/>
        <v>3.1</v>
      </c>
      <c r="Q143" s="102">
        <v>6</v>
      </c>
      <c r="R143" s="99">
        <v>80</v>
      </c>
      <c r="S143" s="55">
        <f t="shared" si="100"/>
        <v>45636</v>
      </c>
      <c r="T143" s="55">
        <v>45635</v>
      </c>
      <c r="U143" s="56">
        <f t="shared" ca="1" si="73"/>
        <v>1</v>
      </c>
      <c r="V143" s="55">
        <f t="shared" si="74"/>
        <v>45652</v>
      </c>
      <c r="W143" s="55"/>
      <c r="X143" s="56">
        <f t="shared" ca="1" si="75"/>
        <v>-188</v>
      </c>
      <c r="Y143" s="55"/>
      <c r="Z143" s="57"/>
      <c r="AA143" s="58" t="str">
        <f t="shared" si="76"/>
        <v>-</v>
      </c>
      <c r="AB143" s="59"/>
      <c r="AC143" s="58" t="str">
        <f t="shared" si="77"/>
        <v/>
      </c>
      <c r="AD143" s="59"/>
      <c r="AE143" s="58" t="str">
        <f t="shared" si="78"/>
        <v/>
      </c>
      <c r="AF143" s="59"/>
      <c r="AG143" s="58" t="str">
        <f t="shared" si="79"/>
        <v/>
      </c>
      <c r="AH143" s="59"/>
      <c r="AI143" s="58" t="str">
        <f t="shared" si="80"/>
        <v/>
      </c>
      <c r="AJ143" s="59"/>
      <c r="AK143" s="58" t="str">
        <f t="shared" si="81"/>
        <v/>
      </c>
      <c r="AL143" s="59"/>
      <c r="AM143" s="58" t="str">
        <f t="shared" si="82"/>
        <v/>
      </c>
      <c r="AN143" s="59"/>
      <c r="AO143" s="58" t="str">
        <f t="shared" si="83"/>
        <v/>
      </c>
      <c r="AP143" s="59"/>
      <c r="AQ143" s="58" t="str">
        <f t="shared" si="84"/>
        <v/>
      </c>
      <c r="AR143" s="59"/>
      <c r="AS143" s="58">
        <f t="shared" si="85"/>
        <v>1488</v>
      </c>
      <c r="AT143" s="59"/>
      <c r="AU143" s="58" t="str">
        <f t="shared" si="86"/>
        <v/>
      </c>
      <c r="AV143" s="59"/>
      <c r="AW143" s="58" t="str">
        <f t="shared" si="87"/>
        <v/>
      </c>
      <c r="AX143" s="59"/>
      <c r="AY143" s="58" t="str">
        <f t="shared" si="88"/>
        <v/>
      </c>
      <c r="AZ143" s="59"/>
      <c r="BA143" s="58" t="str">
        <f t="shared" si="89"/>
        <v/>
      </c>
      <c r="BB143" s="59"/>
      <c r="BC143" s="58" t="str">
        <f t="shared" si="90"/>
        <v/>
      </c>
      <c r="BD143" s="59"/>
      <c r="BE143" s="58" t="str">
        <f t="shared" si="91"/>
        <v/>
      </c>
      <c r="BF143" s="59"/>
      <c r="BG143" s="58" t="str">
        <f t="shared" si="92"/>
        <v/>
      </c>
      <c r="BH143" s="59"/>
      <c r="BI143" s="58" t="str">
        <f t="shared" si="93"/>
        <v/>
      </c>
      <c r="BJ143" s="59"/>
      <c r="BK143" s="58" t="str">
        <f t="shared" si="94"/>
        <v/>
      </c>
      <c r="BL143" s="59"/>
      <c r="BM143" s="58" t="str">
        <f t="shared" si="95"/>
        <v/>
      </c>
      <c r="BN143" s="59"/>
      <c r="BO143" s="58" t="str">
        <f t="shared" si="96"/>
        <v/>
      </c>
      <c r="BP143" s="59"/>
      <c r="BQ143" s="58" t="str">
        <f t="shared" si="97"/>
        <v/>
      </c>
      <c r="BR143" s="59"/>
      <c r="BS143" s="58" t="str">
        <f t="shared" si="98"/>
        <v/>
      </c>
      <c r="BT143" s="59"/>
      <c r="BU143" s="58" t="str">
        <f t="shared" si="99"/>
        <v/>
      </c>
      <c r="BV143" s="59"/>
    </row>
    <row r="144" spans="1:74" ht="14.5">
      <c r="A144" s="51" t="s">
        <v>58</v>
      </c>
      <c r="B144" s="52">
        <v>390</v>
      </c>
      <c r="C144" s="52" t="s">
        <v>188</v>
      </c>
      <c r="D144" s="41">
        <f t="shared" si="69"/>
        <v>2</v>
      </c>
      <c r="E144" s="52" t="s">
        <v>193</v>
      </c>
      <c r="F144" s="52" t="s">
        <v>246</v>
      </c>
      <c r="G144" s="52" t="s">
        <v>162</v>
      </c>
      <c r="H144" s="52" t="s">
        <v>434</v>
      </c>
      <c r="I144" s="53">
        <v>45664</v>
      </c>
      <c r="J144" s="108">
        <f>2520*2</f>
        <v>5040</v>
      </c>
      <c r="K144" s="101"/>
      <c r="L144" s="101"/>
      <c r="M144" s="101">
        <f t="shared" si="70"/>
        <v>5040</v>
      </c>
      <c r="N144" s="54">
        <f t="shared" si="71"/>
        <v>5040</v>
      </c>
      <c r="O144" s="101" t="s">
        <v>443</v>
      </c>
      <c r="P144" s="102">
        <f t="shared" si="72"/>
        <v>14.4</v>
      </c>
      <c r="Q144" s="102">
        <v>1</v>
      </c>
      <c r="R144" s="99">
        <v>350</v>
      </c>
      <c r="S144" s="55">
        <f t="shared" si="100"/>
        <v>45636</v>
      </c>
      <c r="T144" s="55">
        <v>45635</v>
      </c>
      <c r="U144" s="56">
        <f t="shared" ca="1" si="73"/>
        <v>1</v>
      </c>
      <c r="V144" s="55">
        <f t="shared" si="74"/>
        <v>45652</v>
      </c>
      <c r="W144" s="55"/>
      <c r="X144" s="56">
        <f t="shared" ca="1" si="75"/>
        <v>-188</v>
      </c>
      <c r="Y144" s="55"/>
      <c r="Z144" s="57"/>
      <c r="AA144" s="58" t="str">
        <f t="shared" si="76"/>
        <v>-</v>
      </c>
      <c r="AB144" s="59"/>
      <c r="AC144" s="58" t="str">
        <f t="shared" si="77"/>
        <v/>
      </c>
      <c r="AD144" s="59"/>
      <c r="AE144" s="58" t="str">
        <f t="shared" si="78"/>
        <v/>
      </c>
      <c r="AF144" s="59"/>
      <c r="AG144" s="58" t="str">
        <f t="shared" si="79"/>
        <v/>
      </c>
      <c r="AH144" s="59"/>
      <c r="AI144" s="58" t="str">
        <f t="shared" si="80"/>
        <v/>
      </c>
      <c r="AJ144" s="59"/>
      <c r="AK144" s="58" t="str">
        <f t="shared" si="81"/>
        <v/>
      </c>
      <c r="AL144" s="59"/>
      <c r="AM144" s="58" t="str">
        <f t="shared" si="82"/>
        <v/>
      </c>
      <c r="AN144" s="59"/>
      <c r="AO144" s="58" t="str">
        <f t="shared" si="83"/>
        <v/>
      </c>
      <c r="AP144" s="59"/>
      <c r="AQ144" s="58" t="str">
        <f t="shared" si="84"/>
        <v/>
      </c>
      <c r="AR144" s="59"/>
      <c r="AS144" s="58">
        <f t="shared" si="85"/>
        <v>5040</v>
      </c>
      <c r="AT144" s="59"/>
      <c r="AU144" s="58" t="str">
        <f t="shared" si="86"/>
        <v/>
      </c>
      <c r="AV144" s="59"/>
      <c r="AW144" s="58" t="str">
        <f t="shared" si="87"/>
        <v/>
      </c>
      <c r="AX144" s="59"/>
      <c r="AY144" s="58" t="str">
        <f t="shared" si="88"/>
        <v/>
      </c>
      <c r="AZ144" s="59"/>
      <c r="BA144" s="58" t="str">
        <f t="shared" si="89"/>
        <v/>
      </c>
      <c r="BB144" s="59"/>
      <c r="BC144" s="58" t="str">
        <f t="shared" si="90"/>
        <v/>
      </c>
      <c r="BD144" s="59"/>
      <c r="BE144" s="58" t="str">
        <f t="shared" si="91"/>
        <v/>
      </c>
      <c r="BF144" s="59"/>
      <c r="BG144" s="58" t="str">
        <f t="shared" si="92"/>
        <v/>
      </c>
      <c r="BH144" s="59"/>
      <c r="BI144" s="58" t="str">
        <f t="shared" si="93"/>
        <v/>
      </c>
      <c r="BJ144" s="59"/>
      <c r="BK144" s="58" t="str">
        <f t="shared" si="94"/>
        <v/>
      </c>
      <c r="BL144" s="59"/>
      <c r="BM144" s="58" t="str">
        <f t="shared" si="95"/>
        <v/>
      </c>
      <c r="BN144" s="59"/>
      <c r="BO144" s="58" t="str">
        <f t="shared" si="96"/>
        <v/>
      </c>
      <c r="BP144" s="59"/>
      <c r="BQ144" s="58" t="str">
        <f t="shared" si="97"/>
        <v/>
      </c>
      <c r="BR144" s="59"/>
      <c r="BS144" s="58" t="str">
        <f t="shared" si="98"/>
        <v/>
      </c>
      <c r="BT144" s="59"/>
      <c r="BU144" s="58" t="str">
        <f t="shared" si="99"/>
        <v/>
      </c>
      <c r="BV144" s="59"/>
    </row>
    <row r="145" spans="1:74" ht="14.5">
      <c r="A145" s="51" t="s">
        <v>58</v>
      </c>
      <c r="B145" s="52">
        <v>390</v>
      </c>
      <c r="C145" s="52" t="s">
        <v>188</v>
      </c>
      <c r="D145" s="41">
        <f t="shared" si="69"/>
        <v>2</v>
      </c>
      <c r="E145" s="52" t="s">
        <v>136</v>
      </c>
      <c r="F145" s="52" t="s">
        <v>247</v>
      </c>
      <c r="G145" s="52" t="s">
        <v>162</v>
      </c>
      <c r="H145" s="52" t="s">
        <v>500</v>
      </c>
      <c r="I145" s="53">
        <v>45664</v>
      </c>
      <c r="J145" s="108">
        <v>3832</v>
      </c>
      <c r="K145" s="101"/>
      <c r="L145" s="101"/>
      <c r="M145" s="101">
        <f t="shared" si="70"/>
        <v>3832</v>
      </c>
      <c r="N145" s="54">
        <f t="shared" si="71"/>
        <v>3832</v>
      </c>
      <c r="O145" s="101" t="s">
        <v>443</v>
      </c>
      <c r="P145" s="102">
        <f t="shared" si="72"/>
        <v>2.1897142857142855</v>
      </c>
      <c r="Q145" s="102">
        <v>5</v>
      </c>
      <c r="R145" s="99">
        <v>350</v>
      </c>
      <c r="S145" s="55">
        <f t="shared" si="100"/>
        <v>45636</v>
      </c>
      <c r="T145" s="55">
        <v>45635</v>
      </c>
      <c r="U145" s="56">
        <f t="shared" ca="1" si="73"/>
        <v>1</v>
      </c>
      <c r="V145" s="55">
        <f t="shared" si="74"/>
        <v>45652</v>
      </c>
      <c r="W145" s="55"/>
      <c r="X145" s="56">
        <f t="shared" ca="1" si="75"/>
        <v>-188</v>
      </c>
      <c r="Y145" s="55"/>
      <c r="Z145" s="57"/>
      <c r="AA145" s="58" t="str">
        <f t="shared" si="76"/>
        <v>-</v>
      </c>
      <c r="AB145" s="59"/>
      <c r="AC145" s="58" t="str">
        <f t="shared" si="77"/>
        <v/>
      </c>
      <c r="AD145" s="59"/>
      <c r="AE145" s="58" t="str">
        <f t="shared" si="78"/>
        <v/>
      </c>
      <c r="AF145" s="59"/>
      <c r="AG145" s="58" t="str">
        <f t="shared" si="79"/>
        <v/>
      </c>
      <c r="AH145" s="59"/>
      <c r="AI145" s="58" t="str">
        <f t="shared" si="80"/>
        <v/>
      </c>
      <c r="AJ145" s="59"/>
      <c r="AK145" s="58" t="str">
        <f t="shared" si="81"/>
        <v/>
      </c>
      <c r="AL145" s="59"/>
      <c r="AM145" s="58" t="str">
        <f t="shared" si="82"/>
        <v/>
      </c>
      <c r="AN145" s="59"/>
      <c r="AO145" s="58" t="str">
        <f t="shared" si="83"/>
        <v/>
      </c>
      <c r="AP145" s="59"/>
      <c r="AQ145" s="58" t="str">
        <f t="shared" si="84"/>
        <v/>
      </c>
      <c r="AR145" s="59"/>
      <c r="AS145" s="58">
        <f t="shared" si="85"/>
        <v>3832</v>
      </c>
      <c r="AT145" s="59"/>
      <c r="AU145" s="58" t="str">
        <f t="shared" si="86"/>
        <v/>
      </c>
      <c r="AV145" s="59"/>
      <c r="AW145" s="58" t="str">
        <f t="shared" si="87"/>
        <v/>
      </c>
      <c r="AX145" s="59"/>
      <c r="AY145" s="58" t="str">
        <f t="shared" si="88"/>
        <v/>
      </c>
      <c r="AZ145" s="59"/>
      <c r="BA145" s="58" t="str">
        <f t="shared" si="89"/>
        <v/>
      </c>
      <c r="BB145" s="59"/>
      <c r="BC145" s="58" t="str">
        <f t="shared" si="90"/>
        <v/>
      </c>
      <c r="BD145" s="59"/>
      <c r="BE145" s="58" t="str">
        <f t="shared" si="91"/>
        <v/>
      </c>
      <c r="BF145" s="59"/>
      <c r="BG145" s="58" t="str">
        <f t="shared" si="92"/>
        <v/>
      </c>
      <c r="BH145" s="59"/>
      <c r="BI145" s="58" t="str">
        <f t="shared" si="93"/>
        <v/>
      </c>
      <c r="BJ145" s="59"/>
      <c r="BK145" s="58" t="str">
        <f t="shared" si="94"/>
        <v/>
      </c>
      <c r="BL145" s="59"/>
      <c r="BM145" s="58" t="str">
        <f t="shared" si="95"/>
        <v/>
      </c>
      <c r="BN145" s="59"/>
      <c r="BO145" s="58" t="str">
        <f t="shared" si="96"/>
        <v/>
      </c>
      <c r="BP145" s="59"/>
      <c r="BQ145" s="58" t="str">
        <f t="shared" si="97"/>
        <v/>
      </c>
      <c r="BR145" s="59"/>
      <c r="BS145" s="58" t="str">
        <f t="shared" si="98"/>
        <v/>
      </c>
      <c r="BT145" s="59"/>
      <c r="BU145" s="58" t="str">
        <f t="shared" si="99"/>
        <v/>
      </c>
      <c r="BV145" s="59"/>
    </row>
    <row r="146" spans="1:74" ht="14.5">
      <c r="A146" s="51" t="s">
        <v>58</v>
      </c>
      <c r="B146" s="52">
        <v>390</v>
      </c>
      <c r="C146" s="52" t="s">
        <v>188</v>
      </c>
      <c r="D146" s="41">
        <f t="shared" si="69"/>
        <v>2</v>
      </c>
      <c r="E146" s="52" t="s">
        <v>136</v>
      </c>
      <c r="F146" s="52" t="s">
        <v>247</v>
      </c>
      <c r="G146" s="52" t="s">
        <v>163</v>
      </c>
      <c r="H146" s="52" t="s">
        <v>500</v>
      </c>
      <c r="I146" s="53">
        <v>45664</v>
      </c>
      <c r="J146" s="108">
        <v>3832</v>
      </c>
      <c r="K146" s="101"/>
      <c r="L146" s="101"/>
      <c r="M146" s="101">
        <f t="shared" si="70"/>
        <v>3832</v>
      </c>
      <c r="N146" s="54">
        <f t="shared" si="71"/>
        <v>3832</v>
      </c>
      <c r="O146" s="101" t="s">
        <v>443</v>
      </c>
      <c r="P146" s="102">
        <f t="shared" si="72"/>
        <v>2.1897142857142855</v>
      </c>
      <c r="Q146" s="102">
        <v>5</v>
      </c>
      <c r="R146" s="99">
        <v>350</v>
      </c>
      <c r="S146" s="55">
        <f t="shared" si="100"/>
        <v>45636</v>
      </c>
      <c r="T146" s="55">
        <v>45635</v>
      </c>
      <c r="U146" s="56">
        <f t="shared" ca="1" si="73"/>
        <v>1</v>
      </c>
      <c r="V146" s="55">
        <f t="shared" si="74"/>
        <v>45652</v>
      </c>
      <c r="W146" s="55"/>
      <c r="X146" s="56">
        <f t="shared" ca="1" si="75"/>
        <v>-188</v>
      </c>
      <c r="Y146" s="55"/>
      <c r="Z146" s="57"/>
      <c r="AA146" s="58" t="str">
        <f t="shared" si="76"/>
        <v>-</v>
      </c>
      <c r="AB146" s="59"/>
      <c r="AC146" s="58" t="str">
        <f t="shared" si="77"/>
        <v/>
      </c>
      <c r="AD146" s="59"/>
      <c r="AE146" s="58" t="str">
        <f t="shared" si="78"/>
        <v/>
      </c>
      <c r="AF146" s="59"/>
      <c r="AG146" s="58" t="str">
        <f t="shared" si="79"/>
        <v/>
      </c>
      <c r="AH146" s="59"/>
      <c r="AI146" s="58" t="str">
        <f t="shared" si="80"/>
        <v/>
      </c>
      <c r="AJ146" s="59"/>
      <c r="AK146" s="58" t="str">
        <f t="shared" si="81"/>
        <v/>
      </c>
      <c r="AL146" s="59"/>
      <c r="AM146" s="58" t="str">
        <f t="shared" si="82"/>
        <v/>
      </c>
      <c r="AN146" s="59"/>
      <c r="AO146" s="58" t="str">
        <f t="shared" si="83"/>
        <v/>
      </c>
      <c r="AP146" s="59"/>
      <c r="AQ146" s="58" t="str">
        <f t="shared" si="84"/>
        <v/>
      </c>
      <c r="AR146" s="59"/>
      <c r="AS146" s="58">
        <f t="shared" si="85"/>
        <v>3832</v>
      </c>
      <c r="AT146" s="59"/>
      <c r="AU146" s="58" t="str">
        <f t="shared" si="86"/>
        <v/>
      </c>
      <c r="AV146" s="59"/>
      <c r="AW146" s="58" t="str">
        <f t="shared" si="87"/>
        <v/>
      </c>
      <c r="AX146" s="59"/>
      <c r="AY146" s="58" t="str">
        <f t="shared" si="88"/>
        <v/>
      </c>
      <c r="AZ146" s="59"/>
      <c r="BA146" s="58" t="str">
        <f t="shared" si="89"/>
        <v/>
      </c>
      <c r="BB146" s="59"/>
      <c r="BC146" s="58" t="str">
        <f t="shared" si="90"/>
        <v/>
      </c>
      <c r="BD146" s="59"/>
      <c r="BE146" s="58" t="str">
        <f t="shared" si="91"/>
        <v/>
      </c>
      <c r="BF146" s="59"/>
      <c r="BG146" s="58" t="str">
        <f t="shared" si="92"/>
        <v/>
      </c>
      <c r="BH146" s="59"/>
      <c r="BI146" s="58" t="str">
        <f t="shared" si="93"/>
        <v/>
      </c>
      <c r="BJ146" s="59"/>
      <c r="BK146" s="58" t="str">
        <f t="shared" si="94"/>
        <v/>
      </c>
      <c r="BL146" s="59"/>
      <c r="BM146" s="58" t="str">
        <f t="shared" si="95"/>
        <v/>
      </c>
      <c r="BN146" s="59"/>
      <c r="BO146" s="58" t="str">
        <f t="shared" si="96"/>
        <v/>
      </c>
      <c r="BP146" s="59"/>
      <c r="BQ146" s="58" t="str">
        <f t="shared" si="97"/>
        <v/>
      </c>
      <c r="BR146" s="59"/>
      <c r="BS146" s="58" t="str">
        <f t="shared" si="98"/>
        <v/>
      </c>
      <c r="BT146" s="59"/>
      <c r="BU146" s="58" t="str">
        <f t="shared" si="99"/>
        <v/>
      </c>
      <c r="BV146" s="59"/>
    </row>
    <row r="147" spans="1:74" ht="14.5">
      <c r="A147" s="51" t="s">
        <v>58</v>
      </c>
      <c r="B147" s="52">
        <v>390</v>
      </c>
      <c r="C147" s="52" t="s">
        <v>188</v>
      </c>
      <c r="D147" s="41">
        <f t="shared" si="69"/>
        <v>2</v>
      </c>
      <c r="E147" s="52" t="s">
        <v>136</v>
      </c>
      <c r="F147" s="52" t="s">
        <v>247</v>
      </c>
      <c r="G147" s="52" t="s">
        <v>501</v>
      </c>
      <c r="H147" s="52" t="s">
        <v>500</v>
      </c>
      <c r="I147" s="53">
        <v>45664</v>
      </c>
      <c r="J147" s="108">
        <v>3832</v>
      </c>
      <c r="K147" s="101"/>
      <c r="L147" s="101"/>
      <c r="M147" s="101">
        <f t="shared" si="70"/>
        <v>3832</v>
      </c>
      <c r="N147" s="54">
        <f t="shared" si="71"/>
        <v>3832</v>
      </c>
      <c r="O147" s="101" t="s">
        <v>443</v>
      </c>
      <c r="P147" s="102">
        <f t="shared" si="72"/>
        <v>2.1897142857142855</v>
      </c>
      <c r="Q147" s="102">
        <v>5</v>
      </c>
      <c r="R147" s="99">
        <v>350</v>
      </c>
      <c r="S147" s="55">
        <f t="shared" si="100"/>
        <v>45636</v>
      </c>
      <c r="T147" s="55">
        <v>45635</v>
      </c>
      <c r="U147" s="56">
        <f t="shared" ca="1" si="73"/>
        <v>1</v>
      </c>
      <c r="V147" s="55">
        <f t="shared" si="74"/>
        <v>45652</v>
      </c>
      <c r="W147" s="55"/>
      <c r="X147" s="56">
        <f t="shared" ca="1" si="75"/>
        <v>-188</v>
      </c>
      <c r="Y147" s="55"/>
      <c r="Z147" s="57"/>
      <c r="AA147" s="58" t="str">
        <f t="shared" si="76"/>
        <v>-</v>
      </c>
      <c r="AB147" s="59"/>
      <c r="AC147" s="58" t="str">
        <f t="shared" si="77"/>
        <v/>
      </c>
      <c r="AD147" s="59"/>
      <c r="AE147" s="58" t="str">
        <f t="shared" si="78"/>
        <v/>
      </c>
      <c r="AF147" s="59"/>
      <c r="AG147" s="58" t="str">
        <f t="shared" si="79"/>
        <v/>
      </c>
      <c r="AH147" s="59"/>
      <c r="AI147" s="58" t="str">
        <f t="shared" si="80"/>
        <v/>
      </c>
      <c r="AJ147" s="59"/>
      <c r="AK147" s="58" t="str">
        <f t="shared" si="81"/>
        <v/>
      </c>
      <c r="AL147" s="59"/>
      <c r="AM147" s="58" t="str">
        <f t="shared" si="82"/>
        <v/>
      </c>
      <c r="AN147" s="59"/>
      <c r="AO147" s="58" t="str">
        <f t="shared" si="83"/>
        <v/>
      </c>
      <c r="AP147" s="59"/>
      <c r="AQ147" s="58" t="str">
        <f t="shared" si="84"/>
        <v/>
      </c>
      <c r="AR147" s="59"/>
      <c r="AS147" s="58">
        <f t="shared" si="85"/>
        <v>3832</v>
      </c>
      <c r="AT147" s="59"/>
      <c r="AU147" s="58" t="str">
        <f t="shared" si="86"/>
        <v/>
      </c>
      <c r="AV147" s="59"/>
      <c r="AW147" s="58" t="str">
        <f t="shared" si="87"/>
        <v/>
      </c>
      <c r="AX147" s="59"/>
      <c r="AY147" s="58" t="str">
        <f t="shared" si="88"/>
        <v/>
      </c>
      <c r="AZ147" s="59"/>
      <c r="BA147" s="58" t="str">
        <f t="shared" si="89"/>
        <v/>
      </c>
      <c r="BB147" s="59"/>
      <c r="BC147" s="58" t="str">
        <f t="shared" si="90"/>
        <v/>
      </c>
      <c r="BD147" s="59"/>
      <c r="BE147" s="58" t="str">
        <f t="shared" si="91"/>
        <v/>
      </c>
      <c r="BF147" s="59"/>
      <c r="BG147" s="58" t="str">
        <f t="shared" si="92"/>
        <v/>
      </c>
      <c r="BH147" s="59"/>
      <c r="BI147" s="58" t="str">
        <f t="shared" si="93"/>
        <v/>
      </c>
      <c r="BJ147" s="59"/>
      <c r="BK147" s="58" t="str">
        <f t="shared" si="94"/>
        <v/>
      </c>
      <c r="BL147" s="59"/>
      <c r="BM147" s="58" t="str">
        <f t="shared" si="95"/>
        <v/>
      </c>
      <c r="BN147" s="59"/>
      <c r="BO147" s="58" t="str">
        <f t="shared" si="96"/>
        <v/>
      </c>
      <c r="BP147" s="59"/>
      <c r="BQ147" s="58" t="str">
        <f t="shared" si="97"/>
        <v/>
      </c>
      <c r="BR147" s="59"/>
      <c r="BS147" s="58" t="str">
        <f t="shared" si="98"/>
        <v/>
      </c>
      <c r="BT147" s="59"/>
      <c r="BU147" s="58" t="str">
        <f t="shared" si="99"/>
        <v/>
      </c>
      <c r="BV147" s="59"/>
    </row>
    <row r="148" spans="1:74" ht="14.5">
      <c r="A148" s="51" t="s">
        <v>58</v>
      </c>
      <c r="B148" s="52">
        <v>390</v>
      </c>
      <c r="C148" s="52" t="s">
        <v>188</v>
      </c>
      <c r="D148" s="41">
        <f t="shared" si="69"/>
        <v>2</v>
      </c>
      <c r="E148" s="52" t="s">
        <v>390</v>
      </c>
      <c r="F148" s="52" t="s">
        <v>242</v>
      </c>
      <c r="G148" s="52" t="s">
        <v>162</v>
      </c>
      <c r="H148" s="52" t="s">
        <v>430</v>
      </c>
      <c r="I148" s="53">
        <v>45664</v>
      </c>
      <c r="J148" s="108">
        <v>960</v>
      </c>
      <c r="K148" s="101"/>
      <c r="L148" s="101"/>
      <c r="M148" s="101">
        <f t="shared" si="70"/>
        <v>960</v>
      </c>
      <c r="N148" s="54">
        <f t="shared" si="71"/>
        <v>960</v>
      </c>
      <c r="O148" s="101" t="s">
        <v>431</v>
      </c>
      <c r="P148" s="102">
        <f t="shared" si="72"/>
        <v>1.3333333333333333</v>
      </c>
      <c r="Q148" s="102">
        <v>6</v>
      </c>
      <c r="R148" s="99">
        <v>120</v>
      </c>
      <c r="S148" s="55">
        <f t="shared" si="100"/>
        <v>45636</v>
      </c>
      <c r="T148" s="55">
        <v>45635</v>
      </c>
      <c r="U148" s="56">
        <f t="shared" ca="1" si="73"/>
        <v>1</v>
      </c>
      <c r="V148" s="55">
        <f t="shared" si="74"/>
        <v>45652</v>
      </c>
      <c r="W148" s="55"/>
      <c r="X148" s="56">
        <f t="shared" ca="1" si="75"/>
        <v>-188</v>
      </c>
      <c r="Y148" s="55"/>
      <c r="Z148" s="57"/>
      <c r="AA148" s="58" t="str">
        <f t="shared" si="76"/>
        <v>-</v>
      </c>
      <c r="AB148" s="59"/>
      <c r="AC148" s="58" t="str">
        <f t="shared" si="77"/>
        <v/>
      </c>
      <c r="AD148" s="59"/>
      <c r="AE148" s="58" t="str">
        <f t="shared" si="78"/>
        <v/>
      </c>
      <c r="AF148" s="59"/>
      <c r="AG148" s="58" t="str">
        <f t="shared" si="79"/>
        <v/>
      </c>
      <c r="AH148" s="59"/>
      <c r="AI148" s="58" t="str">
        <f t="shared" si="80"/>
        <v/>
      </c>
      <c r="AJ148" s="59"/>
      <c r="AK148" s="58" t="str">
        <f t="shared" si="81"/>
        <v/>
      </c>
      <c r="AL148" s="59"/>
      <c r="AM148" s="58" t="str">
        <f t="shared" si="82"/>
        <v/>
      </c>
      <c r="AN148" s="59"/>
      <c r="AO148" s="58" t="str">
        <f t="shared" si="83"/>
        <v/>
      </c>
      <c r="AP148" s="59"/>
      <c r="AQ148" s="58" t="str">
        <f t="shared" si="84"/>
        <v/>
      </c>
      <c r="AR148" s="59"/>
      <c r="AS148" s="58">
        <f t="shared" si="85"/>
        <v>960</v>
      </c>
      <c r="AT148" s="59"/>
      <c r="AU148" s="58" t="str">
        <f t="shared" si="86"/>
        <v/>
      </c>
      <c r="AV148" s="59"/>
      <c r="AW148" s="58" t="str">
        <f t="shared" si="87"/>
        <v/>
      </c>
      <c r="AX148" s="59"/>
      <c r="AY148" s="58" t="str">
        <f t="shared" si="88"/>
        <v/>
      </c>
      <c r="AZ148" s="59"/>
      <c r="BA148" s="58" t="str">
        <f t="shared" si="89"/>
        <v/>
      </c>
      <c r="BB148" s="59"/>
      <c r="BC148" s="58" t="str">
        <f t="shared" si="90"/>
        <v/>
      </c>
      <c r="BD148" s="59"/>
      <c r="BE148" s="58" t="str">
        <f t="shared" si="91"/>
        <v/>
      </c>
      <c r="BF148" s="59"/>
      <c r="BG148" s="58" t="str">
        <f t="shared" si="92"/>
        <v/>
      </c>
      <c r="BH148" s="59"/>
      <c r="BI148" s="58" t="str">
        <f t="shared" si="93"/>
        <v/>
      </c>
      <c r="BJ148" s="59"/>
      <c r="BK148" s="58" t="str">
        <f t="shared" si="94"/>
        <v/>
      </c>
      <c r="BL148" s="59"/>
      <c r="BM148" s="58" t="str">
        <f t="shared" si="95"/>
        <v/>
      </c>
      <c r="BN148" s="59"/>
      <c r="BO148" s="58" t="str">
        <f t="shared" si="96"/>
        <v/>
      </c>
      <c r="BP148" s="59"/>
      <c r="BQ148" s="58" t="str">
        <f t="shared" si="97"/>
        <v/>
      </c>
      <c r="BR148" s="59"/>
      <c r="BS148" s="58" t="str">
        <f t="shared" si="98"/>
        <v/>
      </c>
      <c r="BT148" s="59"/>
      <c r="BU148" s="58" t="str">
        <f t="shared" si="99"/>
        <v/>
      </c>
      <c r="BV148" s="59"/>
    </row>
    <row r="149" spans="1:74" ht="14.5">
      <c r="A149" s="51" t="s">
        <v>58</v>
      </c>
      <c r="B149" s="52">
        <v>390</v>
      </c>
      <c r="C149" s="52" t="s">
        <v>188</v>
      </c>
      <c r="D149" s="41">
        <f t="shared" si="69"/>
        <v>2</v>
      </c>
      <c r="E149" s="52" t="s">
        <v>189</v>
      </c>
      <c r="F149" s="52" t="s">
        <v>242</v>
      </c>
      <c r="G149" s="52" t="s">
        <v>162</v>
      </c>
      <c r="H149" s="52" t="s">
        <v>432</v>
      </c>
      <c r="I149" s="53">
        <v>45664</v>
      </c>
      <c r="J149" s="108">
        <v>1412</v>
      </c>
      <c r="K149" s="101"/>
      <c r="L149" s="101"/>
      <c r="M149" s="101">
        <f t="shared" si="70"/>
        <v>1412</v>
      </c>
      <c r="N149" s="54">
        <f t="shared" si="71"/>
        <v>1412</v>
      </c>
      <c r="O149" s="101" t="s">
        <v>178</v>
      </c>
      <c r="P149" s="102">
        <f t="shared" si="72"/>
        <v>1.961111111111111</v>
      </c>
      <c r="Q149" s="102">
        <v>6</v>
      </c>
      <c r="R149" s="99">
        <v>120</v>
      </c>
      <c r="S149" s="55">
        <f t="shared" si="100"/>
        <v>45636</v>
      </c>
      <c r="T149" s="55">
        <v>45635</v>
      </c>
      <c r="U149" s="56">
        <f t="shared" ca="1" si="73"/>
        <v>1</v>
      </c>
      <c r="V149" s="55">
        <f t="shared" si="74"/>
        <v>45652</v>
      </c>
      <c r="W149" s="55"/>
      <c r="X149" s="56">
        <f t="shared" ca="1" si="75"/>
        <v>-188</v>
      </c>
      <c r="Y149" s="55"/>
      <c r="Z149" s="57"/>
      <c r="AA149" s="58" t="str">
        <f t="shared" si="76"/>
        <v>-</v>
      </c>
      <c r="AB149" s="59"/>
      <c r="AC149" s="58" t="str">
        <f t="shared" si="77"/>
        <v/>
      </c>
      <c r="AD149" s="59"/>
      <c r="AE149" s="58" t="str">
        <f t="shared" si="78"/>
        <v/>
      </c>
      <c r="AF149" s="59"/>
      <c r="AG149" s="58" t="str">
        <f t="shared" si="79"/>
        <v/>
      </c>
      <c r="AH149" s="59"/>
      <c r="AI149" s="58" t="str">
        <f t="shared" si="80"/>
        <v/>
      </c>
      <c r="AJ149" s="59"/>
      <c r="AK149" s="58" t="str">
        <f t="shared" si="81"/>
        <v/>
      </c>
      <c r="AL149" s="59"/>
      <c r="AM149" s="58" t="str">
        <f t="shared" si="82"/>
        <v/>
      </c>
      <c r="AN149" s="59"/>
      <c r="AO149" s="58" t="str">
        <f t="shared" si="83"/>
        <v/>
      </c>
      <c r="AP149" s="59"/>
      <c r="AQ149" s="58" t="str">
        <f t="shared" si="84"/>
        <v/>
      </c>
      <c r="AR149" s="59"/>
      <c r="AS149" s="58">
        <f t="shared" si="85"/>
        <v>1412</v>
      </c>
      <c r="AT149" s="59"/>
      <c r="AU149" s="58" t="str">
        <f t="shared" si="86"/>
        <v/>
      </c>
      <c r="AV149" s="59"/>
      <c r="AW149" s="58" t="str">
        <f t="shared" si="87"/>
        <v/>
      </c>
      <c r="AX149" s="59"/>
      <c r="AY149" s="58" t="str">
        <f t="shared" si="88"/>
        <v/>
      </c>
      <c r="AZ149" s="59"/>
      <c r="BA149" s="58" t="str">
        <f t="shared" si="89"/>
        <v/>
      </c>
      <c r="BB149" s="59"/>
      <c r="BC149" s="58" t="str">
        <f t="shared" si="90"/>
        <v/>
      </c>
      <c r="BD149" s="59"/>
      <c r="BE149" s="58" t="str">
        <f t="shared" si="91"/>
        <v/>
      </c>
      <c r="BF149" s="59"/>
      <c r="BG149" s="58" t="str">
        <f t="shared" si="92"/>
        <v/>
      </c>
      <c r="BH149" s="59"/>
      <c r="BI149" s="58" t="str">
        <f t="shared" si="93"/>
        <v/>
      </c>
      <c r="BJ149" s="59"/>
      <c r="BK149" s="58" t="str">
        <f t="shared" si="94"/>
        <v/>
      </c>
      <c r="BL149" s="59"/>
      <c r="BM149" s="58" t="str">
        <f t="shared" si="95"/>
        <v/>
      </c>
      <c r="BN149" s="59"/>
      <c r="BO149" s="58" t="str">
        <f t="shared" si="96"/>
        <v/>
      </c>
      <c r="BP149" s="59"/>
      <c r="BQ149" s="58" t="str">
        <f t="shared" si="97"/>
        <v/>
      </c>
      <c r="BR149" s="59"/>
      <c r="BS149" s="58" t="str">
        <f t="shared" si="98"/>
        <v/>
      </c>
      <c r="BT149" s="59"/>
      <c r="BU149" s="58" t="str">
        <f t="shared" si="99"/>
        <v/>
      </c>
      <c r="BV149" s="59"/>
    </row>
    <row r="150" spans="1:74" ht="14.5">
      <c r="A150" s="51" t="s">
        <v>58</v>
      </c>
      <c r="B150" s="52">
        <v>390</v>
      </c>
      <c r="C150" s="52" t="s">
        <v>188</v>
      </c>
      <c r="D150" s="41">
        <f t="shared" si="69"/>
        <v>2</v>
      </c>
      <c r="E150" s="52" t="s">
        <v>158</v>
      </c>
      <c r="F150" s="52" t="s">
        <v>242</v>
      </c>
      <c r="G150" s="52" t="s">
        <v>156</v>
      </c>
      <c r="H150" s="52" t="s">
        <v>432</v>
      </c>
      <c r="I150" s="53">
        <v>45664</v>
      </c>
      <c r="J150" s="108">
        <v>1336</v>
      </c>
      <c r="K150" s="101"/>
      <c r="L150" s="101"/>
      <c r="M150" s="101">
        <f t="shared" si="70"/>
        <v>1336</v>
      </c>
      <c r="N150" s="54">
        <f t="shared" si="71"/>
        <v>1336</v>
      </c>
      <c r="O150" s="101" t="s">
        <v>439</v>
      </c>
      <c r="P150" s="102">
        <f t="shared" si="72"/>
        <v>1.8555555555555556</v>
      </c>
      <c r="Q150" s="102">
        <v>6</v>
      </c>
      <c r="R150" s="99">
        <v>120</v>
      </c>
      <c r="S150" s="55">
        <f t="shared" si="100"/>
        <v>45636</v>
      </c>
      <c r="T150" s="55">
        <v>45635</v>
      </c>
      <c r="U150" s="56">
        <f t="shared" ca="1" si="73"/>
        <v>1</v>
      </c>
      <c r="V150" s="55">
        <f t="shared" si="74"/>
        <v>45652</v>
      </c>
      <c r="W150" s="55"/>
      <c r="X150" s="56">
        <f t="shared" ca="1" si="75"/>
        <v>-188</v>
      </c>
      <c r="Y150" s="55"/>
      <c r="Z150" s="57"/>
      <c r="AA150" s="58" t="str">
        <f t="shared" si="76"/>
        <v>-</v>
      </c>
      <c r="AB150" s="59"/>
      <c r="AC150" s="58" t="str">
        <f t="shared" si="77"/>
        <v/>
      </c>
      <c r="AD150" s="59"/>
      <c r="AE150" s="58" t="str">
        <f t="shared" si="78"/>
        <v/>
      </c>
      <c r="AF150" s="59"/>
      <c r="AG150" s="58" t="str">
        <f t="shared" si="79"/>
        <v/>
      </c>
      <c r="AH150" s="59"/>
      <c r="AI150" s="58" t="str">
        <f t="shared" si="80"/>
        <v/>
      </c>
      <c r="AJ150" s="59"/>
      <c r="AK150" s="58" t="str">
        <f t="shared" si="81"/>
        <v/>
      </c>
      <c r="AL150" s="59"/>
      <c r="AM150" s="58" t="str">
        <f t="shared" si="82"/>
        <v/>
      </c>
      <c r="AN150" s="59"/>
      <c r="AO150" s="58" t="str">
        <f t="shared" si="83"/>
        <v/>
      </c>
      <c r="AP150" s="59"/>
      <c r="AQ150" s="58" t="str">
        <f t="shared" si="84"/>
        <v/>
      </c>
      <c r="AR150" s="59"/>
      <c r="AS150" s="58">
        <f t="shared" si="85"/>
        <v>1336</v>
      </c>
      <c r="AT150" s="59"/>
      <c r="AU150" s="58" t="str">
        <f t="shared" si="86"/>
        <v/>
      </c>
      <c r="AV150" s="59"/>
      <c r="AW150" s="58" t="str">
        <f t="shared" si="87"/>
        <v/>
      </c>
      <c r="AX150" s="59"/>
      <c r="AY150" s="58" t="str">
        <f t="shared" si="88"/>
        <v/>
      </c>
      <c r="AZ150" s="59"/>
      <c r="BA150" s="58" t="str">
        <f t="shared" si="89"/>
        <v/>
      </c>
      <c r="BB150" s="59"/>
      <c r="BC150" s="58" t="str">
        <f t="shared" si="90"/>
        <v/>
      </c>
      <c r="BD150" s="59"/>
      <c r="BE150" s="58" t="str">
        <f t="shared" si="91"/>
        <v/>
      </c>
      <c r="BF150" s="59"/>
      <c r="BG150" s="58" t="str">
        <f t="shared" si="92"/>
        <v/>
      </c>
      <c r="BH150" s="59"/>
      <c r="BI150" s="58" t="str">
        <f t="shared" si="93"/>
        <v/>
      </c>
      <c r="BJ150" s="59"/>
      <c r="BK150" s="58" t="str">
        <f t="shared" si="94"/>
        <v/>
      </c>
      <c r="BL150" s="59"/>
      <c r="BM150" s="58" t="str">
        <f t="shared" si="95"/>
        <v/>
      </c>
      <c r="BN150" s="59"/>
      <c r="BO150" s="58" t="str">
        <f t="shared" si="96"/>
        <v/>
      </c>
      <c r="BP150" s="59"/>
      <c r="BQ150" s="58" t="str">
        <f t="shared" si="97"/>
        <v/>
      </c>
      <c r="BR150" s="59"/>
      <c r="BS150" s="58" t="str">
        <f t="shared" si="98"/>
        <v/>
      </c>
      <c r="BT150" s="59"/>
      <c r="BU150" s="58" t="str">
        <f t="shared" si="99"/>
        <v/>
      </c>
      <c r="BV150" s="59"/>
    </row>
    <row r="151" spans="1:74" ht="14.5">
      <c r="A151" s="51" t="s">
        <v>58</v>
      </c>
      <c r="B151" s="52">
        <v>316</v>
      </c>
      <c r="C151" s="52" t="s">
        <v>188</v>
      </c>
      <c r="D151" s="41">
        <f t="shared" si="69"/>
        <v>2</v>
      </c>
      <c r="E151" s="52" t="s">
        <v>502</v>
      </c>
      <c r="F151" s="52" t="s">
        <v>289</v>
      </c>
      <c r="G151" s="52" t="s">
        <v>155</v>
      </c>
      <c r="H151" s="52" t="s">
        <v>503</v>
      </c>
      <c r="I151" s="53">
        <v>45665</v>
      </c>
      <c r="J151" s="108">
        <v>2304</v>
      </c>
      <c r="K151" s="101"/>
      <c r="L151" s="101"/>
      <c r="M151" s="101">
        <f t="shared" si="70"/>
        <v>2304</v>
      </c>
      <c r="N151" s="54">
        <f t="shared" si="71"/>
        <v>2304</v>
      </c>
      <c r="O151" s="101" t="s">
        <v>504</v>
      </c>
      <c r="P151" s="102">
        <f t="shared" si="72"/>
        <v>12</v>
      </c>
      <c r="Q151" s="102">
        <v>6</v>
      </c>
      <c r="R151" s="99">
        <f>480/15</f>
        <v>32</v>
      </c>
      <c r="S151" s="55">
        <f t="shared" si="100"/>
        <v>45637</v>
      </c>
      <c r="T151" s="55"/>
      <c r="U151" s="56">
        <f t="shared" ca="1" si="73"/>
        <v>-203</v>
      </c>
      <c r="V151" s="55">
        <f t="shared" si="74"/>
        <v>45653</v>
      </c>
      <c r="W151" s="55"/>
      <c r="X151" s="56">
        <f t="shared" ca="1" si="75"/>
        <v>-187</v>
      </c>
      <c r="Y151" s="55"/>
      <c r="Z151" s="57"/>
      <c r="AA151" s="58" t="str">
        <f t="shared" si="76"/>
        <v>-</v>
      </c>
      <c r="AB151" s="59"/>
      <c r="AC151" s="58" t="str">
        <f t="shared" si="77"/>
        <v/>
      </c>
      <c r="AD151" s="59"/>
      <c r="AE151" s="58" t="str">
        <f t="shared" si="78"/>
        <v/>
      </c>
      <c r="AF151" s="59"/>
      <c r="AG151" s="58" t="str">
        <f t="shared" si="79"/>
        <v/>
      </c>
      <c r="AH151" s="59"/>
      <c r="AI151" s="58" t="str">
        <f t="shared" si="80"/>
        <v/>
      </c>
      <c r="AJ151" s="59"/>
      <c r="AK151" s="58" t="str">
        <f t="shared" si="81"/>
        <v/>
      </c>
      <c r="AL151" s="59"/>
      <c r="AM151" s="58" t="str">
        <f t="shared" si="82"/>
        <v/>
      </c>
      <c r="AN151" s="59"/>
      <c r="AO151" s="58" t="str">
        <f t="shared" si="83"/>
        <v/>
      </c>
      <c r="AP151" s="59"/>
      <c r="AQ151" s="58" t="str">
        <f t="shared" si="84"/>
        <v/>
      </c>
      <c r="AR151" s="59"/>
      <c r="AS151" s="58">
        <f t="shared" si="85"/>
        <v>2304</v>
      </c>
      <c r="AT151" s="59"/>
      <c r="AU151" s="58" t="str">
        <f t="shared" si="86"/>
        <v/>
      </c>
      <c r="AV151" s="59"/>
      <c r="AW151" s="58" t="str">
        <f t="shared" si="87"/>
        <v/>
      </c>
      <c r="AX151" s="59"/>
      <c r="AY151" s="58" t="str">
        <f t="shared" si="88"/>
        <v/>
      </c>
      <c r="AZ151" s="59"/>
      <c r="BA151" s="58" t="str">
        <f t="shared" si="89"/>
        <v/>
      </c>
      <c r="BB151" s="59"/>
      <c r="BC151" s="58" t="str">
        <f t="shared" si="90"/>
        <v/>
      </c>
      <c r="BD151" s="59"/>
      <c r="BE151" s="58" t="str">
        <f t="shared" si="91"/>
        <v/>
      </c>
      <c r="BF151" s="59"/>
      <c r="BG151" s="58" t="str">
        <f t="shared" si="92"/>
        <v/>
      </c>
      <c r="BH151" s="59"/>
      <c r="BI151" s="58" t="str">
        <f t="shared" si="93"/>
        <v/>
      </c>
      <c r="BJ151" s="59"/>
      <c r="BK151" s="58" t="str">
        <f t="shared" si="94"/>
        <v/>
      </c>
      <c r="BL151" s="59"/>
      <c r="BM151" s="58" t="str">
        <f t="shared" si="95"/>
        <v/>
      </c>
      <c r="BN151" s="59"/>
      <c r="BO151" s="58" t="str">
        <f t="shared" si="96"/>
        <v/>
      </c>
      <c r="BP151" s="59"/>
      <c r="BQ151" s="58" t="str">
        <f t="shared" si="97"/>
        <v/>
      </c>
      <c r="BR151" s="59"/>
      <c r="BS151" s="58" t="str">
        <f t="shared" si="98"/>
        <v/>
      </c>
      <c r="BT151" s="59"/>
      <c r="BU151" s="58" t="str">
        <f t="shared" si="99"/>
        <v/>
      </c>
      <c r="BV151" s="59"/>
    </row>
    <row r="152" spans="1:74" ht="14.5">
      <c r="A152" s="51" t="s">
        <v>58</v>
      </c>
      <c r="B152" s="52">
        <v>316</v>
      </c>
      <c r="C152" s="52" t="s">
        <v>188</v>
      </c>
      <c r="D152" s="41">
        <f t="shared" si="69"/>
        <v>2</v>
      </c>
      <c r="E152" s="52" t="s">
        <v>502</v>
      </c>
      <c r="F152" s="52" t="s">
        <v>289</v>
      </c>
      <c r="G152" s="52" t="s">
        <v>154</v>
      </c>
      <c r="H152" s="52" t="s">
        <v>503</v>
      </c>
      <c r="I152" s="53">
        <v>45665</v>
      </c>
      <c r="J152" s="108">
        <v>1920</v>
      </c>
      <c r="K152" s="101"/>
      <c r="L152" s="101"/>
      <c r="M152" s="101">
        <f t="shared" si="70"/>
        <v>1920</v>
      </c>
      <c r="N152" s="54">
        <f t="shared" si="71"/>
        <v>1920</v>
      </c>
      <c r="O152" s="101" t="s">
        <v>505</v>
      </c>
      <c r="P152" s="102">
        <f t="shared" si="72"/>
        <v>10</v>
      </c>
      <c r="Q152" s="102">
        <v>6</v>
      </c>
      <c r="R152" s="99">
        <f>480/15</f>
        <v>32</v>
      </c>
      <c r="S152" s="55">
        <f t="shared" si="100"/>
        <v>45637</v>
      </c>
      <c r="T152" s="55"/>
      <c r="U152" s="56">
        <f t="shared" ca="1" si="73"/>
        <v>-203</v>
      </c>
      <c r="V152" s="55">
        <f t="shared" si="74"/>
        <v>45653</v>
      </c>
      <c r="W152" s="55"/>
      <c r="X152" s="56">
        <f t="shared" ca="1" si="75"/>
        <v>-187</v>
      </c>
      <c r="Y152" s="55"/>
      <c r="Z152" s="57"/>
      <c r="AA152" s="58" t="str">
        <f t="shared" si="76"/>
        <v>-</v>
      </c>
      <c r="AB152" s="59"/>
      <c r="AC152" s="58" t="str">
        <f t="shared" si="77"/>
        <v/>
      </c>
      <c r="AD152" s="59"/>
      <c r="AE152" s="58" t="str">
        <f t="shared" si="78"/>
        <v/>
      </c>
      <c r="AF152" s="59"/>
      <c r="AG152" s="58" t="str">
        <f t="shared" si="79"/>
        <v/>
      </c>
      <c r="AH152" s="59"/>
      <c r="AI152" s="58" t="str">
        <f t="shared" si="80"/>
        <v/>
      </c>
      <c r="AJ152" s="59"/>
      <c r="AK152" s="58" t="str">
        <f t="shared" si="81"/>
        <v/>
      </c>
      <c r="AL152" s="59"/>
      <c r="AM152" s="58" t="str">
        <f t="shared" si="82"/>
        <v/>
      </c>
      <c r="AN152" s="59"/>
      <c r="AO152" s="58" t="str">
        <f t="shared" si="83"/>
        <v/>
      </c>
      <c r="AP152" s="59"/>
      <c r="AQ152" s="58" t="str">
        <f t="shared" si="84"/>
        <v/>
      </c>
      <c r="AR152" s="59"/>
      <c r="AS152" s="58">
        <f t="shared" si="85"/>
        <v>1920</v>
      </c>
      <c r="AT152" s="59"/>
      <c r="AU152" s="58" t="str">
        <f t="shared" si="86"/>
        <v/>
      </c>
      <c r="AV152" s="59"/>
      <c r="AW152" s="58" t="str">
        <f t="shared" si="87"/>
        <v/>
      </c>
      <c r="AX152" s="59"/>
      <c r="AY152" s="58" t="str">
        <f t="shared" si="88"/>
        <v/>
      </c>
      <c r="AZ152" s="59"/>
      <c r="BA152" s="58" t="str">
        <f t="shared" si="89"/>
        <v/>
      </c>
      <c r="BB152" s="59"/>
      <c r="BC152" s="58" t="str">
        <f t="shared" si="90"/>
        <v/>
      </c>
      <c r="BD152" s="59"/>
      <c r="BE152" s="58" t="str">
        <f t="shared" si="91"/>
        <v/>
      </c>
      <c r="BF152" s="59"/>
      <c r="BG152" s="58" t="str">
        <f t="shared" si="92"/>
        <v/>
      </c>
      <c r="BH152" s="59"/>
      <c r="BI152" s="58" t="str">
        <f t="shared" si="93"/>
        <v/>
      </c>
      <c r="BJ152" s="59"/>
      <c r="BK152" s="58" t="str">
        <f t="shared" si="94"/>
        <v/>
      </c>
      <c r="BL152" s="59"/>
      <c r="BM152" s="58" t="str">
        <f t="shared" si="95"/>
        <v/>
      </c>
      <c r="BN152" s="59"/>
      <c r="BO152" s="58" t="str">
        <f t="shared" si="96"/>
        <v/>
      </c>
      <c r="BP152" s="59"/>
      <c r="BQ152" s="58" t="str">
        <f t="shared" si="97"/>
        <v/>
      </c>
      <c r="BR152" s="59"/>
      <c r="BS152" s="58" t="str">
        <f t="shared" si="98"/>
        <v/>
      </c>
      <c r="BT152" s="59"/>
      <c r="BU152" s="58" t="str">
        <f t="shared" si="99"/>
        <v/>
      </c>
      <c r="BV152" s="59"/>
    </row>
    <row r="153" spans="1:74" ht="14.5">
      <c r="A153" s="51" t="s">
        <v>58</v>
      </c>
      <c r="B153" s="52">
        <v>316</v>
      </c>
      <c r="C153" s="52" t="s">
        <v>188</v>
      </c>
      <c r="D153" s="41">
        <f t="shared" si="69"/>
        <v>2</v>
      </c>
      <c r="E153" s="52" t="s">
        <v>502</v>
      </c>
      <c r="F153" s="52" t="s">
        <v>289</v>
      </c>
      <c r="G153" s="52" t="s">
        <v>156</v>
      </c>
      <c r="H153" s="52" t="s">
        <v>503</v>
      </c>
      <c r="I153" s="53">
        <v>45665</v>
      </c>
      <c r="J153" s="108">
        <v>1536</v>
      </c>
      <c r="K153" s="101"/>
      <c r="L153" s="101"/>
      <c r="M153" s="101">
        <f t="shared" si="70"/>
        <v>1536</v>
      </c>
      <c r="N153" s="54">
        <f t="shared" si="71"/>
        <v>1536</v>
      </c>
      <c r="O153" s="101" t="s">
        <v>506</v>
      </c>
      <c r="P153" s="102">
        <f t="shared" si="72"/>
        <v>8</v>
      </c>
      <c r="Q153" s="102">
        <v>6</v>
      </c>
      <c r="R153" s="99">
        <f>480/15</f>
        <v>32</v>
      </c>
      <c r="S153" s="55">
        <f t="shared" si="100"/>
        <v>45637</v>
      </c>
      <c r="T153" s="55"/>
      <c r="U153" s="56">
        <f t="shared" ca="1" si="73"/>
        <v>-203</v>
      </c>
      <c r="V153" s="55">
        <f t="shared" si="74"/>
        <v>45653</v>
      </c>
      <c r="W153" s="55"/>
      <c r="X153" s="56">
        <f t="shared" ca="1" si="75"/>
        <v>-187</v>
      </c>
      <c r="Y153" s="55"/>
      <c r="Z153" s="57"/>
      <c r="AA153" s="58" t="str">
        <f t="shared" si="76"/>
        <v>-</v>
      </c>
      <c r="AB153" s="59"/>
      <c r="AC153" s="58" t="str">
        <f t="shared" si="77"/>
        <v/>
      </c>
      <c r="AD153" s="59"/>
      <c r="AE153" s="58" t="str">
        <f t="shared" si="78"/>
        <v/>
      </c>
      <c r="AF153" s="59"/>
      <c r="AG153" s="58" t="str">
        <f t="shared" si="79"/>
        <v/>
      </c>
      <c r="AH153" s="59"/>
      <c r="AI153" s="58" t="str">
        <f t="shared" si="80"/>
        <v/>
      </c>
      <c r="AJ153" s="59"/>
      <c r="AK153" s="58" t="str">
        <f t="shared" si="81"/>
        <v/>
      </c>
      <c r="AL153" s="59"/>
      <c r="AM153" s="58" t="str">
        <f t="shared" si="82"/>
        <v/>
      </c>
      <c r="AN153" s="59"/>
      <c r="AO153" s="58" t="str">
        <f t="shared" si="83"/>
        <v/>
      </c>
      <c r="AP153" s="59"/>
      <c r="AQ153" s="58" t="str">
        <f t="shared" si="84"/>
        <v/>
      </c>
      <c r="AR153" s="59"/>
      <c r="AS153" s="58">
        <f t="shared" si="85"/>
        <v>1536</v>
      </c>
      <c r="AT153" s="59"/>
      <c r="AU153" s="58" t="str">
        <f t="shared" si="86"/>
        <v/>
      </c>
      <c r="AV153" s="59"/>
      <c r="AW153" s="58" t="str">
        <f t="shared" si="87"/>
        <v/>
      </c>
      <c r="AX153" s="59"/>
      <c r="AY153" s="58" t="str">
        <f t="shared" si="88"/>
        <v/>
      </c>
      <c r="AZ153" s="59"/>
      <c r="BA153" s="58" t="str">
        <f t="shared" si="89"/>
        <v/>
      </c>
      <c r="BB153" s="59"/>
      <c r="BC153" s="58" t="str">
        <f t="shared" si="90"/>
        <v/>
      </c>
      <c r="BD153" s="59"/>
      <c r="BE153" s="58" t="str">
        <f t="shared" si="91"/>
        <v/>
      </c>
      <c r="BF153" s="59"/>
      <c r="BG153" s="58" t="str">
        <f t="shared" si="92"/>
        <v/>
      </c>
      <c r="BH153" s="59"/>
      <c r="BI153" s="58" t="str">
        <f t="shared" si="93"/>
        <v/>
      </c>
      <c r="BJ153" s="59"/>
      <c r="BK153" s="58" t="str">
        <f t="shared" si="94"/>
        <v/>
      </c>
      <c r="BL153" s="59"/>
      <c r="BM153" s="58" t="str">
        <f t="shared" si="95"/>
        <v/>
      </c>
      <c r="BN153" s="59"/>
      <c r="BO153" s="58" t="str">
        <f t="shared" si="96"/>
        <v/>
      </c>
      <c r="BP153" s="59"/>
      <c r="BQ153" s="58" t="str">
        <f t="shared" si="97"/>
        <v/>
      </c>
      <c r="BR153" s="59"/>
      <c r="BS153" s="58" t="str">
        <f t="shared" si="98"/>
        <v/>
      </c>
      <c r="BT153" s="59"/>
      <c r="BU153" s="58" t="str">
        <f t="shared" si="99"/>
        <v/>
      </c>
      <c r="BV153" s="59"/>
    </row>
    <row r="154" spans="1:74" ht="14.5">
      <c r="A154" s="51" t="s">
        <v>58</v>
      </c>
      <c r="B154" s="52">
        <v>316</v>
      </c>
      <c r="C154" s="52" t="s">
        <v>188</v>
      </c>
      <c r="D154" s="41">
        <f t="shared" si="69"/>
        <v>2</v>
      </c>
      <c r="E154" s="52" t="s">
        <v>157</v>
      </c>
      <c r="F154" s="52" t="s">
        <v>243</v>
      </c>
      <c r="G154" s="52" t="s">
        <v>162</v>
      </c>
      <c r="H154" s="52" t="s">
        <v>428</v>
      </c>
      <c r="I154" s="53">
        <v>45665</v>
      </c>
      <c r="J154" s="108">
        <v>3708</v>
      </c>
      <c r="K154" s="101"/>
      <c r="L154" s="101"/>
      <c r="M154" s="101">
        <f t="shared" si="70"/>
        <v>3708</v>
      </c>
      <c r="N154" s="54">
        <f t="shared" si="71"/>
        <v>3708</v>
      </c>
      <c r="O154" s="101" t="s">
        <v>429</v>
      </c>
      <c r="P154" s="102">
        <f t="shared" si="72"/>
        <v>0.61799999999999999</v>
      </c>
      <c r="Q154" s="102">
        <v>6</v>
      </c>
      <c r="R154" s="99">
        <v>1000</v>
      </c>
      <c r="S154" s="55">
        <f t="shared" si="100"/>
        <v>45637</v>
      </c>
      <c r="T154" s="55">
        <v>45606</v>
      </c>
      <c r="U154" s="56">
        <f t="shared" ca="1" si="73"/>
        <v>31</v>
      </c>
      <c r="V154" s="55">
        <f t="shared" si="74"/>
        <v>45653</v>
      </c>
      <c r="W154" s="55"/>
      <c r="X154" s="56">
        <f t="shared" ca="1" si="75"/>
        <v>-187</v>
      </c>
      <c r="Y154" s="55"/>
      <c r="Z154" s="57"/>
      <c r="AA154" s="58" t="str">
        <f t="shared" si="76"/>
        <v>-</v>
      </c>
      <c r="AB154" s="59"/>
      <c r="AC154" s="58" t="str">
        <f t="shared" si="77"/>
        <v/>
      </c>
      <c r="AD154" s="59"/>
      <c r="AE154" s="58" t="str">
        <f t="shared" si="78"/>
        <v/>
      </c>
      <c r="AF154" s="59"/>
      <c r="AG154" s="58" t="str">
        <f t="shared" si="79"/>
        <v/>
      </c>
      <c r="AH154" s="59"/>
      <c r="AI154" s="58" t="str">
        <f t="shared" si="80"/>
        <v/>
      </c>
      <c r="AJ154" s="59"/>
      <c r="AK154" s="58" t="str">
        <f t="shared" si="81"/>
        <v/>
      </c>
      <c r="AL154" s="59"/>
      <c r="AM154" s="58" t="str">
        <f t="shared" si="82"/>
        <v/>
      </c>
      <c r="AN154" s="59"/>
      <c r="AO154" s="58" t="str">
        <f t="shared" si="83"/>
        <v/>
      </c>
      <c r="AP154" s="59"/>
      <c r="AQ154" s="58" t="str">
        <f t="shared" si="84"/>
        <v/>
      </c>
      <c r="AR154" s="59"/>
      <c r="AS154" s="58">
        <f t="shared" si="85"/>
        <v>3708</v>
      </c>
      <c r="AT154" s="59"/>
      <c r="AU154" s="58" t="str">
        <f t="shared" si="86"/>
        <v/>
      </c>
      <c r="AV154" s="59"/>
      <c r="AW154" s="58" t="str">
        <f t="shared" si="87"/>
        <v/>
      </c>
      <c r="AX154" s="59"/>
      <c r="AY154" s="58" t="str">
        <f t="shared" si="88"/>
        <v/>
      </c>
      <c r="AZ154" s="59"/>
      <c r="BA154" s="58" t="str">
        <f t="shared" si="89"/>
        <v/>
      </c>
      <c r="BB154" s="59"/>
      <c r="BC154" s="58" t="str">
        <f t="shared" si="90"/>
        <v/>
      </c>
      <c r="BD154" s="59"/>
      <c r="BE154" s="58" t="str">
        <f t="shared" si="91"/>
        <v/>
      </c>
      <c r="BF154" s="59"/>
      <c r="BG154" s="58" t="str">
        <f t="shared" si="92"/>
        <v/>
      </c>
      <c r="BH154" s="59"/>
      <c r="BI154" s="58" t="str">
        <f t="shared" si="93"/>
        <v/>
      </c>
      <c r="BJ154" s="59"/>
      <c r="BK154" s="58" t="str">
        <f t="shared" si="94"/>
        <v/>
      </c>
      <c r="BL154" s="59"/>
      <c r="BM154" s="58" t="str">
        <f t="shared" si="95"/>
        <v/>
      </c>
      <c r="BN154" s="59"/>
      <c r="BO154" s="58" t="str">
        <f t="shared" si="96"/>
        <v/>
      </c>
      <c r="BP154" s="59"/>
      <c r="BQ154" s="58" t="str">
        <f t="shared" si="97"/>
        <v/>
      </c>
      <c r="BR154" s="59"/>
      <c r="BS154" s="58" t="str">
        <f t="shared" si="98"/>
        <v/>
      </c>
      <c r="BT154" s="59"/>
      <c r="BU154" s="58" t="str">
        <f t="shared" si="99"/>
        <v/>
      </c>
      <c r="BV154" s="59"/>
    </row>
    <row r="155" spans="1:74" ht="14.5">
      <c r="A155" s="51" t="s">
        <v>58</v>
      </c>
      <c r="B155" s="52">
        <v>316</v>
      </c>
      <c r="C155" s="52" t="s">
        <v>188</v>
      </c>
      <c r="D155" s="41">
        <f t="shared" si="69"/>
        <v>2</v>
      </c>
      <c r="E155" s="52" t="s">
        <v>157</v>
      </c>
      <c r="F155" s="52" t="s">
        <v>243</v>
      </c>
      <c r="G155" s="52" t="s">
        <v>155</v>
      </c>
      <c r="H155" s="52" t="s">
        <v>428</v>
      </c>
      <c r="I155" s="53">
        <v>45665</v>
      </c>
      <c r="J155" s="108">
        <v>3732</v>
      </c>
      <c r="K155" s="101"/>
      <c r="L155" s="101"/>
      <c r="M155" s="101">
        <f t="shared" si="70"/>
        <v>3732</v>
      </c>
      <c r="N155" s="54">
        <f t="shared" si="71"/>
        <v>3732</v>
      </c>
      <c r="O155" s="101" t="s">
        <v>429</v>
      </c>
      <c r="P155" s="102">
        <f t="shared" si="72"/>
        <v>0.622</v>
      </c>
      <c r="Q155" s="102">
        <v>6</v>
      </c>
      <c r="R155" s="99">
        <v>1000</v>
      </c>
      <c r="S155" s="55">
        <f t="shared" si="100"/>
        <v>45637</v>
      </c>
      <c r="T155" s="55">
        <v>45606</v>
      </c>
      <c r="U155" s="56">
        <f t="shared" ca="1" si="73"/>
        <v>31</v>
      </c>
      <c r="V155" s="55">
        <f t="shared" si="74"/>
        <v>45653</v>
      </c>
      <c r="W155" s="55"/>
      <c r="X155" s="56">
        <f t="shared" ca="1" si="75"/>
        <v>-187</v>
      </c>
      <c r="Y155" s="55"/>
      <c r="Z155" s="57"/>
      <c r="AA155" s="58" t="str">
        <f t="shared" si="76"/>
        <v>-</v>
      </c>
      <c r="AB155" s="59"/>
      <c r="AC155" s="58" t="str">
        <f t="shared" si="77"/>
        <v/>
      </c>
      <c r="AD155" s="59"/>
      <c r="AE155" s="58" t="str">
        <f t="shared" si="78"/>
        <v/>
      </c>
      <c r="AF155" s="59"/>
      <c r="AG155" s="58" t="str">
        <f t="shared" si="79"/>
        <v/>
      </c>
      <c r="AH155" s="59"/>
      <c r="AI155" s="58" t="str">
        <f t="shared" si="80"/>
        <v/>
      </c>
      <c r="AJ155" s="59"/>
      <c r="AK155" s="58" t="str">
        <f t="shared" si="81"/>
        <v/>
      </c>
      <c r="AL155" s="59"/>
      <c r="AM155" s="58" t="str">
        <f t="shared" si="82"/>
        <v/>
      </c>
      <c r="AN155" s="59"/>
      <c r="AO155" s="58" t="str">
        <f t="shared" si="83"/>
        <v/>
      </c>
      <c r="AP155" s="59"/>
      <c r="AQ155" s="58" t="str">
        <f t="shared" si="84"/>
        <v/>
      </c>
      <c r="AR155" s="59"/>
      <c r="AS155" s="58">
        <f t="shared" si="85"/>
        <v>3732</v>
      </c>
      <c r="AT155" s="59"/>
      <c r="AU155" s="58" t="str">
        <f t="shared" si="86"/>
        <v/>
      </c>
      <c r="AV155" s="59"/>
      <c r="AW155" s="58" t="str">
        <f t="shared" si="87"/>
        <v/>
      </c>
      <c r="AX155" s="59"/>
      <c r="AY155" s="58" t="str">
        <f t="shared" si="88"/>
        <v/>
      </c>
      <c r="AZ155" s="59"/>
      <c r="BA155" s="58" t="str">
        <f t="shared" si="89"/>
        <v/>
      </c>
      <c r="BB155" s="59"/>
      <c r="BC155" s="58" t="str">
        <f t="shared" si="90"/>
        <v/>
      </c>
      <c r="BD155" s="59"/>
      <c r="BE155" s="58" t="str">
        <f t="shared" si="91"/>
        <v/>
      </c>
      <c r="BF155" s="59"/>
      <c r="BG155" s="58" t="str">
        <f t="shared" si="92"/>
        <v/>
      </c>
      <c r="BH155" s="59"/>
      <c r="BI155" s="58" t="str">
        <f t="shared" si="93"/>
        <v/>
      </c>
      <c r="BJ155" s="59"/>
      <c r="BK155" s="58" t="str">
        <f t="shared" si="94"/>
        <v/>
      </c>
      <c r="BL155" s="59"/>
      <c r="BM155" s="58" t="str">
        <f t="shared" si="95"/>
        <v/>
      </c>
      <c r="BN155" s="59"/>
      <c r="BO155" s="58" t="str">
        <f t="shared" si="96"/>
        <v/>
      </c>
      <c r="BP155" s="59"/>
      <c r="BQ155" s="58" t="str">
        <f t="shared" si="97"/>
        <v/>
      </c>
      <c r="BR155" s="59"/>
      <c r="BS155" s="58" t="str">
        <f t="shared" si="98"/>
        <v/>
      </c>
      <c r="BT155" s="59"/>
      <c r="BU155" s="58" t="str">
        <f t="shared" si="99"/>
        <v/>
      </c>
      <c r="BV155" s="59"/>
    </row>
    <row r="156" spans="1:74" ht="14.5">
      <c r="A156" s="51" t="s">
        <v>58</v>
      </c>
      <c r="B156" s="52">
        <v>316</v>
      </c>
      <c r="C156" s="52" t="s">
        <v>188</v>
      </c>
      <c r="D156" s="41">
        <f t="shared" si="69"/>
        <v>2</v>
      </c>
      <c r="E156" s="52" t="s">
        <v>391</v>
      </c>
      <c r="F156" s="52" t="s">
        <v>392</v>
      </c>
      <c r="G156" s="52" t="s">
        <v>393</v>
      </c>
      <c r="H156" s="52" t="s">
        <v>433</v>
      </c>
      <c r="I156" s="53">
        <v>45665</v>
      </c>
      <c r="J156" s="108">
        <v>1188</v>
      </c>
      <c r="K156" s="101"/>
      <c r="L156" s="101"/>
      <c r="M156" s="101">
        <f t="shared" si="70"/>
        <v>1188</v>
      </c>
      <c r="N156" s="54">
        <f t="shared" si="71"/>
        <v>1188</v>
      </c>
      <c r="O156" s="101" t="s">
        <v>178</v>
      </c>
      <c r="P156" s="102">
        <f t="shared" si="72"/>
        <v>2.4750000000000001</v>
      </c>
      <c r="Q156" s="102">
        <v>6</v>
      </c>
      <c r="R156" s="99">
        <v>80</v>
      </c>
      <c r="S156" s="55">
        <f t="shared" si="100"/>
        <v>45637</v>
      </c>
      <c r="T156" s="55">
        <v>45606</v>
      </c>
      <c r="U156" s="56">
        <f t="shared" ca="1" si="73"/>
        <v>31</v>
      </c>
      <c r="V156" s="55">
        <f t="shared" si="74"/>
        <v>45653</v>
      </c>
      <c r="W156" s="55"/>
      <c r="X156" s="56">
        <f t="shared" ca="1" si="75"/>
        <v>-187</v>
      </c>
      <c r="Y156" s="55"/>
      <c r="Z156" s="57"/>
      <c r="AA156" s="58" t="str">
        <f t="shared" si="76"/>
        <v>-</v>
      </c>
      <c r="AB156" s="59"/>
      <c r="AC156" s="58" t="str">
        <f t="shared" si="77"/>
        <v/>
      </c>
      <c r="AD156" s="59"/>
      <c r="AE156" s="58" t="str">
        <f t="shared" si="78"/>
        <v/>
      </c>
      <c r="AF156" s="59"/>
      <c r="AG156" s="58" t="str">
        <f t="shared" si="79"/>
        <v/>
      </c>
      <c r="AH156" s="59"/>
      <c r="AI156" s="58" t="str">
        <f t="shared" si="80"/>
        <v/>
      </c>
      <c r="AJ156" s="59"/>
      <c r="AK156" s="58" t="str">
        <f t="shared" si="81"/>
        <v/>
      </c>
      <c r="AL156" s="59"/>
      <c r="AM156" s="58" t="str">
        <f t="shared" si="82"/>
        <v/>
      </c>
      <c r="AN156" s="59"/>
      <c r="AO156" s="58" t="str">
        <f t="shared" si="83"/>
        <v/>
      </c>
      <c r="AP156" s="59"/>
      <c r="AQ156" s="58" t="str">
        <f t="shared" si="84"/>
        <v/>
      </c>
      <c r="AR156" s="59"/>
      <c r="AS156" s="58">
        <f t="shared" si="85"/>
        <v>1188</v>
      </c>
      <c r="AT156" s="59"/>
      <c r="AU156" s="58" t="str">
        <f t="shared" si="86"/>
        <v/>
      </c>
      <c r="AV156" s="59"/>
      <c r="AW156" s="58" t="str">
        <f t="shared" si="87"/>
        <v/>
      </c>
      <c r="AX156" s="59"/>
      <c r="AY156" s="58" t="str">
        <f t="shared" si="88"/>
        <v/>
      </c>
      <c r="AZ156" s="59"/>
      <c r="BA156" s="58" t="str">
        <f t="shared" si="89"/>
        <v/>
      </c>
      <c r="BB156" s="59"/>
      <c r="BC156" s="58" t="str">
        <f t="shared" si="90"/>
        <v/>
      </c>
      <c r="BD156" s="59"/>
      <c r="BE156" s="58" t="str">
        <f t="shared" si="91"/>
        <v/>
      </c>
      <c r="BF156" s="59"/>
      <c r="BG156" s="58" t="str">
        <f t="shared" si="92"/>
        <v/>
      </c>
      <c r="BH156" s="59"/>
      <c r="BI156" s="58" t="str">
        <f t="shared" si="93"/>
        <v/>
      </c>
      <c r="BJ156" s="59"/>
      <c r="BK156" s="58" t="str">
        <f t="shared" si="94"/>
        <v/>
      </c>
      <c r="BL156" s="59"/>
      <c r="BM156" s="58" t="str">
        <f t="shared" si="95"/>
        <v/>
      </c>
      <c r="BN156" s="59"/>
      <c r="BO156" s="58" t="str">
        <f t="shared" si="96"/>
        <v/>
      </c>
      <c r="BP156" s="59"/>
      <c r="BQ156" s="58" t="str">
        <f t="shared" si="97"/>
        <v/>
      </c>
      <c r="BR156" s="59"/>
      <c r="BS156" s="58" t="str">
        <f t="shared" si="98"/>
        <v/>
      </c>
      <c r="BT156" s="59"/>
      <c r="BU156" s="58" t="str">
        <f t="shared" si="99"/>
        <v/>
      </c>
      <c r="BV156" s="59"/>
    </row>
    <row r="157" spans="1:74" ht="14.5">
      <c r="A157" s="51" t="s">
        <v>58</v>
      </c>
      <c r="B157" s="52">
        <v>282</v>
      </c>
      <c r="C157" s="52" t="s">
        <v>188</v>
      </c>
      <c r="D157" s="41">
        <f t="shared" si="69"/>
        <v>2</v>
      </c>
      <c r="E157" s="52" t="s">
        <v>157</v>
      </c>
      <c r="F157" s="52" t="s">
        <v>243</v>
      </c>
      <c r="G157" s="52" t="s">
        <v>162</v>
      </c>
      <c r="H157" s="52" t="s">
        <v>428</v>
      </c>
      <c r="I157" s="53">
        <v>45665</v>
      </c>
      <c r="J157" s="108">
        <v>3834</v>
      </c>
      <c r="K157" s="101"/>
      <c r="L157" s="101"/>
      <c r="M157" s="101">
        <f t="shared" si="70"/>
        <v>3834</v>
      </c>
      <c r="N157" s="54">
        <f t="shared" si="71"/>
        <v>3834</v>
      </c>
      <c r="O157" s="101" t="s">
        <v>429</v>
      </c>
      <c r="P157" s="102">
        <f t="shared" si="72"/>
        <v>0.63900000000000001</v>
      </c>
      <c r="Q157" s="102">
        <v>6</v>
      </c>
      <c r="R157" s="99">
        <v>1000</v>
      </c>
      <c r="S157" s="55">
        <f t="shared" si="100"/>
        <v>45637</v>
      </c>
      <c r="T157" s="55">
        <v>45620</v>
      </c>
      <c r="U157" s="56">
        <f t="shared" ca="1" si="73"/>
        <v>17</v>
      </c>
      <c r="V157" s="55">
        <f t="shared" si="74"/>
        <v>45653</v>
      </c>
      <c r="W157" s="55"/>
      <c r="X157" s="56">
        <f t="shared" ca="1" si="75"/>
        <v>-187</v>
      </c>
      <c r="Y157" s="55"/>
      <c r="Z157" s="57"/>
      <c r="AA157" s="58" t="str">
        <f t="shared" si="76"/>
        <v>-</v>
      </c>
      <c r="AB157" s="59"/>
      <c r="AC157" s="58" t="str">
        <f t="shared" si="77"/>
        <v/>
      </c>
      <c r="AD157" s="59"/>
      <c r="AE157" s="58" t="str">
        <f t="shared" si="78"/>
        <v/>
      </c>
      <c r="AF157" s="59"/>
      <c r="AG157" s="58" t="str">
        <f t="shared" si="79"/>
        <v/>
      </c>
      <c r="AH157" s="59"/>
      <c r="AI157" s="58" t="str">
        <f t="shared" si="80"/>
        <v/>
      </c>
      <c r="AJ157" s="59"/>
      <c r="AK157" s="58" t="str">
        <f t="shared" si="81"/>
        <v/>
      </c>
      <c r="AL157" s="59"/>
      <c r="AM157" s="58" t="str">
        <f t="shared" si="82"/>
        <v/>
      </c>
      <c r="AN157" s="59"/>
      <c r="AO157" s="58" t="str">
        <f t="shared" si="83"/>
        <v/>
      </c>
      <c r="AP157" s="59"/>
      <c r="AQ157" s="58" t="str">
        <f t="shared" si="84"/>
        <v/>
      </c>
      <c r="AR157" s="59"/>
      <c r="AS157" s="58">
        <f t="shared" si="85"/>
        <v>3834</v>
      </c>
      <c r="AT157" s="59"/>
      <c r="AU157" s="58" t="str">
        <f t="shared" si="86"/>
        <v/>
      </c>
      <c r="AV157" s="59"/>
      <c r="AW157" s="58" t="str">
        <f t="shared" si="87"/>
        <v/>
      </c>
      <c r="AX157" s="59"/>
      <c r="AY157" s="58" t="str">
        <f t="shared" si="88"/>
        <v/>
      </c>
      <c r="AZ157" s="59"/>
      <c r="BA157" s="58" t="str">
        <f t="shared" si="89"/>
        <v/>
      </c>
      <c r="BB157" s="59"/>
      <c r="BC157" s="58" t="str">
        <f t="shared" si="90"/>
        <v/>
      </c>
      <c r="BD157" s="59"/>
      <c r="BE157" s="58" t="str">
        <f t="shared" si="91"/>
        <v/>
      </c>
      <c r="BF157" s="59"/>
      <c r="BG157" s="58" t="str">
        <f t="shared" si="92"/>
        <v/>
      </c>
      <c r="BH157" s="59"/>
      <c r="BI157" s="58" t="str">
        <f t="shared" si="93"/>
        <v/>
      </c>
      <c r="BJ157" s="59"/>
      <c r="BK157" s="58" t="str">
        <f t="shared" si="94"/>
        <v/>
      </c>
      <c r="BL157" s="59"/>
      <c r="BM157" s="58" t="str">
        <f t="shared" si="95"/>
        <v/>
      </c>
      <c r="BN157" s="59"/>
      <c r="BO157" s="58" t="str">
        <f t="shared" si="96"/>
        <v/>
      </c>
      <c r="BP157" s="59"/>
      <c r="BQ157" s="58" t="str">
        <f t="shared" si="97"/>
        <v/>
      </c>
      <c r="BR157" s="59"/>
      <c r="BS157" s="58" t="str">
        <f t="shared" si="98"/>
        <v/>
      </c>
      <c r="BT157" s="59"/>
      <c r="BU157" s="58" t="str">
        <f t="shared" si="99"/>
        <v/>
      </c>
      <c r="BV157" s="59"/>
    </row>
    <row r="158" spans="1:74" ht="14.5">
      <c r="A158" s="51" t="s">
        <v>58</v>
      </c>
      <c r="B158" s="52">
        <v>282</v>
      </c>
      <c r="C158" s="52" t="s">
        <v>188</v>
      </c>
      <c r="D158" s="41">
        <f t="shared" si="69"/>
        <v>2</v>
      </c>
      <c r="E158" s="52" t="s">
        <v>391</v>
      </c>
      <c r="F158" s="52" t="s">
        <v>392</v>
      </c>
      <c r="G158" s="52" t="s">
        <v>393</v>
      </c>
      <c r="H158" s="52" t="s">
        <v>433</v>
      </c>
      <c r="I158" s="53">
        <v>45665</v>
      </c>
      <c r="J158" s="108">
        <v>3264</v>
      </c>
      <c r="K158" s="101"/>
      <c r="L158" s="101"/>
      <c r="M158" s="101">
        <f t="shared" si="70"/>
        <v>3264</v>
      </c>
      <c r="N158" s="54">
        <f t="shared" si="71"/>
        <v>3264</v>
      </c>
      <c r="O158" s="101" t="s">
        <v>178</v>
      </c>
      <c r="P158" s="102">
        <f t="shared" si="72"/>
        <v>6.8</v>
      </c>
      <c r="Q158" s="102">
        <v>6</v>
      </c>
      <c r="R158" s="99">
        <v>80</v>
      </c>
      <c r="S158" s="55">
        <f t="shared" si="100"/>
        <v>45637</v>
      </c>
      <c r="T158" s="55">
        <v>45620</v>
      </c>
      <c r="U158" s="56">
        <f t="shared" ca="1" si="73"/>
        <v>17</v>
      </c>
      <c r="V158" s="55">
        <f t="shared" si="74"/>
        <v>45653</v>
      </c>
      <c r="W158" s="55"/>
      <c r="X158" s="56">
        <f t="shared" ca="1" si="75"/>
        <v>-187</v>
      </c>
      <c r="Y158" s="55"/>
      <c r="Z158" s="57"/>
      <c r="AA158" s="58" t="str">
        <f t="shared" si="76"/>
        <v>-</v>
      </c>
      <c r="AB158" s="59"/>
      <c r="AC158" s="58" t="str">
        <f t="shared" si="77"/>
        <v/>
      </c>
      <c r="AD158" s="59"/>
      <c r="AE158" s="58" t="str">
        <f t="shared" si="78"/>
        <v/>
      </c>
      <c r="AF158" s="59"/>
      <c r="AG158" s="58" t="str">
        <f t="shared" si="79"/>
        <v/>
      </c>
      <c r="AH158" s="59"/>
      <c r="AI158" s="58" t="str">
        <f t="shared" si="80"/>
        <v/>
      </c>
      <c r="AJ158" s="59"/>
      <c r="AK158" s="58" t="str">
        <f t="shared" si="81"/>
        <v/>
      </c>
      <c r="AL158" s="59"/>
      <c r="AM158" s="58" t="str">
        <f t="shared" si="82"/>
        <v/>
      </c>
      <c r="AN158" s="59"/>
      <c r="AO158" s="58" t="str">
        <f t="shared" si="83"/>
        <v/>
      </c>
      <c r="AP158" s="59"/>
      <c r="AQ158" s="58" t="str">
        <f t="shared" si="84"/>
        <v/>
      </c>
      <c r="AR158" s="59"/>
      <c r="AS158" s="58">
        <f t="shared" si="85"/>
        <v>3264</v>
      </c>
      <c r="AT158" s="59"/>
      <c r="AU158" s="58" t="str">
        <f t="shared" si="86"/>
        <v/>
      </c>
      <c r="AV158" s="59"/>
      <c r="AW158" s="58" t="str">
        <f t="shared" si="87"/>
        <v/>
      </c>
      <c r="AX158" s="59"/>
      <c r="AY158" s="58" t="str">
        <f t="shared" si="88"/>
        <v/>
      </c>
      <c r="AZ158" s="59"/>
      <c r="BA158" s="58" t="str">
        <f t="shared" si="89"/>
        <v/>
      </c>
      <c r="BB158" s="59"/>
      <c r="BC158" s="58" t="str">
        <f t="shared" si="90"/>
        <v/>
      </c>
      <c r="BD158" s="59"/>
      <c r="BE158" s="58" t="str">
        <f t="shared" si="91"/>
        <v/>
      </c>
      <c r="BF158" s="59"/>
      <c r="BG158" s="58" t="str">
        <f t="shared" si="92"/>
        <v/>
      </c>
      <c r="BH158" s="59"/>
      <c r="BI158" s="58" t="str">
        <f t="shared" si="93"/>
        <v/>
      </c>
      <c r="BJ158" s="59"/>
      <c r="BK158" s="58" t="str">
        <f t="shared" si="94"/>
        <v/>
      </c>
      <c r="BL158" s="59"/>
      <c r="BM158" s="58" t="str">
        <f t="shared" si="95"/>
        <v/>
      </c>
      <c r="BN158" s="59"/>
      <c r="BO158" s="58" t="str">
        <f t="shared" si="96"/>
        <v/>
      </c>
      <c r="BP158" s="59"/>
      <c r="BQ158" s="58" t="str">
        <f t="shared" si="97"/>
        <v/>
      </c>
      <c r="BR158" s="59"/>
      <c r="BS158" s="58" t="str">
        <f t="shared" si="98"/>
        <v/>
      </c>
      <c r="BT158" s="59"/>
      <c r="BU158" s="58" t="str">
        <f t="shared" si="99"/>
        <v/>
      </c>
      <c r="BV158" s="59"/>
    </row>
    <row r="159" spans="1:74" ht="14.5">
      <c r="A159" s="51" t="s">
        <v>58</v>
      </c>
      <c r="B159" s="52">
        <v>286</v>
      </c>
      <c r="C159" s="52" t="s">
        <v>188</v>
      </c>
      <c r="D159" s="41">
        <f t="shared" si="69"/>
        <v>2</v>
      </c>
      <c r="E159" s="52" t="s">
        <v>502</v>
      </c>
      <c r="F159" s="52" t="s">
        <v>289</v>
      </c>
      <c r="G159" s="52" t="s">
        <v>155</v>
      </c>
      <c r="H159" s="52" t="s">
        <v>507</v>
      </c>
      <c r="I159" s="53">
        <v>45665</v>
      </c>
      <c r="J159" s="108">
        <v>2160</v>
      </c>
      <c r="K159" s="101"/>
      <c r="L159" s="101"/>
      <c r="M159" s="101">
        <f t="shared" si="70"/>
        <v>2160</v>
      </c>
      <c r="N159" s="54">
        <f t="shared" si="71"/>
        <v>2160</v>
      </c>
      <c r="O159" s="101" t="s">
        <v>504</v>
      </c>
      <c r="P159" s="102">
        <f t="shared" si="72"/>
        <v>11.25</v>
      </c>
      <c r="Q159" s="102">
        <v>6</v>
      </c>
      <c r="R159" s="99">
        <f>480/15</f>
        <v>32</v>
      </c>
      <c r="S159" s="55">
        <f t="shared" si="100"/>
        <v>45637</v>
      </c>
      <c r="T159" s="55"/>
      <c r="U159" s="56">
        <f t="shared" ca="1" si="73"/>
        <v>-203</v>
      </c>
      <c r="V159" s="55">
        <f t="shared" si="74"/>
        <v>45653</v>
      </c>
      <c r="W159" s="55"/>
      <c r="X159" s="56">
        <f t="shared" ca="1" si="75"/>
        <v>-187</v>
      </c>
      <c r="Y159" s="55"/>
      <c r="Z159" s="57"/>
      <c r="AA159" s="58" t="str">
        <f t="shared" si="76"/>
        <v>-</v>
      </c>
      <c r="AB159" s="59"/>
      <c r="AC159" s="58" t="str">
        <f t="shared" si="77"/>
        <v/>
      </c>
      <c r="AD159" s="59"/>
      <c r="AE159" s="58" t="str">
        <f t="shared" si="78"/>
        <v/>
      </c>
      <c r="AF159" s="59"/>
      <c r="AG159" s="58" t="str">
        <f t="shared" si="79"/>
        <v/>
      </c>
      <c r="AH159" s="59"/>
      <c r="AI159" s="58" t="str">
        <f t="shared" si="80"/>
        <v/>
      </c>
      <c r="AJ159" s="59"/>
      <c r="AK159" s="58" t="str">
        <f t="shared" si="81"/>
        <v/>
      </c>
      <c r="AL159" s="59"/>
      <c r="AM159" s="58" t="str">
        <f t="shared" si="82"/>
        <v/>
      </c>
      <c r="AN159" s="59"/>
      <c r="AO159" s="58" t="str">
        <f t="shared" si="83"/>
        <v/>
      </c>
      <c r="AP159" s="59"/>
      <c r="AQ159" s="58" t="str">
        <f t="shared" si="84"/>
        <v/>
      </c>
      <c r="AR159" s="59"/>
      <c r="AS159" s="58">
        <f t="shared" si="85"/>
        <v>2160</v>
      </c>
      <c r="AT159" s="59"/>
      <c r="AU159" s="58" t="str">
        <f t="shared" si="86"/>
        <v/>
      </c>
      <c r="AV159" s="59"/>
      <c r="AW159" s="58" t="str">
        <f t="shared" si="87"/>
        <v/>
      </c>
      <c r="AX159" s="59"/>
      <c r="AY159" s="58" t="str">
        <f t="shared" si="88"/>
        <v/>
      </c>
      <c r="AZ159" s="59"/>
      <c r="BA159" s="58" t="str">
        <f t="shared" si="89"/>
        <v/>
      </c>
      <c r="BB159" s="59"/>
      <c r="BC159" s="58" t="str">
        <f t="shared" si="90"/>
        <v/>
      </c>
      <c r="BD159" s="59"/>
      <c r="BE159" s="58" t="str">
        <f t="shared" si="91"/>
        <v/>
      </c>
      <c r="BF159" s="59"/>
      <c r="BG159" s="58" t="str">
        <f t="shared" si="92"/>
        <v/>
      </c>
      <c r="BH159" s="59"/>
      <c r="BI159" s="58" t="str">
        <f t="shared" si="93"/>
        <v/>
      </c>
      <c r="BJ159" s="59"/>
      <c r="BK159" s="58" t="str">
        <f t="shared" si="94"/>
        <v/>
      </c>
      <c r="BL159" s="59"/>
      <c r="BM159" s="58" t="str">
        <f t="shared" si="95"/>
        <v/>
      </c>
      <c r="BN159" s="59"/>
      <c r="BO159" s="58" t="str">
        <f t="shared" si="96"/>
        <v/>
      </c>
      <c r="BP159" s="59"/>
      <c r="BQ159" s="58" t="str">
        <f t="shared" si="97"/>
        <v/>
      </c>
      <c r="BR159" s="59"/>
      <c r="BS159" s="58" t="str">
        <f t="shared" si="98"/>
        <v/>
      </c>
      <c r="BT159" s="59"/>
      <c r="BU159" s="58" t="str">
        <f t="shared" si="99"/>
        <v/>
      </c>
      <c r="BV159" s="59"/>
    </row>
    <row r="160" spans="1:74" ht="14.5">
      <c r="A160" s="51" t="s">
        <v>58</v>
      </c>
      <c r="B160" s="52">
        <v>286</v>
      </c>
      <c r="C160" s="52" t="s">
        <v>188</v>
      </c>
      <c r="D160" s="41">
        <f t="shared" si="69"/>
        <v>2</v>
      </c>
      <c r="E160" s="52" t="s">
        <v>502</v>
      </c>
      <c r="F160" s="52" t="s">
        <v>289</v>
      </c>
      <c r="G160" s="52" t="s">
        <v>154</v>
      </c>
      <c r="H160" s="52" t="s">
        <v>507</v>
      </c>
      <c r="I160" s="53">
        <v>45665</v>
      </c>
      <c r="J160" s="108">
        <v>1800</v>
      </c>
      <c r="K160" s="101"/>
      <c r="L160" s="101"/>
      <c r="M160" s="101">
        <f t="shared" si="70"/>
        <v>1800</v>
      </c>
      <c r="N160" s="54">
        <f t="shared" si="71"/>
        <v>1800</v>
      </c>
      <c r="O160" s="101" t="s">
        <v>505</v>
      </c>
      <c r="P160" s="102">
        <f t="shared" si="72"/>
        <v>9.375</v>
      </c>
      <c r="Q160" s="102">
        <v>6</v>
      </c>
      <c r="R160" s="99">
        <f>480/15</f>
        <v>32</v>
      </c>
      <c r="S160" s="55">
        <f t="shared" si="100"/>
        <v>45637</v>
      </c>
      <c r="T160" s="55"/>
      <c r="U160" s="56">
        <f t="shared" ca="1" si="73"/>
        <v>-203</v>
      </c>
      <c r="V160" s="55">
        <f t="shared" si="74"/>
        <v>45653</v>
      </c>
      <c r="W160" s="55"/>
      <c r="X160" s="56">
        <f t="shared" ca="1" si="75"/>
        <v>-187</v>
      </c>
      <c r="Y160" s="55"/>
      <c r="Z160" s="57"/>
      <c r="AA160" s="58" t="str">
        <f t="shared" si="76"/>
        <v>-</v>
      </c>
      <c r="AB160" s="59"/>
      <c r="AC160" s="58" t="str">
        <f t="shared" si="77"/>
        <v/>
      </c>
      <c r="AD160" s="59"/>
      <c r="AE160" s="58" t="str">
        <f t="shared" si="78"/>
        <v/>
      </c>
      <c r="AF160" s="59"/>
      <c r="AG160" s="58" t="str">
        <f t="shared" si="79"/>
        <v/>
      </c>
      <c r="AH160" s="59"/>
      <c r="AI160" s="58" t="str">
        <f t="shared" si="80"/>
        <v/>
      </c>
      <c r="AJ160" s="59"/>
      <c r="AK160" s="58" t="str">
        <f t="shared" si="81"/>
        <v/>
      </c>
      <c r="AL160" s="59"/>
      <c r="AM160" s="58" t="str">
        <f t="shared" si="82"/>
        <v/>
      </c>
      <c r="AN160" s="59"/>
      <c r="AO160" s="58" t="str">
        <f t="shared" si="83"/>
        <v/>
      </c>
      <c r="AP160" s="59"/>
      <c r="AQ160" s="58" t="str">
        <f t="shared" si="84"/>
        <v/>
      </c>
      <c r="AR160" s="59"/>
      <c r="AS160" s="58">
        <f t="shared" si="85"/>
        <v>1800</v>
      </c>
      <c r="AT160" s="59"/>
      <c r="AU160" s="58" t="str">
        <f t="shared" si="86"/>
        <v/>
      </c>
      <c r="AV160" s="59"/>
      <c r="AW160" s="58" t="str">
        <f t="shared" si="87"/>
        <v/>
      </c>
      <c r="AX160" s="59"/>
      <c r="AY160" s="58" t="str">
        <f t="shared" si="88"/>
        <v/>
      </c>
      <c r="AZ160" s="59"/>
      <c r="BA160" s="58" t="str">
        <f t="shared" si="89"/>
        <v/>
      </c>
      <c r="BB160" s="59"/>
      <c r="BC160" s="58" t="str">
        <f t="shared" si="90"/>
        <v/>
      </c>
      <c r="BD160" s="59"/>
      <c r="BE160" s="58" t="str">
        <f t="shared" si="91"/>
        <v/>
      </c>
      <c r="BF160" s="59"/>
      <c r="BG160" s="58" t="str">
        <f t="shared" si="92"/>
        <v/>
      </c>
      <c r="BH160" s="59"/>
      <c r="BI160" s="58" t="str">
        <f t="shared" si="93"/>
        <v/>
      </c>
      <c r="BJ160" s="59"/>
      <c r="BK160" s="58" t="str">
        <f t="shared" si="94"/>
        <v/>
      </c>
      <c r="BL160" s="59"/>
      <c r="BM160" s="58" t="str">
        <f t="shared" si="95"/>
        <v/>
      </c>
      <c r="BN160" s="59"/>
      <c r="BO160" s="58" t="str">
        <f t="shared" si="96"/>
        <v/>
      </c>
      <c r="BP160" s="59"/>
      <c r="BQ160" s="58" t="str">
        <f t="shared" si="97"/>
        <v/>
      </c>
      <c r="BR160" s="59"/>
      <c r="BS160" s="58" t="str">
        <f t="shared" si="98"/>
        <v/>
      </c>
      <c r="BT160" s="59"/>
      <c r="BU160" s="58" t="str">
        <f t="shared" si="99"/>
        <v/>
      </c>
      <c r="BV160" s="59"/>
    </row>
    <row r="161" spans="1:74" ht="14.5">
      <c r="A161" s="51" t="s">
        <v>58</v>
      </c>
      <c r="B161" s="52">
        <v>286</v>
      </c>
      <c r="C161" s="52" t="s">
        <v>188</v>
      </c>
      <c r="D161" s="41">
        <f t="shared" si="69"/>
        <v>2</v>
      </c>
      <c r="E161" s="52" t="s">
        <v>502</v>
      </c>
      <c r="F161" s="52" t="s">
        <v>289</v>
      </c>
      <c r="G161" s="52" t="s">
        <v>156</v>
      </c>
      <c r="H161" s="52" t="s">
        <v>507</v>
      </c>
      <c r="I161" s="53">
        <v>45665</v>
      </c>
      <c r="J161" s="108">
        <v>1440</v>
      </c>
      <c r="K161" s="101"/>
      <c r="L161" s="101"/>
      <c r="M161" s="101">
        <f t="shared" si="70"/>
        <v>1440</v>
      </c>
      <c r="N161" s="54">
        <f t="shared" si="71"/>
        <v>1440</v>
      </c>
      <c r="O161" s="101" t="s">
        <v>506</v>
      </c>
      <c r="P161" s="102">
        <f t="shared" si="72"/>
        <v>7.5</v>
      </c>
      <c r="Q161" s="102">
        <v>6</v>
      </c>
      <c r="R161" s="99">
        <f>480/15</f>
        <v>32</v>
      </c>
      <c r="S161" s="55">
        <f t="shared" si="100"/>
        <v>45637</v>
      </c>
      <c r="T161" s="55"/>
      <c r="U161" s="56">
        <f t="shared" ca="1" si="73"/>
        <v>-203</v>
      </c>
      <c r="V161" s="55">
        <f t="shared" si="74"/>
        <v>45653</v>
      </c>
      <c r="W161" s="55"/>
      <c r="X161" s="56">
        <f t="shared" ca="1" si="75"/>
        <v>-187</v>
      </c>
      <c r="Y161" s="55"/>
      <c r="Z161" s="57"/>
      <c r="AA161" s="58" t="str">
        <f t="shared" si="76"/>
        <v>-</v>
      </c>
      <c r="AB161" s="59"/>
      <c r="AC161" s="58" t="str">
        <f t="shared" si="77"/>
        <v/>
      </c>
      <c r="AD161" s="59"/>
      <c r="AE161" s="58" t="str">
        <f t="shared" si="78"/>
        <v/>
      </c>
      <c r="AF161" s="59"/>
      <c r="AG161" s="58" t="str">
        <f t="shared" si="79"/>
        <v/>
      </c>
      <c r="AH161" s="59"/>
      <c r="AI161" s="58" t="str">
        <f t="shared" si="80"/>
        <v/>
      </c>
      <c r="AJ161" s="59"/>
      <c r="AK161" s="58" t="str">
        <f t="shared" si="81"/>
        <v/>
      </c>
      <c r="AL161" s="59"/>
      <c r="AM161" s="58" t="str">
        <f t="shared" si="82"/>
        <v/>
      </c>
      <c r="AN161" s="59"/>
      <c r="AO161" s="58" t="str">
        <f t="shared" si="83"/>
        <v/>
      </c>
      <c r="AP161" s="59"/>
      <c r="AQ161" s="58" t="str">
        <f t="shared" si="84"/>
        <v/>
      </c>
      <c r="AR161" s="59"/>
      <c r="AS161" s="58">
        <f t="shared" si="85"/>
        <v>1440</v>
      </c>
      <c r="AT161" s="59"/>
      <c r="AU161" s="58" t="str">
        <f t="shared" si="86"/>
        <v/>
      </c>
      <c r="AV161" s="59"/>
      <c r="AW161" s="58" t="str">
        <f t="shared" si="87"/>
        <v/>
      </c>
      <c r="AX161" s="59"/>
      <c r="AY161" s="58" t="str">
        <f t="shared" si="88"/>
        <v/>
      </c>
      <c r="AZ161" s="59"/>
      <c r="BA161" s="58" t="str">
        <f t="shared" si="89"/>
        <v/>
      </c>
      <c r="BB161" s="59"/>
      <c r="BC161" s="58" t="str">
        <f t="shared" si="90"/>
        <v/>
      </c>
      <c r="BD161" s="59"/>
      <c r="BE161" s="58" t="str">
        <f t="shared" si="91"/>
        <v/>
      </c>
      <c r="BF161" s="59"/>
      <c r="BG161" s="58" t="str">
        <f t="shared" si="92"/>
        <v/>
      </c>
      <c r="BH161" s="59"/>
      <c r="BI161" s="58" t="str">
        <f t="shared" si="93"/>
        <v/>
      </c>
      <c r="BJ161" s="59"/>
      <c r="BK161" s="58" t="str">
        <f t="shared" si="94"/>
        <v/>
      </c>
      <c r="BL161" s="59"/>
      <c r="BM161" s="58" t="str">
        <f t="shared" si="95"/>
        <v/>
      </c>
      <c r="BN161" s="59"/>
      <c r="BO161" s="58" t="str">
        <f t="shared" si="96"/>
        <v/>
      </c>
      <c r="BP161" s="59"/>
      <c r="BQ161" s="58" t="str">
        <f t="shared" si="97"/>
        <v/>
      </c>
      <c r="BR161" s="59"/>
      <c r="BS161" s="58" t="str">
        <f t="shared" si="98"/>
        <v/>
      </c>
      <c r="BT161" s="59"/>
      <c r="BU161" s="58" t="str">
        <f t="shared" si="99"/>
        <v/>
      </c>
      <c r="BV161" s="59"/>
    </row>
    <row r="162" spans="1:74" ht="14.5">
      <c r="A162" s="51" t="s">
        <v>58</v>
      </c>
      <c r="B162" s="52">
        <v>286</v>
      </c>
      <c r="C162" s="52" t="s">
        <v>188</v>
      </c>
      <c r="D162" s="41">
        <f t="shared" si="69"/>
        <v>2</v>
      </c>
      <c r="E162" s="52" t="s">
        <v>390</v>
      </c>
      <c r="F162" s="52" t="s">
        <v>242</v>
      </c>
      <c r="G162" s="52" t="s">
        <v>162</v>
      </c>
      <c r="H162" s="52" t="s">
        <v>430</v>
      </c>
      <c r="I162" s="53">
        <v>45665</v>
      </c>
      <c r="J162" s="108">
        <v>912</v>
      </c>
      <c r="K162" s="101"/>
      <c r="L162" s="101"/>
      <c r="M162" s="101">
        <f t="shared" si="70"/>
        <v>912</v>
      </c>
      <c r="N162" s="54">
        <f t="shared" si="71"/>
        <v>912</v>
      </c>
      <c r="O162" s="101" t="s">
        <v>431</v>
      </c>
      <c r="P162" s="102">
        <f t="shared" si="72"/>
        <v>1.2666666666666666</v>
      </c>
      <c r="Q162" s="102">
        <v>6</v>
      </c>
      <c r="R162" s="99">
        <v>120</v>
      </c>
      <c r="S162" s="55">
        <f t="shared" si="100"/>
        <v>45637</v>
      </c>
      <c r="T162" s="55">
        <v>45620</v>
      </c>
      <c r="U162" s="56">
        <f t="shared" ca="1" si="73"/>
        <v>17</v>
      </c>
      <c r="V162" s="55">
        <f t="shared" si="74"/>
        <v>45653</v>
      </c>
      <c r="W162" s="55"/>
      <c r="X162" s="56">
        <f t="shared" ca="1" si="75"/>
        <v>-187</v>
      </c>
      <c r="Y162" s="55"/>
      <c r="Z162" s="57"/>
      <c r="AA162" s="58" t="str">
        <f t="shared" si="76"/>
        <v>-</v>
      </c>
      <c r="AB162" s="59"/>
      <c r="AC162" s="58" t="str">
        <f t="shared" si="77"/>
        <v/>
      </c>
      <c r="AD162" s="59"/>
      <c r="AE162" s="58" t="str">
        <f t="shared" si="78"/>
        <v/>
      </c>
      <c r="AF162" s="59"/>
      <c r="AG162" s="58" t="str">
        <f t="shared" si="79"/>
        <v/>
      </c>
      <c r="AH162" s="59"/>
      <c r="AI162" s="58" t="str">
        <f t="shared" si="80"/>
        <v/>
      </c>
      <c r="AJ162" s="59"/>
      <c r="AK162" s="58" t="str">
        <f t="shared" si="81"/>
        <v/>
      </c>
      <c r="AL162" s="59"/>
      <c r="AM162" s="58" t="str">
        <f t="shared" si="82"/>
        <v/>
      </c>
      <c r="AN162" s="59"/>
      <c r="AO162" s="58" t="str">
        <f t="shared" si="83"/>
        <v/>
      </c>
      <c r="AP162" s="59"/>
      <c r="AQ162" s="58" t="str">
        <f t="shared" si="84"/>
        <v/>
      </c>
      <c r="AR162" s="59"/>
      <c r="AS162" s="58">
        <f t="shared" si="85"/>
        <v>912</v>
      </c>
      <c r="AT162" s="59"/>
      <c r="AU162" s="58" t="str">
        <f t="shared" si="86"/>
        <v/>
      </c>
      <c r="AV162" s="59"/>
      <c r="AW162" s="58" t="str">
        <f t="shared" si="87"/>
        <v/>
      </c>
      <c r="AX162" s="59"/>
      <c r="AY162" s="58" t="str">
        <f t="shared" si="88"/>
        <v/>
      </c>
      <c r="AZ162" s="59"/>
      <c r="BA162" s="58" t="str">
        <f t="shared" si="89"/>
        <v/>
      </c>
      <c r="BB162" s="59"/>
      <c r="BC162" s="58" t="str">
        <f t="shared" si="90"/>
        <v/>
      </c>
      <c r="BD162" s="59"/>
      <c r="BE162" s="58" t="str">
        <f t="shared" si="91"/>
        <v/>
      </c>
      <c r="BF162" s="59"/>
      <c r="BG162" s="58" t="str">
        <f t="shared" si="92"/>
        <v/>
      </c>
      <c r="BH162" s="59"/>
      <c r="BI162" s="58" t="str">
        <f t="shared" si="93"/>
        <v/>
      </c>
      <c r="BJ162" s="59"/>
      <c r="BK162" s="58" t="str">
        <f t="shared" si="94"/>
        <v/>
      </c>
      <c r="BL162" s="59"/>
      <c r="BM162" s="58" t="str">
        <f t="shared" si="95"/>
        <v/>
      </c>
      <c r="BN162" s="59"/>
      <c r="BO162" s="58" t="str">
        <f t="shared" si="96"/>
        <v/>
      </c>
      <c r="BP162" s="59"/>
      <c r="BQ162" s="58" t="str">
        <f t="shared" si="97"/>
        <v/>
      </c>
      <c r="BR162" s="59"/>
      <c r="BS162" s="58" t="str">
        <f t="shared" si="98"/>
        <v/>
      </c>
      <c r="BT162" s="59"/>
      <c r="BU162" s="58" t="str">
        <f t="shared" si="99"/>
        <v/>
      </c>
      <c r="BV162" s="59"/>
    </row>
    <row r="163" spans="1:74" ht="14.5">
      <c r="A163" s="51" t="s">
        <v>58</v>
      </c>
      <c r="B163" s="52">
        <v>286</v>
      </c>
      <c r="C163" s="52" t="s">
        <v>188</v>
      </c>
      <c r="D163" s="41">
        <f t="shared" si="69"/>
        <v>2</v>
      </c>
      <c r="E163" s="52" t="s">
        <v>245</v>
      </c>
      <c r="F163" s="52" t="s">
        <v>242</v>
      </c>
      <c r="G163" s="52" t="s">
        <v>244</v>
      </c>
      <c r="H163" s="52" t="s">
        <v>432</v>
      </c>
      <c r="I163" s="53">
        <v>45665</v>
      </c>
      <c r="J163" s="108">
        <v>1336</v>
      </c>
      <c r="K163" s="101"/>
      <c r="L163" s="101"/>
      <c r="M163" s="101">
        <f t="shared" si="70"/>
        <v>1336</v>
      </c>
      <c r="N163" s="54">
        <f t="shared" si="71"/>
        <v>1336</v>
      </c>
      <c r="O163" s="101" t="s">
        <v>431</v>
      </c>
      <c r="P163" s="102">
        <f t="shared" si="72"/>
        <v>1.8555555555555556</v>
      </c>
      <c r="Q163" s="102">
        <v>6</v>
      </c>
      <c r="R163" s="99">
        <v>120</v>
      </c>
      <c r="S163" s="55">
        <f t="shared" si="100"/>
        <v>45637</v>
      </c>
      <c r="T163" s="55">
        <v>45620</v>
      </c>
      <c r="U163" s="56">
        <f t="shared" ca="1" si="73"/>
        <v>17</v>
      </c>
      <c r="V163" s="55">
        <f t="shared" si="74"/>
        <v>45653</v>
      </c>
      <c r="W163" s="55"/>
      <c r="X163" s="56">
        <f t="shared" ca="1" si="75"/>
        <v>-187</v>
      </c>
      <c r="Y163" s="55"/>
      <c r="Z163" s="57"/>
      <c r="AA163" s="58" t="str">
        <f t="shared" si="76"/>
        <v>-</v>
      </c>
      <c r="AB163" s="59"/>
      <c r="AC163" s="58" t="str">
        <f t="shared" si="77"/>
        <v/>
      </c>
      <c r="AD163" s="59"/>
      <c r="AE163" s="58" t="str">
        <f t="shared" si="78"/>
        <v/>
      </c>
      <c r="AF163" s="59"/>
      <c r="AG163" s="58" t="str">
        <f t="shared" si="79"/>
        <v/>
      </c>
      <c r="AH163" s="59"/>
      <c r="AI163" s="58" t="str">
        <f t="shared" si="80"/>
        <v/>
      </c>
      <c r="AJ163" s="59"/>
      <c r="AK163" s="58" t="str">
        <f t="shared" si="81"/>
        <v/>
      </c>
      <c r="AL163" s="59"/>
      <c r="AM163" s="58" t="str">
        <f t="shared" si="82"/>
        <v/>
      </c>
      <c r="AN163" s="59"/>
      <c r="AO163" s="58" t="str">
        <f t="shared" si="83"/>
        <v/>
      </c>
      <c r="AP163" s="59"/>
      <c r="AQ163" s="58" t="str">
        <f t="shared" si="84"/>
        <v/>
      </c>
      <c r="AR163" s="59"/>
      <c r="AS163" s="58">
        <f t="shared" si="85"/>
        <v>1336</v>
      </c>
      <c r="AT163" s="59"/>
      <c r="AU163" s="58" t="str">
        <f t="shared" si="86"/>
        <v/>
      </c>
      <c r="AV163" s="59"/>
      <c r="AW163" s="58" t="str">
        <f t="shared" si="87"/>
        <v/>
      </c>
      <c r="AX163" s="59"/>
      <c r="AY163" s="58" t="str">
        <f t="shared" si="88"/>
        <v/>
      </c>
      <c r="AZ163" s="59"/>
      <c r="BA163" s="58" t="str">
        <f t="shared" si="89"/>
        <v/>
      </c>
      <c r="BB163" s="59"/>
      <c r="BC163" s="58" t="str">
        <f t="shared" si="90"/>
        <v/>
      </c>
      <c r="BD163" s="59"/>
      <c r="BE163" s="58" t="str">
        <f t="shared" si="91"/>
        <v/>
      </c>
      <c r="BF163" s="59"/>
      <c r="BG163" s="58" t="str">
        <f t="shared" si="92"/>
        <v/>
      </c>
      <c r="BH163" s="59"/>
      <c r="BI163" s="58" t="str">
        <f t="shared" si="93"/>
        <v/>
      </c>
      <c r="BJ163" s="59"/>
      <c r="BK163" s="58" t="str">
        <f t="shared" si="94"/>
        <v/>
      </c>
      <c r="BL163" s="59"/>
      <c r="BM163" s="58" t="str">
        <f t="shared" si="95"/>
        <v/>
      </c>
      <c r="BN163" s="59"/>
      <c r="BO163" s="58" t="str">
        <f t="shared" si="96"/>
        <v/>
      </c>
      <c r="BP163" s="59"/>
      <c r="BQ163" s="58" t="str">
        <f t="shared" si="97"/>
        <v/>
      </c>
      <c r="BR163" s="59"/>
      <c r="BS163" s="58" t="str">
        <f t="shared" si="98"/>
        <v/>
      </c>
      <c r="BT163" s="59"/>
      <c r="BU163" s="58" t="str">
        <f t="shared" si="99"/>
        <v/>
      </c>
      <c r="BV163" s="59"/>
    </row>
    <row r="164" spans="1:74" ht="14.5">
      <c r="A164" s="51" t="s">
        <v>58</v>
      </c>
      <c r="B164" s="52">
        <v>286</v>
      </c>
      <c r="C164" s="52" t="s">
        <v>188</v>
      </c>
      <c r="D164" s="41">
        <f t="shared" si="69"/>
        <v>2</v>
      </c>
      <c r="E164" s="52" t="s">
        <v>195</v>
      </c>
      <c r="F164" s="52" t="s">
        <v>286</v>
      </c>
      <c r="G164" s="52" t="s">
        <v>162</v>
      </c>
      <c r="H164" s="52" t="s">
        <v>434</v>
      </c>
      <c r="I164" s="53">
        <v>45665</v>
      </c>
      <c r="J164" s="108">
        <v>4536</v>
      </c>
      <c r="K164" s="101"/>
      <c r="L164" s="101"/>
      <c r="M164" s="101">
        <f t="shared" si="70"/>
        <v>4536</v>
      </c>
      <c r="N164" s="54">
        <f t="shared" si="71"/>
        <v>4536</v>
      </c>
      <c r="O164" s="101" t="s">
        <v>431</v>
      </c>
      <c r="P164" s="102">
        <f t="shared" si="72"/>
        <v>6.3</v>
      </c>
      <c r="Q164" s="102">
        <v>6</v>
      </c>
      <c r="R164" s="99">
        <v>120</v>
      </c>
      <c r="S164" s="55">
        <f t="shared" si="100"/>
        <v>45637</v>
      </c>
      <c r="T164" s="55">
        <v>45620</v>
      </c>
      <c r="U164" s="56">
        <f t="shared" ca="1" si="73"/>
        <v>17</v>
      </c>
      <c r="V164" s="55">
        <f t="shared" si="74"/>
        <v>45653</v>
      </c>
      <c r="W164" s="55"/>
      <c r="X164" s="56">
        <f t="shared" ca="1" si="75"/>
        <v>-187</v>
      </c>
      <c r="Y164" s="55"/>
      <c r="Z164" s="57"/>
      <c r="AA164" s="58" t="str">
        <f t="shared" si="76"/>
        <v>-</v>
      </c>
      <c r="AB164" s="59"/>
      <c r="AC164" s="58" t="str">
        <f t="shared" si="77"/>
        <v/>
      </c>
      <c r="AD164" s="59"/>
      <c r="AE164" s="58" t="str">
        <f t="shared" si="78"/>
        <v/>
      </c>
      <c r="AF164" s="59"/>
      <c r="AG164" s="58" t="str">
        <f t="shared" si="79"/>
        <v/>
      </c>
      <c r="AH164" s="59"/>
      <c r="AI164" s="58" t="str">
        <f t="shared" si="80"/>
        <v/>
      </c>
      <c r="AJ164" s="59"/>
      <c r="AK164" s="58" t="str">
        <f t="shared" si="81"/>
        <v/>
      </c>
      <c r="AL164" s="59"/>
      <c r="AM164" s="58" t="str">
        <f t="shared" si="82"/>
        <v/>
      </c>
      <c r="AN164" s="59"/>
      <c r="AO164" s="58" t="str">
        <f t="shared" si="83"/>
        <v/>
      </c>
      <c r="AP164" s="59"/>
      <c r="AQ164" s="58" t="str">
        <f t="shared" si="84"/>
        <v/>
      </c>
      <c r="AR164" s="59"/>
      <c r="AS164" s="58">
        <f t="shared" si="85"/>
        <v>4536</v>
      </c>
      <c r="AT164" s="59"/>
      <c r="AU164" s="58" t="str">
        <f t="shared" si="86"/>
        <v/>
      </c>
      <c r="AV164" s="59"/>
      <c r="AW164" s="58" t="str">
        <f t="shared" si="87"/>
        <v/>
      </c>
      <c r="AX164" s="59"/>
      <c r="AY164" s="58" t="str">
        <f t="shared" si="88"/>
        <v/>
      </c>
      <c r="AZ164" s="59"/>
      <c r="BA164" s="58" t="str">
        <f t="shared" si="89"/>
        <v/>
      </c>
      <c r="BB164" s="59"/>
      <c r="BC164" s="58" t="str">
        <f t="shared" si="90"/>
        <v/>
      </c>
      <c r="BD164" s="59"/>
      <c r="BE164" s="58" t="str">
        <f t="shared" si="91"/>
        <v/>
      </c>
      <c r="BF164" s="59"/>
      <c r="BG164" s="58" t="str">
        <f t="shared" si="92"/>
        <v/>
      </c>
      <c r="BH164" s="59"/>
      <c r="BI164" s="58" t="str">
        <f t="shared" si="93"/>
        <v/>
      </c>
      <c r="BJ164" s="59"/>
      <c r="BK164" s="58" t="str">
        <f t="shared" si="94"/>
        <v/>
      </c>
      <c r="BL164" s="59"/>
      <c r="BM164" s="58" t="str">
        <f t="shared" si="95"/>
        <v/>
      </c>
      <c r="BN164" s="59"/>
      <c r="BO164" s="58" t="str">
        <f t="shared" si="96"/>
        <v/>
      </c>
      <c r="BP164" s="59"/>
      <c r="BQ164" s="58" t="str">
        <f t="shared" si="97"/>
        <v/>
      </c>
      <c r="BR164" s="59"/>
      <c r="BS164" s="58" t="str">
        <f t="shared" si="98"/>
        <v/>
      </c>
      <c r="BT164" s="59"/>
      <c r="BU164" s="58" t="str">
        <f t="shared" si="99"/>
        <v/>
      </c>
      <c r="BV164" s="59"/>
    </row>
    <row r="165" spans="1:74" ht="14.5">
      <c r="A165" s="51" t="s">
        <v>58</v>
      </c>
      <c r="B165" s="52">
        <v>286</v>
      </c>
      <c r="C165" s="52" t="s">
        <v>188</v>
      </c>
      <c r="D165" s="41">
        <f t="shared" si="69"/>
        <v>2</v>
      </c>
      <c r="E165" s="52" t="s">
        <v>189</v>
      </c>
      <c r="F165" s="52" t="s">
        <v>242</v>
      </c>
      <c r="G165" s="52" t="s">
        <v>162</v>
      </c>
      <c r="H165" s="52" t="s">
        <v>432</v>
      </c>
      <c r="I165" s="53">
        <v>45665</v>
      </c>
      <c r="J165" s="108">
        <v>224</v>
      </c>
      <c r="K165" s="101"/>
      <c r="L165" s="101"/>
      <c r="M165" s="101">
        <f t="shared" si="70"/>
        <v>224</v>
      </c>
      <c r="N165" s="54">
        <f t="shared" si="71"/>
        <v>224</v>
      </c>
      <c r="O165" s="101" t="s">
        <v>178</v>
      </c>
      <c r="P165" s="102">
        <f t="shared" si="72"/>
        <v>0.31111111111111112</v>
      </c>
      <c r="Q165" s="102">
        <v>6</v>
      </c>
      <c r="R165" s="99">
        <v>120</v>
      </c>
      <c r="S165" s="55">
        <f t="shared" si="100"/>
        <v>45637</v>
      </c>
      <c r="T165" s="55">
        <v>45620</v>
      </c>
      <c r="U165" s="56">
        <f t="shared" ca="1" si="73"/>
        <v>17</v>
      </c>
      <c r="V165" s="55">
        <f t="shared" si="74"/>
        <v>45653</v>
      </c>
      <c r="W165" s="55"/>
      <c r="X165" s="56">
        <f t="shared" ca="1" si="75"/>
        <v>-187</v>
      </c>
      <c r="Y165" s="55"/>
      <c r="Z165" s="57"/>
      <c r="AA165" s="58" t="str">
        <f t="shared" si="76"/>
        <v>-</v>
      </c>
      <c r="AB165" s="59"/>
      <c r="AC165" s="58" t="str">
        <f t="shared" si="77"/>
        <v/>
      </c>
      <c r="AD165" s="59"/>
      <c r="AE165" s="58" t="str">
        <f t="shared" si="78"/>
        <v/>
      </c>
      <c r="AF165" s="59"/>
      <c r="AG165" s="58" t="str">
        <f t="shared" si="79"/>
        <v/>
      </c>
      <c r="AH165" s="59"/>
      <c r="AI165" s="58" t="str">
        <f t="shared" si="80"/>
        <v/>
      </c>
      <c r="AJ165" s="59"/>
      <c r="AK165" s="58" t="str">
        <f t="shared" si="81"/>
        <v/>
      </c>
      <c r="AL165" s="59"/>
      <c r="AM165" s="58" t="str">
        <f t="shared" si="82"/>
        <v/>
      </c>
      <c r="AN165" s="59"/>
      <c r="AO165" s="58" t="str">
        <f t="shared" si="83"/>
        <v/>
      </c>
      <c r="AP165" s="59"/>
      <c r="AQ165" s="58" t="str">
        <f t="shared" si="84"/>
        <v/>
      </c>
      <c r="AR165" s="59"/>
      <c r="AS165" s="58">
        <f t="shared" si="85"/>
        <v>224</v>
      </c>
      <c r="AT165" s="59"/>
      <c r="AU165" s="58" t="str">
        <f t="shared" si="86"/>
        <v/>
      </c>
      <c r="AV165" s="59"/>
      <c r="AW165" s="58" t="str">
        <f t="shared" si="87"/>
        <v/>
      </c>
      <c r="AX165" s="59"/>
      <c r="AY165" s="58" t="str">
        <f t="shared" si="88"/>
        <v/>
      </c>
      <c r="AZ165" s="59"/>
      <c r="BA165" s="58" t="str">
        <f t="shared" si="89"/>
        <v/>
      </c>
      <c r="BB165" s="59"/>
      <c r="BC165" s="58" t="str">
        <f t="shared" si="90"/>
        <v/>
      </c>
      <c r="BD165" s="59"/>
      <c r="BE165" s="58" t="str">
        <f t="shared" si="91"/>
        <v/>
      </c>
      <c r="BF165" s="59"/>
      <c r="BG165" s="58" t="str">
        <f t="shared" si="92"/>
        <v/>
      </c>
      <c r="BH165" s="59"/>
      <c r="BI165" s="58" t="str">
        <f t="shared" si="93"/>
        <v/>
      </c>
      <c r="BJ165" s="59"/>
      <c r="BK165" s="58" t="str">
        <f t="shared" si="94"/>
        <v/>
      </c>
      <c r="BL165" s="59"/>
      <c r="BM165" s="58" t="str">
        <f t="shared" si="95"/>
        <v/>
      </c>
      <c r="BN165" s="59"/>
      <c r="BO165" s="58" t="str">
        <f t="shared" si="96"/>
        <v/>
      </c>
      <c r="BP165" s="59"/>
      <c r="BQ165" s="58" t="str">
        <f t="shared" si="97"/>
        <v/>
      </c>
      <c r="BR165" s="59"/>
      <c r="BS165" s="58" t="str">
        <f t="shared" si="98"/>
        <v/>
      </c>
      <c r="BT165" s="59"/>
      <c r="BU165" s="58" t="str">
        <f t="shared" si="99"/>
        <v/>
      </c>
      <c r="BV165" s="59"/>
    </row>
    <row r="166" spans="1:74" ht="14.5">
      <c r="A166" s="51" t="s">
        <v>58</v>
      </c>
      <c r="B166" s="52">
        <v>286</v>
      </c>
      <c r="C166" s="52" t="s">
        <v>188</v>
      </c>
      <c r="D166" s="41">
        <f t="shared" si="69"/>
        <v>2</v>
      </c>
      <c r="E166" s="52" t="s">
        <v>158</v>
      </c>
      <c r="F166" s="52" t="s">
        <v>242</v>
      </c>
      <c r="G166" s="52" t="s">
        <v>255</v>
      </c>
      <c r="H166" s="52" t="s">
        <v>432</v>
      </c>
      <c r="I166" s="53">
        <v>45665</v>
      </c>
      <c r="J166" s="108">
        <v>668</v>
      </c>
      <c r="K166" s="101"/>
      <c r="L166" s="101"/>
      <c r="M166" s="101">
        <f t="shared" si="70"/>
        <v>668</v>
      </c>
      <c r="N166" s="54">
        <f t="shared" si="71"/>
        <v>668</v>
      </c>
      <c r="O166" s="101" t="s">
        <v>439</v>
      </c>
      <c r="P166" s="102">
        <f t="shared" si="72"/>
        <v>0.92777777777777781</v>
      </c>
      <c r="Q166" s="102">
        <v>6</v>
      </c>
      <c r="R166" s="99">
        <v>120</v>
      </c>
      <c r="S166" s="55">
        <f t="shared" si="100"/>
        <v>45637</v>
      </c>
      <c r="T166" s="55">
        <v>45620</v>
      </c>
      <c r="U166" s="56">
        <f t="shared" ca="1" si="73"/>
        <v>17</v>
      </c>
      <c r="V166" s="55">
        <f t="shared" si="74"/>
        <v>45653</v>
      </c>
      <c r="W166" s="55"/>
      <c r="X166" s="56">
        <f t="shared" ca="1" si="75"/>
        <v>-187</v>
      </c>
      <c r="Y166" s="55"/>
      <c r="Z166" s="57"/>
      <c r="AA166" s="58" t="str">
        <f t="shared" si="76"/>
        <v>-</v>
      </c>
      <c r="AB166" s="59"/>
      <c r="AC166" s="58" t="str">
        <f t="shared" si="77"/>
        <v/>
      </c>
      <c r="AD166" s="59"/>
      <c r="AE166" s="58" t="str">
        <f t="shared" si="78"/>
        <v/>
      </c>
      <c r="AF166" s="59"/>
      <c r="AG166" s="58" t="str">
        <f t="shared" si="79"/>
        <v/>
      </c>
      <c r="AH166" s="59"/>
      <c r="AI166" s="58" t="str">
        <f t="shared" si="80"/>
        <v/>
      </c>
      <c r="AJ166" s="59"/>
      <c r="AK166" s="58" t="str">
        <f t="shared" si="81"/>
        <v/>
      </c>
      <c r="AL166" s="59"/>
      <c r="AM166" s="58" t="str">
        <f t="shared" si="82"/>
        <v/>
      </c>
      <c r="AN166" s="59"/>
      <c r="AO166" s="58" t="str">
        <f t="shared" si="83"/>
        <v/>
      </c>
      <c r="AP166" s="59"/>
      <c r="AQ166" s="58" t="str">
        <f t="shared" si="84"/>
        <v/>
      </c>
      <c r="AR166" s="59"/>
      <c r="AS166" s="58">
        <f t="shared" si="85"/>
        <v>668</v>
      </c>
      <c r="AT166" s="59"/>
      <c r="AU166" s="58" t="str">
        <f t="shared" si="86"/>
        <v/>
      </c>
      <c r="AV166" s="59"/>
      <c r="AW166" s="58" t="str">
        <f t="shared" si="87"/>
        <v/>
      </c>
      <c r="AX166" s="59"/>
      <c r="AY166" s="58" t="str">
        <f t="shared" si="88"/>
        <v/>
      </c>
      <c r="AZ166" s="59"/>
      <c r="BA166" s="58" t="str">
        <f t="shared" si="89"/>
        <v/>
      </c>
      <c r="BB166" s="59"/>
      <c r="BC166" s="58" t="str">
        <f t="shared" si="90"/>
        <v/>
      </c>
      <c r="BD166" s="59"/>
      <c r="BE166" s="58" t="str">
        <f t="shared" si="91"/>
        <v/>
      </c>
      <c r="BF166" s="59"/>
      <c r="BG166" s="58" t="str">
        <f t="shared" si="92"/>
        <v/>
      </c>
      <c r="BH166" s="59"/>
      <c r="BI166" s="58" t="str">
        <f t="shared" si="93"/>
        <v/>
      </c>
      <c r="BJ166" s="59"/>
      <c r="BK166" s="58" t="str">
        <f t="shared" si="94"/>
        <v/>
      </c>
      <c r="BL166" s="59"/>
      <c r="BM166" s="58" t="str">
        <f t="shared" si="95"/>
        <v/>
      </c>
      <c r="BN166" s="59"/>
      <c r="BO166" s="58" t="str">
        <f t="shared" si="96"/>
        <v/>
      </c>
      <c r="BP166" s="59"/>
      <c r="BQ166" s="58" t="str">
        <f t="shared" si="97"/>
        <v/>
      </c>
      <c r="BR166" s="59"/>
      <c r="BS166" s="58" t="str">
        <f t="shared" si="98"/>
        <v/>
      </c>
      <c r="BT166" s="59"/>
      <c r="BU166" s="58" t="str">
        <f t="shared" si="99"/>
        <v/>
      </c>
      <c r="BV166" s="59"/>
    </row>
    <row r="167" spans="1:74" ht="14.5">
      <c r="A167" s="51" t="s">
        <v>58</v>
      </c>
      <c r="B167" s="52">
        <v>286</v>
      </c>
      <c r="C167" s="52" t="s">
        <v>188</v>
      </c>
      <c r="D167" s="41">
        <f t="shared" si="69"/>
        <v>2</v>
      </c>
      <c r="E167" s="52" t="s">
        <v>190</v>
      </c>
      <c r="F167" s="52" t="s">
        <v>242</v>
      </c>
      <c r="G167" s="52" t="s">
        <v>244</v>
      </c>
      <c r="H167" s="52" t="s">
        <v>438</v>
      </c>
      <c r="I167" s="53">
        <v>45665</v>
      </c>
      <c r="J167" s="108">
        <v>300</v>
      </c>
      <c r="K167" s="101"/>
      <c r="L167" s="101"/>
      <c r="M167" s="101">
        <f t="shared" si="70"/>
        <v>300</v>
      </c>
      <c r="N167" s="54">
        <f t="shared" si="71"/>
        <v>300</v>
      </c>
      <c r="O167" s="101" t="s">
        <v>439</v>
      </c>
      <c r="P167" s="102">
        <f t="shared" si="72"/>
        <v>0.41666666666666669</v>
      </c>
      <c r="Q167" s="102">
        <v>6</v>
      </c>
      <c r="R167" s="99">
        <v>120</v>
      </c>
      <c r="S167" s="55">
        <f t="shared" si="100"/>
        <v>45637</v>
      </c>
      <c r="T167" s="55">
        <v>45620</v>
      </c>
      <c r="U167" s="56">
        <f t="shared" ca="1" si="73"/>
        <v>17</v>
      </c>
      <c r="V167" s="55">
        <f t="shared" si="74"/>
        <v>45653</v>
      </c>
      <c r="W167" s="55"/>
      <c r="X167" s="56">
        <f t="shared" ca="1" si="75"/>
        <v>-187</v>
      </c>
      <c r="Y167" s="55"/>
      <c r="Z167" s="57"/>
      <c r="AA167" s="58" t="str">
        <f t="shared" si="76"/>
        <v>-</v>
      </c>
      <c r="AB167" s="59"/>
      <c r="AC167" s="58" t="str">
        <f t="shared" si="77"/>
        <v/>
      </c>
      <c r="AD167" s="59"/>
      <c r="AE167" s="58" t="str">
        <f t="shared" si="78"/>
        <v/>
      </c>
      <c r="AF167" s="59"/>
      <c r="AG167" s="58" t="str">
        <f t="shared" si="79"/>
        <v/>
      </c>
      <c r="AH167" s="59"/>
      <c r="AI167" s="58" t="str">
        <f t="shared" si="80"/>
        <v/>
      </c>
      <c r="AJ167" s="59"/>
      <c r="AK167" s="58" t="str">
        <f t="shared" si="81"/>
        <v/>
      </c>
      <c r="AL167" s="59"/>
      <c r="AM167" s="58" t="str">
        <f t="shared" si="82"/>
        <v/>
      </c>
      <c r="AN167" s="59"/>
      <c r="AO167" s="58" t="str">
        <f t="shared" si="83"/>
        <v/>
      </c>
      <c r="AP167" s="59"/>
      <c r="AQ167" s="58" t="str">
        <f t="shared" si="84"/>
        <v/>
      </c>
      <c r="AR167" s="59"/>
      <c r="AS167" s="58">
        <f t="shared" si="85"/>
        <v>300</v>
      </c>
      <c r="AT167" s="59"/>
      <c r="AU167" s="58" t="str">
        <f t="shared" si="86"/>
        <v/>
      </c>
      <c r="AV167" s="59"/>
      <c r="AW167" s="58" t="str">
        <f t="shared" si="87"/>
        <v/>
      </c>
      <c r="AX167" s="59"/>
      <c r="AY167" s="58" t="str">
        <f t="shared" si="88"/>
        <v/>
      </c>
      <c r="AZ167" s="59"/>
      <c r="BA167" s="58" t="str">
        <f t="shared" si="89"/>
        <v/>
      </c>
      <c r="BB167" s="59"/>
      <c r="BC167" s="58" t="str">
        <f t="shared" si="90"/>
        <v/>
      </c>
      <c r="BD167" s="59"/>
      <c r="BE167" s="58" t="str">
        <f t="shared" si="91"/>
        <v/>
      </c>
      <c r="BF167" s="59"/>
      <c r="BG167" s="58" t="str">
        <f t="shared" si="92"/>
        <v/>
      </c>
      <c r="BH167" s="59"/>
      <c r="BI167" s="58" t="str">
        <f t="shared" si="93"/>
        <v/>
      </c>
      <c r="BJ167" s="59"/>
      <c r="BK167" s="58" t="str">
        <f t="shared" si="94"/>
        <v/>
      </c>
      <c r="BL167" s="59"/>
      <c r="BM167" s="58" t="str">
        <f t="shared" si="95"/>
        <v/>
      </c>
      <c r="BN167" s="59"/>
      <c r="BO167" s="58" t="str">
        <f t="shared" si="96"/>
        <v/>
      </c>
      <c r="BP167" s="59"/>
      <c r="BQ167" s="58" t="str">
        <f t="shared" si="97"/>
        <v/>
      </c>
      <c r="BR167" s="59"/>
      <c r="BS167" s="58" t="str">
        <f t="shared" si="98"/>
        <v/>
      </c>
      <c r="BT167" s="59"/>
      <c r="BU167" s="58" t="str">
        <f t="shared" si="99"/>
        <v/>
      </c>
      <c r="BV167" s="59"/>
    </row>
    <row r="168" spans="1:74" ht="14.5">
      <c r="A168" s="51" t="s">
        <v>58</v>
      </c>
      <c r="B168" s="52">
        <v>286</v>
      </c>
      <c r="C168" s="52" t="s">
        <v>188</v>
      </c>
      <c r="D168" s="41">
        <f t="shared" si="69"/>
        <v>2</v>
      </c>
      <c r="E168" s="52" t="s">
        <v>135</v>
      </c>
      <c r="F168" s="52" t="s">
        <v>256</v>
      </c>
      <c r="G168" s="52" t="s">
        <v>451</v>
      </c>
      <c r="H168" s="52" t="s">
        <v>452</v>
      </c>
      <c r="I168" s="53">
        <v>45665</v>
      </c>
      <c r="J168" s="108">
        <v>6800</v>
      </c>
      <c r="K168" s="101"/>
      <c r="L168" s="101"/>
      <c r="M168" s="101">
        <f t="shared" si="70"/>
        <v>6800</v>
      </c>
      <c r="N168" s="54">
        <f t="shared" si="71"/>
        <v>6800</v>
      </c>
      <c r="O168" s="101" t="s">
        <v>178</v>
      </c>
      <c r="P168" s="102">
        <f t="shared" si="72"/>
        <v>3.2380952380952381</v>
      </c>
      <c r="Q168" s="102">
        <v>6</v>
      </c>
      <c r="R168" s="99">
        <v>350</v>
      </c>
      <c r="S168" s="55">
        <f t="shared" si="100"/>
        <v>45637</v>
      </c>
      <c r="T168" s="55">
        <v>45620</v>
      </c>
      <c r="U168" s="56">
        <f t="shared" ca="1" si="73"/>
        <v>17</v>
      </c>
      <c r="V168" s="55">
        <f t="shared" si="74"/>
        <v>45653</v>
      </c>
      <c r="W168" s="55"/>
      <c r="X168" s="56">
        <f t="shared" ca="1" si="75"/>
        <v>-187</v>
      </c>
      <c r="Y168" s="55"/>
      <c r="Z168" s="57"/>
      <c r="AA168" s="58" t="str">
        <f t="shared" si="76"/>
        <v>-</v>
      </c>
      <c r="AB168" s="59"/>
      <c r="AC168" s="58" t="str">
        <f t="shared" si="77"/>
        <v/>
      </c>
      <c r="AD168" s="59"/>
      <c r="AE168" s="58" t="str">
        <f t="shared" si="78"/>
        <v/>
      </c>
      <c r="AF168" s="59"/>
      <c r="AG168" s="58" t="str">
        <f t="shared" si="79"/>
        <v/>
      </c>
      <c r="AH168" s="59"/>
      <c r="AI168" s="58" t="str">
        <f t="shared" si="80"/>
        <v/>
      </c>
      <c r="AJ168" s="59"/>
      <c r="AK168" s="58" t="str">
        <f t="shared" si="81"/>
        <v/>
      </c>
      <c r="AL168" s="59"/>
      <c r="AM168" s="58" t="str">
        <f t="shared" si="82"/>
        <v/>
      </c>
      <c r="AN168" s="59"/>
      <c r="AO168" s="58" t="str">
        <f t="shared" si="83"/>
        <v/>
      </c>
      <c r="AP168" s="59"/>
      <c r="AQ168" s="58" t="str">
        <f t="shared" si="84"/>
        <v/>
      </c>
      <c r="AR168" s="59"/>
      <c r="AS168" s="58">
        <f t="shared" si="85"/>
        <v>6800</v>
      </c>
      <c r="AT168" s="59"/>
      <c r="AU168" s="58" t="str">
        <f t="shared" si="86"/>
        <v/>
      </c>
      <c r="AV168" s="59"/>
      <c r="AW168" s="58" t="str">
        <f t="shared" si="87"/>
        <v/>
      </c>
      <c r="AX168" s="59"/>
      <c r="AY168" s="58" t="str">
        <f t="shared" si="88"/>
        <v/>
      </c>
      <c r="AZ168" s="59"/>
      <c r="BA168" s="58" t="str">
        <f t="shared" si="89"/>
        <v/>
      </c>
      <c r="BB168" s="59"/>
      <c r="BC168" s="58" t="str">
        <f t="shared" si="90"/>
        <v/>
      </c>
      <c r="BD168" s="59"/>
      <c r="BE168" s="58" t="str">
        <f t="shared" si="91"/>
        <v/>
      </c>
      <c r="BF168" s="59"/>
      <c r="BG168" s="58" t="str">
        <f t="shared" si="92"/>
        <v/>
      </c>
      <c r="BH168" s="59"/>
      <c r="BI168" s="58" t="str">
        <f t="shared" si="93"/>
        <v/>
      </c>
      <c r="BJ168" s="59"/>
      <c r="BK168" s="58" t="str">
        <f t="shared" si="94"/>
        <v/>
      </c>
      <c r="BL168" s="59"/>
      <c r="BM168" s="58" t="str">
        <f t="shared" si="95"/>
        <v/>
      </c>
      <c r="BN168" s="59"/>
      <c r="BO168" s="58" t="str">
        <f t="shared" si="96"/>
        <v/>
      </c>
      <c r="BP168" s="59"/>
      <c r="BQ168" s="58" t="str">
        <f t="shared" si="97"/>
        <v/>
      </c>
      <c r="BR168" s="59"/>
      <c r="BS168" s="58" t="str">
        <f t="shared" si="98"/>
        <v/>
      </c>
      <c r="BT168" s="59"/>
      <c r="BU168" s="58" t="str">
        <f t="shared" si="99"/>
        <v/>
      </c>
      <c r="BV168" s="59"/>
    </row>
    <row r="169" spans="1:74" ht="14.5">
      <c r="A169" s="51" t="s">
        <v>58</v>
      </c>
      <c r="B169" s="52">
        <v>386</v>
      </c>
      <c r="C169" s="52" t="s">
        <v>188</v>
      </c>
      <c r="D169" s="41">
        <f t="shared" si="69"/>
        <v>2</v>
      </c>
      <c r="E169" s="52" t="s">
        <v>193</v>
      </c>
      <c r="F169" s="52" t="s">
        <v>246</v>
      </c>
      <c r="G169" s="52" t="s">
        <v>162</v>
      </c>
      <c r="H169" s="52" t="s">
        <v>434</v>
      </c>
      <c r="I169" s="53">
        <v>45665</v>
      </c>
      <c r="J169" s="108">
        <v>2610</v>
      </c>
      <c r="K169" s="101"/>
      <c r="L169" s="101"/>
      <c r="M169" s="101">
        <f t="shared" si="70"/>
        <v>2610</v>
      </c>
      <c r="N169" s="54">
        <f t="shared" si="71"/>
        <v>2610</v>
      </c>
      <c r="O169" s="101" t="s">
        <v>178</v>
      </c>
      <c r="P169" s="102">
        <f t="shared" si="72"/>
        <v>7.4571428571428573</v>
      </c>
      <c r="Q169" s="102">
        <v>1</v>
      </c>
      <c r="R169" s="99">
        <v>350</v>
      </c>
      <c r="S169" s="55">
        <f t="shared" si="100"/>
        <v>45637</v>
      </c>
      <c r="T169" s="55">
        <v>45627</v>
      </c>
      <c r="U169" s="56">
        <f t="shared" ca="1" si="73"/>
        <v>10</v>
      </c>
      <c r="V169" s="55">
        <f t="shared" si="74"/>
        <v>45653</v>
      </c>
      <c r="W169" s="55"/>
      <c r="X169" s="56">
        <f t="shared" ca="1" si="75"/>
        <v>-187</v>
      </c>
      <c r="Y169" s="55"/>
      <c r="Z169" s="57"/>
      <c r="AA169" s="58" t="str">
        <f t="shared" si="76"/>
        <v>-</v>
      </c>
      <c r="AB169" s="59"/>
      <c r="AC169" s="58" t="str">
        <f t="shared" si="77"/>
        <v/>
      </c>
      <c r="AD169" s="59"/>
      <c r="AE169" s="58" t="str">
        <f t="shared" si="78"/>
        <v/>
      </c>
      <c r="AF169" s="59"/>
      <c r="AG169" s="58" t="str">
        <f t="shared" si="79"/>
        <v/>
      </c>
      <c r="AH169" s="59"/>
      <c r="AI169" s="58" t="str">
        <f t="shared" si="80"/>
        <v/>
      </c>
      <c r="AJ169" s="59"/>
      <c r="AK169" s="58" t="str">
        <f t="shared" si="81"/>
        <v/>
      </c>
      <c r="AL169" s="59"/>
      <c r="AM169" s="58" t="str">
        <f t="shared" si="82"/>
        <v/>
      </c>
      <c r="AN169" s="59"/>
      <c r="AO169" s="58" t="str">
        <f t="shared" si="83"/>
        <v/>
      </c>
      <c r="AP169" s="59"/>
      <c r="AQ169" s="58" t="str">
        <f t="shared" si="84"/>
        <v/>
      </c>
      <c r="AR169" s="59"/>
      <c r="AS169" s="58">
        <f t="shared" si="85"/>
        <v>2610</v>
      </c>
      <c r="AT169" s="59"/>
      <c r="AU169" s="58" t="str">
        <f t="shared" si="86"/>
        <v/>
      </c>
      <c r="AV169" s="59"/>
      <c r="AW169" s="58" t="str">
        <f t="shared" si="87"/>
        <v/>
      </c>
      <c r="AX169" s="59"/>
      <c r="AY169" s="58" t="str">
        <f t="shared" si="88"/>
        <v/>
      </c>
      <c r="AZ169" s="59"/>
      <c r="BA169" s="58" t="str">
        <f t="shared" si="89"/>
        <v/>
      </c>
      <c r="BB169" s="59"/>
      <c r="BC169" s="58" t="str">
        <f t="shared" si="90"/>
        <v/>
      </c>
      <c r="BD169" s="59"/>
      <c r="BE169" s="58" t="str">
        <f t="shared" si="91"/>
        <v/>
      </c>
      <c r="BF169" s="59"/>
      <c r="BG169" s="58" t="str">
        <f t="shared" si="92"/>
        <v/>
      </c>
      <c r="BH169" s="59"/>
      <c r="BI169" s="58" t="str">
        <f t="shared" si="93"/>
        <v/>
      </c>
      <c r="BJ169" s="59"/>
      <c r="BK169" s="58" t="str">
        <f t="shared" si="94"/>
        <v/>
      </c>
      <c r="BL169" s="59"/>
      <c r="BM169" s="58" t="str">
        <f t="shared" si="95"/>
        <v/>
      </c>
      <c r="BN169" s="59"/>
      <c r="BO169" s="58" t="str">
        <f t="shared" si="96"/>
        <v/>
      </c>
      <c r="BP169" s="59"/>
      <c r="BQ169" s="58" t="str">
        <f t="shared" si="97"/>
        <v/>
      </c>
      <c r="BR169" s="59"/>
      <c r="BS169" s="58" t="str">
        <f t="shared" si="98"/>
        <v/>
      </c>
      <c r="BT169" s="59"/>
      <c r="BU169" s="58" t="str">
        <f t="shared" si="99"/>
        <v/>
      </c>
      <c r="BV169" s="59"/>
    </row>
    <row r="170" spans="1:74" ht="14.5">
      <c r="A170" s="51" t="s">
        <v>58</v>
      </c>
      <c r="B170" s="52">
        <v>386</v>
      </c>
      <c r="C170" s="52" t="s">
        <v>188</v>
      </c>
      <c r="D170" s="41">
        <f t="shared" si="69"/>
        <v>2</v>
      </c>
      <c r="E170" s="52" t="s">
        <v>136</v>
      </c>
      <c r="F170" s="52" t="s">
        <v>247</v>
      </c>
      <c r="G170" s="52" t="s">
        <v>162</v>
      </c>
      <c r="H170" s="52" t="s">
        <v>500</v>
      </c>
      <c r="I170" s="53">
        <v>45665</v>
      </c>
      <c r="J170" s="108">
        <v>4656</v>
      </c>
      <c r="K170" s="101"/>
      <c r="L170" s="101"/>
      <c r="M170" s="101">
        <f t="shared" si="70"/>
        <v>4656</v>
      </c>
      <c r="N170" s="54">
        <f t="shared" si="71"/>
        <v>4656</v>
      </c>
      <c r="O170" s="101" t="s">
        <v>443</v>
      </c>
      <c r="P170" s="102">
        <f t="shared" si="72"/>
        <v>2.6605714285714286</v>
      </c>
      <c r="Q170" s="102">
        <v>5</v>
      </c>
      <c r="R170" s="99">
        <v>350</v>
      </c>
      <c r="S170" s="55">
        <f t="shared" si="100"/>
        <v>45637</v>
      </c>
      <c r="T170" s="55">
        <v>45627</v>
      </c>
      <c r="U170" s="56">
        <f t="shared" ca="1" si="73"/>
        <v>10</v>
      </c>
      <c r="V170" s="55">
        <f t="shared" si="74"/>
        <v>45653</v>
      </c>
      <c r="W170" s="55"/>
      <c r="X170" s="56">
        <f t="shared" ca="1" si="75"/>
        <v>-187</v>
      </c>
      <c r="Y170" s="55"/>
      <c r="Z170" s="57"/>
      <c r="AA170" s="58" t="str">
        <f t="shared" si="76"/>
        <v>-</v>
      </c>
      <c r="AB170" s="59"/>
      <c r="AC170" s="58" t="str">
        <f t="shared" si="77"/>
        <v/>
      </c>
      <c r="AD170" s="59"/>
      <c r="AE170" s="58" t="str">
        <f t="shared" si="78"/>
        <v/>
      </c>
      <c r="AF170" s="59"/>
      <c r="AG170" s="58" t="str">
        <f t="shared" si="79"/>
        <v/>
      </c>
      <c r="AH170" s="59"/>
      <c r="AI170" s="58" t="str">
        <f t="shared" si="80"/>
        <v/>
      </c>
      <c r="AJ170" s="59"/>
      <c r="AK170" s="58" t="str">
        <f t="shared" si="81"/>
        <v/>
      </c>
      <c r="AL170" s="59"/>
      <c r="AM170" s="58" t="str">
        <f t="shared" si="82"/>
        <v/>
      </c>
      <c r="AN170" s="59"/>
      <c r="AO170" s="58" t="str">
        <f t="shared" si="83"/>
        <v/>
      </c>
      <c r="AP170" s="59"/>
      <c r="AQ170" s="58" t="str">
        <f t="shared" si="84"/>
        <v/>
      </c>
      <c r="AR170" s="59"/>
      <c r="AS170" s="58">
        <f t="shared" si="85"/>
        <v>4656</v>
      </c>
      <c r="AT170" s="59"/>
      <c r="AU170" s="58" t="str">
        <f t="shared" si="86"/>
        <v/>
      </c>
      <c r="AV170" s="59"/>
      <c r="AW170" s="58" t="str">
        <f t="shared" si="87"/>
        <v/>
      </c>
      <c r="AX170" s="59"/>
      <c r="AY170" s="58" t="str">
        <f t="shared" si="88"/>
        <v/>
      </c>
      <c r="AZ170" s="59"/>
      <c r="BA170" s="58" t="str">
        <f t="shared" si="89"/>
        <v/>
      </c>
      <c r="BB170" s="59"/>
      <c r="BC170" s="58" t="str">
        <f t="shared" si="90"/>
        <v/>
      </c>
      <c r="BD170" s="59"/>
      <c r="BE170" s="58" t="str">
        <f t="shared" si="91"/>
        <v/>
      </c>
      <c r="BF170" s="59"/>
      <c r="BG170" s="58" t="str">
        <f t="shared" si="92"/>
        <v/>
      </c>
      <c r="BH170" s="59"/>
      <c r="BI170" s="58" t="str">
        <f t="shared" si="93"/>
        <v/>
      </c>
      <c r="BJ170" s="59"/>
      <c r="BK170" s="58" t="str">
        <f t="shared" si="94"/>
        <v/>
      </c>
      <c r="BL170" s="59"/>
      <c r="BM170" s="58" t="str">
        <f t="shared" si="95"/>
        <v/>
      </c>
      <c r="BN170" s="59"/>
      <c r="BO170" s="58" t="str">
        <f t="shared" si="96"/>
        <v/>
      </c>
      <c r="BP170" s="59"/>
      <c r="BQ170" s="58" t="str">
        <f t="shared" si="97"/>
        <v/>
      </c>
      <c r="BR170" s="59"/>
      <c r="BS170" s="58" t="str">
        <f t="shared" si="98"/>
        <v/>
      </c>
      <c r="BT170" s="59"/>
      <c r="BU170" s="58" t="str">
        <f t="shared" si="99"/>
        <v/>
      </c>
      <c r="BV170" s="59"/>
    </row>
    <row r="171" spans="1:74" ht="14.5">
      <c r="A171" s="51" t="s">
        <v>58</v>
      </c>
      <c r="B171" s="52">
        <v>386</v>
      </c>
      <c r="C171" s="52" t="s">
        <v>188</v>
      </c>
      <c r="D171" s="41">
        <f t="shared" si="69"/>
        <v>2</v>
      </c>
      <c r="E171" s="52" t="s">
        <v>136</v>
      </c>
      <c r="F171" s="52" t="s">
        <v>247</v>
      </c>
      <c r="G171" s="52" t="s">
        <v>163</v>
      </c>
      <c r="H171" s="52" t="s">
        <v>500</v>
      </c>
      <c r="I171" s="53">
        <v>45665</v>
      </c>
      <c r="J171" s="108">
        <v>4656</v>
      </c>
      <c r="K171" s="101"/>
      <c r="L171" s="101"/>
      <c r="M171" s="101">
        <f t="shared" si="70"/>
        <v>4656</v>
      </c>
      <c r="N171" s="54">
        <f t="shared" si="71"/>
        <v>4656</v>
      </c>
      <c r="O171" s="101" t="s">
        <v>443</v>
      </c>
      <c r="P171" s="102">
        <f t="shared" si="72"/>
        <v>2.6605714285714286</v>
      </c>
      <c r="Q171" s="102">
        <v>5</v>
      </c>
      <c r="R171" s="99">
        <v>350</v>
      </c>
      <c r="S171" s="55">
        <f t="shared" si="100"/>
        <v>45637</v>
      </c>
      <c r="T171" s="55">
        <v>45627</v>
      </c>
      <c r="U171" s="56">
        <f t="shared" ca="1" si="73"/>
        <v>10</v>
      </c>
      <c r="V171" s="55">
        <f t="shared" si="74"/>
        <v>45653</v>
      </c>
      <c r="W171" s="55"/>
      <c r="X171" s="56">
        <f t="shared" ca="1" si="75"/>
        <v>-187</v>
      </c>
      <c r="Y171" s="55"/>
      <c r="Z171" s="57"/>
      <c r="AA171" s="58" t="str">
        <f t="shared" si="76"/>
        <v>-</v>
      </c>
      <c r="AB171" s="59"/>
      <c r="AC171" s="58" t="str">
        <f t="shared" si="77"/>
        <v/>
      </c>
      <c r="AD171" s="59"/>
      <c r="AE171" s="58" t="str">
        <f t="shared" si="78"/>
        <v/>
      </c>
      <c r="AF171" s="59"/>
      <c r="AG171" s="58" t="str">
        <f t="shared" si="79"/>
        <v/>
      </c>
      <c r="AH171" s="59"/>
      <c r="AI171" s="58" t="str">
        <f t="shared" si="80"/>
        <v/>
      </c>
      <c r="AJ171" s="59"/>
      <c r="AK171" s="58" t="str">
        <f t="shared" si="81"/>
        <v/>
      </c>
      <c r="AL171" s="59"/>
      <c r="AM171" s="58" t="str">
        <f t="shared" si="82"/>
        <v/>
      </c>
      <c r="AN171" s="59"/>
      <c r="AO171" s="58" t="str">
        <f t="shared" si="83"/>
        <v/>
      </c>
      <c r="AP171" s="59"/>
      <c r="AQ171" s="58" t="str">
        <f t="shared" si="84"/>
        <v/>
      </c>
      <c r="AR171" s="59"/>
      <c r="AS171" s="58">
        <f t="shared" si="85"/>
        <v>4656</v>
      </c>
      <c r="AT171" s="59"/>
      <c r="AU171" s="58" t="str">
        <f t="shared" si="86"/>
        <v/>
      </c>
      <c r="AV171" s="59"/>
      <c r="AW171" s="58" t="str">
        <f t="shared" si="87"/>
        <v/>
      </c>
      <c r="AX171" s="59"/>
      <c r="AY171" s="58" t="str">
        <f t="shared" si="88"/>
        <v/>
      </c>
      <c r="AZ171" s="59"/>
      <c r="BA171" s="58" t="str">
        <f t="shared" si="89"/>
        <v/>
      </c>
      <c r="BB171" s="59"/>
      <c r="BC171" s="58" t="str">
        <f t="shared" si="90"/>
        <v/>
      </c>
      <c r="BD171" s="59"/>
      <c r="BE171" s="58" t="str">
        <f t="shared" si="91"/>
        <v/>
      </c>
      <c r="BF171" s="59"/>
      <c r="BG171" s="58" t="str">
        <f t="shared" si="92"/>
        <v/>
      </c>
      <c r="BH171" s="59"/>
      <c r="BI171" s="58" t="str">
        <f t="shared" si="93"/>
        <v/>
      </c>
      <c r="BJ171" s="59"/>
      <c r="BK171" s="58" t="str">
        <f t="shared" si="94"/>
        <v/>
      </c>
      <c r="BL171" s="59"/>
      <c r="BM171" s="58" t="str">
        <f t="shared" si="95"/>
        <v/>
      </c>
      <c r="BN171" s="59"/>
      <c r="BO171" s="58" t="str">
        <f t="shared" si="96"/>
        <v/>
      </c>
      <c r="BP171" s="59"/>
      <c r="BQ171" s="58" t="str">
        <f t="shared" si="97"/>
        <v/>
      </c>
      <c r="BR171" s="59"/>
      <c r="BS171" s="58" t="str">
        <f t="shared" si="98"/>
        <v/>
      </c>
      <c r="BT171" s="59"/>
      <c r="BU171" s="58" t="str">
        <f t="shared" si="99"/>
        <v/>
      </c>
      <c r="BV171" s="59"/>
    </row>
    <row r="172" spans="1:74" ht="14.5">
      <c r="A172" s="51" t="s">
        <v>58</v>
      </c>
      <c r="B172" s="52">
        <v>386</v>
      </c>
      <c r="C172" s="52" t="s">
        <v>188</v>
      </c>
      <c r="D172" s="41">
        <f t="shared" si="69"/>
        <v>2</v>
      </c>
      <c r="E172" s="52" t="s">
        <v>136</v>
      </c>
      <c r="F172" s="52" t="s">
        <v>247</v>
      </c>
      <c r="G172" s="52" t="s">
        <v>501</v>
      </c>
      <c r="H172" s="52" t="s">
        <v>500</v>
      </c>
      <c r="I172" s="53">
        <v>45665</v>
      </c>
      <c r="J172" s="108">
        <v>4656</v>
      </c>
      <c r="K172" s="101"/>
      <c r="L172" s="101"/>
      <c r="M172" s="101">
        <f t="shared" si="70"/>
        <v>4656</v>
      </c>
      <c r="N172" s="54">
        <f t="shared" si="71"/>
        <v>4656</v>
      </c>
      <c r="O172" s="101" t="s">
        <v>443</v>
      </c>
      <c r="P172" s="102">
        <f t="shared" si="72"/>
        <v>2.6605714285714286</v>
      </c>
      <c r="Q172" s="102">
        <v>5</v>
      </c>
      <c r="R172" s="99">
        <v>350</v>
      </c>
      <c r="S172" s="55">
        <f t="shared" si="100"/>
        <v>45637</v>
      </c>
      <c r="T172" s="55">
        <v>45627</v>
      </c>
      <c r="U172" s="56">
        <f t="shared" ca="1" si="73"/>
        <v>10</v>
      </c>
      <c r="V172" s="55">
        <f t="shared" si="74"/>
        <v>45653</v>
      </c>
      <c r="W172" s="55"/>
      <c r="X172" s="56">
        <f t="shared" ca="1" si="75"/>
        <v>-187</v>
      </c>
      <c r="Y172" s="55"/>
      <c r="Z172" s="57"/>
      <c r="AA172" s="58" t="str">
        <f t="shared" si="76"/>
        <v>-</v>
      </c>
      <c r="AB172" s="59"/>
      <c r="AC172" s="58" t="str">
        <f t="shared" si="77"/>
        <v/>
      </c>
      <c r="AD172" s="59"/>
      <c r="AE172" s="58" t="str">
        <f t="shared" si="78"/>
        <v/>
      </c>
      <c r="AF172" s="59"/>
      <c r="AG172" s="58" t="str">
        <f t="shared" si="79"/>
        <v/>
      </c>
      <c r="AH172" s="59"/>
      <c r="AI172" s="58" t="str">
        <f t="shared" si="80"/>
        <v/>
      </c>
      <c r="AJ172" s="59"/>
      <c r="AK172" s="58" t="str">
        <f t="shared" si="81"/>
        <v/>
      </c>
      <c r="AL172" s="59"/>
      <c r="AM172" s="58" t="str">
        <f t="shared" si="82"/>
        <v/>
      </c>
      <c r="AN172" s="59"/>
      <c r="AO172" s="58" t="str">
        <f t="shared" si="83"/>
        <v/>
      </c>
      <c r="AP172" s="59"/>
      <c r="AQ172" s="58" t="str">
        <f t="shared" si="84"/>
        <v/>
      </c>
      <c r="AR172" s="59"/>
      <c r="AS172" s="58">
        <f t="shared" si="85"/>
        <v>4656</v>
      </c>
      <c r="AT172" s="59"/>
      <c r="AU172" s="58" t="str">
        <f t="shared" si="86"/>
        <v/>
      </c>
      <c r="AV172" s="59"/>
      <c r="AW172" s="58" t="str">
        <f t="shared" si="87"/>
        <v/>
      </c>
      <c r="AX172" s="59"/>
      <c r="AY172" s="58" t="str">
        <f t="shared" si="88"/>
        <v/>
      </c>
      <c r="AZ172" s="59"/>
      <c r="BA172" s="58" t="str">
        <f t="shared" si="89"/>
        <v/>
      </c>
      <c r="BB172" s="59"/>
      <c r="BC172" s="58" t="str">
        <f t="shared" si="90"/>
        <v/>
      </c>
      <c r="BD172" s="59"/>
      <c r="BE172" s="58" t="str">
        <f t="shared" si="91"/>
        <v/>
      </c>
      <c r="BF172" s="59"/>
      <c r="BG172" s="58" t="str">
        <f t="shared" si="92"/>
        <v/>
      </c>
      <c r="BH172" s="59"/>
      <c r="BI172" s="58" t="str">
        <f t="shared" si="93"/>
        <v/>
      </c>
      <c r="BJ172" s="59"/>
      <c r="BK172" s="58" t="str">
        <f t="shared" si="94"/>
        <v/>
      </c>
      <c r="BL172" s="59"/>
      <c r="BM172" s="58" t="str">
        <f t="shared" si="95"/>
        <v/>
      </c>
      <c r="BN172" s="59"/>
      <c r="BO172" s="58" t="str">
        <f t="shared" si="96"/>
        <v/>
      </c>
      <c r="BP172" s="59"/>
      <c r="BQ172" s="58" t="str">
        <f t="shared" si="97"/>
        <v/>
      </c>
      <c r="BR172" s="59"/>
      <c r="BS172" s="58" t="str">
        <f t="shared" si="98"/>
        <v/>
      </c>
      <c r="BT172" s="59"/>
      <c r="BU172" s="58" t="str">
        <f t="shared" si="99"/>
        <v/>
      </c>
      <c r="BV172" s="59"/>
    </row>
    <row r="173" spans="1:74" ht="14.5">
      <c r="A173" s="51" t="s">
        <v>58</v>
      </c>
      <c r="B173" s="52">
        <v>386</v>
      </c>
      <c r="C173" s="52" t="s">
        <v>188</v>
      </c>
      <c r="D173" s="41">
        <f t="shared" si="69"/>
        <v>2</v>
      </c>
      <c r="E173" s="52" t="s">
        <v>195</v>
      </c>
      <c r="F173" s="52" t="s">
        <v>286</v>
      </c>
      <c r="G173" s="52" t="s">
        <v>162</v>
      </c>
      <c r="H173" s="52" t="s">
        <v>508</v>
      </c>
      <c r="I173" s="53">
        <v>45665</v>
      </c>
      <c r="J173" s="108">
        <v>4914</v>
      </c>
      <c r="K173" s="101"/>
      <c r="L173" s="101"/>
      <c r="M173" s="101">
        <f t="shared" si="70"/>
        <v>4914</v>
      </c>
      <c r="N173" s="54">
        <f t="shared" si="71"/>
        <v>4914</v>
      </c>
      <c r="O173" s="101" t="s">
        <v>431</v>
      </c>
      <c r="P173" s="102">
        <f t="shared" si="72"/>
        <v>6.8250000000000002</v>
      </c>
      <c r="Q173" s="102">
        <v>6</v>
      </c>
      <c r="R173" s="99">
        <v>120</v>
      </c>
      <c r="S173" s="55">
        <f t="shared" si="100"/>
        <v>45637</v>
      </c>
      <c r="T173" s="55">
        <v>45627</v>
      </c>
      <c r="U173" s="56">
        <f t="shared" ca="1" si="73"/>
        <v>10</v>
      </c>
      <c r="V173" s="55">
        <f t="shared" si="74"/>
        <v>45653</v>
      </c>
      <c r="W173" s="55"/>
      <c r="X173" s="56">
        <f t="shared" ca="1" si="75"/>
        <v>-187</v>
      </c>
      <c r="Y173" s="55"/>
      <c r="Z173" s="57"/>
      <c r="AA173" s="58" t="str">
        <f t="shared" si="76"/>
        <v>-</v>
      </c>
      <c r="AB173" s="59"/>
      <c r="AC173" s="58" t="str">
        <f t="shared" si="77"/>
        <v/>
      </c>
      <c r="AD173" s="59"/>
      <c r="AE173" s="58" t="str">
        <f t="shared" si="78"/>
        <v/>
      </c>
      <c r="AF173" s="59"/>
      <c r="AG173" s="58" t="str">
        <f t="shared" si="79"/>
        <v/>
      </c>
      <c r="AH173" s="59"/>
      <c r="AI173" s="58" t="str">
        <f t="shared" si="80"/>
        <v/>
      </c>
      <c r="AJ173" s="59"/>
      <c r="AK173" s="58" t="str">
        <f t="shared" si="81"/>
        <v/>
      </c>
      <c r="AL173" s="59"/>
      <c r="AM173" s="58" t="str">
        <f t="shared" si="82"/>
        <v/>
      </c>
      <c r="AN173" s="59"/>
      <c r="AO173" s="58" t="str">
        <f t="shared" si="83"/>
        <v/>
      </c>
      <c r="AP173" s="59"/>
      <c r="AQ173" s="58" t="str">
        <f t="shared" si="84"/>
        <v/>
      </c>
      <c r="AR173" s="59"/>
      <c r="AS173" s="58">
        <f t="shared" si="85"/>
        <v>4914</v>
      </c>
      <c r="AT173" s="59"/>
      <c r="AU173" s="58" t="str">
        <f t="shared" si="86"/>
        <v/>
      </c>
      <c r="AV173" s="59"/>
      <c r="AW173" s="58" t="str">
        <f t="shared" si="87"/>
        <v/>
      </c>
      <c r="AX173" s="59"/>
      <c r="AY173" s="58" t="str">
        <f t="shared" si="88"/>
        <v/>
      </c>
      <c r="AZ173" s="59"/>
      <c r="BA173" s="58" t="str">
        <f t="shared" si="89"/>
        <v/>
      </c>
      <c r="BB173" s="59"/>
      <c r="BC173" s="58" t="str">
        <f t="shared" si="90"/>
        <v/>
      </c>
      <c r="BD173" s="59"/>
      <c r="BE173" s="58" t="str">
        <f t="shared" si="91"/>
        <v/>
      </c>
      <c r="BF173" s="59"/>
      <c r="BG173" s="58" t="str">
        <f t="shared" si="92"/>
        <v/>
      </c>
      <c r="BH173" s="59"/>
      <c r="BI173" s="58" t="str">
        <f t="shared" si="93"/>
        <v/>
      </c>
      <c r="BJ173" s="59"/>
      <c r="BK173" s="58" t="str">
        <f t="shared" si="94"/>
        <v/>
      </c>
      <c r="BL173" s="59"/>
      <c r="BM173" s="58" t="str">
        <f t="shared" si="95"/>
        <v/>
      </c>
      <c r="BN173" s="59"/>
      <c r="BO173" s="58" t="str">
        <f t="shared" si="96"/>
        <v/>
      </c>
      <c r="BP173" s="59"/>
      <c r="BQ173" s="58" t="str">
        <f t="shared" si="97"/>
        <v/>
      </c>
      <c r="BR173" s="59"/>
      <c r="BS173" s="58" t="str">
        <f t="shared" si="98"/>
        <v/>
      </c>
      <c r="BT173" s="59"/>
      <c r="BU173" s="58" t="str">
        <f t="shared" si="99"/>
        <v/>
      </c>
      <c r="BV173" s="59"/>
    </row>
    <row r="174" spans="1:74" ht="14.5">
      <c r="A174" s="51" t="s">
        <v>58</v>
      </c>
      <c r="B174" s="52">
        <v>386</v>
      </c>
      <c r="C174" s="52" t="s">
        <v>188</v>
      </c>
      <c r="D174" s="41">
        <f t="shared" si="69"/>
        <v>2</v>
      </c>
      <c r="E174" s="52" t="s">
        <v>391</v>
      </c>
      <c r="F174" s="52" t="s">
        <v>392</v>
      </c>
      <c r="G174" s="52" t="s">
        <v>393</v>
      </c>
      <c r="H174" s="52" t="s">
        <v>433</v>
      </c>
      <c r="I174" s="53">
        <v>45665</v>
      </c>
      <c r="J174" s="108">
        <v>1764</v>
      </c>
      <c r="K174" s="101"/>
      <c r="L174" s="101"/>
      <c r="M174" s="101">
        <f t="shared" si="70"/>
        <v>1764</v>
      </c>
      <c r="N174" s="54">
        <f t="shared" si="71"/>
        <v>1764</v>
      </c>
      <c r="O174" s="101" t="s">
        <v>178</v>
      </c>
      <c r="P174" s="102">
        <f t="shared" si="72"/>
        <v>3.6749999999999998</v>
      </c>
      <c r="Q174" s="102">
        <v>6</v>
      </c>
      <c r="R174" s="99">
        <v>80</v>
      </c>
      <c r="S174" s="55">
        <f t="shared" si="100"/>
        <v>45637</v>
      </c>
      <c r="T174" s="55">
        <v>45627</v>
      </c>
      <c r="U174" s="56">
        <f t="shared" ca="1" si="73"/>
        <v>10</v>
      </c>
      <c r="V174" s="55">
        <f t="shared" si="74"/>
        <v>45653</v>
      </c>
      <c r="W174" s="55"/>
      <c r="X174" s="56">
        <f t="shared" ca="1" si="75"/>
        <v>-187</v>
      </c>
      <c r="Y174" s="55"/>
      <c r="Z174" s="57"/>
      <c r="AA174" s="58" t="str">
        <f t="shared" si="76"/>
        <v>-</v>
      </c>
      <c r="AB174" s="59"/>
      <c r="AC174" s="58" t="str">
        <f t="shared" si="77"/>
        <v/>
      </c>
      <c r="AD174" s="59"/>
      <c r="AE174" s="58" t="str">
        <f t="shared" si="78"/>
        <v/>
      </c>
      <c r="AF174" s="59"/>
      <c r="AG174" s="58" t="str">
        <f t="shared" si="79"/>
        <v/>
      </c>
      <c r="AH174" s="59"/>
      <c r="AI174" s="58" t="str">
        <f t="shared" si="80"/>
        <v/>
      </c>
      <c r="AJ174" s="59"/>
      <c r="AK174" s="58" t="str">
        <f t="shared" si="81"/>
        <v/>
      </c>
      <c r="AL174" s="59"/>
      <c r="AM174" s="58" t="str">
        <f t="shared" si="82"/>
        <v/>
      </c>
      <c r="AN174" s="59"/>
      <c r="AO174" s="58" t="str">
        <f t="shared" si="83"/>
        <v/>
      </c>
      <c r="AP174" s="59"/>
      <c r="AQ174" s="58" t="str">
        <f t="shared" si="84"/>
        <v/>
      </c>
      <c r="AR174" s="59"/>
      <c r="AS174" s="58">
        <f t="shared" si="85"/>
        <v>1764</v>
      </c>
      <c r="AT174" s="59"/>
      <c r="AU174" s="58" t="str">
        <f t="shared" si="86"/>
        <v/>
      </c>
      <c r="AV174" s="59"/>
      <c r="AW174" s="58" t="str">
        <f t="shared" si="87"/>
        <v/>
      </c>
      <c r="AX174" s="59"/>
      <c r="AY174" s="58" t="str">
        <f t="shared" si="88"/>
        <v/>
      </c>
      <c r="AZ174" s="59"/>
      <c r="BA174" s="58" t="str">
        <f t="shared" si="89"/>
        <v/>
      </c>
      <c r="BB174" s="59"/>
      <c r="BC174" s="58" t="str">
        <f t="shared" si="90"/>
        <v/>
      </c>
      <c r="BD174" s="59"/>
      <c r="BE174" s="58" t="str">
        <f t="shared" si="91"/>
        <v/>
      </c>
      <c r="BF174" s="59"/>
      <c r="BG174" s="58" t="str">
        <f t="shared" si="92"/>
        <v/>
      </c>
      <c r="BH174" s="59"/>
      <c r="BI174" s="58" t="str">
        <f t="shared" si="93"/>
        <v/>
      </c>
      <c r="BJ174" s="59"/>
      <c r="BK174" s="58" t="str">
        <f t="shared" si="94"/>
        <v/>
      </c>
      <c r="BL174" s="59"/>
      <c r="BM174" s="58" t="str">
        <f t="shared" si="95"/>
        <v/>
      </c>
      <c r="BN174" s="59"/>
      <c r="BO174" s="58" t="str">
        <f t="shared" si="96"/>
        <v/>
      </c>
      <c r="BP174" s="59"/>
      <c r="BQ174" s="58" t="str">
        <f t="shared" si="97"/>
        <v/>
      </c>
      <c r="BR174" s="59"/>
      <c r="BS174" s="58" t="str">
        <f t="shared" si="98"/>
        <v/>
      </c>
      <c r="BT174" s="59"/>
      <c r="BU174" s="58" t="str">
        <f t="shared" si="99"/>
        <v/>
      </c>
      <c r="BV174" s="59"/>
    </row>
    <row r="175" spans="1:74" ht="14.5">
      <c r="A175" s="51" t="s">
        <v>446</v>
      </c>
      <c r="B175" s="52">
        <v>324</v>
      </c>
      <c r="C175" s="52" t="s">
        <v>400</v>
      </c>
      <c r="D175" s="41">
        <f t="shared" si="69"/>
        <v>2</v>
      </c>
      <c r="E175" s="52" t="s">
        <v>409</v>
      </c>
      <c r="F175" s="52" t="s">
        <v>487</v>
      </c>
      <c r="G175" s="52" t="s">
        <v>244</v>
      </c>
      <c r="H175" s="52" t="s">
        <v>509</v>
      </c>
      <c r="I175" s="53">
        <v>45665</v>
      </c>
      <c r="J175" s="108">
        <v>6000</v>
      </c>
      <c r="K175" s="101"/>
      <c r="L175" s="101"/>
      <c r="M175" s="101">
        <f t="shared" si="70"/>
        <v>6000</v>
      </c>
      <c r="N175" s="54">
        <f t="shared" si="71"/>
        <v>6000</v>
      </c>
      <c r="O175" s="101" t="s">
        <v>443</v>
      </c>
      <c r="P175" s="102">
        <f t="shared" si="72"/>
        <v>12.5</v>
      </c>
      <c r="Q175" s="102">
        <v>6</v>
      </c>
      <c r="R175" s="99">
        <v>80</v>
      </c>
      <c r="S175" s="55">
        <f>+I175-(32)</f>
        <v>45633</v>
      </c>
      <c r="T175" s="55">
        <v>45626</v>
      </c>
      <c r="U175" s="56">
        <f t="shared" ca="1" si="73"/>
        <v>7</v>
      </c>
      <c r="V175" s="55">
        <f t="shared" si="74"/>
        <v>45649</v>
      </c>
      <c r="W175" s="55"/>
      <c r="X175" s="56">
        <f t="shared" ca="1" si="75"/>
        <v>-191</v>
      </c>
      <c r="Y175" s="55"/>
      <c r="Z175" s="57"/>
      <c r="AA175" s="58" t="str">
        <f t="shared" si="76"/>
        <v>-</v>
      </c>
      <c r="AB175" s="59"/>
      <c r="AC175" s="58" t="str">
        <f t="shared" si="77"/>
        <v/>
      </c>
      <c r="AD175" s="59"/>
      <c r="AE175" s="58" t="str">
        <f t="shared" si="78"/>
        <v/>
      </c>
      <c r="AF175" s="59"/>
      <c r="AG175" s="58" t="str">
        <f t="shared" si="79"/>
        <v/>
      </c>
      <c r="AH175" s="59"/>
      <c r="AI175" s="58" t="str">
        <f t="shared" si="80"/>
        <v/>
      </c>
      <c r="AJ175" s="59"/>
      <c r="AK175" s="58" t="str">
        <f t="shared" si="81"/>
        <v/>
      </c>
      <c r="AL175" s="59"/>
      <c r="AM175" s="58" t="str">
        <f t="shared" si="82"/>
        <v/>
      </c>
      <c r="AN175" s="59"/>
      <c r="AO175" s="58" t="str">
        <f t="shared" si="83"/>
        <v/>
      </c>
      <c r="AP175" s="59"/>
      <c r="AQ175" s="58">
        <f t="shared" si="84"/>
        <v>6000</v>
      </c>
      <c r="AR175" s="59"/>
      <c r="AS175" s="58" t="str">
        <f t="shared" si="85"/>
        <v/>
      </c>
      <c r="AT175" s="59"/>
      <c r="AU175" s="58" t="str">
        <f t="shared" si="86"/>
        <v/>
      </c>
      <c r="AV175" s="59"/>
      <c r="AW175" s="58" t="str">
        <f t="shared" si="87"/>
        <v/>
      </c>
      <c r="AX175" s="59"/>
      <c r="AY175" s="58" t="str">
        <f t="shared" si="88"/>
        <v/>
      </c>
      <c r="AZ175" s="59"/>
      <c r="BA175" s="58" t="str">
        <f t="shared" si="89"/>
        <v/>
      </c>
      <c r="BB175" s="59"/>
      <c r="BC175" s="58" t="str">
        <f t="shared" si="90"/>
        <v/>
      </c>
      <c r="BD175" s="59"/>
      <c r="BE175" s="58" t="str">
        <f t="shared" si="91"/>
        <v/>
      </c>
      <c r="BF175" s="59"/>
      <c r="BG175" s="58" t="str">
        <f t="shared" si="92"/>
        <v/>
      </c>
      <c r="BH175" s="59"/>
      <c r="BI175" s="58" t="str">
        <f t="shared" si="93"/>
        <v/>
      </c>
      <c r="BJ175" s="59"/>
      <c r="BK175" s="58" t="str">
        <f t="shared" si="94"/>
        <v/>
      </c>
      <c r="BL175" s="59"/>
      <c r="BM175" s="58" t="str">
        <f t="shared" si="95"/>
        <v/>
      </c>
      <c r="BN175" s="59"/>
      <c r="BO175" s="58" t="str">
        <f t="shared" si="96"/>
        <v/>
      </c>
      <c r="BP175" s="59"/>
      <c r="BQ175" s="58" t="str">
        <f t="shared" si="97"/>
        <v/>
      </c>
      <c r="BR175" s="59"/>
      <c r="BS175" s="58" t="str">
        <f t="shared" si="98"/>
        <v/>
      </c>
      <c r="BT175" s="59"/>
      <c r="BU175" s="58" t="str">
        <f t="shared" si="99"/>
        <v/>
      </c>
      <c r="BV175" s="59"/>
    </row>
    <row r="176" spans="1:74" ht="14.5">
      <c r="A176" s="51" t="s">
        <v>446</v>
      </c>
      <c r="B176" s="52">
        <v>324</v>
      </c>
      <c r="C176" s="52" t="s">
        <v>400</v>
      </c>
      <c r="D176" s="41">
        <f t="shared" si="69"/>
        <v>2</v>
      </c>
      <c r="E176" s="52" t="s">
        <v>510</v>
      </c>
      <c r="F176" s="52" t="s">
        <v>468</v>
      </c>
      <c r="G176" s="52" t="s">
        <v>238</v>
      </c>
      <c r="H176" s="52" t="s">
        <v>511</v>
      </c>
      <c r="I176" s="53">
        <v>45665</v>
      </c>
      <c r="J176" s="108">
        <v>300</v>
      </c>
      <c r="K176" s="101"/>
      <c r="L176" s="101"/>
      <c r="M176" s="101">
        <f t="shared" si="70"/>
        <v>300</v>
      </c>
      <c r="N176" s="54">
        <f t="shared" si="71"/>
        <v>300</v>
      </c>
      <c r="O176" s="101" t="s">
        <v>178</v>
      </c>
      <c r="P176" s="102">
        <f t="shared" si="72"/>
        <v>0.625</v>
      </c>
      <c r="Q176" s="102">
        <v>6</v>
      </c>
      <c r="R176" s="99">
        <v>80</v>
      </c>
      <c r="S176" s="55">
        <f>+I176-(32)</f>
        <v>45633</v>
      </c>
      <c r="T176" s="55">
        <v>45626</v>
      </c>
      <c r="U176" s="56">
        <f t="shared" ca="1" si="73"/>
        <v>7</v>
      </c>
      <c r="V176" s="55">
        <f t="shared" si="74"/>
        <v>45649</v>
      </c>
      <c r="W176" s="55"/>
      <c r="X176" s="56">
        <f t="shared" ca="1" si="75"/>
        <v>-191</v>
      </c>
      <c r="Y176" s="55"/>
      <c r="Z176" s="57"/>
      <c r="AA176" s="58" t="str">
        <f t="shared" si="76"/>
        <v>-</v>
      </c>
      <c r="AB176" s="59"/>
      <c r="AC176" s="58" t="str">
        <f t="shared" si="77"/>
        <v/>
      </c>
      <c r="AD176" s="59"/>
      <c r="AE176" s="58" t="str">
        <f t="shared" si="78"/>
        <v/>
      </c>
      <c r="AF176" s="59"/>
      <c r="AG176" s="58" t="str">
        <f t="shared" si="79"/>
        <v/>
      </c>
      <c r="AH176" s="59"/>
      <c r="AI176" s="58" t="str">
        <f t="shared" si="80"/>
        <v/>
      </c>
      <c r="AJ176" s="59"/>
      <c r="AK176" s="58" t="str">
        <f t="shared" si="81"/>
        <v/>
      </c>
      <c r="AL176" s="59"/>
      <c r="AM176" s="58" t="str">
        <f t="shared" si="82"/>
        <v/>
      </c>
      <c r="AN176" s="59"/>
      <c r="AO176" s="58" t="str">
        <f t="shared" si="83"/>
        <v/>
      </c>
      <c r="AP176" s="59"/>
      <c r="AQ176" s="58">
        <f t="shared" si="84"/>
        <v>300</v>
      </c>
      <c r="AR176" s="59"/>
      <c r="AS176" s="58" t="str">
        <f t="shared" si="85"/>
        <v/>
      </c>
      <c r="AT176" s="59"/>
      <c r="AU176" s="58" t="str">
        <f t="shared" si="86"/>
        <v/>
      </c>
      <c r="AV176" s="59"/>
      <c r="AW176" s="58" t="str">
        <f t="shared" si="87"/>
        <v/>
      </c>
      <c r="AX176" s="59"/>
      <c r="AY176" s="58" t="str">
        <f t="shared" si="88"/>
        <v/>
      </c>
      <c r="AZ176" s="59"/>
      <c r="BA176" s="58" t="str">
        <f t="shared" si="89"/>
        <v/>
      </c>
      <c r="BB176" s="59"/>
      <c r="BC176" s="58" t="str">
        <f t="shared" si="90"/>
        <v/>
      </c>
      <c r="BD176" s="59"/>
      <c r="BE176" s="58" t="str">
        <f t="shared" si="91"/>
        <v/>
      </c>
      <c r="BF176" s="59"/>
      <c r="BG176" s="58" t="str">
        <f t="shared" si="92"/>
        <v/>
      </c>
      <c r="BH176" s="59"/>
      <c r="BI176" s="58" t="str">
        <f t="shared" si="93"/>
        <v/>
      </c>
      <c r="BJ176" s="59"/>
      <c r="BK176" s="58" t="str">
        <f t="shared" si="94"/>
        <v/>
      </c>
      <c r="BL176" s="59"/>
      <c r="BM176" s="58" t="str">
        <f t="shared" si="95"/>
        <v/>
      </c>
      <c r="BN176" s="59"/>
      <c r="BO176" s="58" t="str">
        <f t="shared" si="96"/>
        <v/>
      </c>
      <c r="BP176" s="59"/>
      <c r="BQ176" s="58" t="str">
        <f t="shared" si="97"/>
        <v/>
      </c>
      <c r="BR176" s="59"/>
      <c r="BS176" s="58" t="str">
        <f t="shared" si="98"/>
        <v/>
      </c>
      <c r="BT176" s="59"/>
      <c r="BU176" s="58" t="str">
        <f t="shared" si="99"/>
        <v/>
      </c>
      <c r="BV176" s="59"/>
    </row>
    <row r="177" spans="1:74" ht="14.5">
      <c r="A177" s="51" t="s">
        <v>446</v>
      </c>
      <c r="B177" s="52">
        <v>324</v>
      </c>
      <c r="C177" s="52" t="s">
        <v>400</v>
      </c>
      <c r="D177" s="41">
        <f t="shared" si="69"/>
        <v>2</v>
      </c>
      <c r="E177" s="52" t="s">
        <v>510</v>
      </c>
      <c r="F177" s="52" t="s">
        <v>468</v>
      </c>
      <c r="G177" s="52" t="s">
        <v>155</v>
      </c>
      <c r="H177" s="52" t="s">
        <v>512</v>
      </c>
      <c r="I177" s="53">
        <v>45665</v>
      </c>
      <c r="J177" s="108">
        <v>600</v>
      </c>
      <c r="K177" s="101"/>
      <c r="L177" s="101"/>
      <c r="M177" s="101">
        <f t="shared" si="70"/>
        <v>600</v>
      </c>
      <c r="N177" s="54">
        <f t="shared" si="71"/>
        <v>600</v>
      </c>
      <c r="O177" s="101" t="s">
        <v>178</v>
      </c>
      <c r="P177" s="102">
        <f t="shared" si="72"/>
        <v>1.25</v>
      </c>
      <c r="Q177" s="102">
        <v>6</v>
      </c>
      <c r="R177" s="99">
        <v>80</v>
      </c>
      <c r="S177" s="55">
        <f>+I177-(32)</f>
        <v>45633</v>
      </c>
      <c r="T177" s="55">
        <v>45626</v>
      </c>
      <c r="U177" s="56">
        <f t="shared" ca="1" si="73"/>
        <v>7</v>
      </c>
      <c r="V177" s="55">
        <f t="shared" si="74"/>
        <v>45649</v>
      </c>
      <c r="W177" s="55"/>
      <c r="X177" s="56">
        <f t="shared" ca="1" si="75"/>
        <v>-191</v>
      </c>
      <c r="Y177" s="55"/>
      <c r="Z177" s="57"/>
      <c r="AA177" s="58" t="str">
        <f t="shared" si="76"/>
        <v>-</v>
      </c>
      <c r="AB177" s="59"/>
      <c r="AC177" s="58" t="str">
        <f t="shared" si="77"/>
        <v/>
      </c>
      <c r="AD177" s="59"/>
      <c r="AE177" s="58" t="str">
        <f t="shared" si="78"/>
        <v/>
      </c>
      <c r="AF177" s="59"/>
      <c r="AG177" s="58" t="str">
        <f t="shared" si="79"/>
        <v/>
      </c>
      <c r="AH177" s="59"/>
      <c r="AI177" s="58" t="str">
        <f t="shared" si="80"/>
        <v/>
      </c>
      <c r="AJ177" s="59"/>
      <c r="AK177" s="58" t="str">
        <f t="shared" si="81"/>
        <v/>
      </c>
      <c r="AL177" s="59"/>
      <c r="AM177" s="58" t="str">
        <f t="shared" si="82"/>
        <v/>
      </c>
      <c r="AN177" s="59"/>
      <c r="AO177" s="58" t="str">
        <f t="shared" si="83"/>
        <v/>
      </c>
      <c r="AP177" s="59"/>
      <c r="AQ177" s="58">
        <f t="shared" si="84"/>
        <v>600</v>
      </c>
      <c r="AR177" s="59"/>
      <c r="AS177" s="58" t="str">
        <f t="shared" si="85"/>
        <v/>
      </c>
      <c r="AT177" s="59"/>
      <c r="AU177" s="58" t="str">
        <f t="shared" si="86"/>
        <v/>
      </c>
      <c r="AV177" s="59"/>
      <c r="AW177" s="58" t="str">
        <f t="shared" si="87"/>
        <v/>
      </c>
      <c r="AX177" s="59"/>
      <c r="AY177" s="58" t="str">
        <f t="shared" si="88"/>
        <v/>
      </c>
      <c r="AZ177" s="59"/>
      <c r="BA177" s="58" t="str">
        <f t="shared" si="89"/>
        <v/>
      </c>
      <c r="BB177" s="59"/>
      <c r="BC177" s="58" t="str">
        <f t="shared" si="90"/>
        <v/>
      </c>
      <c r="BD177" s="59"/>
      <c r="BE177" s="58" t="str">
        <f t="shared" si="91"/>
        <v/>
      </c>
      <c r="BF177" s="59"/>
      <c r="BG177" s="58" t="str">
        <f t="shared" si="92"/>
        <v/>
      </c>
      <c r="BH177" s="59"/>
      <c r="BI177" s="58" t="str">
        <f t="shared" si="93"/>
        <v/>
      </c>
      <c r="BJ177" s="59"/>
      <c r="BK177" s="58" t="str">
        <f t="shared" si="94"/>
        <v/>
      </c>
      <c r="BL177" s="59"/>
      <c r="BM177" s="58" t="str">
        <f t="shared" si="95"/>
        <v/>
      </c>
      <c r="BN177" s="59"/>
      <c r="BO177" s="58" t="str">
        <f t="shared" si="96"/>
        <v/>
      </c>
      <c r="BP177" s="59"/>
      <c r="BQ177" s="58" t="str">
        <f t="shared" si="97"/>
        <v/>
      </c>
      <c r="BR177" s="59"/>
      <c r="BS177" s="58" t="str">
        <f t="shared" si="98"/>
        <v/>
      </c>
      <c r="BT177" s="59"/>
      <c r="BU177" s="58" t="str">
        <f t="shared" si="99"/>
        <v/>
      </c>
      <c r="BV177" s="59"/>
    </row>
    <row r="178" spans="1:74" ht="14.5">
      <c r="A178" s="51" t="s">
        <v>58</v>
      </c>
      <c r="B178" s="52">
        <v>359</v>
      </c>
      <c r="C178" s="52" t="s">
        <v>188</v>
      </c>
      <c r="D178" s="41">
        <f t="shared" si="69"/>
        <v>2</v>
      </c>
      <c r="E178" s="52" t="s">
        <v>157</v>
      </c>
      <c r="F178" s="52" t="s">
        <v>243</v>
      </c>
      <c r="G178" s="52" t="s">
        <v>162</v>
      </c>
      <c r="H178" s="52" t="s">
        <v>428</v>
      </c>
      <c r="I178" s="53">
        <v>45665</v>
      </c>
      <c r="J178" s="108">
        <v>3708</v>
      </c>
      <c r="K178" s="101"/>
      <c r="L178" s="101"/>
      <c r="M178" s="101">
        <f t="shared" si="70"/>
        <v>3708</v>
      </c>
      <c r="N178" s="54">
        <f t="shared" si="71"/>
        <v>3708</v>
      </c>
      <c r="O178" s="101" t="s">
        <v>429</v>
      </c>
      <c r="P178" s="102">
        <f t="shared" si="72"/>
        <v>0.61799999999999999</v>
      </c>
      <c r="Q178" s="102">
        <v>6</v>
      </c>
      <c r="R178" s="99">
        <v>1000</v>
      </c>
      <c r="S178" s="55">
        <f t="shared" ref="S178:S218" si="101">+I178-(28)</f>
        <v>45637</v>
      </c>
      <c r="T178" s="55">
        <v>45635</v>
      </c>
      <c r="U178" s="56">
        <f t="shared" ca="1" si="73"/>
        <v>2</v>
      </c>
      <c r="V178" s="55">
        <f t="shared" si="74"/>
        <v>45653</v>
      </c>
      <c r="W178" s="55"/>
      <c r="X178" s="56">
        <f t="shared" ca="1" si="75"/>
        <v>-187</v>
      </c>
      <c r="Y178" s="55"/>
      <c r="Z178" s="57"/>
      <c r="AA178" s="58" t="str">
        <f t="shared" si="76"/>
        <v>-</v>
      </c>
      <c r="AB178" s="59"/>
      <c r="AC178" s="58" t="str">
        <f t="shared" si="77"/>
        <v/>
      </c>
      <c r="AD178" s="59"/>
      <c r="AE178" s="58" t="str">
        <f t="shared" si="78"/>
        <v/>
      </c>
      <c r="AF178" s="59"/>
      <c r="AG178" s="58" t="str">
        <f t="shared" si="79"/>
        <v/>
      </c>
      <c r="AH178" s="59"/>
      <c r="AI178" s="58" t="str">
        <f t="shared" si="80"/>
        <v/>
      </c>
      <c r="AJ178" s="59"/>
      <c r="AK178" s="58" t="str">
        <f t="shared" si="81"/>
        <v/>
      </c>
      <c r="AL178" s="59"/>
      <c r="AM178" s="58" t="str">
        <f t="shared" si="82"/>
        <v/>
      </c>
      <c r="AN178" s="59"/>
      <c r="AO178" s="58" t="str">
        <f t="shared" si="83"/>
        <v/>
      </c>
      <c r="AP178" s="59"/>
      <c r="AQ178" s="58" t="str">
        <f t="shared" si="84"/>
        <v/>
      </c>
      <c r="AR178" s="59"/>
      <c r="AS178" s="58">
        <f t="shared" si="85"/>
        <v>3708</v>
      </c>
      <c r="AT178" s="59"/>
      <c r="AU178" s="58" t="str">
        <f t="shared" si="86"/>
        <v/>
      </c>
      <c r="AV178" s="59"/>
      <c r="AW178" s="58" t="str">
        <f t="shared" si="87"/>
        <v/>
      </c>
      <c r="AX178" s="59"/>
      <c r="AY178" s="58" t="str">
        <f t="shared" si="88"/>
        <v/>
      </c>
      <c r="AZ178" s="59"/>
      <c r="BA178" s="58" t="str">
        <f t="shared" si="89"/>
        <v/>
      </c>
      <c r="BB178" s="59"/>
      <c r="BC178" s="58" t="str">
        <f t="shared" si="90"/>
        <v/>
      </c>
      <c r="BD178" s="59"/>
      <c r="BE178" s="58" t="str">
        <f t="shared" si="91"/>
        <v/>
      </c>
      <c r="BF178" s="59"/>
      <c r="BG178" s="58" t="str">
        <f t="shared" si="92"/>
        <v/>
      </c>
      <c r="BH178" s="59"/>
      <c r="BI178" s="58" t="str">
        <f t="shared" si="93"/>
        <v/>
      </c>
      <c r="BJ178" s="59"/>
      <c r="BK178" s="58" t="str">
        <f t="shared" si="94"/>
        <v/>
      </c>
      <c r="BL178" s="59"/>
      <c r="BM178" s="58" t="str">
        <f t="shared" si="95"/>
        <v/>
      </c>
      <c r="BN178" s="59"/>
      <c r="BO178" s="58" t="str">
        <f t="shared" si="96"/>
        <v/>
      </c>
      <c r="BP178" s="59"/>
      <c r="BQ178" s="58" t="str">
        <f t="shared" si="97"/>
        <v/>
      </c>
      <c r="BR178" s="59"/>
      <c r="BS178" s="58" t="str">
        <f t="shared" si="98"/>
        <v/>
      </c>
      <c r="BT178" s="59"/>
      <c r="BU178" s="58" t="str">
        <f t="shared" si="99"/>
        <v/>
      </c>
      <c r="BV178" s="59"/>
    </row>
    <row r="179" spans="1:74" ht="14.5">
      <c r="A179" s="51" t="s">
        <v>58</v>
      </c>
      <c r="B179" s="52">
        <v>359</v>
      </c>
      <c r="C179" s="52" t="s">
        <v>188</v>
      </c>
      <c r="D179" s="41">
        <f t="shared" si="69"/>
        <v>2</v>
      </c>
      <c r="E179" s="52" t="s">
        <v>158</v>
      </c>
      <c r="F179" s="52" t="s">
        <v>242</v>
      </c>
      <c r="G179" s="52" t="s">
        <v>155</v>
      </c>
      <c r="H179" s="52" t="s">
        <v>432</v>
      </c>
      <c r="I179" s="53">
        <v>45665</v>
      </c>
      <c r="J179" s="108">
        <v>1116</v>
      </c>
      <c r="K179" s="101"/>
      <c r="L179" s="101"/>
      <c r="M179" s="101">
        <f t="shared" si="70"/>
        <v>1116</v>
      </c>
      <c r="N179" s="54">
        <f t="shared" si="71"/>
        <v>1116</v>
      </c>
      <c r="O179" s="101" t="s">
        <v>437</v>
      </c>
      <c r="P179" s="102">
        <f t="shared" si="72"/>
        <v>1.55</v>
      </c>
      <c r="Q179" s="102">
        <v>6</v>
      </c>
      <c r="R179" s="99">
        <v>120</v>
      </c>
      <c r="S179" s="55">
        <f t="shared" si="101"/>
        <v>45637</v>
      </c>
      <c r="T179" s="55">
        <v>45635</v>
      </c>
      <c r="U179" s="56">
        <f t="shared" ca="1" si="73"/>
        <v>2</v>
      </c>
      <c r="V179" s="55">
        <f t="shared" si="74"/>
        <v>45653</v>
      </c>
      <c r="W179" s="55"/>
      <c r="X179" s="56">
        <f t="shared" ca="1" si="75"/>
        <v>-187</v>
      </c>
      <c r="Y179" s="55"/>
      <c r="Z179" s="57"/>
      <c r="AA179" s="58" t="str">
        <f t="shared" si="76"/>
        <v>-</v>
      </c>
      <c r="AB179" s="59"/>
      <c r="AC179" s="58" t="str">
        <f t="shared" si="77"/>
        <v/>
      </c>
      <c r="AD179" s="59"/>
      <c r="AE179" s="58" t="str">
        <f t="shared" si="78"/>
        <v/>
      </c>
      <c r="AF179" s="59"/>
      <c r="AG179" s="58" t="str">
        <f t="shared" si="79"/>
        <v/>
      </c>
      <c r="AH179" s="59"/>
      <c r="AI179" s="58" t="str">
        <f t="shared" si="80"/>
        <v/>
      </c>
      <c r="AJ179" s="59"/>
      <c r="AK179" s="58" t="str">
        <f t="shared" si="81"/>
        <v/>
      </c>
      <c r="AL179" s="59"/>
      <c r="AM179" s="58" t="str">
        <f t="shared" si="82"/>
        <v/>
      </c>
      <c r="AN179" s="59"/>
      <c r="AO179" s="58" t="str">
        <f t="shared" si="83"/>
        <v/>
      </c>
      <c r="AP179" s="59"/>
      <c r="AQ179" s="58" t="str">
        <f t="shared" si="84"/>
        <v/>
      </c>
      <c r="AR179" s="59"/>
      <c r="AS179" s="58">
        <f t="shared" si="85"/>
        <v>1116</v>
      </c>
      <c r="AT179" s="59"/>
      <c r="AU179" s="58" t="str">
        <f t="shared" si="86"/>
        <v/>
      </c>
      <c r="AV179" s="59"/>
      <c r="AW179" s="58" t="str">
        <f t="shared" si="87"/>
        <v/>
      </c>
      <c r="AX179" s="59"/>
      <c r="AY179" s="58" t="str">
        <f t="shared" si="88"/>
        <v/>
      </c>
      <c r="AZ179" s="59"/>
      <c r="BA179" s="58" t="str">
        <f t="shared" si="89"/>
        <v/>
      </c>
      <c r="BB179" s="59"/>
      <c r="BC179" s="58" t="str">
        <f t="shared" si="90"/>
        <v/>
      </c>
      <c r="BD179" s="59"/>
      <c r="BE179" s="58" t="str">
        <f t="shared" si="91"/>
        <v/>
      </c>
      <c r="BF179" s="59"/>
      <c r="BG179" s="58" t="str">
        <f t="shared" si="92"/>
        <v/>
      </c>
      <c r="BH179" s="59"/>
      <c r="BI179" s="58" t="str">
        <f t="shared" si="93"/>
        <v/>
      </c>
      <c r="BJ179" s="59"/>
      <c r="BK179" s="58" t="str">
        <f t="shared" si="94"/>
        <v/>
      </c>
      <c r="BL179" s="59"/>
      <c r="BM179" s="58" t="str">
        <f t="shared" si="95"/>
        <v/>
      </c>
      <c r="BN179" s="59"/>
      <c r="BO179" s="58" t="str">
        <f t="shared" si="96"/>
        <v/>
      </c>
      <c r="BP179" s="59"/>
      <c r="BQ179" s="58" t="str">
        <f t="shared" si="97"/>
        <v/>
      </c>
      <c r="BR179" s="59"/>
      <c r="BS179" s="58" t="str">
        <f t="shared" si="98"/>
        <v/>
      </c>
      <c r="BT179" s="59"/>
      <c r="BU179" s="58" t="str">
        <f t="shared" si="99"/>
        <v/>
      </c>
      <c r="BV179" s="59"/>
    </row>
    <row r="180" spans="1:74" ht="14.5">
      <c r="A180" s="51" t="s">
        <v>58</v>
      </c>
      <c r="B180" s="52">
        <v>359</v>
      </c>
      <c r="C180" s="52" t="s">
        <v>188</v>
      </c>
      <c r="D180" s="41">
        <f t="shared" si="69"/>
        <v>2</v>
      </c>
      <c r="E180" s="52" t="s">
        <v>190</v>
      </c>
      <c r="F180" s="52" t="s">
        <v>242</v>
      </c>
      <c r="G180" s="52" t="s">
        <v>244</v>
      </c>
      <c r="H180" s="52" t="s">
        <v>513</v>
      </c>
      <c r="I180" s="53">
        <v>45665</v>
      </c>
      <c r="J180" s="108">
        <v>1304</v>
      </c>
      <c r="K180" s="101"/>
      <c r="L180" s="101"/>
      <c r="M180" s="101">
        <f t="shared" si="70"/>
        <v>1304</v>
      </c>
      <c r="N180" s="54">
        <f t="shared" si="71"/>
        <v>1304</v>
      </c>
      <c r="O180" s="101" t="s">
        <v>431</v>
      </c>
      <c r="P180" s="102">
        <f t="shared" si="72"/>
        <v>1.8111111111111111</v>
      </c>
      <c r="Q180" s="102">
        <v>6</v>
      </c>
      <c r="R180" s="99">
        <v>120</v>
      </c>
      <c r="S180" s="55">
        <f t="shared" si="101"/>
        <v>45637</v>
      </c>
      <c r="T180" s="55">
        <v>45635</v>
      </c>
      <c r="U180" s="56">
        <f t="shared" ca="1" si="73"/>
        <v>2</v>
      </c>
      <c r="V180" s="55">
        <f t="shared" si="74"/>
        <v>45653</v>
      </c>
      <c r="W180" s="55"/>
      <c r="X180" s="56">
        <f t="shared" ca="1" si="75"/>
        <v>-187</v>
      </c>
      <c r="Y180" s="55"/>
      <c r="Z180" s="57"/>
      <c r="AA180" s="58" t="str">
        <f t="shared" si="76"/>
        <v>-</v>
      </c>
      <c r="AB180" s="59"/>
      <c r="AC180" s="58" t="str">
        <f t="shared" si="77"/>
        <v/>
      </c>
      <c r="AD180" s="59"/>
      <c r="AE180" s="58" t="str">
        <f t="shared" si="78"/>
        <v/>
      </c>
      <c r="AF180" s="59"/>
      <c r="AG180" s="58" t="str">
        <f t="shared" si="79"/>
        <v/>
      </c>
      <c r="AH180" s="59"/>
      <c r="AI180" s="58" t="str">
        <f t="shared" si="80"/>
        <v/>
      </c>
      <c r="AJ180" s="59"/>
      <c r="AK180" s="58" t="str">
        <f t="shared" si="81"/>
        <v/>
      </c>
      <c r="AL180" s="59"/>
      <c r="AM180" s="58" t="str">
        <f t="shared" si="82"/>
        <v/>
      </c>
      <c r="AN180" s="59"/>
      <c r="AO180" s="58" t="str">
        <f t="shared" si="83"/>
        <v/>
      </c>
      <c r="AP180" s="59"/>
      <c r="AQ180" s="58" t="str">
        <f t="shared" si="84"/>
        <v/>
      </c>
      <c r="AR180" s="59"/>
      <c r="AS180" s="58">
        <f t="shared" si="85"/>
        <v>1304</v>
      </c>
      <c r="AT180" s="59"/>
      <c r="AU180" s="58" t="str">
        <f t="shared" si="86"/>
        <v/>
      </c>
      <c r="AV180" s="59"/>
      <c r="AW180" s="58" t="str">
        <f t="shared" si="87"/>
        <v/>
      </c>
      <c r="AX180" s="59"/>
      <c r="AY180" s="58" t="str">
        <f t="shared" si="88"/>
        <v/>
      </c>
      <c r="AZ180" s="59"/>
      <c r="BA180" s="58" t="str">
        <f t="shared" si="89"/>
        <v/>
      </c>
      <c r="BB180" s="59"/>
      <c r="BC180" s="58" t="str">
        <f t="shared" si="90"/>
        <v/>
      </c>
      <c r="BD180" s="59"/>
      <c r="BE180" s="58" t="str">
        <f t="shared" si="91"/>
        <v/>
      </c>
      <c r="BF180" s="59"/>
      <c r="BG180" s="58" t="str">
        <f t="shared" si="92"/>
        <v/>
      </c>
      <c r="BH180" s="59"/>
      <c r="BI180" s="58" t="str">
        <f t="shared" si="93"/>
        <v/>
      </c>
      <c r="BJ180" s="59"/>
      <c r="BK180" s="58" t="str">
        <f t="shared" si="94"/>
        <v/>
      </c>
      <c r="BL180" s="59"/>
      <c r="BM180" s="58" t="str">
        <f t="shared" si="95"/>
        <v/>
      </c>
      <c r="BN180" s="59"/>
      <c r="BO180" s="58" t="str">
        <f t="shared" si="96"/>
        <v/>
      </c>
      <c r="BP180" s="59"/>
      <c r="BQ180" s="58" t="str">
        <f t="shared" si="97"/>
        <v/>
      </c>
      <c r="BR180" s="59"/>
      <c r="BS180" s="58" t="str">
        <f t="shared" si="98"/>
        <v/>
      </c>
      <c r="BT180" s="59"/>
      <c r="BU180" s="58" t="str">
        <f t="shared" si="99"/>
        <v/>
      </c>
      <c r="BV180" s="59"/>
    </row>
    <row r="181" spans="1:74" ht="14.5">
      <c r="A181" s="51" t="s">
        <v>58</v>
      </c>
      <c r="B181" s="159">
        <v>345</v>
      </c>
      <c r="C181" s="159" t="s">
        <v>188</v>
      </c>
      <c r="D181" s="160">
        <f t="shared" si="69"/>
        <v>2</v>
      </c>
      <c r="E181" s="159" t="s">
        <v>189</v>
      </c>
      <c r="F181" s="159" t="s">
        <v>242</v>
      </c>
      <c r="G181" s="159" t="s">
        <v>162</v>
      </c>
      <c r="H181" s="159" t="s">
        <v>432</v>
      </c>
      <c r="I181" s="161">
        <v>45667</v>
      </c>
      <c r="J181" s="162">
        <v>3792</v>
      </c>
      <c r="K181" s="101"/>
      <c r="L181" s="101"/>
      <c r="M181" s="101">
        <f t="shared" si="70"/>
        <v>3792</v>
      </c>
      <c r="N181" s="54">
        <f t="shared" si="71"/>
        <v>3792</v>
      </c>
      <c r="O181" s="101" t="s">
        <v>178</v>
      </c>
      <c r="P181" s="102">
        <f t="shared" si="72"/>
        <v>5.2666666666666666</v>
      </c>
      <c r="Q181" s="102">
        <v>6</v>
      </c>
      <c r="R181" s="99">
        <v>120</v>
      </c>
      <c r="S181" s="55">
        <f t="shared" si="101"/>
        <v>45639</v>
      </c>
      <c r="T181" s="55">
        <v>45612</v>
      </c>
      <c r="U181" s="56">
        <f t="shared" ca="1" si="73"/>
        <v>27</v>
      </c>
      <c r="V181" s="55">
        <f t="shared" si="74"/>
        <v>45655</v>
      </c>
      <c r="W181" s="55"/>
      <c r="X181" s="56">
        <f t="shared" ca="1" si="75"/>
        <v>-185</v>
      </c>
      <c r="Y181" s="55"/>
      <c r="Z181" s="57"/>
      <c r="AA181" s="58" t="str">
        <f t="shared" si="76"/>
        <v>-</v>
      </c>
      <c r="AB181" s="59"/>
      <c r="AC181" s="58" t="str">
        <f t="shared" si="77"/>
        <v/>
      </c>
      <c r="AD181" s="59"/>
      <c r="AE181" s="58" t="str">
        <f t="shared" si="78"/>
        <v/>
      </c>
      <c r="AF181" s="59"/>
      <c r="AG181" s="58" t="str">
        <f t="shared" si="79"/>
        <v/>
      </c>
      <c r="AH181" s="59"/>
      <c r="AI181" s="58" t="str">
        <f t="shared" si="80"/>
        <v/>
      </c>
      <c r="AJ181" s="59"/>
      <c r="AK181" s="58" t="str">
        <f t="shared" si="81"/>
        <v/>
      </c>
      <c r="AL181" s="59"/>
      <c r="AM181" s="58" t="str">
        <f t="shared" si="82"/>
        <v/>
      </c>
      <c r="AN181" s="59"/>
      <c r="AO181" s="58" t="str">
        <f t="shared" si="83"/>
        <v/>
      </c>
      <c r="AP181" s="59"/>
      <c r="AQ181" s="58" t="str">
        <f t="shared" si="84"/>
        <v/>
      </c>
      <c r="AR181" s="59"/>
      <c r="AS181" s="58">
        <f t="shared" si="85"/>
        <v>3792</v>
      </c>
      <c r="AT181" s="59"/>
      <c r="AU181" s="58" t="str">
        <f t="shared" si="86"/>
        <v/>
      </c>
      <c r="AV181" s="59"/>
      <c r="AW181" s="58" t="str">
        <f t="shared" si="87"/>
        <v/>
      </c>
      <c r="AX181" s="59"/>
      <c r="AY181" s="58" t="str">
        <f t="shared" si="88"/>
        <v/>
      </c>
      <c r="AZ181" s="59"/>
      <c r="BA181" s="58" t="str">
        <f t="shared" si="89"/>
        <v/>
      </c>
      <c r="BB181" s="59"/>
      <c r="BC181" s="58" t="str">
        <f t="shared" si="90"/>
        <v/>
      </c>
      <c r="BD181" s="59"/>
      <c r="BE181" s="58" t="str">
        <f t="shared" si="91"/>
        <v/>
      </c>
      <c r="BF181" s="59"/>
      <c r="BG181" s="58" t="str">
        <f t="shared" si="92"/>
        <v/>
      </c>
      <c r="BH181" s="59"/>
      <c r="BI181" s="58" t="str">
        <f t="shared" si="93"/>
        <v/>
      </c>
      <c r="BJ181" s="59"/>
      <c r="BK181" s="58" t="str">
        <f t="shared" si="94"/>
        <v/>
      </c>
      <c r="BL181" s="59"/>
      <c r="BM181" s="58" t="str">
        <f t="shared" si="95"/>
        <v/>
      </c>
      <c r="BN181" s="59"/>
      <c r="BO181" s="58" t="str">
        <f t="shared" si="96"/>
        <v/>
      </c>
      <c r="BP181" s="59"/>
      <c r="BQ181" s="58" t="str">
        <f t="shared" si="97"/>
        <v/>
      </c>
      <c r="BR181" s="59"/>
      <c r="BS181" s="58" t="str">
        <f t="shared" si="98"/>
        <v/>
      </c>
      <c r="BT181" s="59"/>
      <c r="BU181" s="58" t="str">
        <f t="shared" si="99"/>
        <v/>
      </c>
      <c r="BV181" s="59"/>
    </row>
    <row r="182" spans="1:74" ht="14.5">
      <c r="A182" s="51" t="s">
        <v>58</v>
      </c>
      <c r="B182" s="52">
        <v>322</v>
      </c>
      <c r="C182" s="52" t="s">
        <v>188</v>
      </c>
      <c r="D182" s="41">
        <f t="shared" si="69"/>
        <v>2</v>
      </c>
      <c r="E182" s="52" t="s">
        <v>158</v>
      </c>
      <c r="F182" s="52" t="s">
        <v>242</v>
      </c>
      <c r="G182" s="52" t="s">
        <v>154</v>
      </c>
      <c r="H182" s="52" t="s">
        <v>432</v>
      </c>
      <c r="I182" s="53">
        <v>45668</v>
      </c>
      <c r="J182" s="108">
        <v>212</v>
      </c>
      <c r="K182" s="101"/>
      <c r="L182" s="101"/>
      <c r="M182" s="101">
        <f t="shared" si="70"/>
        <v>212</v>
      </c>
      <c r="N182" s="54">
        <f t="shared" si="71"/>
        <v>212</v>
      </c>
      <c r="O182" s="101" t="s">
        <v>439</v>
      </c>
      <c r="P182" s="102">
        <f t="shared" si="72"/>
        <v>0.29444444444444445</v>
      </c>
      <c r="Q182" s="102">
        <v>6</v>
      </c>
      <c r="R182" s="99">
        <v>120</v>
      </c>
      <c r="S182" s="55">
        <f t="shared" si="101"/>
        <v>45640</v>
      </c>
      <c r="T182" s="55">
        <v>45613</v>
      </c>
      <c r="U182" s="56">
        <f t="shared" ca="1" si="73"/>
        <v>27</v>
      </c>
      <c r="V182" s="55">
        <f t="shared" si="74"/>
        <v>45656</v>
      </c>
      <c r="W182" s="55"/>
      <c r="X182" s="56">
        <f t="shared" ca="1" si="75"/>
        <v>-184</v>
      </c>
      <c r="Y182" s="55"/>
      <c r="Z182" s="57"/>
      <c r="AA182" s="58" t="str">
        <f t="shared" si="76"/>
        <v>-</v>
      </c>
      <c r="AB182" s="59"/>
      <c r="AC182" s="58" t="str">
        <f t="shared" si="77"/>
        <v/>
      </c>
      <c r="AD182" s="59"/>
      <c r="AE182" s="58" t="str">
        <f t="shared" si="78"/>
        <v/>
      </c>
      <c r="AF182" s="59"/>
      <c r="AG182" s="58" t="str">
        <f t="shared" si="79"/>
        <v/>
      </c>
      <c r="AH182" s="59"/>
      <c r="AI182" s="58" t="str">
        <f t="shared" si="80"/>
        <v/>
      </c>
      <c r="AJ182" s="59"/>
      <c r="AK182" s="58" t="str">
        <f t="shared" si="81"/>
        <v/>
      </c>
      <c r="AL182" s="59"/>
      <c r="AM182" s="58" t="str">
        <f t="shared" si="82"/>
        <v/>
      </c>
      <c r="AN182" s="59"/>
      <c r="AO182" s="58" t="str">
        <f t="shared" si="83"/>
        <v/>
      </c>
      <c r="AP182" s="59"/>
      <c r="AQ182" s="58" t="str">
        <f t="shared" si="84"/>
        <v/>
      </c>
      <c r="AR182" s="59"/>
      <c r="AS182" s="58">
        <f t="shared" si="85"/>
        <v>212</v>
      </c>
      <c r="AT182" s="59"/>
      <c r="AU182" s="58" t="str">
        <f t="shared" si="86"/>
        <v/>
      </c>
      <c r="AV182" s="59"/>
      <c r="AW182" s="58" t="str">
        <f t="shared" si="87"/>
        <v/>
      </c>
      <c r="AX182" s="59"/>
      <c r="AY182" s="58" t="str">
        <f t="shared" si="88"/>
        <v/>
      </c>
      <c r="AZ182" s="59"/>
      <c r="BA182" s="58" t="str">
        <f t="shared" si="89"/>
        <v/>
      </c>
      <c r="BB182" s="59"/>
      <c r="BC182" s="58" t="str">
        <f t="shared" si="90"/>
        <v/>
      </c>
      <c r="BD182" s="59"/>
      <c r="BE182" s="58" t="str">
        <f t="shared" si="91"/>
        <v/>
      </c>
      <c r="BF182" s="59"/>
      <c r="BG182" s="58" t="str">
        <f t="shared" si="92"/>
        <v/>
      </c>
      <c r="BH182" s="59"/>
      <c r="BI182" s="58" t="str">
        <f t="shared" si="93"/>
        <v/>
      </c>
      <c r="BJ182" s="59"/>
      <c r="BK182" s="58" t="str">
        <f t="shared" si="94"/>
        <v/>
      </c>
      <c r="BL182" s="59"/>
      <c r="BM182" s="58" t="str">
        <f t="shared" si="95"/>
        <v/>
      </c>
      <c r="BN182" s="59"/>
      <c r="BO182" s="58" t="str">
        <f t="shared" si="96"/>
        <v/>
      </c>
      <c r="BP182" s="59"/>
      <c r="BQ182" s="58" t="str">
        <f t="shared" si="97"/>
        <v/>
      </c>
      <c r="BR182" s="59"/>
      <c r="BS182" s="58" t="str">
        <f t="shared" si="98"/>
        <v/>
      </c>
      <c r="BT182" s="59"/>
      <c r="BU182" s="58" t="str">
        <f t="shared" si="99"/>
        <v/>
      </c>
      <c r="BV182" s="59"/>
    </row>
    <row r="183" spans="1:74" ht="14.5">
      <c r="A183" s="51" t="s">
        <v>58</v>
      </c>
      <c r="B183" s="52">
        <v>322</v>
      </c>
      <c r="C183" s="52" t="s">
        <v>188</v>
      </c>
      <c r="D183" s="41">
        <f t="shared" si="69"/>
        <v>2</v>
      </c>
      <c r="E183" s="52" t="s">
        <v>158</v>
      </c>
      <c r="F183" s="52" t="s">
        <v>242</v>
      </c>
      <c r="G183" s="52" t="s">
        <v>155</v>
      </c>
      <c r="H183" s="52" t="s">
        <v>432</v>
      </c>
      <c r="I183" s="53">
        <v>45668</v>
      </c>
      <c r="J183" s="108">
        <v>1336</v>
      </c>
      <c r="K183" s="101"/>
      <c r="L183" s="101"/>
      <c r="M183" s="101">
        <f t="shared" si="70"/>
        <v>1336</v>
      </c>
      <c r="N183" s="54">
        <f t="shared" si="71"/>
        <v>1336</v>
      </c>
      <c r="O183" s="101" t="s">
        <v>439</v>
      </c>
      <c r="P183" s="102">
        <f t="shared" si="72"/>
        <v>1.8555555555555556</v>
      </c>
      <c r="Q183" s="102">
        <v>6</v>
      </c>
      <c r="R183" s="99">
        <v>120</v>
      </c>
      <c r="S183" s="55">
        <f t="shared" si="101"/>
        <v>45640</v>
      </c>
      <c r="T183" s="55">
        <v>45613</v>
      </c>
      <c r="U183" s="56">
        <f t="shared" ca="1" si="73"/>
        <v>27</v>
      </c>
      <c r="V183" s="55">
        <f t="shared" si="74"/>
        <v>45656</v>
      </c>
      <c r="W183" s="55"/>
      <c r="X183" s="56">
        <f t="shared" ca="1" si="75"/>
        <v>-184</v>
      </c>
      <c r="Y183" s="55"/>
      <c r="Z183" s="57"/>
      <c r="AA183" s="58" t="str">
        <f t="shared" si="76"/>
        <v>-</v>
      </c>
      <c r="AB183" s="59"/>
      <c r="AC183" s="58" t="str">
        <f t="shared" si="77"/>
        <v/>
      </c>
      <c r="AD183" s="59"/>
      <c r="AE183" s="58" t="str">
        <f t="shared" si="78"/>
        <v/>
      </c>
      <c r="AF183" s="59"/>
      <c r="AG183" s="58" t="str">
        <f t="shared" si="79"/>
        <v/>
      </c>
      <c r="AH183" s="59"/>
      <c r="AI183" s="58" t="str">
        <f t="shared" si="80"/>
        <v/>
      </c>
      <c r="AJ183" s="59"/>
      <c r="AK183" s="58" t="str">
        <f t="shared" si="81"/>
        <v/>
      </c>
      <c r="AL183" s="59"/>
      <c r="AM183" s="58" t="str">
        <f t="shared" si="82"/>
        <v/>
      </c>
      <c r="AN183" s="59"/>
      <c r="AO183" s="58" t="str">
        <f t="shared" si="83"/>
        <v/>
      </c>
      <c r="AP183" s="59"/>
      <c r="AQ183" s="58" t="str">
        <f t="shared" si="84"/>
        <v/>
      </c>
      <c r="AR183" s="59"/>
      <c r="AS183" s="58">
        <f t="shared" si="85"/>
        <v>1336</v>
      </c>
      <c r="AT183" s="59"/>
      <c r="AU183" s="58" t="str">
        <f t="shared" si="86"/>
        <v/>
      </c>
      <c r="AV183" s="59"/>
      <c r="AW183" s="58" t="str">
        <f t="shared" si="87"/>
        <v/>
      </c>
      <c r="AX183" s="59"/>
      <c r="AY183" s="58" t="str">
        <f t="shared" si="88"/>
        <v/>
      </c>
      <c r="AZ183" s="59"/>
      <c r="BA183" s="58" t="str">
        <f t="shared" si="89"/>
        <v/>
      </c>
      <c r="BB183" s="59"/>
      <c r="BC183" s="58" t="str">
        <f t="shared" si="90"/>
        <v/>
      </c>
      <c r="BD183" s="59"/>
      <c r="BE183" s="58" t="str">
        <f t="shared" si="91"/>
        <v/>
      </c>
      <c r="BF183" s="59"/>
      <c r="BG183" s="58" t="str">
        <f t="shared" si="92"/>
        <v/>
      </c>
      <c r="BH183" s="59"/>
      <c r="BI183" s="58" t="str">
        <f t="shared" si="93"/>
        <v/>
      </c>
      <c r="BJ183" s="59"/>
      <c r="BK183" s="58" t="str">
        <f t="shared" si="94"/>
        <v/>
      </c>
      <c r="BL183" s="59"/>
      <c r="BM183" s="58" t="str">
        <f t="shared" si="95"/>
        <v/>
      </c>
      <c r="BN183" s="59"/>
      <c r="BO183" s="58" t="str">
        <f t="shared" si="96"/>
        <v/>
      </c>
      <c r="BP183" s="59"/>
      <c r="BQ183" s="58" t="str">
        <f t="shared" si="97"/>
        <v/>
      </c>
      <c r="BR183" s="59"/>
      <c r="BS183" s="58" t="str">
        <f t="shared" si="98"/>
        <v/>
      </c>
      <c r="BT183" s="59"/>
      <c r="BU183" s="58" t="str">
        <f t="shared" si="99"/>
        <v/>
      </c>
      <c r="BV183" s="59"/>
    </row>
    <row r="184" spans="1:74" ht="14.5">
      <c r="A184" s="51" t="s">
        <v>58</v>
      </c>
      <c r="B184" s="52">
        <v>322</v>
      </c>
      <c r="C184" s="52" t="s">
        <v>188</v>
      </c>
      <c r="D184" s="41">
        <f t="shared" si="69"/>
        <v>2</v>
      </c>
      <c r="E184" s="52" t="s">
        <v>189</v>
      </c>
      <c r="F184" s="52" t="s">
        <v>242</v>
      </c>
      <c r="G184" s="52" t="s">
        <v>162</v>
      </c>
      <c r="H184" s="52" t="s">
        <v>432</v>
      </c>
      <c r="I184" s="53">
        <v>45668</v>
      </c>
      <c r="J184" s="108">
        <v>1412</v>
      </c>
      <c r="K184" s="101"/>
      <c r="L184" s="101"/>
      <c r="M184" s="101">
        <f t="shared" si="70"/>
        <v>1412</v>
      </c>
      <c r="N184" s="54">
        <f t="shared" si="71"/>
        <v>1412</v>
      </c>
      <c r="O184" s="101" t="s">
        <v>178</v>
      </c>
      <c r="P184" s="102">
        <f t="shared" si="72"/>
        <v>1.961111111111111</v>
      </c>
      <c r="Q184" s="102">
        <v>6</v>
      </c>
      <c r="R184" s="99">
        <v>120</v>
      </c>
      <c r="S184" s="55">
        <f t="shared" si="101"/>
        <v>45640</v>
      </c>
      <c r="T184" s="55">
        <v>45613</v>
      </c>
      <c r="U184" s="56">
        <f t="shared" ca="1" si="73"/>
        <v>27</v>
      </c>
      <c r="V184" s="55">
        <f t="shared" si="74"/>
        <v>45656</v>
      </c>
      <c r="W184" s="55"/>
      <c r="X184" s="56">
        <f t="shared" ca="1" si="75"/>
        <v>-184</v>
      </c>
      <c r="Y184" s="55"/>
      <c r="Z184" s="57"/>
      <c r="AA184" s="58" t="str">
        <f t="shared" si="76"/>
        <v>-</v>
      </c>
      <c r="AB184" s="59"/>
      <c r="AC184" s="58" t="str">
        <f t="shared" si="77"/>
        <v/>
      </c>
      <c r="AD184" s="59"/>
      <c r="AE184" s="58" t="str">
        <f t="shared" si="78"/>
        <v/>
      </c>
      <c r="AF184" s="59"/>
      <c r="AG184" s="58" t="str">
        <f t="shared" si="79"/>
        <v/>
      </c>
      <c r="AH184" s="59"/>
      <c r="AI184" s="58" t="str">
        <f t="shared" si="80"/>
        <v/>
      </c>
      <c r="AJ184" s="59"/>
      <c r="AK184" s="58" t="str">
        <f t="shared" si="81"/>
        <v/>
      </c>
      <c r="AL184" s="59"/>
      <c r="AM184" s="58" t="str">
        <f t="shared" si="82"/>
        <v/>
      </c>
      <c r="AN184" s="59"/>
      <c r="AO184" s="58" t="str">
        <f t="shared" si="83"/>
        <v/>
      </c>
      <c r="AP184" s="59"/>
      <c r="AQ184" s="58" t="str">
        <f t="shared" si="84"/>
        <v/>
      </c>
      <c r="AR184" s="59"/>
      <c r="AS184" s="58">
        <f t="shared" si="85"/>
        <v>1412</v>
      </c>
      <c r="AT184" s="59"/>
      <c r="AU184" s="58" t="str">
        <f t="shared" si="86"/>
        <v/>
      </c>
      <c r="AV184" s="59"/>
      <c r="AW184" s="58" t="str">
        <f t="shared" si="87"/>
        <v/>
      </c>
      <c r="AX184" s="59"/>
      <c r="AY184" s="58" t="str">
        <f t="shared" si="88"/>
        <v/>
      </c>
      <c r="AZ184" s="59"/>
      <c r="BA184" s="58" t="str">
        <f t="shared" si="89"/>
        <v/>
      </c>
      <c r="BB184" s="59"/>
      <c r="BC184" s="58" t="str">
        <f t="shared" si="90"/>
        <v/>
      </c>
      <c r="BD184" s="59"/>
      <c r="BE184" s="58" t="str">
        <f t="shared" si="91"/>
        <v/>
      </c>
      <c r="BF184" s="59"/>
      <c r="BG184" s="58" t="str">
        <f t="shared" si="92"/>
        <v/>
      </c>
      <c r="BH184" s="59"/>
      <c r="BI184" s="58" t="str">
        <f t="shared" si="93"/>
        <v/>
      </c>
      <c r="BJ184" s="59"/>
      <c r="BK184" s="58" t="str">
        <f t="shared" si="94"/>
        <v/>
      </c>
      <c r="BL184" s="59"/>
      <c r="BM184" s="58" t="str">
        <f t="shared" si="95"/>
        <v/>
      </c>
      <c r="BN184" s="59"/>
      <c r="BO184" s="58" t="str">
        <f t="shared" si="96"/>
        <v/>
      </c>
      <c r="BP184" s="59"/>
      <c r="BQ184" s="58" t="str">
        <f t="shared" si="97"/>
        <v/>
      </c>
      <c r="BR184" s="59"/>
      <c r="BS184" s="58" t="str">
        <f t="shared" si="98"/>
        <v/>
      </c>
      <c r="BT184" s="59"/>
      <c r="BU184" s="58" t="str">
        <f t="shared" si="99"/>
        <v/>
      </c>
      <c r="BV184" s="59"/>
    </row>
    <row r="185" spans="1:74" ht="14.5">
      <c r="A185" s="51" t="s">
        <v>58</v>
      </c>
      <c r="B185" s="52">
        <v>322</v>
      </c>
      <c r="C185" s="52" t="s">
        <v>188</v>
      </c>
      <c r="D185" s="41">
        <f t="shared" si="69"/>
        <v>2</v>
      </c>
      <c r="E185" s="52" t="s">
        <v>391</v>
      </c>
      <c r="F185" s="52" t="s">
        <v>392</v>
      </c>
      <c r="G185" s="52" t="s">
        <v>393</v>
      </c>
      <c r="H185" s="52" t="s">
        <v>499</v>
      </c>
      <c r="I185" s="53">
        <v>45668</v>
      </c>
      <c r="J185" s="108">
        <v>1488</v>
      </c>
      <c r="K185" s="101"/>
      <c r="L185" s="101"/>
      <c r="M185" s="101">
        <f t="shared" si="70"/>
        <v>1488</v>
      </c>
      <c r="N185" s="54">
        <f t="shared" si="71"/>
        <v>1488</v>
      </c>
      <c r="O185" s="101" t="s">
        <v>178</v>
      </c>
      <c r="P185" s="102">
        <f t="shared" si="72"/>
        <v>3.1</v>
      </c>
      <c r="Q185" s="102">
        <v>6</v>
      </c>
      <c r="R185" s="99">
        <v>80</v>
      </c>
      <c r="S185" s="55">
        <f t="shared" si="101"/>
        <v>45640</v>
      </c>
      <c r="T185" s="55">
        <v>45613</v>
      </c>
      <c r="U185" s="56">
        <f t="shared" ca="1" si="73"/>
        <v>27</v>
      </c>
      <c r="V185" s="55">
        <f t="shared" si="74"/>
        <v>45656</v>
      </c>
      <c r="W185" s="55"/>
      <c r="X185" s="56">
        <f t="shared" ca="1" si="75"/>
        <v>-184</v>
      </c>
      <c r="Y185" s="55"/>
      <c r="Z185" s="57"/>
      <c r="AA185" s="58" t="str">
        <f t="shared" si="76"/>
        <v>-</v>
      </c>
      <c r="AB185" s="59"/>
      <c r="AC185" s="58" t="str">
        <f t="shared" si="77"/>
        <v/>
      </c>
      <c r="AD185" s="59"/>
      <c r="AE185" s="58" t="str">
        <f t="shared" si="78"/>
        <v/>
      </c>
      <c r="AF185" s="59"/>
      <c r="AG185" s="58" t="str">
        <f t="shared" si="79"/>
        <v/>
      </c>
      <c r="AH185" s="59"/>
      <c r="AI185" s="58" t="str">
        <f t="shared" si="80"/>
        <v/>
      </c>
      <c r="AJ185" s="59"/>
      <c r="AK185" s="58" t="str">
        <f t="shared" si="81"/>
        <v/>
      </c>
      <c r="AL185" s="59"/>
      <c r="AM185" s="58" t="str">
        <f t="shared" si="82"/>
        <v/>
      </c>
      <c r="AN185" s="59"/>
      <c r="AO185" s="58" t="str">
        <f t="shared" si="83"/>
        <v/>
      </c>
      <c r="AP185" s="59"/>
      <c r="AQ185" s="58" t="str">
        <f t="shared" si="84"/>
        <v/>
      </c>
      <c r="AR185" s="59"/>
      <c r="AS185" s="58">
        <f t="shared" si="85"/>
        <v>1488</v>
      </c>
      <c r="AT185" s="59"/>
      <c r="AU185" s="58" t="str">
        <f t="shared" si="86"/>
        <v/>
      </c>
      <c r="AV185" s="59"/>
      <c r="AW185" s="58" t="str">
        <f t="shared" si="87"/>
        <v/>
      </c>
      <c r="AX185" s="59"/>
      <c r="AY185" s="58" t="str">
        <f t="shared" si="88"/>
        <v/>
      </c>
      <c r="AZ185" s="59"/>
      <c r="BA185" s="58" t="str">
        <f t="shared" si="89"/>
        <v/>
      </c>
      <c r="BB185" s="59"/>
      <c r="BC185" s="58" t="str">
        <f t="shared" si="90"/>
        <v/>
      </c>
      <c r="BD185" s="59"/>
      <c r="BE185" s="58" t="str">
        <f t="shared" si="91"/>
        <v/>
      </c>
      <c r="BF185" s="59"/>
      <c r="BG185" s="58" t="str">
        <f t="shared" si="92"/>
        <v/>
      </c>
      <c r="BH185" s="59"/>
      <c r="BI185" s="58" t="str">
        <f t="shared" si="93"/>
        <v/>
      </c>
      <c r="BJ185" s="59"/>
      <c r="BK185" s="58" t="str">
        <f t="shared" si="94"/>
        <v/>
      </c>
      <c r="BL185" s="59"/>
      <c r="BM185" s="58" t="str">
        <f t="shared" si="95"/>
        <v/>
      </c>
      <c r="BN185" s="59"/>
      <c r="BO185" s="58" t="str">
        <f t="shared" si="96"/>
        <v/>
      </c>
      <c r="BP185" s="59"/>
      <c r="BQ185" s="58" t="str">
        <f t="shared" si="97"/>
        <v/>
      </c>
      <c r="BR185" s="59"/>
      <c r="BS185" s="58" t="str">
        <f t="shared" si="98"/>
        <v/>
      </c>
      <c r="BT185" s="59"/>
      <c r="BU185" s="58" t="str">
        <f t="shared" si="99"/>
        <v/>
      </c>
      <c r="BV185" s="59"/>
    </row>
    <row r="186" spans="1:74" ht="14.5">
      <c r="A186" s="51" t="s">
        <v>58</v>
      </c>
      <c r="B186" s="52">
        <v>368</v>
      </c>
      <c r="C186" s="52" t="s">
        <v>188</v>
      </c>
      <c r="D186" s="41">
        <f t="shared" si="69"/>
        <v>2</v>
      </c>
      <c r="E186" s="52" t="s">
        <v>201</v>
      </c>
      <c r="F186" s="52" t="s">
        <v>247</v>
      </c>
      <c r="G186" s="52" t="s">
        <v>155</v>
      </c>
      <c r="H186" s="52" t="s">
        <v>514</v>
      </c>
      <c r="I186" s="53">
        <v>45668</v>
      </c>
      <c r="J186" s="108">
        <v>14256</v>
      </c>
      <c r="K186" s="101"/>
      <c r="L186" s="101"/>
      <c r="M186" s="101">
        <f t="shared" si="70"/>
        <v>14256</v>
      </c>
      <c r="N186" s="54">
        <f t="shared" si="71"/>
        <v>14256</v>
      </c>
      <c r="O186" s="101" t="s">
        <v>443</v>
      </c>
      <c r="P186" s="102">
        <f t="shared" si="72"/>
        <v>8.1462857142857139</v>
      </c>
      <c r="Q186" s="102">
        <v>5</v>
      </c>
      <c r="R186" s="99">
        <v>350</v>
      </c>
      <c r="S186" s="55">
        <f t="shared" si="101"/>
        <v>45640</v>
      </c>
      <c r="T186" s="55">
        <v>45635</v>
      </c>
      <c r="U186" s="56">
        <f t="shared" ca="1" si="73"/>
        <v>5</v>
      </c>
      <c r="V186" s="55">
        <f t="shared" si="74"/>
        <v>45656</v>
      </c>
      <c r="W186" s="55"/>
      <c r="X186" s="56">
        <f t="shared" ca="1" si="75"/>
        <v>-184</v>
      </c>
      <c r="Y186" s="55"/>
      <c r="Z186" s="57"/>
      <c r="AA186" s="58" t="str">
        <f t="shared" si="76"/>
        <v>-</v>
      </c>
      <c r="AB186" s="59"/>
      <c r="AC186" s="58" t="str">
        <f t="shared" si="77"/>
        <v/>
      </c>
      <c r="AD186" s="59"/>
      <c r="AE186" s="58" t="str">
        <f t="shared" si="78"/>
        <v/>
      </c>
      <c r="AF186" s="59"/>
      <c r="AG186" s="58" t="str">
        <f t="shared" si="79"/>
        <v/>
      </c>
      <c r="AH186" s="59"/>
      <c r="AI186" s="58" t="str">
        <f t="shared" si="80"/>
        <v/>
      </c>
      <c r="AJ186" s="59"/>
      <c r="AK186" s="58" t="str">
        <f t="shared" si="81"/>
        <v/>
      </c>
      <c r="AL186" s="59"/>
      <c r="AM186" s="58" t="str">
        <f t="shared" si="82"/>
        <v/>
      </c>
      <c r="AN186" s="59"/>
      <c r="AO186" s="58" t="str">
        <f t="shared" si="83"/>
        <v/>
      </c>
      <c r="AP186" s="59"/>
      <c r="AQ186" s="58" t="str">
        <f t="shared" si="84"/>
        <v/>
      </c>
      <c r="AR186" s="59"/>
      <c r="AS186" s="58">
        <f t="shared" si="85"/>
        <v>14256</v>
      </c>
      <c r="AT186" s="59"/>
      <c r="AU186" s="58" t="str">
        <f t="shared" si="86"/>
        <v/>
      </c>
      <c r="AV186" s="59"/>
      <c r="AW186" s="58" t="str">
        <f t="shared" si="87"/>
        <v/>
      </c>
      <c r="AX186" s="59"/>
      <c r="AY186" s="58" t="str">
        <f t="shared" si="88"/>
        <v/>
      </c>
      <c r="AZ186" s="59"/>
      <c r="BA186" s="58" t="str">
        <f t="shared" si="89"/>
        <v/>
      </c>
      <c r="BB186" s="59"/>
      <c r="BC186" s="58" t="str">
        <f t="shared" si="90"/>
        <v/>
      </c>
      <c r="BD186" s="59"/>
      <c r="BE186" s="58" t="str">
        <f t="shared" si="91"/>
        <v/>
      </c>
      <c r="BF186" s="59"/>
      <c r="BG186" s="58" t="str">
        <f t="shared" si="92"/>
        <v/>
      </c>
      <c r="BH186" s="59"/>
      <c r="BI186" s="58" t="str">
        <f t="shared" si="93"/>
        <v/>
      </c>
      <c r="BJ186" s="59"/>
      <c r="BK186" s="58" t="str">
        <f t="shared" si="94"/>
        <v/>
      </c>
      <c r="BL186" s="59"/>
      <c r="BM186" s="58" t="str">
        <f t="shared" si="95"/>
        <v/>
      </c>
      <c r="BN186" s="59"/>
      <c r="BO186" s="58" t="str">
        <f t="shared" si="96"/>
        <v/>
      </c>
      <c r="BP186" s="59"/>
      <c r="BQ186" s="58" t="str">
        <f t="shared" si="97"/>
        <v/>
      </c>
      <c r="BR186" s="59"/>
      <c r="BS186" s="58" t="str">
        <f t="shared" si="98"/>
        <v/>
      </c>
      <c r="BT186" s="59"/>
      <c r="BU186" s="58" t="str">
        <f t="shared" si="99"/>
        <v/>
      </c>
      <c r="BV186" s="59"/>
    </row>
    <row r="187" spans="1:74" ht="14.5">
      <c r="A187" s="51" t="s">
        <v>58</v>
      </c>
      <c r="B187" s="52">
        <v>368</v>
      </c>
      <c r="C187" s="52" t="s">
        <v>188</v>
      </c>
      <c r="D187" s="41">
        <f t="shared" si="69"/>
        <v>2</v>
      </c>
      <c r="E187" s="52" t="s">
        <v>157</v>
      </c>
      <c r="F187" s="52" t="s">
        <v>243</v>
      </c>
      <c r="G187" s="52" t="s">
        <v>162</v>
      </c>
      <c r="H187" s="52" t="s">
        <v>428</v>
      </c>
      <c r="I187" s="53">
        <v>45668</v>
      </c>
      <c r="J187" s="108">
        <v>5226</v>
      </c>
      <c r="K187" s="101"/>
      <c r="L187" s="101"/>
      <c r="M187" s="101">
        <f t="shared" si="70"/>
        <v>5226</v>
      </c>
      <c r="N187" s="54">
        <f t="shared" si="71"/>
        <v>5226</v>
      </c>
      <c r="O187" s="101" t="s">
        <v>429</v>
      </c>
      <c r="P187" s="102">
        <f t="shared" si="72"/>
        <v>0.871</v>
      </c>
      <c r="Q187" s="102">
        <v>6</v>
      </c>
      <c r="R187" s="99">
        <v>1000</v>
      </c>
      <c r="S187" s="55">
        <f t="shared" si="101"/>
        <v>45640</v>
      </c>
      <c r="T187" s="55">
        <v>45635</v>
      </c>
      <c r="U187" s="56">
        <f t="shared" ca="1" si="73"/>
        <v>5</v>
      </c>
      <c r="V187" s="55">
        <f t="shared" si="74"/>
        <v>45656</v>
      </c>
      <c r="W187" s="55"/>
      <c r="X187" s="56">
        <f t="shared" ca="1" si="75"/>
        <v>-184</v>
      </c>
      <c r="Y187" s="55"/>
      <c r="Z187" s="57"/>
      <c r="AA187" s="58" t="str">
        <f t="shared" si="76"/>
        <v>-</v>
      </c>
      <c r="AB187" s="59"/>
      <c r="AC187" s="58" t="str">
        <f t="shared" si="77"/>
        <v/>
      </c>
      <c r="AD187" s="59"/>
      <c r="AE187" s="58" t="str">
        <f t="shared" si="78"/>
        <v/>
      </c>
      <c r="AF187" s="59"/>
      <c r="AG187" s="58" t="str">
        <f t="shared" si="79"/>
        <v/>
      </c>
      <c r="AH187" s="59"/>
      <c r="AI187" s="58" t="str">
        <f t="shared" si="80"/>
        <v/>
      </c>
      <c r="AJ187" s="59"/>
      <c r="AK187" s="58" t="str">
        <f t="shared" si="81"/>
        <v/>
      </c>
      <c r="AL187" s="59"/>
      <c r="AM187" s="58" t="str">
        <f t="shared" si="82"/>
        <v/>
      </c>
      <c r="AN187" s="59"/>
      <c r="AO187" s="58" t="str">
        <f t="shared" si="83"/>
        <v/>
      </c>
      <c r="AP187" s="59"/>
      <c r="AQ187" s="58" t="str">
        <f t="shared" si="84"/>
        <v/>
      </c>
      <c r="AR187" s="59"/>
      <c r="AS187" s="58">
        <f t="shared" si="85"/>
        <v>5226</v>
      </c>
      <c r="AT187" s="59"/>
      <c r="AU187" s="58" t="str">
        <f t="shared" si="86"/>
        <v/>
      </c>
      <c r="AV187" s="59"/>
      <c r="AW187" s="58" t="str">
        <f t="shared" si="87"/>
        <v/>
      </c>
      <c r="AX187" s="59"/>
      <c r="AY187" s="58" t="str">
        <f t="shared" si="88"/>
        <v/>
      </c>
      <c r="AZ187" s="59"/>
      <c r="BA187" s="58" t="str">
        <f t="shared" si="89"/>
        <v/>
      </c>
      <c r="BB187" s="59"/>
      <c r="BC187" s="58" t="str">
        <f t="shared" si="90"/>
        <v/>
      </c>
      <c r="BD187" s="59"/>
      <c r="BE187" s="58" t="str">
        <f t="shared" si="91"/>
        <v/>
      </c>
      <c r="BF187" s="59"/>
      <c r="BG187" s="58" t="str">
        <f t="shared" si="92"/>
        <v/>
      </c>
      <c r="BH187" s="59"/>
      <c r="BI187" s="58" t="str">
        <f t="shared" si="93"/>
        <v/>
      </c>
      <c r="BJ187" s="59"/>
      <c r="BK187" s="58" t="str">
        <f t="shared" si="94"/>
        <v/>
      </c>
      <c r="BL187" s="59"/>
      <c r="BM187" s="58" t="str">
        <f t="shared" si="95"/>
        <v/>
      </c>
      <c r="BN187" s="59"/>
      <c r="BO187" s="58" t="str">
        <f t="shared" si="96"/>
        <v/>
      </c>
      <c r="BP187" s="59"/>
      <c r="BQ187" s="58" t="str">
        <f t="shared" si="97"/>
        <v/>
      </c>
      <c r="BR187" s="59"/>
      <c r="BS187" s="58" t="str">
        <f t="shared" si="98"/>
        <v/>
      </c>
      <c r="BT187" s="59"/>
      <c r="BU187" s="58" t="str">
        <f t="shared" si="99"/>
        <v/>
      </c>
      <c r="BV187" s="59"/>
    </row>
    <row r="188" spans="1:74" ht="14.5">
      <c r="A188" s="51" t="s">
        <v>58</v>
      </c>
      <c r="B188" s="52">
        <v>368</v>
      </c>
      <c r="C188" s="52" t="s">
        <v>188</v>
      </c>
      <c r="D188" s="41">
        <f t="shared" si="69"/>
        <v>2</v>
      </c>
      <c r="E188" s="52" t="s">
        <v>189</v>
      </c>
      <c r="F188" s="52" t="s">
        <v>242</v>
      </c>
      <c r="G188" s="52" t="s">
        <v>162</v>
      </c>
      <c r="H188" s="52" t="s">
        <v>432</v>
      </c>
      <c r="I188" s="53">
        <v>45668</v>
      </c>
      <c r="J188" s="108">
        <v>1452</v>
      </c>
      <c r="K188" s="101"/>
      <c r="L188" s="101"/>
      <c r="M188" s="101">
        <f t="shared" si="70"/>
        <v>1452</v>
      </c>
      <c r="N188" s="54">
        <f t="shared" si="71"/>
        <v>1452</v>
      </c>
      <c r="O188" s="101" t="s">
        <v>178</v>
      </c>
      <c r="P188" s="102">
        <f t="shared" si="72"/>
        <v>2.0166666666666666</v>
      </c>
      <c r="Q188" s="102">
        <v>6</v>
      </c>
      <c r="R188" s="99">
        <v>120</v>
      </c>
      <c r="S188" s="55">
        <f t="shared" si="101"/>
        <v>45640</v>
      </c>
      <c r="T188" s="55">
        <v>45635</v>
      </c>
      <c r="U188" s="56">
        <f t="shared" ca="1" si="73"/>
        <v>5</v>
      </c>
      <c r="V188" s="55">
        <f t="shared" si="74"/>
        <v>45656</v>
      </c>
      <c r="W188" s="55"/>
      <c r="X188" s="56">
        <f t="shared" ca="1" si="75"/>
        <v>-184</v>
      </c>
      <c r="Y188" s="55"/>
      <c r="Z188" s="57"/>
      <c r="AA188" s="58" t="str">
        <f t="shared" si="76"/>
        <v>-</v>
      </c>
      <c r="AB188" s="59"/>
      <c r="AC188" s="58" t="str">
        <f t="shared" si="77"/>
        <v/>
      </c>
      <c r="AD188" s="59"/>
      <c r="AE188" s="58" t="str">
        <f t="shared" si="78"/>
        <v/>
      </c>
      <c r="AF188" s="59"/>
      <c r="AG188" s="58" t="str">
        <f t="shared" si="79"/>
        <v/>
      </c>
      <c r="AH188" s="59"/>
      <c r="AI188" s="58" t="str">
        <f t="shared" si="80"/>
        <v/>
      </c>
      <c r="AJ188" s="59"/>
      <c r="AK188" s="58" t="str">
        <f t="shared" si="81"/>
        <v/>
      </c>
      <c r="AL188" s="59"/>
      <c r="AM188" s="58" t="str">
        <f t="shared" si="82"/>
        <v/>
      </c>
      <c r="AN188" s="59"/>
      <c r="AO188" s="58" t="str">
        <f t="shared" si="83"/>
        <v/>
      </c>
      <c r="AP188" s="59"/>
      <c r="AQ188" s="58" t="str">
        <f t="shared" si="84"/>
        <v/>
      </c>
      <c r="AR188" s="59"/>
      <c r="AS188" s="58">
        <f t="shared" si="85"/>
        <v>1452</v>
      </c>
      <c r="AT188" s="59"/>
      <c r="AU188" s="58" t="str">
        <f t="shared" si="86"/>
        <v/>
      </c>
      <c r="AV188" s="59"/>
      <c r="AW188" s="58" t="str">
        <f t="shared" si="87"/>
        <v/>
      </c>
      <c r="AX188" s="59"/>
      <c r="AY188" s="58" t="str">
        <f t="shared" si="88"/>
        <v/>
      </c>
      <c r="AZ188" s="59"/>
      <c r="BA188" s="58" t="str">
        <f t="shared" si="89"/>
        <v/>
      </c>
      <c r="BB188" s="59"/>
      <c r="BC188" s="58" t="str">
        <f t="shared" si="90"/>
        <v/>
      </c>
      <c r="BD188" s="59"/>
      <c r="BE188" s="58" t="str">
        <f t="shared" si="91"/>
        <v/>
      </c>
      <c r="BF188" s="59"/>
      <c r="BG188" s="58" t="str">
        <f t="shared" si="92"/>
        <v/>
      </c>
      <c r="BH188" s="59"/>
      <c r="BI188" s="58" t="str">
        <f t="shared" si="93"/>
        <v/>
      </c>
      <c r="BJ188" s="59"/>
      <c r="BK188" s="58" t="str">
        <f t="shared" si="94"/>
        <v/>
      </c>
      <c r="BL188" s="59"/>
      <c r="BM188" s="58" t="str">
        <f t="shared" si="95"/>
        <v/>
      </c>
      <c r="BN188" s="59"/>
      <c r="BO188" s="58" t="str">
        <f t="shared" si="96"/>
        <v/>
      </c>
      <c r="BP188" s="59"/>
      <c r="BQ188" s="58" t="str">
        <f t="shared" si="97"/>
        <v/>
      </c>
      <c r="BR188" s="59"/>
      <c r="BS188" s="58" t="str">
        <f t="shared" si="98"/>
        <v/>
      </c>
      <c r="BT188" s="59"/>
      <c r="BU188" s="58" t="str">
        <f t="shared" si="99"/>
        <v/>
      </c>
      <c r="BV188" s="59"/>
    </row>
    <row r="189" spans="1:74" ht="14.5">
      <c r="A189" s="51" t="s">
        <v>446</v>
      </c>
      <c r="B189" s="52" t="s">
        <v>515</v>
      </c>
      <c r="C189" s="52" t="s">
        <v>60</v>
      </c>
      <c r="D189" s="41">
        <f t="shared" si="69"/>
        <v>2</v>
      </c>
      <c r="E189" s="52" t="s">
        <v>187</v>
      </c>
      <c r="F189" s="52" t="s">
        <v>448</v>
      </c>
      <c r="G189" s="52" t="s">
        <v>164</v>
      </c>
      <c r="H189" s="52" t="s">
        <v>449</v>
      </c>
      <c r="I189" s="53">
        <v>45668</v>
      </c>
      <c r="J189" s="108">
        <v>9000</v>
      </c>
      <c r="K189" s="101"/>
      <c r="L189" s="101"/>
      <c r="M189" s="101">
        <f t="shared" si="70"/>
        <v>9000</v>
      </c>
      <c r="N189" s="54">
        <f t="shared" si="71"/>
        <v>9000</v>
      </c>
      <c r="O189" s="101" t="s">
        <v>429</v>
      </c>
      <c r="P189" s="102">
        <f t="shared" si="72"/>
        <v>1.3636363636363635</v>
      </c>
      <c r="Q189" s="102">
        <v>6</v>
      </c>
      <c r="R189" s="99">
        <v>1100</v>
      </c>
      <c r="S189" s="55">
        <f t="shared" si="101"/>
        <v>45640</v>
      </c>
      <c r="T189" s="55"/>
      <c r="U189" s="56">
        <f t="shared" ca="1" si="73"/>
        <v>-200</v>
      </c>
      <c r="V189" s="55">
        <f t="shared" si="74"/>
        <v>45656</v>
      </c>
      <c r="W189" s="55"/>
      <c r="X189" s="56">
        <f t="shared" ca="1" si="75"/>
        <v>-184</v>
      </c>
      <c r="Y189" s="55"/>
      <c r="Z189" s="57"/>
      <c r="AA189" s="58" t="str">
        <f t="shared" si="76"/>
        <v>-</v>
      </c>
      <c r="AB189" s="59"/>
      <c r="AC189" s="58" t="str">
        <f t="shared" si="77"/>
        <v/>
      </c>
      <c r="AD189" s="59"/>
      <c r="AE189" s="58" t="str">
        <f t="shared" si="78"/>
        <v/>
      </c>
      <c r="AF189" s="59"/>
      <c r="AG189" s="58" t="str">
        <f t="shared" si="79"/>
        <v/>
      </c>
      <c r="AH189" s="59"/>
      <c r="AI189" s="58" t="str">
        <f t="shared" si="80"/>
        <v/>
      </c>
      <c r="AJ189" s="59"/>
      <c r="AK189" s="58" t="str">
        <f t="shared" si="81"/>
        <v/>
      </c>
      <c r="AL189" s="59"/>
      <c r="AM189" s="58" t="str">
        <f t="shared" si="82"/>
        <v/>
      </c>
      <c r="AN189" s="59"/>
      <c r="AO189" s="58" t="str">
        <f t="shared" si="83"/>
        <v/>
      </c>
      <c r="AP189" s="59"/>
      <c r="AQ189" s="58" t="str">
        <f t="shared" si="84"/>
        <v/>
      </c>
      <c r="AR189" s="59"/>
      <c r="AS189" s="58">
        <f t="shared" si="85"/>
        <v>9000</v>
      </c>
      <c r="AT189" s="59"/>
      <c r="AU189" s="58" t="str">
        <f t="shared" si="86"/>
        <v/>
      </c>
      <c r="AV189" s="59"/>
      <c r="AW189" s="58" t="str">
        <f t="shared" si="87"/>
        <v/>
      </c>
      <c r="AX189" s="59"/>
      <c r="AY189" s="58" t="str">
        <f t="shared" si="88"/>
        <v/>
      </c>
      <c r="AZ189" s="59"/>
      <c r="BA189" s="58" t="str">
        <f t="shared" si="89"/>
        <v/>
      </c>
      <c r="BB189" s="59"/>
      <c r="BC189" s="58" t="str">
        <f t="shared" si="90"/>
        <v/>
      </c>
      <c r="BD189" s="59"/>
      <c r="BE189" s="58" t="str">
        <f t="shared" si="91"/>
        <v/>
      </c>
      <c r="BF189" s="59"/>
      <c r="BG189" s="58" t="str">
        <f t="shared" si="92"/>
        <v/>
      </c>
      <c r="BH189" s="59"/>
      <c r="BI189" s="58" t="str">
        <f t="shared" si="93"/>
        <v/>
      </c>
      <c r="BJ189" s="59"/>
      <c r="BK189" s="58" t="str">
        <f t="shared" si="94"/>
        <v/>
      </c>
      <c r="BL189" s="59"/>
      <c r="BM189" s="58" t="str">
        <f t="shared" si="95"/>
        <v/>
      </c>
      <c r="BN189" s="59"/>
      <c r="BO189" s="58" t="str">
        <f t="shared" si="96"/>
        <v/>
      </c>
      <c r="BP189" s="59"/>
      <c r="BQ189" s="58" t="str">
        <f t="shared" si="97"/>
        <v/>
      </c>
      <c r="BR189" s="59"/>
      <c r="BS189" s="58" t="str">
        <f t="shared" si="98"/>
        <v/>
      </c>
      <c r="BT189" s="59"/>
      <c r="BU189" s="58" t="str">
        <f t="shared" si="99"/>
        <v/>
      </c>
      <c r="BV189" s="59"/>
    </row>
    <row r="190" spans="1:74" ht="14.5">
      <c r="A190" s="51" t="s">
        <v>446</v>
      </c>
      <c r="B190" s="52" t="s">
        <v>515</v>
      </c>
      <c r="C190" s="52" t="s">
        <v>60</v>
      </c>
      <c r="D190" s="41">
        <f t="shared" si="69"/>
        <v>2</v>
      </c>
      <c r="E190" s="52" t="s">
        <v>187</v>
      </c>
      <c r="F190" s="52" t="s">
        <v>448</v>
      </c>
      <c r="G190" s="52" t="s">
        <v>155</v>
      </c>
      <c r="H190" s="52" t="s">
        <v>449</v>
      </c>
      <c r="I190" s="53">
        <v>45668</v>
      </c>
      <c r="J190" s="108">
        <v>9000</v>
      </c>
      <c r="K190" s="101"/>
      <c r="L190" s="101"/>
      <c r="M190" s="101">
        <f t="shared" si="70"/>
        <v>9000</v>
      </c>
      <c r="N190" s="54">
        <f t="shared" si="71"/>
        <v>9000</v>
      </c>
      <c r="O190" s="101" t="s">
        <v>429</v>
      </c>
      <c r="P190" s="102">
        <f t="shared" si="72"/>
        <v>1.3636363636363635</v>
      </c>
      <c r="Q190" s="102">
        <v>6</v>
      </c>
      <c r="R190" s="99">
        <v>1100</v>
      </c>
      <c r="S190" s="55">
        <f t="shared" si="101"/>
        <v>45640</v>
      </c>
      <c r="T190" s="55"/>
      <c r="U190" s="56">
        <f t="shared" ca="1" si="73"/>
        <v>-200</v>
      </c>
      <c r="V190" s="55">
        <f t="shared" si="74"/>
        <v>45656</v>
      </c>
      <c r="W190" s="55"/>
      <c r="X190" s="56">
        <f t="shared" ca="1" si="75"/>
        <v>-184</v>
      </c>
      <c r="Y190" s="55"/>
      <c r="Z190" s="57"/>
      <c r="AA190" s="58" t="str">
        <f t="shared" si="76"/>
        <v>-</v>
      </c>
      <c r="AB190" s="59"/>
      <c r="AC190" s="58" t="str">
        <f t="shared" si="77"/>
        <v/>
      </c>
      <c r="AD190" s="59"/>
      <c r="AE190" s="58" t="str">
        <f t="shared" si="78"/>
        <v/>
      </c>
      <c r="AF190" s="59"/>
      <c r="AG190" s="58" t="str">
        <f t="shared" si="79"/>
        <v/>
      </c>
      <c r="AH190" s="59"/>
      <c r="AI190" s="58" t="str">
        <f t="shared" si="80"/>
        <v/>
      </c>
      <c r="AJ190" s="59"/>
      <c r="AK190" s="58" t="str">
        <f t="shared" si="81"/>
        <v/>
      </c>
      <c r="AL190" s="59"/>
      <c r="AM190" s="58" t="str">
        <f t="shared" si="82"/>
        <v/>
      </c>
      <c r="AN190" s="59"/>
      <c r="AO190" s="58" t="str">
        <f t="shared" si="83"/>
        <v/>
      </c>
      <c r="AP190" s="59"/>
      <c r="AQ190" s="58" t="str">
        <f t="shared" si="84"/>
        <v/>
      </c>
      <c r="AR190" s="59"/>
      <c r="AS190" s="58">
        <f t="shared" si="85"/>
        <v>9000</v>
      </c>
      <c r="AT190" s="59"/>
      <c r="AU190" s="58" t="str">
        <f t="shared" si="86"/>
        <v/>
      </c>
      <c r="AV190" s="59"/>
      <c r="AW190" s="58" t="str">
        <f t="shared" si="87"/>
        <v/>
      </c>
      <c r="AX190" s="59"/>
      <c r="AY190" s="58" t="str">
        <f t="shared" si="88"/>
        <v/>
      </c>
      <c r="AZ190" s="59"/>
      <c r="BA190" s="58" t="str">
        <f t="shared" si="89"/>
        <v/>
      </c>
      <c r="BB190" s="59"/>
      <c r="BC190" s="58" t="str">
        <f t="shared" si="90"/>
        <v/>
      </c>
      <c r="BD190" s="59"/>
      <c r="BE190" s="58" t="str">
        <f t="shared" si="91"/>
        <v/>
      </c>
      <c r="BF190" s="59"/>
      <c r="BG190" s="58" t="str">
        <f t="shared" si="92"/>
        <v/>
      </c>
      <c r="BH190" s="59"/>
      <c r="BI190" s="58" t="str">
        <f t="shared" si="93"/>
        <v/>
      </c>
      <c r="BJ190" s="59"/>
      <c r="BK190" s="58" t="str">
        <f t="shared" si="94"/>
        <v/>
      </c>
      <c r="BL190" s="59"/>
      <c r="BM190" s="58" t="str">
        <f t="shared" si="95"/>
        <v/>
      </c>
      <c r="BN190" s="59"/>
      <c r="BO190" s="58" t="str">
        <f t="shared" si="96"/>
        <v/>
      </c>
      <c r="BP190" s="59"/>
      <c r="BQ190" s="58" t="str">
        <f t="shared" si="97"/>
        <v/>
      </c>
      <c r="BR190" s="59"/>
      <c r="BS190" s="58" t="str">
        <f t="shared" si="98"/>
        <v/>
      </c>
      <c r="BT190" s="59"/>
      <c r="BU190" s="58" t="str">
        <f t="shared" si="99"/>
        <v/>
      </c>
      <c r="BV190" s="59"/>
    </row>
    <row r="191" spans="1:74" ht="14.5">
      <c r="A191" s="51" t="s">
        <v>446</v>
      </c>
      <c r="B191" s="52" t="s">
        <v>515</v>
      </c>
      <c r="C191" s="52" t="s">
        <v>60</v>
      </c>
      <c r="D191" s="41">
        <f t="shared" si="69"/>
        <v>2</v>
      </c>
      <c r="E191" s="52" t="s">
        <v>187</v>
      </c>
      <c r="F191" s="52" t="s">
        <v>448</v>
      </c>
      <c r="G191" s="52" t="s">
        <v>450</v>
      </c>
      <c r="H191" s="52" t="s">
        <v>449</v>
      </c>
      <c r="I191" s="53">
        <v>45668</v>
      </c>
      <c r="J191" s="108">
        <v>6000</v>
      </c>
      <c r="K191" s="101"/>
      <c r="L191" s="101"/>
      <c r="M191" s="101">
        <f t="shared" si="70"/>
        <v>6000</v>
      </c>
      <c r="N191" s="54">
        <f t="shared" si="71"/>
        <v>6000</v>
      </c>
      <c r="O191" s="101" t="s">
        <v>429</v>
      </c>
      <c r="P191" s="102">
        <f t="shared" si="72"/>
        <v>0.90909090909090906</v>
      </c>
      <c r="Q191" s="102">
        <v>6</v>
      </c>
      <c r="R191" s="99">
        <v>1100</v>
      </c>
      <c r="S191" s="55">
        <f t="shared" si="101"/>
        <v>45640</v>
      </c>
      <c r="T191" s="55"/>
      <c r="U191" s="56">
        <f t="shared" ca="1" si="73"/>
        <v>-200</v>
      </c>
      <c r="V191" s="55">
        <f t="shared" si="74"/>
        <v>45656</v>
      </c>
      <c r="W191" s="55"/>
      <c r="X191" s="56">
        <f t="shared" ca="1" si="75"/>
        <v>-184</v>
      </c>
      <c r="Y191" s="55"/>
      <c r="Z191" s="57"/>
      <c r="AA191" s="58" t="str">
        <f t="shared" si="76"/>
        <v>-</v>
      </c>
      <c r="AB191" s="59"/>
      <c r="AC191" s="58" t="str">
        <f t="shared" si="77"/>
        <v/>
      </c>
      <c r="AD191" s="59"/>
      <c r="AE191" s="58" t="str">
        <f t="shared" si="78"/>
        <v/>
      </c>
      <c r="AF191" s="59"/>
      <c r="AG191" s="58" t="str">
        <f t="shared" si="79"/>
        <v/>
      </c>
      <c r="AH191" s="59"/>
      <c r="AI191" s="58" t="str">
        <f t="shared" si="80"/>
        <v/>
      </c>
      <c r="AJ191" s="59"/>
      <c r="AK191" s="58" t="str">
        <f t="shared" si="81"/>
        <v/>
      </c>
      <c r="AL191" s="59"/>
      <c r="AM191" s="58" t="str">
        <f t="shared" si="82"/>
        <v/>
      </c>
      <c r="AN191" s="59"/>
      <c r="AO191" s="58" t="str">
        <f t="shared" si="83"/>
        <v/>
      </c>
      <c r="AP191" s="59"/>
      <c r="AQ191" s="58" t="str">
        <f t="shared" si="84"/>
        <v/>
      </c>
      <c r="AR191" s="59"/>
      <c r="AS191" s="58">
        <f t="shared" si="85"/>
        <v>6000</v>
      </c>
      <c r="AT191" s="59"/>
      <c r="AU191" s="58" t="str">
        <f t="shared" si="86"/>
        <v/>
      </c>
      <c r="AV191" s="59"/>
      <c r="AW191" s="58" t="str">
        <f t="shared" si="87"/>
        <v/>
      </c>
      <c r="AX191" s="59"/>
      <c r="AY191" s="58" t="str">
        <f t="shared" si="88"/>
        <v/>
      </c>
      <c r="AZ191" s="59"/>
      <c r="BA191" s="58" t="str">
        <f t="shared" si="89"/>
        <v/>
      </c>
      <c r="BB191" s="59"/>
      <c r="BC191" s="58" t="str">
        <f t="shared" si="90"/>
        <v/>
      </c>
      <c r="BD191" s="59"/>
      <c r="BE191" s="58" t="str">
        <f t="shared" si="91"/>
        <v/>
      </c>
      <c r="BF191" s="59"/>
      <c r="BG191" s="58" t="str">
        <f t="shared" si="92"/>
        <v/>
      </c>
      <c r="BH191" s="59"/>
      <c r="BI191" s="58" t="str">
        <f t="shared" si="93"/>
        <v/>
      </c>
      <c r="BJ191" s="59"/>
      <c r="BK191" s="58" t="str">
        <f t="shared" si="94"/>
        <v/>
      </c>
      <c r="BL191" s="59"/>
      <c r="BM191" s="58" t="str">
        <f t="shared" si="95"/>
        <v/>
      </c>
      <c r="BN191" s="59"/>
      <c r="BO191" s="58" t="str">
        <f t="shared" si="96"/>
        <v/>
      </c>
      <c r="BP191" s="59"/>
      <c r="BQ191" s="58" t="str">
        <f t="shared" si="97"/>
        <v/>
      </c>
      <c r="BR191" s="59"/>
      <c r="BS191" s="58" t="str">
        <f t="shared" si="98"/>
        <v/>
      </c>
      <c r="BT191" s="59"/>
      <c r="BU191" s="58" t="str">
        <f t="shared" si="99"/>
        <v/>
      </c>
      <c r="BV191" s="59"/>
    </row>
    <row r="192" spans="1:74" ht="14.5">
      <c r="A192" s="51" t="s">
        <v>58</v>
      </c>
      <c r="B192" s="52">
        <v>318</v>
      </c>
      <c r="C192" s="52" t="s">
        <v>188</v>
      </c>
      <c r="D192" s="41">
        <f t="shared" si="69"/>
        <v>3</v>
      </c>
      <c r="E192" s="52" t="s">
        <v>195</v>
      </c>
      <c r="F192" s="52" t="s">
        <v>454</v>
      </c>
      <c r="G192" s="52" t="s">
        <v>162</v>
      </c>
      <c r="H192" s="52" t="s">
        <v>516</v>
      </c>
      <c r="I192" s="53">
        <v>45671</v>
      </c>
      <c r="J192" s="108">
        <v>1488</v>
      </c>
      <c r="K192" s="101"/>
      <c r="L192" s="101"/>
      <c r="M192" s="101">
        <f t="shared" si="70"/>
        <v>1488</v>
      </c>
      <c r="N192" s="54">
        <f t="shared" si="71"/>
        <v>1488</v>
      </c>
      <c r="O192" s="101" t="s">
        <v>178</v>
      </c>
      <c r="P192" s="102">
        <f t="shared" si="72"/>
        <v>2.0666666666666669</v>
      </c>
      <c r="Q192" s="102">
        <v>6</v>
      </c>
      <c r="R192" s="99">
        <v>120</v>
      </c>
      <c r="S192" s="55">
        <f t="shared" si="101"/>
        <v>45643</v>
      </c>
      <c r="T192" s="55">
        <v>45606</v>
      </c>
      <c r="U192" s="56">
        <f t="shared" ca="1" si="73"/>
        <v>37</v>
      </c>
      <c r="V192" s="55">
        <f t="shared" si="74"/>
        <v>45659</v>
      </c>
      <c r="W192" s="55"/>
      <c r="X192" s="56">
        <f t="shared" ca="1" si="75"/>
        <v>-181</v>
      </c>
      <c r="Y192" s="55"/>
      <c r="Z192" s="57"/>
      <c r="AA192" s="58" t="str">
        <f t="shared" si="76"/>
        <v>-</v>
      </c>
      <c r="AB192" s="59"/>
      <c r="AC192" s="58" t="str">
        <f t="shared" si="77"/>
        <v/>
      </c>
      <c r="AD192" s="59"/>
      <c r="AE192" s="58" t="str">
        <f t="shared" si="78"/>
        <v/>
      </c>
      <c r="AF192" s="59"/>
      <c r="AG192" s="58" t="str">
        <f t="shared" si="79"/>
        <v/>
      </c>
      <c r="AH192" s="59"/>
      <c r="AI192" s="58" t="str">
        <f t="shared" si="80"/>
        <v/>
      </c>
      <c r="AJ192" s="59"/>
      <c r="AK192" s="58" t="str">
        <f t="shared" si="81"/>
        <v/>
      </c>
      <c r="AL192" s="59"/>
      <c r="AM192" s="58" t="str">
        <f t="shared" si="82"/>
        <v/>
      </c>
      <c r="AN192" s="59"/>
      <c r="AO192" s="58" t="str">
        <f t="shared" si="83"/>
        <v/>
      </c>
      <c r="AP192" s="59"/>
      <c r="AQ192" s="58" t="str">
        <f t="shared" si="84"/>
        <v/>
      </c>
      <c r="AR192" s="59"/>
      <c r="AS192" s="58" t="str">
        <f t="shared" si="85"/>
        <v/>
      </c>
      <c r="AT192" s="59"/>
      <c r="AU192" s="58">
        <f t="shared" si="86"/>
        <v>1488</v>
      </c>
      <c r="AV192" s="59"/>
      <c r="AW192" s="58" t="str">
        <f t="shared" si="87"/>
        <v/>
      </c>
      <c r="AX192" s="59"/>
      <c r="AY192" s="58" t="str">
        <f t="shared" si="88"/>
        <v/>
      </c>
      <c r="AZ192" s="59"/>
      <c r="BA192" s="58" t="str">
        <f t="shared" si="89"/>
        <v/>
      </c>
      <c r="BB192" s="59"/>
      <c r="BC192" s="58" t="str">
        <f t="shared" si="90"/>
        <v/>
      </c>
      <c r="BD192" s="59"/>
      <c r="BE192" s="58" t="str">
        <f t="shared" si="91"/>
        <v/>
      </c>
      <c r="BF192" s="59"/>
      <c r="BG192" s="58" t="str">
        <f t="shared" si="92"/>
        <v/>
      </c>
      <c r="BH192" s="59"/>
      <c r="BI192" s="58" t="str">
        <f t="shared" si="93"/>
        <v/>
      </c>
      <c r="BJ192" s="59"/>
      <c r="BK192" s="58" t="str">
        <f t="shared" si="94"/>
        <v/>
      </c>
      <c r="BL192" s="59"/>
      <c r="BM192" s="58" t="str">
        <f t="shared" si="95"/>
        <v/>
      </c>
      <c r="BN192" s="59"/>
      <c r="BO192" s="58" t="str">
        <f t="shared" si="96"/>
        <v/>
      </c>
      <c r="BP192" s="59"/>
      <c r="BQ192" s="58" t="str">
        <f t="shared" si="97"/>
        <v/>
      </c>
      <c r="BR192" s="59"/>
      <c r="BS192" s="58" t="str">
        <f t="shared" si="98"/>
        <v/>
      </c>
      <c r="BT192" s="59"/>
      <c r="BU192" s="58" t="str">
        <f t="shared" si="99"/>
        <v/>
      </c>
      <c r="BV192" s="59"/>
    </row>
    <row r="193" spans="1:74" ht="14.5">
      <c r="A193" s="51" t="s">
        <v>58</v>
      </c>
      <c r="B193" s="52">
        <v>318</v>
      </c>
      <c r="C193" s="52" t="s">
        <v>188</v>
      </c>
      <c r="D193" s="41">
        <f t="shared" si="69"/>
        <v>3</v>
      </c>
      <c r="E193" s="52" t="s">
        <v>81</v>
      </c>
      <c r="F193" s="52" t="s">
        <v>290</v>
      </c>
      <c r="G193" s="52" t="s">
        <v>291</v>
      </c>
      <c r="H193" s="52" t="s">
        <v>435</v>
      </c>
      <c r="I193" s="53">
        <v>45671</v>
      </c>
      <c r="J193" s="108">
        <v>1488</v>
      </c>
      <c r="K193" s="101"/>
      <c r="L193" s="101"/>
      <c r="M193" s="101">
        <f t="shared" si="70"/>
        <v>1488</v>
      </c>
      <c r="N193" s="54">
        <f t="shared" si="71"/>
        <v>1488</v>
      </c>
      <c r="O193" s="101" t="s">
        <v>436</v>
      </c>
      <c r="P193" s="102">
        <f t="shared" si="72"/>
        <v>0.16666666666666666</v>
      </c>
      <c r="Q193" s="102">
        <v>6</v>
      </c>
      <c r="R193" s="99">
        <v>1488</v>
      </c>
      <c r="S193" s="55">
        <f t="shared" si="101"/>
        <v>45643</v>
      </c>
      <c r="T193" s="55"/>
      <c r="U193" s="56">
        <f t="shared" ca="1" si="73"/>
        <v>-197</v>
      </c>
      <c r="V193" s="55">
        <f t="shared" si="74"/>
        <v>45659</v>
      </c>
      <c r="W193" s="55"/>
      <c r="X193" s="56">
        <f t="shared" ca="1" si="75"/>
        <v>-181</v>
      </c>
      <c r="Y193" s="55"/>
      <c r="Z193" s="57"/>
      <c r="AA193" s="58" t="str">
        <f t="shared" si="76"/>
        <v>-</v>
      </c>
      <c r="AB193" s="59"/>
      <c r="AC193" s="58" t="str">
        <f t="shared" si="77"/>
        <v/>
      </c>
      <c r="AD193" s="59"/>
      <c r="AE193" s="58" t="str">
        <f t="shared" si="78"/>
        <v/>
      </c>
      <c r="AF193" s="59"/>
      <c r="AG193" s="58" t="str">
        <f t="shared" si="79"/>
        <v/>
      </c>
      <c r="AH193" s="59"/>
      <c r="AI193" s="58" t="str">
        <f t="shared" si="80"/>
        <v/>
      </c>
      <c r="AJ193" s="59"/>
      <c r="AK193" s="58" t="str">
        <f t="shared" si="81"/>
        <v/>
      </c>
      <c r="AL193" s="59"/>
      <c r="AM193" s="58" t="str">
        <f t="shared" si="82"/>
        <v/>
      </c>
      <c r="AN193" s="59"/>
      <c r="AO193" s="58" t="str">
        <f t="shared" si="83"/>
        <v/>
      </c>
      <c r="AP193" s="59"/>
      <c r="AQ193" s="58" t="str">
        <f t="shared" si="84"/>
        <v/>
      </c>
      <c r="AR193" s="59"/>
      <c r="AS193" s="58" t="str">
        <f t="shared" si="85"/>
        <v/>
      </c>
      <c r="AT193" s="59"/>
      <c r="AU193" s="58">
        <f t="shared" si="86"/>
        <v>1488</v>
      </c>
      <c r="AV193" s="59"/>
      <c r="AW193" s="58" t="str">
        <f t="shared" si="87"/>
        <v/>
      </c>
      <c r="AX193" s="59"/>
      <c r="AY193" s="58" t="str">
        <f t="shared" si="88"/>
        <v/>
      </c>
      <c r="AZ193" s="59"/>
      <c r="BA193" s="58" t="str">
        <f t="shared" si="89"/>
        <v/>
      </c>
      <c r="BB193" s="59"/>
      <c r="BC193" s="58" t="str">
        <f t="shared" si="90"/>
        <v/>
      </c>
      <c r="BD193" s="59"/>
      <c r="BE193" s="58" t="str">
        <f t="shared" si="91"/>
        <v/>
      </c>
      <c r="BF193" s="59"/>
      <c r="BG193" s="58" t="str">
        <f t="shared" si="92"/>
        <v/>
      </c>
      <c r="BH193" s="59"/>
      <c r="BI193" s="58" t="str">
        <f t="shared" si="93"/>
        <v/>
      </c>
      <c r="BJ193" s="59"/>
      <c r="BK193" s="58" t="str">
        <f t="shared" si="94"/>
        <v/>
      </c>
      <c r="BL193" s="59"/>
      <c r="BM193" s="58" t="str">
        <f t="shared" si="95"/>
        <v/>
      </c>
      <c r="BN193" s="59"/>
      <c r="BO193" s="58" t="str">
        <f t="shared" si="96"/>
        <v/>
      </c>
      <c r="BP193" s="59"/>
      <c r="BQ193" s="58" t="str">
        <f t="shared" si="97"/>
        <v/>
      </c>
      <c r="BR193" s="59"/>
      <c r="BS193" s="58" t="str">
        <f t="shared" si="98"/>
        <v/>
      </c>
      <c r="BT193" s="59"/>
      <c r="BU193" s="58" t="str">
        <f t="shared" si="99"/>
        <v/>
      </c>
      <c r="BV193" s="59"/>
    </row>
    <row r="194" spans="1:74" ht="14.5">
      <c r="A194" s="51" t="s">
        <v>58</v>
      </c>
      <c r="B194" s="52">
        <v>318</v>
      </c>
      <c r="C194" s="52" t="s">
        <v>188</v>
      </c>
      <c r="D194" s="41">
        <f t="shared" si="69"/>
        <v>3</v>
      </c>
      <c r="E194" s="52" t="s">
        <v>81</v>
      </c>
      <c r="F194" s="52" t="s">
        <v>290</v>
      </c>
      <c r="G194" s="52" t="s">
        <v>293</v>
      </c>
      <c r="H194" s="52" t="s">
        <v>435</v>
      </c>
      <c r="I194" s="53">
        <v>45671</v>
      </c>
      <c r="J194" s="108">
        <v>1488</v>
      </c>
      <c r="K194" s="101"/>
      <c r="L194" s="101"/>
      <c r="M194" s="101">
        <f t="shared" si="70"/>
        <v>1488</v>
      </c>
      <c r="N194" s="54">
        <f t="shared" si="71"/>
        <v>1488</v>
      </c>
      <c r="O194" s="101" t="s">
        <v>436</v>
      </c>
      <c r="P194" s="102">
        <f t="shared" si="72"/>
        <v>0.16666666666666666</v>
      </c>
      <c r="Q194" s="102">
        <v>6</v>
      </c>
      <c r="R194" s="99">
        <v>1488</v>
      </c>
      <c r="S194" s="55">
        <f t="shared" si="101"/>
        <v>45643</v>
      </c>
      <c r="T194" s="55"/>
      <c r="U194" s="56">
        <f t="shared" ca="1" si="73"/>
        <v>-197</v>
      </c>
      <c r="V194" s="55">
        <f t="shared" si="74"/>
        <v>45659</v>
      </c>
      <c r="W194" s="55"/>
      <c r="X194" s="56">
        <f t="shared" ca="1" si="75"/>
        <v>-181</v>
      </c>
      <c r="Y194" s="55"/>
      <c r="Z194" s="57"/>
      <c r="AA194" s="58" t="str">
        <f t="shared" si="76"/>
        <v>-</v>
      </c>
      <c r="AB194" s="59"/>
      <c r="AC194" s="58" t="str">
        <f t="shared" si="77"/>
        <v/>
      </c>
      <c r="AD194" s="59"/>
      <c r="AE194" s="58" t="str">
        <f t="shared" si="78"/>
        <v/>
      </c>
      <c r="AF194" s="59"/>
      <c r="AG194" s="58" t="str">
        <f t="shared" si="79"/>
        <v/>
      </c>
      <c r="AH194" s="59"/>
      <c r="AI194" s="58" t="str">
        <f t="shared" si="80"/>
        <v/>
      </c>
      <c r="AJ194" s="59"/>
      <c r="AK194" s="58" t="str">
        <f t="shared" si="81"/>
        <v/>
      </c>
      <c r="AL194" s="59"/>
      <c r="AM194" s="58" t="str">
        <f t="shared" si="82"/>
        <v/>
      </c>
      <c r="AN194" s="59"/>
      <c r="AO194" s="58" t="str">
        <f t="shared" si="83"/>
        <v/>
      </c>
      <c r="AP194" s="59"/>
      <c r="AQ194" s="58" t="str">
        <f t="shared" si="84"/>
        <v/>
      </c>
      <c r="AR194" s="59"/>
      <c r="AS194" s="58" t="str">
        <f t="shared" si="85"/>
        <v/>
      </c>
      <c r="AT194" s="59"/>
      <c r="AU194" s="58">
        <f t="shared" si="86"/>
        <v>1488</v>
      </c>
      <c r="AV194" s="59"/>
      <c r="AW194" s="58" t="str">
        <f t="shared" si="87"/>
        <v/>
      </c>
      <c r="AX194" s="59"/>
      <c r="AY194" s="58" t="str">
        <f t="shared" si="88"/>
        <v/>
      </c>
      <c r="AZ194" s="59"/>
      <c r="BA194" s="58" t="str">
        <f t="shared" si="89"/>
        <v/>
      </c>
      <c r="BB194" s="59"/>
      <c r="BC194" s="58" t="str">
        <f t="shared" si="90"/>
        <v/>
      </c>
      <c r="BD194" s="59"/>
      <c r="BE194" s="58" t="str">
        <f t="shared" si="91"/>
        <v/>
      </c>
      <c r="BF194" s="59"/>
      <c r="BG194" s="58" t="str">
        <f t="shared" si="92"/>
        <v/>
      </c>
      <c r="BH194" s="59"/>
      <c r="BI194" s="58" t="str">
        <f t="shared" si="93"/>
        <v/>
      </c>
      <c r="BJ194" s="59"/>
      <c r="BK194" s="58" t="str">
        <f t="shared" si="94"/>
        <v/>
      </c>
      <c r="BL194" s="59"/>
      <c r="BM194" s="58" t="str">
        <f t="shared" si="95"/>
        <v/>
      </c>
      <c r="BN194" s="59"/>
      <c r="BO194" s="58" t="str">
        <f t="shared" si="96"/>
        <v/>
      </c>
      <c r="BP194" s="59"/>
      <c r="BQ194" s="58" t="str">
        <f t="shared" si="97"/>
        <v/>
      </c>
      <c r="BR194" s="59"/>
      <c r="BS194" s="58" t="str">
        <f t="shared" si="98"/>
        <v/>
      </c>
      <c r="BT194" s="59"/>
      <c r="BU194" s="58" t="str">
        <f t="shared" si="99"/>
        <v/>
      </c>
      <c r="BV194" s="59"/>
    </row>
    <row r="195" spans="1:74" ht="14.5">
      <c r="A195" s="51" t="s">
        <v>58</v>
      </c>
      <c r="B195" s="52">
        <v>318</v>
      </c>
      <c r="C195" s="52" t="s">
        <v>188</v>
      </c>
      <c r="D195" s="41">
        <f t="shared" si="69"/>
        <v>3</v>
      </c>
      <c r="E195" s="52" t="s">
        <v>81</v>
      </c>
      <c r="F195" s="52" t="s">
        <v>290</v>
      </c>
      <c r="G195" s="52" t="s">
        <v>294</v>
      </c>
      <c r="H195" s="52" t="s">
        <v>435</v>
      </c>
      <c r="I195" s="53">
        <v>45671</v>
      </c>
      <c r="J195" s="108">
        <v>1488</v>
      </c>
      <c r="K195" s="101"/>
      <c r="L195" s="101"/>
      <c r="M195" s="101">
        <f t="shared" si="70"/>
        <v>1488</v>
      </c>
      <c r="N195" s="54">
        <f t="shared" si="71"/>
        <v>1488</v>
      </c>
      <c r="O195" s="101" t="s">
        <v>436</v>
      </c>
      <c r="P195" s="102">
        <f t="shared" si="72"/>
        <v>0.16666666666666666</v>
      </c>
      <c r="Q195" s="102">
        <v>6</v>
      </c>
      <c r="R195" s="99">
        <v>1488</v>
      </c>
      <c r="S195" s="55">
        <f t="shared" si="101"/>
        <v>45643</v>
      </c>
      <c r="T195" s="55"/>
      <c r="U195" s="56">
        <f t="shared" ca="1" si="73"/>
        <v>-197</v>
      </c>
      <c r="V195" s="55">
        <f t="shared" si="74"/>
        <v>45659</v>
      </c>
      <c r="W195" s="55"/>
      <c r="X195" s="56">
        <f t="shared" ca="1" si="75"/>
        <v>-181</v>
      </c>
      <c r="Y195" s="55"/>
      <c r="Z195" s="57"/>
      <c r="AA195" s="58" t="str">
        <f t="shared" si="76"/>
        <v>-</v>
      </c>
      <c r="AB195" s="59"/>
      <c r="AC195" s="58" t="str">
        <f t="shared" si="77"/>
        <v/>
      </c>
      <c r="AD195" s="59"/>
      <c r="AE195" s="58" t="str">
        <f t="shared" si="78"/>
        <v/>
      </c>
      <c r="AF195" s="59"/>
      <c r="AG195" s="58" t="str">
        <f t="shared" si="79"/>
        <v/>
      </c>
      <c r="AH195" s="59"/>
      <c r="AI195" s="58" t="str">
        <f t="shared" si="80"/>
        <v/>
      </c>
      <c r="AJ195" s="59"/>
      <c r="AK195" s="58" t="str">
        <f t="shared" si="81"/>
        <v/>
      </c>
      <c r="AL195" s="59"/>
      <c r="AM195" s="58" t="str">
        <f t="shared" si="82"/>
        <v/>
      </c>
      <c r="AN195" s="59"/>
      <c r="AO195" s="58" t="str">
        <f t="shared" si="83"/>
        <v/>
      </c>
      <c r="AP195" s="59"/>
      <c r="AQ195" s="58" t="str">
        <f t="shared" si="84"/>
        <v/>
      </c>
      <c r="AR195" s="59"/>
      <c r="AS195" s="58" t="str">
        <f t="shared" si="85"/>
        <v/>
      </c>
      <c r="AT195" s="59"/>
      <c r="AU195" s="58">
        <f t="shared" si="86"/>
        <v>1488</v>
      </c>
      <c r="AV195" s="59"/>
      <c r="AW195" s="58" t="str">
        <f t="shared" si="87"/>
        <v/>
      </c>
      <c r="AX195" s="59"/>
      <c r="AY195" s="58" t="str">
        <f t="shared" si="88"/>
        <v/>
      </c>
      <c r="AZ195" s="59"/>
      <c r="BA195" s="58" t="str">
        <f t="shared" si="89"/>
        <v/>
      </c>
      <c r="BB195" s="59"/>
      <c r="BC195" s="58" t="str">
        <f t="shared" si="90"/>
        <v/>
      </c>
      <c r="BD195" s="59"/>
      <c r="BE195" s="58" t="str">
        <f t="shared" si="91"/>
        <v/>
      </c>
      <c r="BF195" s="59"/>
      <c r="BG195" s="58" t="str">
        <f t="shared" si="92"/>
        <v/>
      </c>
      <c r="BH195" s="59"/>
      <c r="BI195" s="58" t="str">
        <f t="shared" si="93"/>
        <v/>
      </c>
      <c r="BJ195" s="59"/>
      <c r="BK195" s="58" t="str">
        <f t="shared" si="94"/>
        <v/>
      </c>
      <c r="BL195" s="59"/>
      <c r="BM195" s="58" t="str">
        <f t="shared" si="95"/>
        <v/>
      </c>
      <c r="BN195" s="59"/>
      <c r="BO195" s="58" t="str">
        <f t="shared" si="96"/>
        <v/>
      </c>
      <c r="BP195" s="59"/>
      <c r="BQ195" s="58" t="str">
        <f t="shared" si="97"/>
        <v/>
      </c>
      <c r="BR195" s="59"/>
      <c r="BS195" s="58" t="str">
        <f t="shared" si="98"/>
        <v/>
      </c>
      <c r="BT195" s="59"/>
      <c r="BU195" s="58" t="str">
        <f t="shared" si="99"/>
        <v/>
      </c>
      <c r="BV195" s="59"/>
    </row>
    <row r="196" spans="1:74" ht="14.5">
      <c r="A196" s="51" t="s">
        <v>58</v>
      </c>
      <c r="B196" s="52">
        <v>318</v>
      </c>
      <c r="C196" s="52" t="s">
        <v>188</v>
      </c>
      <c r="D196" s="41">
        <f t="shared" si="69"/>
        <v>3</v>
      </c>
      <c r="E196" s="52" t="s">
        <v>502</v>
      </c>
      <c r="F196" s="52" t="s">
        <v>289</v>
      </c>
      <c r="G196" s="52" t="s">
        <v>155</v>
      </c>
      <c r="H196" s="52" t="s">
        <v>503</v>
      </c>
      <c r="I196" s="53">
        <v>45671</v>
      </c>
      <c r="J196" s="108">
        <v>1788</v>
      </c>
      <c r="K196" s="101"/>
      <c r="L196" s="101"/>
      <c r="M196" s="101">
        <f t="shared" si="70"/>
        <v>1788</v>
      </c>
      <c r="N196" s="54">
        <f t="shared" si="71"/>
        <v>1788</v>
      </c>
      <c r="O196" s="101" t="s">
        <v>504</v>
      </c>
      <c r="P196" s="102">
        <f t="shared" si="72"/>
        <v>9.3125</v>
      </c>
      <c r="Q196" s="102">
        <v>6</v>
      </c>
      <c r="R196" s="99">
        <f>480/15</f>
        <v>32</v>
      </c>
      <c r="S196" s="55">
        <f t="shared" si="101"/>
        <v>45643</v>
      </c>
      <c r="T196" s="55"/>
      <c r="U196" s="56">
        <f t="shared" ca="1" si="73"/>
        <v>-197</v>
      </c>
      <c r="V196" s="55">
        <f t="shared" si="74"/>
        <v>45659</v>
      </c>
      <c r="W196" s="55"/>
      <c r="X196" s="56">
        <f t="shared" ca="1" si="75"/>
        <v>-181</v>
      </c>
      <c r="Y196" s="55"/>
      <c r="Z196" s="57"/>
      <c r="AA196" s="58" t="str">
        <f t="shared" si="76"/>
        <v>-</v>
      </c>
      <c r="AB196" s="59"/>
      <c r="AC196" s="58" t="str">
        <f t="shared" si="77"/>
        <v/>
      </c>
      <c r="AD196" s="59"/>
      <c r="AE196" s="58" t="str">
        <f t="shared" si="78"/>
        <v/>
      </c>
      <c r="AF196" s="59"/>
      <c r="AG196" s="58" t="str">
        <f t="shared" si="79"/>
        <v/>
      </c>
      <c r="AH196" s="59"/>
      <c r="AI196" s="58" t="str">
        <f t="shared" si="80"/>
        <v/>
      </c>
      <c r="AJ196" s="59"/>
      <c r="AK196" s="58" t="str">
        <f t="shared" si="81"/>
        <v/>
      </c>
      <c r="AL196" s="59"/>
      <c r="AM196" s="58" t="str">
        <f t="shared" si="82"/>
        <v/>
      </c>
      <c r="AN196" s="59"/>
      <c r="AO196" s="58" t="str">
        <f t="shared" si="83"/>
        <v/>
      </c>
      <c r="AP196" s="59"/>
      <c r="AQ196" s="58" t="str">
        <f t="shared" si="84"/>
        <v/>
      </c>
      <c r="AR196" s="59"/>
      <c r="AS196" s="58" t="str">
        <f t="shared" si="85"/>
        <v/>
      </c>
      <c r="AT196" s="59"/>
      <c r="AU196" s="58">
        <f t="shared" si="86"/>
        <v>1788</v>
      </c>
      <c r="AV196" s="59"/>
      <c r="AW196" s="58" t="str">
        <f t="shared" si="87"/>
        <v/>
      </c>
      <c r="AX196" s="59"/>
      <c r="AY196" s="58" t="str">
        <f t="shared" si="88"/>
        <v/>
      </c>
      <c r="AZ196" s="59"/>
      <c r="BA196" s="58" t="str">
        <f t="shared" si="89"/>
        <v/>
      </c>
      <c r="BB196" s="59"/>
      <c r="BC196" s="58" t="str">
        <f t="shared" si="90"/>
        <v/>
      </c>
      <c r="BD196" s="59"/>
      <c r="BE196" s="58" t="str">
        <f t="shared" si="91"/>
        <v/>
      </c>
      <c r="BF196" s="59"/>
      <c r="BG196" s="58" t="str">
        <f t="shared" si="92"/>
        <v/>
      </c>
      <c r="BH196" s="59"/>
      <c r="BI196" s="58" t="str">
        <f t="shared" si="93"/>
        <v/>
      </c>
      <c r="BJ196" s="59"/>
      <c r="BK196" s="58" t="str">
        <f t="shared" si="94"/>
        <v/>
      </c>
      <c r="BL196" s="59"/>
      <c r="BM196" s="58" t="str">
        <f t="shared" si="95"/>
        <v/>
      </c>
      <c r="BN196" s="59"/>
      <c r="BO196" s="58" t="str">
        <f t="shared" si="96"/>
        <v/>
      </c>
      <c r="BP196" s="59"/>
      <c r="BQ196" s="58" t="str">
        <f t="shared" si="97"/>
        <v/>
      </c>
      <c r="BR196" s="59"/>
      <c r="BS196" s="58" t="str">
        <f t="shared" si="98"/>
        <v/>
      </c>
      <c r="BT196" s="59"/>
      <c r="BU196" s="58" t="str">
        <f t="shared" si="99"/>
        <v/>
      </c>
      <c r="BV196" s="59"/>
    </row>
    <row r="197" spans="1:74" ht="14.5">
      <c r="A197" s="51" t="s">
        <v>58</v>
      </c>
      <c r="B197" s="52">
        <v>318</v>
      </c>
      <c r="C197" s="52" t="s">
        <v>188</v>
      </c>
      <c r="D197" s="41">
        <f t="shared" si="69"/>
        <v>3</v>
      </c>
      <c r="E197" s="52" t="s">
        <v>502</v>
      </c>
      <c r="F197" s="52" t="s">
        <v>289</v>
      </c>
      <c r="G197" s="52" t="s">
        <v>154</v>
      </c>
      <c r="H197" s="52" t="s">
        <v>503</v>
      </c>
      <c r="I197" s="53">
        <v>45671</v>
      </c>
      <c r="J197" s="108">
        <v>1490</v>
      </c>
      <c r="K197" s="101"/>
      <c r="L197" s="101"/>
      <c r="M197" s="101">
        <f t="shared" si="70"/>
        <v>1490</v>
      </c>
      <c r="N197" s="54">
        <f t="shared" si="71"/>
        <v>1490</v>
      </c>
      <c r="O197" s="101" t="s">
        <v>505</v>
      </c>
      <c r="P197" s="102">
        <f t="shared" si="72"/>
        <v>7.760416666666667</v>
      </c>
      <c r="Q197" s="102">
        <v>6</v>
      </c>
      <c r="R197" s="99">
        <f>480/15</f>
        <v>32</v>
      </c>
      <c r="S197" s="55">
        <f t="shared" si="101"/>
        <v>45643</v>
      </c>
      <c r="T197" s="55"/>
      <c r="U197" s="56">
        <f t="shared" ca="1" si="73"/>
        <v>-197</v>
      </c>
      <c r="V197" s="55">
        <f t="shared" si="74"/>
        <v>45659</v>
      </c>
      <c r="W197" s="55"/>
      <c r="X197" s="56">
        <f t="shared" ca="1" si="75"/>
        <v>-181</v>
      </c>
      <c r="Y197" s="55"/>
      <c r="Z197" s="57"/>
      <c r="AA197" s="58" t="str">
        <f t="shared" si="76"/>
        <v>-</v>
      </c>
      <c r="AB197" s="59"/>
      <c r="AC197" s="58" t="str">
        <f t="shared" si="77"/>
        <v/>
      </c>
      <c r="AD197" s="59"/>
      <c r="AE197" s="58" t="str">
        <f t="shared" si="78"/>
        <v/>
      </c>
      <c r="AF197" s="59"/>
      <c r="AG197" s="58" t="str">
        <f t="shared" si="79"/>
        <v/>
      </c>
      <c r="AH197" s="59"/>
      <c r="AI197" s="58" t="str">
        <f t="shared" si="80"/>
        <v/>
      </c>
      <c r="AJ197" s="59"/>
      <c r="AK197" s="58" t="str">
        <f t="shared" si="81"/>
        <v/>
      </c>
      <c r="AL197" s="59"/>
      <c r="AM197" s="58" t="str">
        <f t="shared" si="82"/>
        <v/>
      </c>
      <c r="AN197" s="59"/>
      <c r="AO197" s="58" t="str">
        <f t="shared" si="83"/>
        <v/>
      </c>
      <c r="AP197" s="59"/>
      <c r="AQ197" s="58" t="str">
        <f t="shared" si="84"/>
        <v/>
      </c>
      <c r="AR197" s="59"/>
      <c r="AS197" s="58" t="str">
        <f t="shared" si="85"/>
        <v/>
      </c>
      <c r="AT197" s="59"/>
      <c r="AU197" s="58">
        <f t="shared" si="86"/>
        <v>1490</v>
      </c>
      <c r="AV197" s="59"/>
      <c r="AW197" s="58" t="str">
        <f t="shared" si="87"/>
        <v/>
      </c>
      <c r="AX197" s="59"/>
      <c r="AY197" s="58" t="str">
        <f t="shared" si="88"/>
        <v/>
      </c>
      <c r="AZ197" s="59"/>
      <c r="BA197" s="58" t="str">
        <f t="shared" si="89"/>
        <v/>
      </c>
      <c r="BB197" s="59"/>
      <c r="BC197" s="58" t="str">
        <f t="shared" si="90"/>
        <v/>
      </c>
      <c r="BD197" s="59"/>
      <c r="BE197" s="58" t="str">
        <f t="shared" si="91"/>
        <v/>
      </c>
      <c r="BF197" s="59"/>
      <c r="BG197" s="58" t="str">
        <f t="shared" si="92"/>
        <v/>
      </c>
      <c r="BH197" s="59"/>
      <c r="BI197" s="58" t="str">
        <f t="shared" si="93"/>
        <v/>
      </c>
      <c r="BJ197" s="59"/>
      <c r="BK197" s="58" t="str">
        <f t="shared" si="94"/>
        <v/>
      </c>
      <c r="BL197" s="59"/>
      <c r="BM197" s="58" t="str">
        <f t="shared" si="95"/>
        <v/>
      </c>
      <c r="BN197" s="59"/>
      <c r="BO197" s="58" t="str">
        <f t="shared" si="96"/>
        <v/>
      </c>
      <c r="BP197" s="59"/>
      <c r="BQ197" s="58" t="str">
        <f t="shared" si="97"/>
        <v/>
      </c>
      <c r="BR197" s="59"/>
      <c r="BS197" s="58" t="str">
        <f t="shared" si="98"/>
        <v/>
      </c>
      <c r="BT197" s="59"/>
      <c r="BU197" s="58" t="str">
        <f t="shared" si="99"/>
        <v/>
      </c>
      <c r="BV197" s="59"/>
    </row>
    <row r="198" spans="1:74" ht="14.5">
      <c r="A198" s="51" t="s">
        <v>58</v>
      </c>
      <c r="B198" s="52">
        <v>318</v>
      </c>
      <c r="C198" s="52" t="s">
        <v>188</v>
      </c>
      <c r="D198" s="41">
        <f t="shared" si="69"/>
        <v>3</v>
      </c>
      <c r="E198" s="52" t="s">
        <v>502</v>
      </c>
      <c r="F198" s="52" t="s">
        <v>289</v>
      </c>
      <c r="G198" s="52" t="s">
        <v>156</v>
      </c>
      <c r="H198" s="52" t="s">
        <v>503</v>
      </c>
      <c r="I198" s="53">
        <v>45671</v>
      </c>
      <c r="J198" s="108">
        <v>1192</v>
      </c>
      <c r="K198" s="101"/>
      <c r="L198" s="101"/>
      <c r="M198" s="101">
        <f t="shared" si="70"/>
        <v>1192</v>
      </c>
      <c r="N198" s="54">
        <f t="shared" si="71"/>
        <v>1192</v>
      </c>
      <c r="O198" s="101" t="s">
        <v>506</v>
      </c>
      <c r="P198" s="102">
        <f t="shared" si="72"/>
        <v>6.208333333333333</v>
      </c>
      <c r="Q198" s="102">
        <v>6</v>
      </c>
      <c r="R198" s="99">
        <f>480/15</f>
        <v>32</v>
      </c>
      <c r="S198" s="55">
        <f t="shared" si="101"/>
        <v>45643</v>
      </c>
      <c r="T198" s="55"/>
      <c r="U198" s="56">
        <f t="shared" ca="1" si="73"/>
        <v>-197</v>
      </c>
      <c r="V198" s="55">
        <f t="shared" si="74"/>
        <v>45659</v>
      </c>
      <c r="W198" s="55"/>
      <c r="X198" s="56">
        <f t="shared" ca="1" si="75"/>
        <v>-181</v>
      </c>
      <c r="Y198" s="55"/>
      <c r="Z198" s="57"/>
      <c r="AA198" s="58" t="str">
        <f t="shared" si="76"/>
        <v>-</v>
      </c>
      <c r="AB198" s="59"/>
      <c r="AC198" s="58" t="str">
        <f t="shared" si="77"/>
        <v/>
      </c>
      <c r="AD198" s="59"/>
      <c r="AE198" s="58" t="str">
        <f t="shared" si="78"/>
        <v/>
      </c>
      <c r="AF198" s="59"/>
      <c r="AG198" s="58" t="str">
        <f t="shared" si="79"/>
        <v/>
      </c>
      <c r="AH198" s="59"/>
      <c r="AI198" s="58" t="str">
        <f t="shared" si="80"/>
        <v/>
      </c>
      <c r="AJ198" s="59"/>
      <c r="AK198" s="58" t="str">
        <f t="shared" si="81"/>
        <v/>
      </c>
      <c r="AL198" s="59"/>
      <c r="AM198" s="58" t="str">
        <f t="shared" si="82"/>
        <v/>
      </c>
      <c r="AN198" s="59"/>
      <c r="AO198" s="58" t="str">
        <f t="shared" si="83"/>
        <v/>
      </c>
      <c r="AP198" s="59"/>
      <c r="AQ198" s="58" t="str">
        <f t="shared" si="84"/>
        <v/>
      </c>
      <c r="AR198" s="59"/>
      <c r="AS198" s="58" t="str">
        <f t="shared" si="85"/>
        <v/>
      </c>
      <c r="AT198" s="59"/>
      <c r="AU198" s="58">
        <f t="shared" si="86"/>
        <v>1192</v>
      </c>
      <c r="AV198" s="59"/>
      <c r="AW198" s="58" t="str">
        <f t="shared" si="87"/>
        <v/>
      </c>
      <c r="AX198" s="59"/>
      <c r="AY198" s="58" t="str">
        <f t="shared" si="88"/>
        <v/>
      </c>
      <c r="AZ198" s="59"/>
      <c r="BA198" s="58" t="str">
        <f t="shared" si="89"/>
        <v/>
      </c>
      <c r="BB198" s="59"/>
      <c r="BC198" s="58" t="str">
        <f t="shared" si="90"/>
        <v/>
      </c>
      <c r="BD198" s="59"/>
      <c r="BE198" s="58" t="str">
        <f t="shared" si="91"/>
        <v/>
      </c>
      <c r="BF198" s="59"/>
      <c r="BG198" s="58" t="str">
        <f t="shared" si="92"/>
        <v/>
      </c>
      <c r="BH198" s="59"/>
      <c r="BI198" s="58" t="str">
        <f t="shared" si="93"/>
        <v/>
      </c>
      <c r="BJ198" s="59"/>
      <c r="BK198" s="58" t="str">
        <f t="shared" si="94"/>
        <v/>
      </c>
      <c r="BL198" s="59"/>
      <c r="BM198" s="58" t="str">
        <f t="shared" si="95"/>
        <v/>
      </c>
      <c r="BN198" s="59"/>
      <c r="BO198" s="58" t="str">
        <f t="shared" si="96"/>
        <v/>
      </c>
      <c r="BP198" s="59"/>
      <c r="BQ198" s="58" t="str">
        <f t="shared" si="97"/>
        <v/>
      </c>
      <c r="BR198" s="59"/>
      <c r="BS198" s="58" t="str">
        <f t="shared" si="98"/>
        <v/>
      </c>
      <c r="BT198" s="59"/>
      <c r="BU198" s="58" t="str">
        <f t="shared" si="99"/>
        <v/>
      </c>
      <c r="BV198" s="59"/>
    </row>
    <row r="199" spans="1:74" ht="14.5">
      <c r="A199" s="51" t="s">
        <v>58</v>
      </c>
      <c r="B199" s="52">
        <v>318</v>
      </c>
      <c r="C199" s="52" t="s">
        <v>188</v>
      </c>
      <c r="D199" s="41">
        <f t="shared" ref="D199:D262" si="102">+WEEKNUM(I199)</f>
        <v>3</v>
      </c>
      <c r="E199" s="52" t="s">
        <v>390</v>
      </c>
      <c r="F199" s="52" t="s">
        <v>242</v>
      </c>
      <c r="G199" s="52" t="s">
        <v>162</v>
      </c>
      <c r="H199" s="52" t="s">
        <v>430</v>
      </c>
      <c r="I199" s="53">
        <v>45671</v>
      </c>
      <c r="J199" s="108">
        <v>888</v>
      </c>
      <c r="K199" s="101"/>
      <c r="L199" s="101"/>
      <c r="M199" s="101">
        <f t="shared" ref="M199:M262" si="103">+J199-L199</f>
        <v>888</v>
      </c>
      <c r="N199" s="54">
        <f t="shared" ref="N199:N262" si="104">+J199-K199</f>
        <v>888</v>
      </c>
      <c r="O199" s="101" t="s">
        <v>431</v>
      </c>
      <c r="P199" s="102">
        <f t="shared" ref="P199:P262" si="105">J199/(R199*Q199)</f>
        <v>1.2333333333333334</v>
      </c>
      <c r="Q199" s="102">
        <v>6</v>
      </c>
      <c r="R199" s="99">
        <v>120</v>
      </c>
      <c r="S199" s="55">
        <f t="shared" si="101"/>
        <v>45643</v>
      </c>
      <c r="T199" s="55">
        <v>45606</v>
      </c>
      <c r="U199" s="56">
        <f t="shared" ref="U199:U262" ca="1" si="106">+IF(T199="",S199-TODAY(),S199-T199)</f>
        <v>37</v>
      </c>
      <c r="V199" s="55">
        <f t="shared" ref="V199:V262" si="107">+S199+16</f>
        <v>45659</v>
      </c>
      <c r="W199" s="55"/>
      <c r="X199" s="56">
        <f t="shared" ref="X199:X262" ca="1" si="108">+IF(W199="",V199-TODAY(),V199-W199)</f>
        <v>-181</v>
      </c>
      <c r="Y199" s="55"/>
      <c r="Z199" s="57"/>
      <c r="AA199" s="58" t="str">
        <f t="shared" ref="AA199:AA262" si="109">+IF($AA$4=WEEKNUM(S199),J199,"-")</f>
        <v>-</v>
      </c>
      <c r="AB199" s="59"/>
      <c r="AC199" s="58" t="str">
        <f t="shared" ref="AC199:AC262" si="110">+IF($AC$4=WEEKNUM(S199),J199,"")</f>
        <v/>
      </c>
      <c r="AD199" s="59"/>
      <c r="AE199" s="58" t="str">
        <f t="shared" ref="AE199:AE262" si="111">+IF($AE$4=WEEKNUM(S199),J199,"")</f>
        <v/>
      </c>
      <c r="AF199" s="59"/>
      <c r="AG199" s="58" t="str">
        <f t="shared" ref="AG199:AG262" si="112">+IF($AG$4=WEEKNUM(S199),J199,"")</f>
        <v/>
      </c>
      <c r="AH199" s="59"/>
      <c r="AI199" s="58" t="str">
        <f t="shared" ref="AI199:AI262" si="113">+IF($AI$4=WEEKNUM(S199),J199,"")</f>
        <v/>
      </c>
      <c r="AJ199" s="59"/>
      <c r="AK199" s="58" t="str">
        <f t="shared" ref="AK199:AK262" si="114">+IF($AK$4=WEEKNUM(S199),J199,"")</f>
        <v/>
      </c>
      <c r="AL199" s="59"/>
      <c r="AM199" s="58" t="str">
        <f t="shared" ref="AM199:AM262" si="115">+IF($AM$4=WEEKNUM(S199),J199,"")</f>
        <v/>
      </c>
      <c r="AN199" s="59"/>
      <c r="AO199" s="58" t="str">
        <f t="shared" ref="AO199:AO262" si="116">+IF($AO$4=WEEKNUM(S199),J199,"")</f>
        <v/>
      </c>
      <c r="AP199" s="59"/>
      <c r="AQ199" s="58" t="str">
        <f t="shared" ref="AQ199:AQ262" si="117">+IF($AQ$4=WEEKNUM(S199),J199,"")</f>
        <v/>
      </c>
      <c r="AR199" s="59"/>
      <c r="AS199" s="58" t="str">
        <f t="shared" ref="AS199:AS262" si="118">+IF($AS$4=WEEKNUM(S199),J199,"")</f>
        <v/>
      </c>
      <c r="AT199" s="59"/>
      <c r="AU199" s="58">
        <f t="shared" ref="AU199:AU262" si="119">+IF($AU$4=WEEKNUM(S199),J199,"")</f>
        <v>888</v>
      </c>
      <c r="AV199" s="59"/>
      <c r="AW199" s="58" t="str">
        <f t="shared" ref="AW199:AW262" si="120">+IF($AW$4=WEEKNUM(S199),J199,"")</f>
        <v/>
      </c>
      <c r="AX199" s="59"/>
      <c r="AY199" s="58" t="str">
        <f t="shared" ref="AY199:AY262" si="121">+IF($AY$4=WEEKNUM(S199),J199,"")</f>
        <v/>
      </c>
      <c r="AZ199" s="59"/>
      <c r="BA199" s="58" t="str">
        <f t="shared" ref="BA199:BA262" si="122">+IF($BA$4=WEEKNUM(S199),J199,"")</f>
        <v/>
      </c>
      <c r="BB199" s="59"/>
      <c r="BC199" s="58" t="str">
        <f t="shared" ref="BC199:BC262" si="123">+IF($BC$4=WEEKNUM(S199),J199,"")</f>
        <v/>
      </c>
      <c r="BD199" s="59"/>
      <c r="BE199" s="58" t="str">
        <f t="shared" ref="BE199:BE262" si="124">+IF($BE$4=WEEKNUM(S199),J199,"")</f>
        <v/>
      </c>
      <c r="BF199" s="59"/>
      <c r="BG199" s="58" t="str">
        <f t="shared" ref="BG199:BG262" si="125">+IF($BG$4=WEEKNUM(S199),J199,"")</f>
        <v/>
      </c>
      <c r="BH199" s="59"/>
      <c r="BI199" s="58" t="str">
        <f t="shared" ref="BI199:BI262" si="126">+IF($BI$4=WEEKNUM(S199),J199,"")</f>
        <v/>
      </c>
      <c r="BJ199" s="59"/>
      <c r="BK199" s="58" t="str">
        <f t="shared" ref="BK199:BK262" si="127">+IF($BK$4=WEEKNUM(S199),J199,"")</f>
        <v/>
      </c>
      <c r="BL199" s="59"/>
      <c r="BM199" s="58" t="str">
        <f t="shared" ref="BM199:BM262" si="128">+IF($BM$4=WEEKNUM(S199),J199,"")</f>
        <v/>
      </c>
      <c r="BN199" s="59"/>
      <c r="BO199" s="58" t="str">
        <f t="shared" ref="BO199:BO262" si="129">+IF($BO$4=WEEKNUM(S199),J199,"")</f>
        <v/>
      </c>
      <c r="BP199" s="59"/>
      <c r="BQ199" s="58" t="str">
        <f t="shared" ref="BQ199:BQ262" si="130">+IF($BQ$4=WEEKNUM(S199),J199,"")</f>
        <v/>
      </c>
      <c r="BR199" s="59"/>
      <c r="BS199" s="58" t="str">
        <f t="shared" ref="BS199:BS262" si="131">+IF($BS$4=WEEKNUM(S199),J199,"")</f>
        <v/>
      </c>
      <c r="BT199" s="59"/>
      <c r="BU199" s="58" t="str">
        <f t="shared" ref="BU199:BU262" si="132">+IF($BU$4=WEEKNUM(S199),J199,"")</f>
        <v/>
      </c>
      <c r="BV199" s="59"/>
    </row>
    <row r="200" spans="1:74" ht="14.5">
      <c r="A200" s="51" t="s">
        <v>58</v>
      </c>
      <c r="B200" s="52">
        <v>318</v>
      </c>
      <c r="C200" s="52" t="s">
        <v>188</v>
      </c>
      <c r="D200" s="41">
        <f t="shared" si="102"/>
        <v>3</v>
      </c>
      <c r="E200" s="52" t="s">
        <v>158</v>
      </c>
      <c r="F200" s="52" t="s">
        <v>242</v>
      </c>
      <c r="G200" s="52" t="s">
        <v>255</v>
      </c>
      <c r="H200" s="52" t="s">
        <v>445</v>
      </c>
      <c r="I200" s="53">
        <v>45671</v>
      </c>
      <c r="J200" s="108">
        <v>1336</v>
      </c>
      <c r="K200" s="101"/>
      <c r="L200" s="101"/>
      <c r="M200" s="101">
        <f t="shared" si="103"/>
        <v>1336</v>
      </c>
      <c r="N200" s="54">
        <f t="shared" si="104"/>
        <v>1336</v>
      </c>
      <c r="O200" s="101" t="s">
        <v>439</v>
      </c>
      <c r="P200" s="102">
        <f t="shared" si="105"/>
        <v>1.8555555555555556</v>
      </c>
      <c r="Q200" s="102">
        <v>6</v>
      </c>
      <c r="R200" s="99">
        <v>120</v>
      </c>
      <c r="S200" s="55">
        <f t="shared" si="101"/>
        <v>45643</v>
      </c>
      <c r="T200" s="55">
        <v>45606</v>
      </c>
      <c r="U200" s="56">
        <f t="shared" ca="1" si="106"/>
        <v>37</v>
      </c>
      <c r="V200" s="55">
        <f t="shared" si="107"/>
        <v>45659</v>
      </c>
      <c r="W200" s="55"/>
      <c r="X200" s="56">
        <f t="shared" ca="1" si="108"/>
        <v>-181</v>
      </c>
      <c r="Y200" s="55"/>
      <c r="Z200" s="57"/>
      <c r="AA200" s="58" t="str">
        <f t="shared" si="109"/>
        <v>-</v>
      </c>
      <c r="AB200" s="59"/>
      <c r="AC200" s="58" t="str">
        <f t="shared" si="110"/>
        <v/>
      </c>
      <c r="AD200" s="59"/>
      <c r="AE200" s="58" t="str">
        <f t="shared" si="111"/>
        <v/>
      </c>
      <c r="AF200" s="59"/>
      <c r="AG200" s="58" t="str">
        <f t="shared" si="112"/>
        <v/>
      </c>
      <c r="AH200" s="59"/>
      <c r="AI200" s="58" t="str">
        <f t="shared" si="113"/>
        <v/>
      </c>
      <c r="AJ200" s="59"/>
      <c r="AK200" s="58" t="str">
        <f t="shared" si="114"/>
        <v/>
      </c>
      <c r="AL200" s="59"/>
      <c r="AM200" s="58" t="str">
        <f t="shared" si="115"/>
        <v/>
      </c>
      <c r="AN200" s="59"/>
      <c r="AO200" s="58" t="str">
        <f t="shared" si="116"/>
        <v/>
      </c>
      <c r="AP200" s="59"/>
      <c r="AQ200" s="58" t="str">
        <f t="shared" si="117"/>
        <v/>
      </c>
      <c r="AR200" s="59"/>
      <c r="AS200" s="58" t="str">
        <f t="shared" si="118"/>
        <v/>
      </c>
      <c r="AT200" s="59"/>
      <c r="AU200" s="58">
        <f t="shared" si="119"/>
        <v>1336</v>
      </c>
      <c r="AV200" s="59"/>
      <c r="AW200" s="58" t="str">
        <f t="shared" si="120"/>
        <v/>
      </c>
      <c r="AX200" s="59"/>
      <c r="AY200" s="58" t="str">
        <f t="shared" si="121"/>
        <v/>
      </c>
      <c r="AZ200" s="59"/>
      <c r="BA200" s="58" t="str">
        <f t="shared" si="122"/>
        <v/>
      </c>
      <c r="BB200" s="59"/>
      <c r="BC200" s="58" t="str">
        <f t="shared" si="123"/>
        <v/>
      </c>
      <c r="BD200" s="59"/>
      <c r="BE200" s="58" t="str">
        <f t="shared" si="124"/>
        <v/>
      </c>
      <c r="BF200" s="59"/>
      <c r="BG200" s="58" t="str">
        <f t="shared" si="125"/>
        <v/>
      </c>
      <c r="BH200" s="59"/>
      <c r="BI200" s="58" t="str">
        <f t="shared" si="126"/>
        <v/>
      </c>
      <c r="BJ200" s="59"/>
      <c r="BK200" s="58" t="str">
        <f t="shared" si="127"/>
        <v/>
      </c>
      <c r="BL200" s="59"/>
      <c r="BM200" s="58" t="str">
        <f t="shared" si="128"/>
        <v/>
      </c>
      <c r="BN200" s="59"/>
      <c r="BO200" s="58" t="str">
        <f t="shared" si="129"/>
        <v/>
      </c>
      <c r="BP200" s="59"/>
      <c r="BQ200" s="58" t="str">
        <f t="shared" si="130"/>
        <v/>
      </c>
      <c r="BR200" s="59"/>
      <c r="BS200" s="58" t="str">
        <f t="shared" si="131"/>
        <v/>
      </c>
      <c r="BT200" s="59"/>
      <c r="BU200" s="58" t="str">
        <f t="shared" si="132"/>
        <v/>
      </c>
      <c r="BV200" s="59"/>
    </row>
    <row r="201" spans="1:74" ht="14.5">
      <c r="A201" s="51" t="s">
        <v>58</v>
      </c>
      <c r="B201" s="52">
        <v>318</v>
      </c>
      <c r="C201" s="52" t="s">
        <v>188</v>
      </c>
      <c r="D201" s="41">
        <f t="shared" si="102"/>
        <v>3</v>
      </c>
      <c r="E201" s="52" t="s">
        <v>190</v>
      </c>
      <c r="F201" s="52" t="s">
        <v>242</v>
      </c>
      <c r="G201" s="52" t="s">
        <v>244</v>
      </c>
      <c r="H201" s="52" t="s">
        <v>513</v>
      </c>
      <c r="I201" s="53">
        <v>45671</v>
      </c>
      <c r="J201" s="108">
        <v>1344</v>
      </c>
      <c r="K201" s="101"/>
      <c r="L201" s="101"/>
      <c r="M201" s="101">
        <f t="shared" si="103"/>
        <v>1344</v>
      </c>
      <c r="N201" s="54">
        <f t="shared" si="104"/>
        <v>1344</v>
      </c>
      <c r="O201" s="101" t="s">
        <v>439</v>
      </c>
      <c r="P201" s="102">
        <f t="shared" si="105"/>
        <v>1.8666666666666667</v>
      </c>
      <c r="Q201" s="102">
        <v>6</v>
      </c>
      <c r="R201" s="99">
        <v>120</v>
      </c>
      <c r="S201" s="55">
        <f t="shared" si="101"/>
        <v>45643</v>
      </c>
      <c r="T201" s="55">
        <v>45606</v>
      </c>
      <c r="U201" s="56">
        <f t="shared" ca="1" si="106"/>
        <v>37</v>
      </c>
      <c r="V201" s="55">
        <f t="shared" si="107"/>
        <v>45659</v>
      </c>
      <c r="W201" s="55"/>
      <c r="X201" s="56">
        <f t="shared" ca="1" si="108"/>
        <v>-181</v>
      </c>
      <c r="Y201" s="55"/>
      <c r="Z201" s="57"/>
      <c r="AA201" s="58" t="str">
        <f t="shared" si="109"/>
        <v>-</v>
      </c>
      <c r="AB201" s="59"/>
      <c r="AC201" s="58" t="str">
        <f t="shared" si="110"/>
        <v/>
      </c>
      <c r="AD201" s="59"/>
      <c r="AE201" s="58" t="str">
        <f t="shared" si="111"/>
        <v/>
      </c>
      <c r="AF201" s="59"/>
      <c r="AG201" s="58" t="str">
        <f t="shared" si="112"/>
        <v/>
      </c>
      <c r="AH201" s="59"/>
      <c r="AI201" s="58" t="str">
        <f t="shared" si="113"/>
        <v/>
      </c>
      <c r="AJ201" s="59"/>
      <c r="AK201" s="58" t="str">
        <f t="shared" si="114"/>
        <v/>
      </c>
      <c r="AL201" s="59"/>
      <c r="AM201" s="58" t="str">
        <f t="shared" si="115"/>
        <v/>
      </c>
      <c r="AN201" s="59"/>
      <c r="AO201" s="58" t="str">
        <f t="shared" si="116"/>
        <v/>
      </c>
      <c r="AP201" s="59"/>
      <c r="AQ201" s="58" t="str">
        <f t="shared" si="117"/>
        <v/>
      </c>
      <c r="AR201" s="59"/>
      <c r="AS201" s="58" t="str">
        <f t="shared" si="118"/>
        <v/>
      </c>
      <c r="AT201" s="59"/>
      <c r="AU201" s="58">
        <f t="shared" si="119"/>
        <v>1344</v>
      </c>
      <c r="AV201" s="59"/>
      <c r="AW201" s="58" t="str">
        <f t="shared" si="120"/>
        <v/>
      </c>
      <c r="AX201" s="59"/>
      <c r="AY201" s="58" t="str">
        <f t="shared" si="121"/>
        <v/>
      </c>
      <c r="AZ201" s="59"/>
      <c r="BA201" s="58" t="str">
        <f t="shared" si="122"/>
        <v/>
      </c>
      <c r="BB201" s="59"/>
      <c r="BC201" s="58" t="str">
        <f t="shared" si="123"/>
        <v/>
      </c>
      <c r="BD201" s="59"/>
      <c r="BE201" s="58" t="str">
        <f t="shared" si="124"/>
        <v/>
      </c>
      <c r="BF201" s="59"/>
      <c r="BG201" s="58" t="str">
        <f t="shared" si="125"/>
        <v/>
      </c>
      <c r="BH201" s="59"/>
      <c r="BI201" s="58" t="str">
        <f t="shared" si="126"/>
        <v/>
      </c>
      <c r="BJ201" s="59"/>
      <c r="BK201" s="58" t="str">
        <f t="shared" si="127"/>
        <v/>
      </c>
      <c r="BL201" s="59"/>
      <c r="BM201" s="58" t="str">
        <f t="shared" si="128"/>
        <v/>
      </c>
      <c r="BN201" s="59"/>
      <c r="BO201" s="58" t="str">
        <f t="shared" si="129"/>
        <v/>
      </c>
      <c r="BP201" s="59"/>
      <c r="BQ201" s="58" t="str">
        <f t="shared" si="130"/>
        <v/>
      </c>
      <c r="BR201" s="59"/>
      <c r="BS201" s="58" t="str">
        <f t="shared" si="131"/>
        <v/>
      </c>
      <c r="BT201" s="59"/>
      <c r="BU201" s="58" t="str">
        <f t="shared" si="132"/>
        <v/>
      </c>
      <c r="BV201" s="59"/>
    </row>
    <row r="202" spans="1:74" ht="14.5">
      <c r="A202" s="51" t="s">
        <v>58</v>
      </c>
      <c r="B202" s="52">
        <v>358</v>
      </c>
      <c r="C202" s="52" t="s">
        <v>188</v>
      </c>
      <c r="D202" s="41">
        <f t="shared" si="102"/>
        <v>3</v>
      </c>
      <c r="E202" s="52" t="s">
        <v>201</v>
      </c>
      <c r="F202" s="52" t="s">
        <v>247</v>
      </c>
      <c r="G202" s="52" t="s">
        <v>441</v>
      </c>
      <c r="H202" s="52" t="s">
        <v>442</v>
      </c>
      <c r="I202" s="53">
        <v>45671</v>
      </c>
      <c r="J202" s="108">
        <v>14256</v>
      </c>
      <c r="K202" s="101"/>
      <c r="L202" s="101"/>
      <c r="M202" s="101">
        <f t="shared" si="103"/>
        <v>14256</v>
      </c>
      <c r="N202" s="54">
        <f t="shared" si="104"/>
        <v>14256</v>
      </c>
      <c r="O202" s="101" t="s">
        <v>443</v>
      </c>
      <c r="P202" s="102">
        <f t="shared" si="105"/>
        <v>8.1462857142857139</v>
      </c>
      <c r="Q202" s="102">
        <v>5</v>
      </c>
      <c r="R202" s="99">
        <v>350</v>
      </c>
      <c r="S202" s="55">
        <f t="shared" si="101"/>
        <v>45643</v>
      </c>
      <c r="T202" s="55">
        <v>45635</v>
      </c>
      <c r="U202" s="56">
        <f t="shared" ca="1" si="106"/>
        <v>8</v>
      </c>
      <c r="V202" s="55">
        <f t="shared" si="107"/>
        <v>45659</v>
      </c>
      <c r="W202" s="55"/>
      <c r="X202" s="56">
        <f t="shared" ca="1" si="108"/>
        <v>-181</v>
      </c>
      <c r="Y202" s="55"/>
      <c r="Z202" s="57"/>
      <c r="AA202" s="58" t="str">
        <f t="shared" si="109"/>
        <v>-</v>
      </c>
      <c r="AB202" s="59"/>
      <c r="AC202" s="58" t="str">
        <f t="shared" si="110"/>
        <v/>
      </c>
      <c r="AD202" s="59"/>
      <c r="AE202" s="58" t="str">
        <f t="shared" si="111"/>
        <v/>
      </c>
      <c r="AF202" s="59"/>
      <c r="AG202" s="58" t="str">
        <f t="shared" si="112"/>
        <v/>
      </c>
      <c r="AH202" s="59"/>
      <c r="AI202" s="58" t="str">
        <f t="shared" si="113"/>
        <v/>
      </c>
      <c r="AJ202" s="59"/>
      <c r="AK202" s="58" t="str">
        <f t="shared" si="114"/>
        <v/>
      </c>
      <c r="AL202" s="59"/>
      <c r="AM202" s="58" t="str">
        <f t="shared" si="115"/>
        <v/>
      </c>
      <c r="AN202" s="59"/>
      <c r="AO202" s="58" t="str">
        <f t="shared" si="116"/>
        <v/>
      </c>
      <c r="AP202" s="59"/>
      <c r="AQ202" s="58" t="str">
        <f t="shared" si="117"/>
        <v/>
      </c>
      <c r="AR202" s="59"/>
      <c r="AS202" s="58" t="str">
        <f t="shared" si="118"/>
        <v/>
      </c>
      <c r="AT202" s="59"/>
      <c r="AU202" s="58">
        <f t="shared" si="119"/>
        <v>14256</v>
      </c>
      <c r="AV202" s="59"/>
      <c r="AW202" s="58" t="str">
        <f t="shared" si="120"/>
        <v/>
      </c>
      <c r="AX202" s="59"/>
      <c r="AY202" s="58" t="str">
        <f t="shared" si="121"/>
        <v/>
      </c>
      <c r="AZ202" s="59"/>
      <c r="BA202" s="58" t="str">
        <f t="shared" si="122"/>
        <v/>
      </c>
      <c r="BB202" s="59"/>
      <c r="BC202" s="58" t="str">
        <f t="shared" si="123"/>
        <v/>
      </c>
      <c r="BD202" s="59"/>
      <c r="BE202" s="58" t="str">
        <f t="shared" si="124"/>
        <v/>
      </c>
      <c r="BF202" s="59"/>
      <c r="BG202" s="58" t="str">
        <f t="shared" si="125"/>
        <v/>
      </c>
      <c r="BH202" s="59"/>
      <c r="BI202" s="58" t="str">
        <f t="shared" si="126"/>
        <v/>
      </c>
      <c r="BJ202" s="59"/>
      <c r="BK202" s="58" t="str">
        <f t="shared" si="127"/>
        <v/>
      </c>
      <c r="BL202" s="59"/>
      <c r="BM202" s="58" t="str">
        <f t="shared" si="128"/>
        <v/>
      </c>
      <c r="BN202" s="59"/>
      <c r="BO202" s="58" t="str">
        <f t="shared" si="129"/>
        <v/>
      </c>
      <c r="BP202" s="59"/>
      <c r="BQ202" s="58" t="str">
        <f t="shared" si="130"/>
        <v/>
      </c>
      <c r="BR202" s="59"/>
      <c r="BS202" s="58" t="str">
        <f t="shared" si="131"/>
        <v/>
      </c>
      <c r="BT202" s="59"/>
      <c r="BU202" s="58" t="str">
        <f t="shared" si="132"/>
        <v/>
      </c>
      <c r="BV202" s="59"/>
    </row>
    <row r="203" spans="1:74" ht="14.5">
      <c r="A203" s="51" t="s">
        <v>58</v>
      </c>
      <c r="B203" s="52">
        <v>358</v>
      </c>
      <c r="C203" s="52" t="s">
        <v>188</v>
      </c>
      <c r="D203" s="41">
        <f t="shared" si="102"/>
        <v>3</v>
      </c>
      <c r="E203" s="52" t="s">
        <v>195</v>
      </c>
      <c r="F203" s="52" t="s">
        <v>454</v>
      </c>
      <c r="G203" s="52" t="s">
        <v>162</v>
      </c>
      <c r="H203" s="52" t="s">
        <v>516</v>
      </c>
      <c r="I203" s="53">
        <v>45671</v>
      </c>
      <c r="J203" s="108">
        <v>2820</v>
      </c>
      <c r="K203" s="101"/>
      <c r="L203" s="101"/>
      <c r="M203" s="101">
        <f t="shared" si="103"/>
        <v>2820</v>
      </c>
      <c r="N203" s="54">
        <f t="shared" si="104"/>
        <v>2820</v>
      </c>
      <c r="O203" s="101" t="s">
        <v>178</v>
      </c>
      <c r="P203" s="102">
        <f t="shared" si="105"/>
        <v>3.9166666666666665</v>
      </c>
      <c r="Q203" s="102">
        <v>6</v>
      </c>
      <c r="R203" s="99">
        <v>120</v>
      </c>
      <c r="S203" s="55">
        <f t="shared" si="101"/>
        <v>45643</v>
      </c>
      <c r="T203" s="55">
        <v>45635</v>
      </c>
      <c r="U203" s="56">
        <f t="shared" ca="1" si="106"/>
        <v>8</v>
      </c>
      <c r="V203" s="55">
        <f t="shared" si="107"/>
        <v>45659</v>
      </c>
      <c r="W203" s="55"/>
      <c r="X203" s="56">
        <f t="shared" ca="1" si="108"/>
        <v>-181</v>
      </c>
      <c r="Y203" s="55"/>
      <c r="Z203" s="57"/>
      <c r="AA203" s="58" t="str">
        <f t="shared" si="109"/>
        <v>-</v>
      </c>
      <c r="AB203" s="59"/>
      <c r="AC203" s="58" t="str">
        <f t="shared" si="110"/>
        <v/>
      </c>
      <c r="AD203" s="59"/>
      <c r="AE203" s="58" t="str">
        <f t="shared" si="111"/>
        <v/>
      </c>
      <c r="AF203" s="59"/>
      <c r="AG203" s="58" t="str">
        <f t="shared" si="112"/>
        <v/>
      </c>
      <c r="AH203" s="59"/>
      <c r="AI203" s="58" t="str">
        <f t="shared" si="113"/>
        <v/>
      </c>
      <c r="AJ203" s="59"/>
      <c r="AK203" s="58" t="str">
        <f t="shared" si="114"/>
        <v/>
      </c>
      <c r="AL203" s="59"/>
      <c r="AM203" s="58" t="str">
        <f t="shared" si="115"/>
        <v/>
      </c>
      <c r="AN203" s="59"/>
      <c r="AO203" s="58" t="str">
        <f t="shared" si="116"/>
        <v/>
      </c>
      <c r="AP203" s="59"/>
      <c r="AQ203" s="58" t="str">
        <f t="shared" si="117"/>
        <v/>
      </c>
      <c r="AR203" s="59"/>
      <c r="AS203" s="58" t="str">
        <f t="shared" si="118"/>
        <v/>
      </c>
      <c r="AT203" s="59"/>
      <c r="AU203" s="58">
        <f t="shared" si="119"/>
        <v>2820</v>
      </c>
      <c r="AV203" s="59"/>
      <c r="AW203" s="58" t="str">
        <f t="shared" si="120"/>
        <v/>
      </c>
      <c r="AX203" s="59"/>
      <c r="AY203" s="58" t="str">
        <f t="shared" si="121"/>
        <v/>
      </c>
      <c r="AZ203" s="59"/>
      <c r="BA203" s="58" t="str">
        <f t="shared" si="122"/>
        <v/>
      </c>
      <c r="BB203" s="59"/>
      <c r="BC203" s="58" t="str">
        <f t="shared" si="123"/>
        <v/>
      </c>
      <c r="BD203" s="59"/>
      <c r="BE203" s="58" t="str">
        <f t="shared" si="124"/>
        <v/>
      </c>
      <c r="BF203" s="59"/>
      <c r="BG203" s="58" t="str">
        <f t="shared" si="125"/>
        <v/>
      </c>
      <c r="BH203" s="59"/>
      <c r="BI203" s="58" t="str">
        <f t="shared" si="126"/>
        <v/>
      </c>
      <c r="BJ203" s="59"/>
      <c r="BK203" s="58" t="str">
        <f t="shared" si="127"/>
        <v/>
      </c>
      <c r="BL203" s="59"/>
      <c r="BM203" s="58" t="str">
        <f t="shared" si="128"/>
        <v/>
      </c>
      <c r="BN203" s="59"/>
      <c r="BO203" s="58" t="str">
        <f t="shared" si="129"/>
        <v/>
      </c>
      <c r="BP203" s="59"/>
      <c r="BQ203" s="58" t="str">
        <f t="shared" si="130"/>
        <v/>
      </c>
      <c r="BR203" s="59"/>
      <c r="BS203" s="58" t="str">
        <f t="shared" si="131"/>
        <v/>
      </c>
      <c r="BT203" s="59"/>
      <c r="BU203" s="58" t="str">
        <f t="shared" si="132"/>
        <v/>
      </c>
      <c r="BV203" s="59"/>
    </row>
    <row r="204" spans="1:74" ht="14.5">
      <c r="A204" s="51" t="s">
        <v>58</v>
      </c>
      <c r="B204" s="52">
        <v>358</v>
      </c>
      <c r="C204" s="52" t="s">
        <v>188</v>
      </c>
      <c r="D204" s="41">
        <f t="shared" si="102"/>
        <v>3</v>
      </c>
      <c r="E204" s="52" t="s">
        <v>245</v>
      </c>
      <c r="F204" s="52" t="s">
        <v>242</v>
      </c>
      <c r="G204" s="52" t="s">
        <v>244</v>
      </c>
      <c r="H204" s="52" t="s">
        <v>432</v>
      </c>
      <c r="I204" s="53">
        <v>45671</v>
      </c>
      <c r="J204" s="108">
        <v>172</v>
      </c>
      <c r="K204" s="101"/>
      <c r="L204" s="101"/>
      <c r="M204" s="101">
        <f t="shared" si="103"/>
        <v>172</v>
      </c>
      <c r="N204" s="54">
        <f t="shared" si="104"/>
        <v>172</v>
      </c>
      <c r="O204" s="101" t="s">
        <v>431</v>
      </c>
      <c r="P204" s="102">
        <f t="shared" si="105"/>
        <v>0.2388888888888889</v>
      </c>
      <c r="Q204" s="102">
        <v>6</v>
      </c>
      <c r="R204" s="99">
        <v>120</v>
      </c>
      <c r="S204" s="55">
        <f t="shared" si="101"/>
        <v>45643</v>
      </c>
      <c r="T204" s="55">
        <v>45635</v>
      </c>
      <c r="U204" s="56">
        <f t="shared" ca="1" si="106"/>
        <v>8</v>
      </c>
      <c r="V204" s="55">
        <f t="shared" si="107"/>
        <v>45659</v>
      </c>
      <c r="W204" s="55"/>
      <c r="X204" s="56">
        <f t="shared" ca="1" si="108"/>
        <v>-181</v>
      </c>
      <c r="Y204" s="55"/>
      <c r="Z204" s="57"/>
      <c r="AA204" s="58" t="str">
        <f t="shared" si="109"/>
        <v>-</v>
      </c>
      <c r="AB204" s="59"/>
      <c r="AC204" s="58" t="str">
        <f t="shared" si="110"/>
        <v/>
      </c>
      <c r="AD204" s="59"/>
      <c r="AE204" s="58" t="str">
        <f t="shared" si="111"/>
        <v/>
      </c>
      <c r="AF204" s="59"/>
      <c r="AG204" s="58" t="str">
        <f t="shared" si="112"/>
        <v/>
      </c>
      <c r="AH204" s="59"/>
      <c r="AI204" s="58" t="str">
        <f t="shared" si="113"/>
        <v/>
      </c>
      <c r="AJ204" s="59"/>
      <c r="AK204" s="58" t="str">
        <f t="shared" si="114"/>
        <v/>
      </c>
      <c r="AL204" s="59"/>
      <c r="AM204" s="58" t="str">
        <f t="shared" si="115"/>
        <v/>
      </c>
      <c r="AN204" s="59"/>
      <c r="AO204" s="58" t="str">
        <f t="shared" si="116"/>
        <v/>
      </c>
      <c r="AP204" s="59"/>
      <c r="AQ204" s="58" t="str">
        <f t="shared" si="117"/>
        <v/>
      </c>
      <c r="AR204" s="59"/>
      <c r="AS204" s="58" t="str">
        <f t="shared" si="118"/>
        <v/>
      </c>
      <c r="AT204" s="59"/>
      <c r="AU204" s="58">
        <f t="shared" si="119"/>
        <v>172</v>
      </c>
      <c r="AV204" s="59"/>
      <c r="AW204" s="58" t="str">
        <f t="shared" si="120"/>
        <v/>
      </c>
      <c r="AX204" s="59"/>
      <c r="AY204" s="58" t="str">
        <f t="shared" si="121"/>
        <v/>
      </c>
      <c r="AZ204" s="59"/>
      <c r="BA204" s="58" t="str">
        <f t="shared" si="122"/>
        <v/>
      </c>
      <c r="BB204" s="59"/>
      <c r="BC204" s="58" t="str">
        <f t="shared" si="123"/>
        <v/>
      </c>
      <c r="BD204" s="59"/>
      <c r="BE204" s="58" t="str">
        <f t="shared" si="124"/>
        <v/>
      </c>
      <c r="BF204" s="59"/>
      <c r="BG204" s="58" t="str">
        <f t="shared" si="125"/>
        <v/>
      </c>
      <c r="BH204" s="59"/>
      <c r="BI204" s="58" t="str">
        <f t="shared" si="126"/>
        <v/>
      </c>
      <c r="BJ204" s="59"/>
      <c r="BK204" s="58" t="str">
        <f t="shared" si="127"/>
        <v/>
      </c>
      <c r="BL204" s="59"/>
      <c r="BM204" s="58" t="str">
        <f t="shared" si="128"/>
        <v/>
      </c>
      <c r="BN204" s="59"/>
      <c r="BO204" s="58" t="str">
        <f t="shared" si="129"/>
        <v/>
      </c>
      <c r="BP204" s="59"/>
      <c r="BQ204" s="58" t="str">
        <f t="shared" si="130"/>
        <v/>
      </c>
      <c r="BR204" s="59"/>
      <c r="BS204" s="58" t="str">
        <f t="shared" si="131"/>
        <v/>
      </c>
      <c r="BT204" s="59"/>
      <c r="BU204" s="58" t="str">
        <f t="shared" si="132"/>
        <v/>
      </c>
      <c r="BV204" s="59"/>
    </row>
    <row r="205" spans="1:74" ht="14.5">
      <c r="A205" s="51" t="s">
        <v>58</v>
      </c>
      <c r="B205" s="52">
        <v>358</v>
      </c>
      <c r="C205" s="52" t="s">
        <v>188</v>
      </c>
      <c r="D205" s="41">
        <f t="shared" si="102"/>
        <v>3</v>
      </c>
      <c r="E205" s="52" t="s">
        <v>189</v>
      </c>
      <c r="F205" s="52" t="s">
        <v>242</v>
      </c>
      <c r="G205" s="52" t="s">
        <v>162</v>
      </c>
      <c r="H205" s="52" t="s">
        <v>432</v>
      </c>
      <c r="I205" s="53">
        <v>45671</v>
      </c>
      <c r="J205" s="108">
        <v>1412</v>
      </c>
      <c r="K205" s="101"/>
      <c r="L205" s="101"/>
      <c r="M205" s="101">
        <f t="shared" si="103"/>
        <v>1412</v>
      </c>
      <c r="N205" s="54">
        <f t="shared" si="104"/>
        <v>1412</v>
      </c>
      <c r="O205" s="101" t="s">
        <v>178</v>
      </c>
      <c r="P205" s="102">
        <f t="shared" si="105"/>
        <v>1.961111111111111</v>
      </c>
      <c r="Q205" s="102">
        <v>6</v>
      </c>
      <c r="R205" s="99">
        <v>120</v>
      </c>
      <c r="S205" s="55">
        <f t="shared" si="101"/>
        <v>45643</v>
      </c>
      <c r="T205" s="55">
        <v>45635</v>
      </c>
      <c r="U205" s="56">
        <f t="shared" ca="1" si="106"/>
        <v>8</v>
      </c>
      <c r="V205" s="55">
        <f t="shared" si="107"/>
        <v>45659</v>
      </c>
      <c r="W205" s="55"/>
      <c r="X205" s="56">
        <f t="shared" ca="1" si="108"/>
        <v>-181</v>
      </c>
      <c r="Y205" s="55"/>
      <c r="Z205" s="57"/>
      <c r="AA205" s="58" t="str">
        <f t="shared" si="109"/>
        <v>-</v>
      </c>
      <c r="AB205" s="59"/>
      <c r="AC205" s="58" t="str">
        <f t="shared" si="110"/>
        <v/>
      </c>
      <c r="AD205" s="59"/>
      <c r="AE205" s="58" t="str">
        <f t="shared" si="111"/>
        <v/>
      </c>
      <c r="AF205" s="59"/>
      <c r="AG205" s="58" t="str">
        <f t="shared" si="112"/>
        <v/>
      </c>
      <c r="AH205" s="59"/>
      <c r="AI205" s="58" t="str">
        <f t="shared" si="113"/>
        <v/>
      </c>
      <c r="AJ205" s="59"/>
      <c r="AK205" s="58" t="str">
        <f t="shared" si="114"/>
        <v/>
      </c>
      <c r="AL205" s="59"/>
      <c r="AM205" s="58" t="str">
        <f t="shared" si="115"/>
        <v/>
      </c>
      <c r="AN205" s="59"/>
      <c r="AO205" s="58" t="str">
        <f t="shared" si="116"/>
        <v/>
      </c>
      <c r="AP205" s="59"/>
      <c r="AQ205" s="58" t="str">
        <f t="shared" si="117"/>
        <v/>
      </c>
      <c r="AR205" s="59"/>
      <c r="AS205" s="58" t="str">
        <f t="shared" si="118"/>
        <v/>
      </c>
      <c r="AT205" s="59"/>
      <c r="AU205" s="58">
        <f t="shared" si="119"/>
        <v>1412</v>
      </c>
      <c r="AV205" s="59"/>
      <c r="AW205" s="58" t="str">
        <f t="shared" si="120"/>
        <v/>
      </c>
      <c r="AX205" s="59"/>
      <c r="AY205" s="58" t="str">
        <f t="shared" si="121"/>
        <v/>
      </c>
      <c r="AZ205" s="59"/>
      <c r="BA205" s="58" t="str">
        <f t="shared" si="122"/>
        <v/>
      </c>
      <c r="BB205" s="59"/>
      <c r="BC205" s="58" t="str">
        <f t="shared" si="123"/>
        <v/>
      </c>
      <c r="BD205" s="59"/>
      <c r="BE205" s="58" t="str">
        <f t="shared" si="124"/>
        <v/>
      </c>
      <c r="BF205" s="59"/>
      <c r="BG205" s="58" t="str">
        <f t="shared" si="125"/>
        <v/>
      </c>
      <c r="BH205" s="59"/>
      <c r="BI205" s="58" t="str">
        <f t="shared" si="126"/>
        <v/>
      </c>
      <c r="BJ205" s="59"/>
      <c r="BK205" s="58" t="str">
        <f t="shared" si="127"/>
        <v/>
      </c>
      <c r="BL205" s="59"/>
      <c r="BM205" s="58" t="str">
        <f t="shared" si="128"/>
        <v/>
      </c>
      <c r="BN205" s="59"/>
      <c r="BO205" s="58" t="str">
        <f t="shared" si="129"/>
        <v/>
      </c>
      <c r="BP205" s="59"/>
      <c r="BQ205" s="58" t="str">
        <f t="shared" si="130"/>
        <v/>
      </c>
      <c r="BR205" s="59"/>
      <c r="BS205" s="58" t="str">
        <f t="shared" si="131"/>
        <v/>
      </c>
      <c r="BT205" s="59"/>
      <c r="BU205" s="58" t="str">
        <f t="shared" si="132"/>
        <v/>
      </c>
      <c r="BV205" s="59"/>
    </row>
    <row r="206" spans="1:74" ht="14.5">
      <c r="A206" s="51" t="s">
        <v>58</v>
      </c>
      <c r="B206" s="52">
        <v>358</v>
      </c>
      <c r="C206" s="52" t="s">
        <v>188</v>
      </c>
      <c r="D206" s="41">
        <f t="shared" si="102"/>
        <v>3</v>
      </c>
      <c r="E206" s="52" t="s">
        <v>158</v>
      </c>
      <c r="F206" s="52" t="s">
        <v>242</v>
      </c>
      <c r="G206" s="52" t="s">
        <v>255</v>
      </c>
      <c r="H206" s="52" t="s">
        <v>445</v>
      </c>
      <c r="I206" s="53">
        <v>45671</v>
      </c>
      <c r="J206" s="108">
        <v>1336</v>
      </c>
      <c r="K206" s="101"/>
      <c r="L206" s="101"/>
      <c r="M206" s="101">
        <f t="shared" si="103"/>
        <v>1336</v>
      </c>
      <c r="N206" s="54">
        <f t="shared" si="104"/>
        <v>1336</v>
      </c>
      <c r="O206" s="101" t="s">
        <v>437</v>
      </c>
      <c r="P206" s="102">
        <f t="shared" si="105"/>
        <v>1.8555555555555556</v>
      </c>
      <c r="Q206" s="102">
        <v>6</v>
      </c>
      <c r="R206" s="99">
        <v>120</v>
      </c>
      <c r="S206" s="55">
        <f t="shared" si="101"/>
        <v>45643</v>
      </c>
      <c r="T206" s="55">
        <v>45635</v>
      </c>
      <c r="U206" s="56">
        <f t="shared" ca="1" si="106"/>
        <v>8</v>
      </c>
      <c r="V206" s="55">
        <f t="shared" si="107"/>
        <v>45659</v>
      </c>
      <c r="W206" s="55"/>
      <c r="X206" s="56">
        <f t="shared" ca="1" si="108"/>
        <v>-181</v>
      </c>
      <c r="Y206" s="55"/>
      <c r="Z206" s="57"/>
      <c r="AA206" s="58" t="str">
        <f t="shared" si="109"/>
        <v>-</v>
      </c>
      <c r="AB206" s="59"/>
      <c r="AC206" s="58" t="str">
        <f t="shared" si="110"/>
        <v/>
      </c>
      <c r="AD206" s="59"/>
      <c r="AE206" s="58" t="str">
        <f t="shared" si="111"/>
        <v/>
      </c>
      <c r="AF206" s="59"/>
      <c r="AG206" s="58" t="str">
        <f t="shared" si="112"/>
        <v/>
      </c>
      <c r="AH206" s="59"/>
      <c r="AI206" s="58" t="str">
        <f t="shared" si="113"/>
        <v/>
      </c>
      <c r="AJ206" s="59"/>
      <c r="AK206" s="58" t="str">
        <f t="shared" si="114"/>
        <v/>
      </c>
      <c r="AL206" s="59"/>
      <c r="AM206" s="58" t="str">
        <f t="shared" si="115"/>
        <v/>
      </c>
      <c r="AN206" s="59"/>
      <c r="AO206" s="58" t="str">
        <f t="shared" si="116"/>
        <v/>
      </c>
      <c r="AP206" s="59"/>
      <c r="AQ206" s="58" t="str">
        <f t="shared" si="117"/>
        <v/>
      </c>
      <c r="AR206" s="59"/>
      <c r="AS206" s="58" t="str">
        <f t="shared" si="118"/>
        <v/>
      </c>
      <c r="AT206" s="59"/>
      <c r="AU206" s="58">
        <f t="shared" si="119"/>
        <v>1336</v>
      </c>
      <c r="AV206" s="59"/>
      <c r="AW206" s="58" t="str">
        <f t="shared" si="120"/>
        <v/>
      </c>
      <c r="AX206" s="59"/>
      <c r="AY206" s="58" t="str">
        <f t="shared" si="121"/>
        <v/>
      </c>
      <c r="AZ206" s="59"/>
      <c r="BA206" s="58" t="str">
        <f t="shared" si="122"/>
        <v/>
      </c>
      <c r="BB206" s="59"/>
      <c r="BC206" s="58" t="str">
        <f t="shared" si="123"/>
        <v/>
      </c>
      <c r="BD206" s="59"/>
      <c r="BE206" s="58" t="str">
        <f t="shared" si="124"/>
        <v/>
      </c>
      <c r="BF206" s="59"/>
      <c r="BG206" s="58" t="str">
        <f t="shared" si="125"/>
        <v/>
      </c>
      <c r="BH206" s="59"/>
      <c r="BI206" s="58" t="str">
        <f t="shared" si="126"/>
        <v/>
      </c>
      <c r="BJ206" s="59"/>
      <c r="BK206" s="58" t="str">
        <f t="shared" si="127"/>
        <v/>
      </c>
      <c r="BL206" s="59"/>
      <c r="BM206" s="58" t="str">
        <f t="shared" si="128"/>
        <v/>
      </c>
      <c r="BN206" s="59"/>
      <c r="BO206" s="58" t="str">
        <f t="shared" si="129"/>
        <v/>
      </c>
      <c r="BP206" s="59"/>
      <c r="BQ206" s="58" t="str">
        <f t="shared" si="130"/>
        <v/>
      </c>
      <c r="BR206" s="59"/>
      <c r="BS206" s="58" t="str">
        <f t="shared" si="131"/>
        <v/>
      </c>
      <c r="BT206" s="59"/>
      <c r="BU206" s="58" t="str">
        <f t="shared" si="132"/>
        <v/>
      </c>
      <c r="BV206" s="59"/>
    </row>
    <row r="207" spans="1:74" ht="14.5">
      <c r="A207" s="51" t="s">
        <v>58</v>
      </c>
      <c r="B207" s="52">
        <v>334</v>
      </c>
      <c r="C207" s="52" t="s">
        <v>188</v>
      </c>
      <c r="D207" s="41">
        <f t="shared" si="102"/>
        <v>3</v>
      </c>
      <c r="E207" s="52" t="s">
        <v>189</v>
      </c>
      <c r="F207" s="52" t="s">
        <v>242</v>
      </c>
      <c r="G207" s="52" t="s">
        <v>162</v>
      </c>
      <c r="H207" s="52" t="s">
        <v>432</v>
      </c>
      <c r="I207" s="53">
        <v>45675</v>
      </c>
      <c r="J207" s="108">
        <v>3972</v>
      </c>
      <c r="K207" s="101"/>
      <c r="L207" s="101"/>
      <c r="M207" s="101">
        <f t="shared" si="103"/>
        <v>3972</v>
      </c>
      <c r="N207" s="54">
        <f t="shared" si="104"/>
        <v>3972</v>
      </c>
      <c r="O207" s="101" t="s">
        <v>178</v>
      </c>
      <c r="P207" s="102">
        <f t="shared" si="105"/>
        <v>5.5166666666666666</v>
      </c>
      <c r="Q207" s="102">
        <v>6</v>
      </c>
      <c r="R207" s="99">
        <v>120</v>
      </c>
      <c r="S207" s="55">
        <f t="shared" si="101"/>
        <v>45647</v>
      </c>
      <c r="T207" s="55">
        <v>45612</v>
      </c>
      <c r="U207" s="56">
        <f t="shared" ca="1" si="106"/>
        <v>35</v>
      </c>
      <c r="V207" s="55">
        <f t="shared" si="107"/>
        <v>45663</v>
      </c>
      <c r="W207" s="55"/>
      <c r="X207" s="56">
        <f t="shared" ca="1" si="108"/>
        <v>-177</v>
      </c>
      <c r="Y207" s="55"/>
      <c r="Z207" s="57"/>
      <c r="AA207" s="58" t="str">
        <f t="shared" si="109"/>
        <v>-</v>
      </c>
      <c r="AB207" s="59"/>
      <c r="AC207" s="58" t="str">
        <f t="shared" si="110"/>
        <v/>
      </c>
      <c r="AD207" s="59"/>
      <c r="AE207" s="58" t="str">
        <f t="shared" si="111"/>
        <v/>
      </c>
      <c r="AF207" s="59"/>
      <c r="AG207" s="58" t="str">
        <f t="shared" si="112"/>
        <v/>
      </c>
      <c r="AH207" s="59"/>
      <c r="AI207" s="58" t="str">
        <f t="shared" si="113"/>
        <v/>
      </c>
      <c r="AJ207" s="59"/>
      <c r="AK207" s="58" t="str">
        <f t="shared" si="114"/>
        <v/>
      </c>
      <c r="AL207" s="59"/>
      <c r="AM207" s="58" t="str">
        <f t="shared" si="115"/>
        <v/>
      </c>
      <c r="AN207" s="59"/>
      <c r="AO207" s="58" t="str">
        <f t="shared" si="116"/>
        <v/>
      </c>
      <c r="AP207" s="59"/>
      <c r="AQ207" s="58" t="str">
        <f t="shared" si="117"/>
        <v/>
      </c>
      <c r="AR207" s="59"/>
      <c r="AS207" s="58" t="str">
        <f t="shared" si="118"/>
        <v/>
      </c>
      <c r="AT207" s="59"/>
      <c r="AU207" s="58">
        <f t="shared" si="119"/>
        <v>3972</v>
      </c>
      <c r="AV207" s="59"/>
      <c r="AW207" s="58" t="str">
        <f t="shared" si="120"/>
        <v/>
      </c>
      <c r="AX207" s="59"/>
      <c r="AY207" s="58" t="str">
        <f t="shared" si="121"/>
        <v/>
      </c>
      <c r="AZ207" s="59"/>
      <c r="BA207" s="58" t="str">
        <f t="shared" si="122"/>
        <v/>
      </c>
      <c r="BB207" s="59"/>
      <c r="BC207" s="58" t="str">
        <f t="shared" si="123"/>
        <v/>
      </c>
      <c r="BD207" s="59"/>
      <c r="BE207" s="58" t="str">
        <f t="shared" si="124"/>
        <v/>
      </c>
      <c r="BF207" s="59"/>
      <c r="BG207" s="58" t="str">
        <f t="shared" si="125"/>
        <v/>
      </c>
      <c r="BH207" s="59"/>
      <c r="BI207" s="58" t="str">
        <f t="shared" si="126"/>
        <v/>
      </c>
      <c r="BJ207" s="59"/>
      <c r="BK207" s="58" t="str">
        <f t="shared" si="127"/>
        <v/>
      </c>
      <c r="BL207" s="59"/>
      <c r="BM207" s="58" t="str">
        <f t="shared" si="128"/>
        <v/>
      </c>
      <c r="BN207" s="59"/>
      <c r="BO207" s="58" t="str">
        <f t="shared" si="129"/>
        <v/>
      </c>
      <c r="BP207" s="59"/>
      <c r="BQ207" s="58" t="str">
        <f t="shared" si="130"/>
        <v/>
      </c>
      <c r="BR207" s="59"/>
      <c r="BS207" s="58" t="str">
        <f t="shared" si="131"/>
        <v/>
      </c>
      <c r="BT207" s="59"/>
      <c r="BU207" s="58" t="str">
        <f t="shared" si="132"/>
        <v/>
      </c>
      <c r="BV207" s="59"/>
    </row>
    <row r="208" spans="1:74" ht="14.5">
      <c r="A208" s="51" t="s">
        <v>58</v>
      </c>
      <c r="B208" s="52">
        <v>335</v>
      </c>
      <c r="C208" s="52" t="s">
        <v>188</v>
      </c>
      <c r="D208" s="41">
        <f t="shared" si="102"/>
        <v>3</v>
      </c>
      <c r="E208" s="52" t="s">
        <v>189</v>
      </c>
      <c r="F208" s="52" t="s">
        <v>242</v>
      </c>
      <c r="G208" s="52" t="s">
        <v>162</v>
      </c>
      <c r="H208" s="52" t="s">
        <v>432</v>
      </c>
      <c r="I208" s="53">
        <v>45675</v>
      </c>
      <c r="J208" s="108">
        <v>3972</v>
      </c>
      <c r="K208" s="101"/>
      <c r="L208" s="101"/>
      <c r="M208" s="101">
        <f t="shared" si="103"/>
        <v>3972</v>
      </c>
      <c r="N208" s="54">
        <f t="shared" si="104"/>
        <v>3972</v>
      </c>
      <c r="O208" s="101" t="s">
        <v>178</v>
      </c>
      <c r="P208" s="102">
        <f t="shared" si="105"/>
        <v>5.5166666666666666</v>
      </c>
      <c r="Q208" s="102">
        <v>6</v>
      </c>
      <c r="R208" s="99">
        <v>120</v>
      </c>
      <c r="S208" s="55">
        <f t="shared" si="101"/>
        <v>45647</v>
      </c>
      <c r="T208" s="55">
        <v>45612</v>
      </c>
      <c r="U208" s="56">
        <f t="shared" ca="1" si="106"/>
        <v>35</v>
      </c>
      <c r="V208" s="55">
        <f t="shared" si="107"/>
        <v>45663</v>
      </c>
      <c r="W208" s="55"/>
      <c r="X208" s="56">
        <f t="shared" ca="1" si="108"/>
        <v>-177</v>
      </c>
      <c r="Y208" s="55"/>
      <c r="Z208" s="57"/>
      <c r="AA208" s="58" t="str">
        <f t="shared" si="109"/>
        <v>-</v>
      </c>
      <c r="AB208" s="59"/>
      <c r="AC208" s="58" t="str">
        <f t="shared" si="110"/>
        <v/>
      </c>
      <c r="AD208" s="59"/>
      <c r="AE208" s="58" t="str">
        <f t="shared" si="111"/>
        <v/>
      </c>
      <c r="AF208" s="59"/>
      <c r="AG208" s="58" t="str">
        <f t="shared" si="112"/>
        <v/>
      </c>
      <c r="AH208" s="59"/>
      <c r="AI208" s="58" t="str">
        <f t="shared" si="113"/>
        <v/>
      </c>
      <c r="AJ208" s="59"/>
      <c r="AK208" s="58" t="str">
        <f t="shared" si="114"/>
        <v/>
      </c>
      <c r="AL208" s="59"/>
      <c r="AM208" s="58" t="str">
        <f t="shared" si="115"/>
        <v/>
      </c>
      <c r="AN208" s="59"/>
      <c r="AO208" s="58" t="str">
        <f t="shared" si="116"/>
        <v/>
      </c>
      <c r="AP208" s="59"/>
      <c r="AQ208" s="58" t="str">
        <f t="shared" si="117"/>
        <v/>
      </c>
      <c r="AR208" s="59"/>
      <c r="AS208" s="58" t="str">
        <f t="shared" si="118"/>
        <v/>
      </c>
      <c r="AT208" s="59"/>
      <c r="AU208" s="58">
        <f t="shared" si="119"/>
        <v>3972</v>
      </c>
      <c r="AV208" s="59"/>
      <c r="AW208" s="58" t="str">
        <f t="shared" si="120"/>
        <v/>
      </c>
      <c r="AX208" s="59"/>
      <c r="AY208" s="58" t="str">
        <f t="shared" si="121"/>
        <v/>
      </c>
      <c r="AZ208" s="59"/>
      <c r="BA208" s="58" t="str">
        <f t="shared" si="122"/>
        <v/>
      </c>
      <c r="BB208" s="59"/>
      <c r="BC208" s="58" t="str">
        <f t="shared" si="123"/>
        <v/>
      </c>
      <c r="BD208" s="59"/>
      <c r="BE208" s="58" t="str">
        <f t="shared" si="124"/>
        <v/>
      </c>
      <c r="BF208" s="59"/>
      <c r="BG208" s="58" t="str">
        <f t="shared" si="125"/>
        <v/>
      </c>
      <c r="BH208" s="59"/>
      <c r="BI208" s="58" t="str">
        <f t="shared" si="126"/>
        <v/>
      </c>
      <c r="BJ208" s="59"/>
      <c r="BK208" s="58" t="str">
        <f t="shared" si="127"/>
        <v/>
      </c>
      <c r="BL208" s="59"/>
      <c r="BM208" s="58" t="str">
        <f t="shared" si="128"/>
        <v/>
      </c>
      <c r="BN208" s="59"/>
      <c r="BO208" s="58" t="str">
        <f t="shared" si="129"/>
        <v/>
      </c>
      <c r="BP208" s="59"/>
      <c r="BQ208" s="58" t="str">
        <f t="shared" si="130"/>
        <v/>
      </c>
      <c r="BR208" s="59"/>
      <c r="BS208" s="58" t="str">
        <f t="shared" si="131"/>
        <v/>
      </c>
      <c r="BT208" s="59"/>
      <c r="BU208" s="58" t="str">
        <f t="shared" si="132"/>
        <v/>
      </c>
      <c r="BV208" s="59"/>
    </row>
    <row r="209" spans="1:74" ht="14.5">
      <c r="A209" s="51" t="s">
        <v>58</v>
      </c>
      <c r="B209" s="52">
        <v>331</v>
      </c>
      <c r="C209" s="52" t="s">
        <v>188</v>
      </c>
      <c r="D209" s="41">
        <f t="shared" si="102"/>
        <v>3</v>
      </c>
      <c r="E209" s="52" t="s">
        <v>391</v>
      </c>
      <c r="F209" s="52" t="s">
        <v>392</v>
      </c>
      <c r="G209" s="52" t="s">
        <v>393</v>
      </c>
      <c r="H209" s="52" t="s">
        <v>433</v>
      </c>
      <c r="I209" s="53">
        <v>45675</v>
      </c>
      <c r="J209" s="108">
        <v>2652</v>
      </c>
      <c r="K209" s="101"/>
      <c r="L209" s="101"/>
      <c r="M209" s="101">
        <f t="shared" si="103"/>
        <v>2652</v>
      </c>
      <c r="N209" s="54">
        <f t="shared" si="104"/>
        <v>2652</v>
      </c>
      <c r="O209" s="101" t="s">
        <v>178</v>
      </c>
      <c r="P209" s="102">
        <f t="shared" si="105"/>
        <v>5.5250000000000004</v>
      </c>
      <c r="Q209" s="102">
        <v>6</v>
      </c>
      <c r="R209" s="99">
        <v>80</v>
      </c>
      <c r="S209" s="55">
        <f t="shared" si="101"/>
        <v>45647</v>
      </c>
      <c r="T209" s="55">
        <v>45620</v>
      </c>
      <c r="U209" s="56">
        <f t="shared" ca="1" si="106"/>
        <v>27</v>
      </c>
      <c r="V209" s="55">
        <f t="shared" si="107"/>
        <v>45663</v>
      </c>
      <c r="W209" s="55"/>
      <c r="X209" s="56">
        <f t="shared" ca="1" si="108"/>
        <v>-177</v>
      </c>
      <c r="Y209" s="55"/>
      <c r="Z209" s="57"/>
      <c r="AA209" s="58" t="str">
        <f t="shared" si="109"/>
        <v>-</v>
      </c>
      <c r="AB209" s="59"/>
      <c r="AC209" s="58" t="str">
        <f t="shared" si="110"/>
        <v/>
      </c>
      <c r="AD209" s="59"/>
      <c r="AE209" s="58" t="str">
        <f t="shared" si="111"/>
        <v/>
      </c>
      <c r="AF209" s="59"/>
      <c r="AG209" s="58" t="str">
        <f t="shared" si="112"/>
        <v/>
      </c>
      <c r="AH209" s="59"/>
      <c r="AI209" s="58" t="str">
        <f t="shared" si="113"/>
        <v/>
      </c>
      <c r="AJ209" s="59"/>
      <c r="AK209" s="58" t="str">
        <f t="shared" si="114"/>
        <v/>
      </c>
      <c r="AL209" s="59"/>
      <c r="AM209" s="58" t="str">
        <f t="shared" si="115"/>
        <v/>
      </c>
      <c r="AN209" s="59"/>
      <c r="AO209" s="58" t="str">
        <f t="shared" si="116"/>
        <v/>
      </c>
      <c r="AP209" s="59"/>
      <c r="AQ209" s="58" t="str">
        <f t="shared" si="117"/>
        <v/>
      </c>
      <c r="AR209" s="59"/>
      <c r="AS209" s="58" t="str">
        <f t="shared" si="118"/>
        <v/>
      </c>
      <c r="AT209" s="59"/>
      <c r="AU209" s="58">
        <f t="shared" si="119"/>
        <v>2652</v>
      </c>
      <c r="AV209" s="59"/>
      <c r="AW209" s="58" t="str">
        <f t="shared" si="120"/>
        <v/>
      </c>
      <c r="AX209" s="59"/>
      <c r="AY209" s="58" t="str">
        <f t="shared" si="121"/>
        <v/>
      </c>
      <c r="AZ209" s="59"/>
      <c r="BA209" s="58" t="str">
        <f t="shared" si="122"/>
        <v/>
      </c>
      <c r="BB209" s="59"/>
      <c r="BC209" s="58" t="str">
        <f t="shared" si="123"/>
        <v/>
      </c>
      <c r="BD209" s="59"/>
      <c r="BE209" s="58" t="str">
        <f t="shared" si="124"/>
        <v/>
      </c>
      <c r="BF209" s="59"/>
      <c r="BG209" s="58" t="str">
        <f t="shared" si="125"/>
        <v/>
      </c>
      <c r="BH209" s="59"/>
      <c r="BI209" s="58" t="str">
        <f t="shared" si="126"/>
        <v/>
      </c>
      <c r="BJ209" s="59"/>
      <c r="BK209" s="58" t="str">
        <f t="shared" si="127"/>
        <v/>
      </c>
      <c r="BL209" s="59"/>
      <c r="BM209" s="58" t="str">
        <f t="shared" si="128"/>
        <v/>
      </c>
      <c r="BN209" s="59"/>
      <c r="BO209" s="58" t="str">
        <f t="shared" si="129"/>
        <v/>
      </c>
      <c r="BP209" s="59"/>
      <c r="BQ209" s="58" t="str">
        <f t="shared" si="130"/>
        <v/>
      </c>
      <c r="BR209" s="59"/>
      <c r="BS209" s="58" t="str">
        <f t="shared" si="131"/>
        <v/>
      </c>
      <c r="BT209" s="59"/>
      <c r="BU209" s="58" t="str">
        <f t="shared" si="132"/>
        <v/>
      </c>
      <c r="BV209" s="59"/>
    </row>
    <row r="210" spans="1:74" ht="14.5">
      <c r="A210" s="51" t="s">
        <v>58</v>
      </c>
      <c r="B210" s="52">
        <v>352</v>
      </c>
      <c r="C210" s="52" t="s">
        <v>188</v>
      </c>
      <c r="D210" s="41">
        <f t="shared" si="102"/>
        <v>3</v>
      </c>
      <c r="E210" s="52" t="s">
        <v>193</v>
      </c>
      <c r="F210" s="52" t="s">
        <v>246</v>
      </c>
      <c r="G210" s="52" t="s">
        <v>162</v>
      </c>
      <c r="H210" s="52" t="s">
        <v>434</v>
      </c>
      <c r="I210" s="53">
        <v>45675</v>
      </c>
      <c r="J210" s="108">
        <v>7800</v>
      </c>
      <c r="K210" s="101"/>
      <c r="L210" s="101"/>
      <c r="M210" s="101">
        <f t="shared" si="103"/>
        <v>7800</v>
      </c>
      <c r="N210" s="54">
        <f t="shared" si="104"/>
        <v>7800</v>
      </c>
      <c r="O210" s="101" t="s">
        <v>178</v>
      </c>
      <c r="P210" s="102">
        <f t="shared" si="105"/>
        <v>22.285714285714285</v>
      </c>
      <c r="Q210" s="102">
        <v>1</v>
      </c>
      <c r="R210" s="99">
        <v>350</v>
      </c>
      <c r="S210" s="55">
        <f t="shared" si="101"/>
        <v>45647</v>
      </c>
      <c r="T210" s="55">
        <v>45627</v>
      </c>
      <c r="U210" s="56">
        <f t="shared" ca="1" si="106"/>
        <v>20</v>
      </c>
      <c r="V210" s="55">
        <f t="shared" si="107"/>
        <v>45663</v>
      </c>
      <c r="W210" s="55"/>
      <c r="X210" s="56">
        <f t="shared" ca="1" si="108"/>
        <v>-177</v>
      </c>
      <c r="Y210" s="55"/>
      <c r="Z210" s="57"/>
      <c r="AA210" s="58" t="str">
        <f t="shared" si="109"/>
        <v>-</v>
      </c>
      <c r="AB210" s="59"/>
      <c r="AC210" s="58" t="str">
        <f t="shared" si="110"/>
        <v/>
      </c>
      <c r="AD210" s="59"/>
      <c r="AE210" s="58" t="str">
        <f t="shared" si="111"/>
        <v/>
      </c>
      <c r="AF210" s="59"/>
      <c r="AG210" s="58" t="str">
        <f t="shared" si="112"/>
        <v/>
      </c>
      <c r="AH210" s="59"/>
      <c r="AI210" s="58" t="str">
        <f t="shared" si="113"/>
        <v/>
      </c>
      <c r="AJ210" s="59"/>
      <c r="AK210" s="58" t="str">
        <f t="shared" si="114"/>
        <v/>
      </c>
      <c r="AL210" s="59"/>
      <c r="AM210" s="58" t="str">
        <f t="shared" si="115"/>
        <v/>
      </c>
      <c r="AN210" s="59"/>
      <c r="AO210" s="58" t="str">
        <f t="shared" si="116"/>
        <v/>
      </c>
      <c r="AP210" s="59"/>
      <c r="AQ210" s="58" t="str">
        <f t="shared" si="117"/>
        <v/>
      </c>
      <c r="AR210" s="59"/>
      <c r="AS210" s="58" t="str">
        <f t="shared" si="118"/>
        <v/>
      </c>
      <c r="AT210" s="59"/>
      <c r="AU210" s="58">
        <f t="shared" si="119"/>
        <v>7800</v>
      </c>
      <c r="AV210" s="59"/>
      <c r="AW210" s="58" t="str">
        <f t="shared" si="120"/>
        <v/>
      </c>
      <c r="AX210" s="59"/>
      <c r="AY210" s="58" t="str">
        <f t="shared" si="121"/>
        <v/>
      </c>
      <c r="AZ210" s="59"/>
      <c r="BA210" s="58" t="str">
        <f t="shared" si="122"/>
        <v/>
      </c>
      <c r="BB210" s="59"/>
      <c r="BC210" s="58" t="str">
        <f t="shared" si="123"/>
        <v/>
      </c>
      <c r="BD210" s="59"/>
      <c r="BE210" s="58" t="str">
        <f t="shared" si="124"/>
        <v/>
      </c>
      <c r="BF210" s="59"/>
      <c r="BG210" s="58" t="str">
        <f t="shared" si="125"/>
        <v/>
      </c>
      <c r="BH210" s="59"/>
      <c r="BI210" s="58" t="str">
        <f t="shared" si="126"/>
        <v/>
      </c>
      <c r="BJ210" s="59"/>
      <c r="BK210" s="58" t="str">
        <f t="shared" si="127"/>
        <v/>
      </c>
      <c r="BL210" s="59"/>
      <c r="BM210" s="58" t="str">
        <f t="shared" si="128"/>
        <v/>
      </c>
      <c r="BN210" s="59"/>
      <c r="BO210" s="58" t="str">
        <f t="shared" si="129"/>
        <v/>
      </c>
      <c r="BP210" s="59"/>
      <c r="BQ210" s="58" t="str">
        <f t="shared" si="130"/>
        <v/>
      </c>
      <c r="BR210" s="59"/>
      <c r="BS210" s="58" t="str">
        <f t="shared" si="131"/>
        <v/>
      </c>
      <c r="BT210" s="59"/>
      <c r="BU210" s="58" t="str">
        <f t="shared" si="132"/>
        <v/>
      </c>
      <c r="BV210" s="59"/>
    </row>
    <row r="211" spans="1:74" ht="14.5">
      <c r="A211" s="51" t="s">
        <v>58</v>
      </c>
      <c r="B211" s="52">
        <v>352</v>
      </c>
      <c r="C211" s="52" t="s">
        <v>188</v>
      </c>
      <c r="D211" s="41">
        <f t="shared" si="102"/>
        <v>3</v>
      </c>
      <c r="E211" s="52" t="s">
        <v>189</v>
      </c>
      <c r="F211" s="52" t="s">
        <v>242</v>
      </c>
      <c r="G211" s="52" t="s">
        <v>162</v>
      </c>
      <c r="H211" s="52" t="s">
        <v>432</v>
      </c>
      <c r="I211" s="53">
        <v>45675</v>
      </c>
      <c r="J211" s="108">
        <v>1932</v>
      </c>
      <c r="K211" s="101"/>
      <c r="L211" s="101"/>
      <c r="M211" s="101">
        <f t="shared" si="103"/>
        <v>1932</v>
      </c>
      <c r="N211" s="54">
        <f t="shared" si="104"/>
        <v>1932</v>
      </c>
      <c r="O211" s="101" t="s">
        <v>178</v>
      </c>
      <c r="P211" s="102">
        <f t="shared" si="105"/>
        <v>2.6833333333333331</v>
      </c>
      <c r="Q211" s="102">
        <v>6</v>
      </c>
      <c r="R211" s="99">
        <v>120</v>
      </c>
      <c r="S211" s="55">
        <f t="shared" si="101"/>
        <v>45647</v>
      </c>
      <c r="T211" s="55">
        <v>45627</v>
      </c>
      <c r="U211" s="56">
        <f t="shared" ca="1" si="106"/>
        <v>20</v>
      </c>
      <c r="V211" s="55">
        <f t="shared" si="107"/>
        <v>45663</v>
      </c>
      <c r="W211" s="55"/>
      <c r="X211" s="56">
        <f t="shared" ca="1" si="108"/>
        <v>-177</v>
      </c>
      <c r="Y211" s="55"/>
      <c r="Z211" s="57"/>
      <c r="AA211" s="58" t="str">
        <f t="shared" si="109"/>
        <v>-</v>
      </c>
      <c r="AB211" s="59"/>
      <c r="AC211" s="58" t="str">
        <f t="shared" si="110"/>
        <v/>
      </c>
      <c r="AD211" s="59"/>
      <c r="AE211" s="58" t="str">
        <f t="shared" si="111"/>
        <v/>
      </c>
      <c r="AF211" s="59"/>
      <c r="AG211" s="58" t="str">
        <f t="shared" si="112"/>
        <v/>
      </c>
      <c r="AH211" s="59"/>
      <c r="AI211" s="58" t="str">
        <f t="shared" si="113"/>
        <v/>
      </c>
      <c r="AJ211" s="59"/>
      <c r="AK211" s="58" t="str">
        <f t="shared" si="114"/>
        <v/>
      </c>
      <c r="AL211" s="59"/>
      <c r="AM211" s="58" t="str">
        <f t="shared" si="115"/>
        <v/>
      </c>
      <c r="AN211" s="59"/>
      <c r="AO211" s="58" t="str">
        <f t="shared" si="116"/>
        <v/>
      </c>
      <c r="AP211" s="59"/>
      <c r="AQ211" s="58" t="str">
        <f t="shared" si="117"/>
        <v/>
      </c>
      <c r="AR211" s="59"/>
      <c r="AS211" s="58" t="str">
        <f t="shared" si="118"/>
        <v/>
      </c>
      <c r="AT211" s="59"/>
      <c r="AU211" s="58">
        <f t="shared" si="119"/>
        <v>1932</v>
      </c>
      <c r="AV211" s="59"/>
      <c r="AW211" s="58" t="str">
        <f t="shared" si="120"/>
        <v/>
      </c>
      <c r="AX211" s="59"/>
      <c r="AY211" s="58" t="str">
        <f t="shared" si="121"/>
        <v/>
      </c>
      <c r="AZ211" s="59"/>
      <c r="BA211" s="58" t="str">
        <f t="shared" si="122"/>
        <v/>
      </c>
      <c r="BB211" s="59"/>
      <c r="BC211" s="58" t="str">
        <f t="shared" si="123"/>
        <v/>
      </c>
      <c r="BD211" s="59"/>
      <c r="BE211" s="58" t="str">
        <f t="shared" si="124"/>
        <v/>
      </c>
      <c r="BF211" s="59"/>
      <c r="BG211" s="58" t="str">
        <f t="shared" si="125"/>
        <v/>
      </c>
      <c r="BH211" s="59"/>
      <c r="BI211" s="58" t="str">
        <f t="shared" si="126"/>
        <v/>
      </c>
      <c r="BJ211" s="59"/>
      <c r="BK211" s="58" t="str">
        <f t="shared" si="127"/>
        <v/>
      </c>
      <c r="BL211" s="59"/>
      <c r="BM211" s="58" t="str">
        <f t="shared" si="128"/>
        <v/>
      </c>
      <c r="BN211" s="59"/>
      <c r="BO211" s="58" t="str">
        <f t="shared" si="129"/>
        <v/>
      </c>
      <c r="BP211" s="59"/>
      <c r="BQ211" s="58" t="str">
        <f t="shared" si="130"/>
        <v/>
      </c>
      <c r="BR211" s="59"/>
      <c r="BS211" s="58" t="str">
        <f t="shared" si="131"/>
        <v/>
      </c>
      <c r="BT211" s="59"/>
      <c r="BU211" s="58" t="str">
        <f t="shared" si="132"/>
        <v/>
      </c>
      <c r="BV211" s="59"/>
    </row>
    <row r="212" spans="1:74" ht="14.5">
      <c r="A212" s="51" t="s">
        <v>58</v>
      </c>
      <c r="B212" s="52">
        <v>352</v>
      </c>
      <c r="C212" s="52" t="s">
        <v>188</v>
      </c>
      <c r="D212" s="41">
        <f t="shared" si="102"/>
        <v>3</v>
      </c>
      <c r="E212" s="52" t="s">
        <v>158</v>
      </c>
      <c r="F212" s="52" t="s">
        <v>242</v>
      </c>
      <c r="G212" s="52" t="s">
        <v>156</v>
      </c>
      <c r="H212" s="52" t="s">
        <v>432</v>
      </c>
      <c r="I212" s="53">
        <v>45675</v>
      </c>
      <c r="J212" s="108">
        <v>744</v>
      </c>
      <c r="K212" s="101"/>
      <c r="L212" s="101"/>
      <c r="M212" s="101">
        <f t="shared" si="103"/>
        <v>744</v>
      </c>
      <c r="N212" s="54">
        <f t="shared" si="104"/>
        <v>744</v>
      </c>
      <c r="O212" s="101" t="s">
        <v>439</v>
      </c>
      <c r="P212" s="102">
        <f t="shared" si="105"/>
        <v>1.0333333333333334</v>
      </c>
      <c r="Q212" s="102">
        <v>6</v>
      </c>
      <c r="R212" s="99">
        <v>120</v>
      </c>
      <c r="S212" s="55">
        <f t="shared" si="101"/>
        <v>45647</v>
      </c>
      <c r="T212" s="55">
        <v>45627</v>
      </c>
      <c r="U212" s="56">
        <f t="shared" ca="1" si="106"/>
        <v>20</v>
      </c>
      <c r="V212" s="55">
        <f t="shared" si="107"/>
        <v>45663</v>
      </c>
      <c r="W212" s="55"/>
      <c r="X212" s="56">
        <f t="shared" ca="1" si="108"/>
        <v>-177</v>
      </c>
      <c r="Y212" s="55"/>
      <c r="Z212" s="57"/>
      <c r="AA212" s="58" t="str">
        <f t="shared" si="109"/>
        <v>-</v>
      </c>
      <c r="AB212" s="59"/>
      <c r="AC212" s="58" t="str">
        <f t="shared" si="110"/>
        <v/>
      </c>
      <c r="AD212" s="59"/>
      <c r="AE212" s="58" t="str">
        <f t="shared" si="111"/>
        <v/>
      </c>
      <c r="AF212" s="59"/>
      <c r="AG212" s="58" t="str">
        <f t="shared" si="112"/>
        <v/>
      </c>
      <c r="AH212" s="59"/>
      <c r="AI212" s="58" t="str">
        <f t="shared" si="113"/>
        <v/>
      </c>
      <c r="AJ212" s="59"/>
      <c r="AK212" s="58" t="str">
        <f t="shared" si="114"/>
        <v/>
      </c>
      <c r="AL212" s="59"/>
      <c r="AM212" s="58" t="str">
        <f t="shared" si="115"/>
        <v/>
      </c>
      <c r="AN212" s="59"/>
      <c r="AO212" s="58" t="str">
        <f t="shared" si="116"/>
        <v/>
      </c>
      <c r="AP212" s="59"/>
      <c r="AQ212" s="58" t="str">
        <f t="shared" si="117"/>
        <v/>
      </c>
      <c r="AR212" s="59"/>
      <c r="AS212" s="58" t="str">
        <f t="shared" si="118"/>
        <v/>
      </c>
      <c r="AT212" s="59"/>
      <c r="AU212" s="58">
        <f t="shared" si="119"/>
        <v>744</v>
      </c>
      <c r="AV212" s="59"/>
      <c r="AW212" s="58" t="str">
        <f t="shared" si="120"/>
        <v/>
      </c>
      <c r="AX212" s="59"/>
      <c r="AY212" s="58" t="str">
        <f t="shared" si="121"/>
        <v/>
      </c>
      <c r="AZ212" s="59"/>
      <c r="BA212" s="58" t="str">
        <f t="shared" si="122"/>
        <v/>
      </c>
      <c r="BB212" s="59"/>
      <c r="BC212" s="58" t="str">
        <f t="shared" si="123"/>
        <v/>
      </c>
      <c r="BD212" s="59"/>
      <c r="BE212" s="58" t="str">
        <f t="shared" si="124"/>
        <v/>
      </c>
      <c r="BF212" s="59"/>
      <c r="BG212" s="58" t="str">
        <f t="shared" si="125"/>
        <v/>
      </c>
      <c r="BH212" s="59"/>
      <c r="BI212" s="58" t="str">
        <f t="shared" si="126"/>
        <v/>
      </c>
      <c r="BJ212" s="59"/>
      <c r="BK212" s="58" t="str">
        <f t="shared" si="127"/>
        <v/>
      </c>
      <c r="BL212" s="59"/>
      <c r="BM212" s="58" t="str">
        <f t="shared" si="128"/>
        <v/>
      </c>
      <c r="BN212" s="59"/>
      <c r="BO212" s="58" t="str">
        <f t="shared" si="129"/>
        <v/>
      </c>
      <c r="BP212" s="59"/>
      <c r="BQ212" s="58" t="str">
        <f t="shared" si="130"/>
        <v/>
      </c>
      <c r="BR212" s="59"/>
      <c r="BS212" s="58" t="str">
        <f t="shared" si="131"/>
        <v/>
      </c>
      <c r="BT212" s="59"/>
      <c r="BU212" s="58" t="str">
        <f t="shared" si="132"/>
        <v/>
      </c>
      <c r="BV212" s="59"/>
    </row>
    <row r="213" spans="1:74" ht="14.5">
      <c r="A213" s="51" t="s">
        <v>58</v>
      </c>
      <c r="B213" s="52">
        <v>352</v>
      </c>
      <c r="C213" s="52" t="s">
        <v>188</v>
      </c>
      <c r="D213" s="41">
        <f t="shared" si="102"/>
        <v>3</v>
      </c>
      <c r="E213" s="52" t="s">
        <v>517</v>
      </c>
      <c r="F213" s="52" t="s">
        <v>242</v>
      </c>
      <c r="G213" s="52" t="s">
        <v>244</v>
      </c>
      <c r="H213" s="52" t="s">
        <v>438</v>
      </c>
      <c r="I213" s="53">
        <v>45675</v>
      </c>
      <c r="J213" s="108">
        <v>836</v>
      </c>
      <c r="K213" s="101"/>
      <c r="L213" s="101"/>
      <c r="M213" s="101">
        <f t="shared" si="103"/>
        <v>836</v>
      </c>
      <c r="N213" s="54">
        <f t="shared" si="104"/>
        <v>836</v>
      </c>
      <c r="O213" s="101" t="s">
        <v>439</v>
      </c>
      <c r="P213" s="102">
        <f t="shared" si="105"/>
        <v>1.1611111111111112</v>
      </c>
      <c r="Q213" s="102">
        <v>6</v>
      </c>
      <c r="R213" s="99">
        <v>120</v>
      </c>
      <c r="S213" s="55">
        <f t="shared" si="101"/>
        <v>45647</v>
      </c>
      <c r="T213" s="55">
        <v>45627</v>
      </c>
      <c r="U213" s="56">
        <f t="shared" ca="1" si="106"/>
        <v>20</v>
      </c>
      <c r="V213" s="55">
        <f t="shared" si="107"/>
        <v>45663</v>
      </c>
      <c r="W213" s="55"/>
      <c r="X213" s="56">
        <f t="shared" ca="1" si="108"/>
        <v>-177</v>
      </c>
      <c r="Y213" s="55"/>
      <c r="Z213" s="57"/>
      <c r="AA213" s="58" t="str">
        <f t="shared" si="109"/>
        <v>-</v>
      </c>
      <c r="AB213" s="59"/>
      <c r="AC213" s="58" t="str">
        <f t="shared" si="110"/>
        <v/>
      </c>
      <c r="AD213" s="59"/>
      <c r="AE213" s="58" t="str">
        <f t="shared" si="111"/>
        <v/>
      </c>
      <c r="AF213" s="59"/>
      <c r="AG213" s="58" t="str">
        <f t="shared" si="112"/>
        <v/>
      </c>
      <c r="AH213" s="59"/>
      <c r="AI213" s="58" t="str">
        <f t="shared" si="113"/>
        <v/>
      </c>
      <c r="AJ213" s="59"/>
      <c r="AK213" s="58" t="str">
        <f t="shared" si="114"/>
        <v/>
      </c>
      <c r="AL213" s="59"/>
      <c r="AM213" s="58" t="str">
        <f t="shared" si="115"/>
        <v/>
      </c>
      <c r="AN213" s="59"/>
      <c r="AO213" s="58" t="str">
        <f t="shared" si="116"/>
        <v/>
      </c>
      <c r="AP213" s="59"/>
      <c r="AQ213" s="58" t="str">
        <f t="shared" si="117"/>
        <v/>
      </c>
      <c r="AR213" s="59"/>
      <c r="AS213" s="58" t="str">
        <f t="shared" si="118"/>
        <v/>
      </c>
      <c r="AT213" s="59"/>
      <c r="AU213" s="58">
        <f t="shared" si="119"/>
        <v>836</v>
      </c>
      <c r="AV213" s="59"/>
      <c r="AW213" s="58" t="str">
        <f t="shared" si="120"/>
        <v/>
      </c>
      <c r="AX213" s="59"/>
      <c r="AY213" s="58" t="str">
        <f t="shared" si="121"/>
        <v/>
      </c>
      <c r="AZ213" s="59"/>
      <c r="BA213" s="58" t="str">
        <f t="shared" si="122"/>
        <v/>
      </c>
      <c r="BB213" s="59"/>
      <c r="BC213" s="58" t="str">
        <f t="shared" si="123"/>
        <v/>
      </c>
      <c r="BD213" s="59"/>
      <c r="BE213" s="58" t="str">
        <f t="shared" si="124"/>
        <v/>
      </c>
      <c r="BF213" s="59"/>
      <c r="BG213" s="58" t="str">
        <f t="shared" si="125"/>
        <v/>
      </c>
      <c r="BH213" s="59"/>
      <c r="BI213" s="58" t="str">
        <f t="shared" si="126"/>
        <v/>
      </c>
      <c r="BJ213" s="59"/>
      <c r="BK213" s="58" t="str">
        <f t="shared" si="127"/>
        <v/>
      </c>
      <c r="BL213" s="59"/>
      <c r="BM213" s="58" t="str">
        <f t="shared" si="128"/>
        <v/>
      </c>
      <c r="BN213" s="59"/>
      <c r="BO213" s="58" t="str">
        <f t="shared" si="129"/>
        <v/>
      </c>
      <c r="BP213" s="59"/>
      <c r="BQ213" s="58" t="str">
        <f t="shared" si="130"/>
        <v/>
      </c>
      <c r="BR213" s="59"/>
      <c r="BS213" s="58" t="str">
        <f t="shared" si="131"/>
        <v/>
      </c>
      <c r="BT213" s="59"/>
      <c r="BU213" s="58" t="str">
        <f t="shared" si="132"/>
        <v/>
      </c>
      <c r="BV213" s="59"/>
    </row>
    <row r="214" spans="1:74" ht="14.5">
      <c r="A214" s="51" t="s">
        <v>58</v>
      </c>
      <c r="B214" s="52">
        <v>389</v>
      </c>
      <c r="C214" s="52" t="s">
        <v>188</v>
      </c>
      <c r="D214" s="41">
        <f t="shared" si="102"/>
        <v>3</v>
      </c>
      <c r="E214" s="52" t="s">
        <v>189</v>
      </c>
      <c r="F214" s="52" t="s">
        <v>242</v>
      </c>
      <c r="G214" s="52" t="s">
        <v>162</v>
      </c>
      <c r="H214" s="52" t="s">
        <v>432</v>
      </c>
      <c r="I214" s="53">
        <v>45675</v>
      </c>
      <c r="J214" s="108">
        <v>3728</v>
      </c>
      <c r="K214" s="101"/>
      <c r="L214" s="101"/>
      <c r="M214" s="101">
        <f t="shared" si="103"/>
        <v>3728</v>
      </c>
      <c r="N214" s="54">
        <f t="shared" si="104"/>
        <v>3728</v>
      </c>
      <c r="O214" s="101" t="s">
        <v>178</v>
      </c>
      <c r="P214" s="102">
        <f t="shared" si="105"/>
        <v>5.177777777777778</v>
      </c>
      <c r="Q214" s="102">
        <v>6</v>
      </c>
      <c r="R214" s="99">
        <v>120</v>
      </c>
      <c r="S214" s="55">
        <f t="shared" si="101"/>
        <v>45647</v>
      </c>
      <c r="T214" s="55">
        <v>45627</v>
      </c>
      <c r="U214" s="56">
        <f t="shared" ca="1" si="106"/>
        <v>20</v>
      </c>
      <c r="V214" s="55">
        <f t="shared" si="107"/>
        <v>45663</v>
      </c>
      <c r="W214" s="55"/>
      <c r="X214" s="56">
        <f t="shared" ca="1" si="108"/>
        <v>-177</v>
      </c>
      <c r="Y214" s="55"/>
      <c r="Z214" s="57"/>
      <c r="AA214" s="58" t="str">
        <f t="shared" si="109"/>
        <v>-</v>
      </c>
      <c r="AB214" s="59"/>
      <c r="AC214" s="58" t="str">
        <f t="shared" si="110"/>
        <v/>
      </c>
      <c r="AD214" s="59"/>
      <c r="AE214" s="58" t="str">
        <f t="shared" si="111"/>
        <v/>
      </c>
      <c r="AF214" s="59"/>
      <c r="AG214" s="58" t="str">
        <f t="shared" si="112"/>
        <v/>
      </c>
      <c r="AH214" s="59"/>
      <c r="AI214" s="58" t="str">
        <f t="shared" si="113"/>
        <v/>
      </c>
      <c r="AJ214" s="59"/>
      <c r="AK214" s="58" t="str">
        <f t="shared" si="114"/>
        <v/>
      </c>
      <c r="AL214" s="59"/>
      <c r="AM214" s="58" t="str">
        <f t="shared" si="115"/>
        <v/>
      </c>
      <c r="AN214" s="59"/>
      <c r="AO214" s="58" t="str">
        <f t="shared" si="116"/>
        <v/>
      </c>
      <c r="AP214" s="59"/>
      <c r="AQ214" s="58" t="str">
        <f t="shared" si="117"/>
        <v/>
      </c>
      <c r="AR214" s="59"/>
      <c r="AS214" s="58" t="str">
        <f t="shared" si="118"/>
        <v/>
      </c>
      <c r="AT214" s="59"/>
      <c r="AU214" s="58">
        <f t="shared" si="119"/>
        <v>3728</v>
      </c>
      <c r="AV214" s="59"/>
      <c r="AW214" s="58" t="str">
        <f t="shared" si="120"/>
        <v/>
      </c>
      <c r="AX214" s="59"/>
      <c r="AY214" s="58" t="str">
        <f t="shared" si="121"/>
        <v/>
      </c>
      <c r="AZ214" s="59"/>
      <c r="BA214" s="58" t="str">
        <f t="shared" si="122"/>
        <v/>
      </c>
      <c r="BB214" s="59"/>
      <c r="BC214" s="58" t="str">
        <f t="shared" si="123"/>
        <v/>
      </c>
      <c r="BD214" s="59"/>
      <c r="BE214" s="58" t="str">
        <f t="shared" si="124"/>
        <v/>
      </c>
      <c r="BF214" s="59"/>
      <c r="BG214" s="58" t="str">
        <f t="shared" si="125"/>
        <v/>
      </c>
      <c r="BH214" s="59"/>
      <c r="BI214" s="58" t="str">
        <f t="shared" si="126"/>
        <v/>
      </c>
      <c r="BJ214" s="59"/>
      <c r="BK214" s="58" t="str">
        <f t="shared" si="127"/>
        <v/>
      </c>
      <c r="BL214" s="59"/>
      <c r="BM214" s="58" t="str">
        <f t="shared" si="128"/>
        <v/>
      </c>
      <c r="BN214" s="59"/>
      <c r="BO214" s="58" t="str">
        <f t="shared" si="129"/>
        <v/>
      </c>
      <c r="BP214" s="59"/>
      <c r="BQ214" s="58" t="str">
        <f t="shared" si="130"/>
        <v/>
      </c>
      <c r="BR214" s="59"/>
      <c r="BS214" s="58" t="str">
        <f t="shared" si="131"/>
        <v/>
      </c>
      <c r="BT214" s="59"/>
      <c r="BU214" s="58" t="str">
        <f t="shared" si="132"/>
        <v/>
      </c>
      <c r="BV214" s="59"/>
    </row>
    <row r="215" spans="1:74" ht="14.5">
      <c r="A215" s="51" t="s">
        <v>58</v>
      </c>
      <c r="B215" s="52">
        <v>341</v>
      </c>
      <c r="C215" s="52" t="s">
        <v>188</v>
      </c>
      <c r="D215" s="41">
        <f t="shared" si="102"/>
        <v>3</v>
      </c>
      <c r="E215" s="52" t="s">
        <v>390</v>
      </c>
      <c r="F215" s="52" t="s">
        <v>242</v>
      </c>
      <c r="G215" s="52" t="s">
        <v>162</v>
      </c>
      <c r="H215" s="52" t="s">
        <v>430</v>
      </c>
      <c r="I215" s="53">
        <v>45675</v>
      </c>
      <c r="J215" s="108">
        <v>1344</v>
      </c>
      <c r="K215" s="101"/>
      <c r="L215" s="101"/>
      <c r="M215" s="101">
        <f t="shared" si="103"/>
        <v>1344</v>
      </c>
      <c r="N215" s="54">
        <f t="shared" si="104"/>
        <v>1344</v>
      </c>
      <c r="O215" s="101" t="s">
        <v>431</v>
      </c>
      <c r="P215" s="102">
        <f t="shared" si="105"/>
        <v>1.8666666666666667</v>
      </c>
      <c r="Q215" s="102">
        <v>6</v>
      </c>
      <c r="R215" s="99">
        <v>120</v>
      </c>
      <c r="S215" s="55">
        <f t="shared" si="101"/>
        <v>45647</v>
      </c>
      <c r="T215" s="55">
        <v>45635</v>
      </c>
      <c r="U215" s="56">
        <f t="shared" ca="1" si="106"/>
        <v>12</v>
      </c>
      <c r="V215" s="55">
        <f t="shared" si="107"/>
        <v>45663</v>
      </c>
      <c r="W215" s="55"/>
      <c r="X215" s="56">
        <f t="shared" ca="1" si="108"/>
        <v>-177</v>
      </c>
      <c r="Y215" s="55"/>
      <c r="Z215" s="57"/>
      <c r="AA215" s="58" t="str">
        <f t="shared" si="109"/>
        <v>-</v>
      </c>
      <c r="AB215" s="59"/>
      <c r="AC215" s="58" t="str">
        <f t="shared" si="110"/>
        <v/>
      </c>
      <c r="AD215" s="59"/>
      <c r="AE215" s="58" t="str">
        <f t="shared" si="111"/>
        <v/>
      </c>
      <c r="AF215" s="59"/>
      <c r="AG215" s="58" t="str">
        <f t="shared" si="112"/>
        <v/>
      </c>
      <c r="AH215" s="59"/>
      <c r="AI215" s="58" t="str">
        <f t="shared" si="113"/>
        <v/>
      </c>
      <c r="AJ215" s="59"/>
      <c r="AK215" s="58" t="str">
        <f t="shared" si="114"/>
        <v/>
      </c>
      <c r="AL215" s="59"/>
      <c r="AM215" s="58" t="str">
        <f t="shared" si="115"/>
        <v/>
      </c>
      <c r="AN215" s="59"/>
      <c r="AO215" s="58" t="str">
        <f t="shared" si="116"/>
        <v/>
      </c>
      <c r="AP215" s="59"/>
      <c r="AQ215" s="58" t="str">
        <f t="shared" si="117"/>
        <v/>
      </c>
      <c r="AR215" s="59"/>
      <c r="AS215" s="58" t="str">
        <f t="shared" si="118"/>
        <v/>
      </c>
      <c r="AT215" s="59"/>
      <c r="AU215" s="58">
        <f t="shared" si="119"/>
        <v>1344</v>
      </c>
      <c r="AV215" s="59"/>
      <c r="AW215" s="58" t="str">
        <f t="shared" si="120"/>
        <v/>
      </c>
      <c r="AX215" s="59"/>
      <c r="AY215" s="58" t="str">
        <f t="shared" si="121"/>
        <v/>
      </c>
      <c r="AZ215" s="59"/>
      <c r="BA215" s="58" t="str">
        <f t="shared" si="122"/>
        <v/>
      </c>
      <c r="BB215" s="59"/>
      <c r="BC215" s="58" t="str">
        <f t="shared" si="123"/>
        <v/>
      </c>
      <c r="BD215" s="59"/>
      <c r="BE215" s="58" t="str">
        <f t="shared" si="124"/>
        <v/>
      </c>
      <c r="BF215" s="59"/>
      <c r="BG215" s="58" t="str">
        <f t="shared" si="125"/>
        <v/>
      </c>
      <c r="BH215" s="59"/>
      <c r="BI215" s="58" t="str">
        <f t="shared" si="126"/>
        <v/>
      </c>
      <c r="BJ215" s="59"/>
      <c r="BK215" s="58" t="str">
        <f t="shared" si="127"/>
        <v/>
      </c>
      <c r="BL215" s="59"/>
      <c r="BM215" s="58" t="str">
        <f t="shared" si="128"/>
        <v/>
      </c>
      <c r="BN215" s="59"/>
      <c r="BO215" s="58" t="str">
        <f t="shared" si="129"/>
        <v/>
      </c>
      <c r="BP215" s="59"/>
      <c r="BQ215" s="58" t="str">
        <f t="shared" si="130"/>
        <v/>
      </c>
      <c r="BR215" s="59"/>
      <c r="BS215" s="58" t="str">
        <f t="shared" si="131"/>
        <v/>
      </c>
      <c r="BT215" s="59"/>
      <c r="BU215" s="58" t="str">
        <f t="shared" si="132"/>
        <v/>
      </c>
      <c r="BV215" s="59"/>
    </row>
    <row r="216" spans="1:74" ht="14.5">
      <c r="A216" s="51" t="s">
        <v>58</v>
      </c>
      <c r="B216" s="52">
        <v>341</v>
      </c>
      <c r="C216" s="52" t="s">
        <v>188</v>
      </c>
      <c r="D216" s="41">
        <f t="shared" si="102"/>
        <v>3</v>
      </c>
      <c r="E216" s="52" t="s">
        <v>158</v>
      </c>
      <c r="F216" s="52" t="s">
        <v>242</v>
      </c>
      <c r="G216" s="52" t="s">
        <v>155</v>
      </c>
      <c r="H216" s="52" t="s">
        <v>432</v>
      </c>
      <c r="I216" s="53">
        <v>45675</v>
      </c>
      <c r="J216" s="108">
        <v>1336</v>
      </c>
      <c r="K216" s="101"/>
      <c r="L216" s="101"/>
      <c r="M216" s="101">
        <f t="shared" si="103"/>
        <v>1336</v>
      </c>
      <c r="N216" s="54">
        <f t="shared" si="104"/>
        <v>1336</v>
      </c>
      <c r="O216" s="101" t="s">
        <v>439</v>
      </c>
      <c r="P216" s="102">
        <f t="shared" si="105"/>
        <v>1.8555555555555556</v>
      </c>
      <c r="Q216" s="102">
        <v>6</v>
      </c>
      <c r="R216" s="99">
        <v>120</v>
      </c>
      <c r="S216" s="55">
        <f t="shared" si="101"/>
        <v>45647</v>
      </c>
      <c r="T216" s="55">
        <v>45635</v>
      </c>
      <c r="U216" s="56">
        <f t="shared" ca="1" si="106"/>
        <v>12</v>
      </c>
      <c r="V216" s="55">
        <f t="shared" si="107"/>
        <v>45663</v>
      </c>
      <c r="W216" s="55"/>
      <c r="X216" s="56">
        <f t="shared" ca="1" si="108"/>
        <v>-177</v>
      </c>
      <c r="Y216" s="55"/>
      <c r="Z216" s="57"/>
      <c r="AA216" s="58" t="str">
        <f t="shared" si="109"/>
        <v>-</v>
      </c>
      <c r="AB216" s="59"/>
      <c r="AC216" s="58" t="str">
        <f t="shared" si="110"/>
        <v/>
      </c>
      <c r="AD216" s="59"/>
      <c r="AE216" s="58" t="str">
        <f t="shared" si="111"/>
        <v/>
      </c>
      <c r="AF216" s="59"/>
      <c r="AG216" s="58" t="str">
        <f t="shared" si="112"/>
        <v/>
      </c>
      <c r="AH216" s="59"/>
      <c r="AI216" s="58" t="str">
        <f t="shared" si="113"/>
        <v/>
      </c>
      <c r="AJ216" s="59"/>
      <c r="AK216" s="58" t="str">
        <f t="shared" si="114"/>
        <v/>
      </c>
      <c r="AL216" s="59"/>
      <c r="AM216" s="58" t="str">
        <f t="shared" si="115"/>
        <v/>
      </c>
      <c r="AN216" s="59"/>
      <c r="AO216" s="58" t="str">
        <f t="shared" si="116"/>
        <v/>
      </c>
      <c r="AP216" s="59"/>
      <c r="AQ216" s="58" t="str">
        <f t="shared" si="117"/>
        <v/>
      </c>
      <c r="AR216" s="59"/>
      <c r="AS216" s="58" t="str">
        <f t="shared" si="118"/>
        <v/>
      </c>
      <c r="AT216" s="59"/>
      <c r="AU216" s="58">
        <f t="shared" si="119"/>
        <v>1336</v>
      </c>
      <c r="AV216" s="59"/>
      <c r="AW216" s="58" t="str">
        <f t="shared" si="120"/>
        <v/>
      </c>
      <c r="AX216" s="59"/>
      <c r="AY216" s="58" t="str">
        <f t="shared" si="121"/>
        <v/>
      </c>
      <c r="AZ216" s="59"/>
      <c r="BA216" s="58" t="str">
        <f t="shared" si="122"/>
        <v/>
      </c>
      <c r="BB216" s="59"/>
      <c r="BC216" s="58" t="str">
        <f t="shared" si="123"/>
        <v/>
      </c>
      <c r="BD216" s="59"/>
      <c r="BE216" s="58" t="str">
        <f t="shared" si="124"/>
        <v/>
      </c>
      <c r="BF216" s="59"/>
      <c r="BG216" s="58" t="str">
        <f t="shared" si="125"/>
        <v/>
      </c>
      <c r="BH216" s="59"/>
      <c r="BI216" s="58" t="str">
        <f t="shared" si="126"/>
        <v/>
      </c>
      <c r="BJ216" s="59"/>
      <c r="BK216" s="58" t="str">
        <f t="shared" si="127"/>
        <v/>
      </c>
      <c r="BL216" s="59"/>
      <c r="BM216" s="58" t="str">
        <f t="shared" si="128"/>
        <v/>
      </c>
      <c r="BN216" s="59"/>
      <c r="BO216" s="58" t="str">
        <f t="shared" si="129"/>
        <v/>
      </c>
      <c r="BP216" s="59"/>
      <c r="BQ216" s="58" t="str">
        <f t="shared" si="130"/>
        <v/>
      </c>
      <c r="BR216" s="59"/>
      <c r="BS216" s="58" t="str">
        <f t="shared" si="131"/>
        <v/>
      </c>
      <c r="BT216" s="59"/>
      <c r="BU216" s="58" t="str">
        <f t="shared" si="132"/>
        <v/>
      </c>
      <c r="BV216" s="59"/>
    </row>
    <row r="217" spans="1:74" ht="14.5">
      <c r="A217" s="51" t="s">
        <v>58</v>
      </c>
      <c r="B217" s="52">
        <v>341</v>
      </c>
      <c r="C217" s="52" t="s">
        <v>188</v>
      </c>
      <c r="D217" s="41">
        <f t="shared" si="102"/>
        <v>3</v>
      </c>
      <c r="E217" s="52" t="s">
        <v>158</v>
      </c>
      <c r="F217" s="52" t="s">
        <v>242</v>
      </c>
      <c r="G217" s="52" t="s">
        <v>255</v>
      </c>
      <c r="H217" s="52" t="s">
        <v>432</v>
      </c>
      <c r="I217" s="53">
        <v>45675</v>
      </c>
      <c r="J217" s="108">
        <v>1336</v>
      </c>
      <c r="K217" s="101"/>
      <c r="L217" s="101"/>
      <c r="M217" s="101">
        <f t="shared" si="103"/>
        <v>1336</v>
      </c>
      <c r="N217" s="54">
        <f t="shared" si="104"/>
        <v>1336</v>
      </c>
      <c r="O217" s="101" t="s">
        <v>439</v>
      </c>
      <c r="P217" s="102">
        <f t="shared" si="105"/>
        <v>1.8555555555555556</v>
      </c>
      <c r="Q217" s="102">
        <v>6</v>
      </c>
      <c r="R217" s="99">
        <v>120</v>
      </c>
      <c r="S217" s="55">
        <f t="shared" si="101"/>
        <v>45647</v>
      </c>
      <c r="T217" s="55">
        <v>45635</v>
      </c>
      <c r="U217" s="56">
        <f t="shared" ca="1" si="106"/>
        <v>12</v>
      </c>
      <c r="V217" s="55">
        <f t="shared" si="107"/>
        <v>45663</v>
      </c>
      <c r="W217" s="55"/>
      <c r="X217" s="56">
        <f t="shared" ca="1" si="108"/>
        <v>-177</v>
      </c>
      <c r="Y217" s="55"/>
      <c r="Z217" s="57"/>
      <c r="AA217" s="58" t="str">
        <f t="shared" si="109"/>
        <v>-</v>
      </c>
      <c r="AB217" s="59"/>
      <c r="AC217" s="58" t="str">
        <f t="shared" si="110"/>
        <v/>
      </c>
      <c r="AD217" s="59"/>
      <c r="AE217" s="58" t="str">
        <f t="shared" si="111"/>
        <v/>
      </c>
      <c r="AF217" s="59"/>
      <c r="AG217" s="58" t="str">
        <f t="shared" si="112"/>
        <v/>
      </c>
      <c r="AH217" s="59"/>
      <c r="AI217" s="58" t="str">
        <f t="shared" si="113"/>
        <v/>
      </c>
      <c r="AJ217" s="59"/>
      <c r="AK217" s="58" t="str">
        <f t="shared" si="114"/>
        <v/>
      </c>
      <c r="AL217" s="59"/>
      <c r="AM217" s="58" t="str">
        <f t="shared" si="115"/>
        <v/>
      </c>
      <c r="AN217" s="59"/>
      <c r="AO217" s="58" t="str">
        <f t="shared" si="116"/>
        <v/>
      </c>
      <c r="AP217" s="59"/>
      <c r="AQ217" s="58" t="str">
        <f t="shared" si="117"/>
        <v/>
      </c>
      <c r="AR217" s="59"/>
      <c r="AS217" s="58" t="str">
        <f t="shared" si="118"/>
        <v/>
      </c>
      <c r="AT217" s="59"/>
      <c r="AU217" s="58">
        <f t="shared" si="119"/>
        <v>1336</v>
      </c>
      <c r="AV217" s="59"/>
      <c r="AW217" s="58" t="str">
        <f t="shared" si="120"/>
        <v/>
      </c>
      <c r="AX217" s="59"/>
      <c r="AY217" s="58" t="str">
        <f t="shared" si="121"/>
        <v/>
      </c>
      <c r="AZ217" s="59"/>
      <c r="BA217" s="58" t="str">
        <f t="shared" si="122"/>
        <v/>
      </c>
      <c r="BB217" s="59"/>
      <c r="BC217" s="58" t="str">
        <f t="shared" si="123"/>
        <v/>
      </c>
      <c r="BD217" s="59"/>
      <c r="BE217" s="58" t="str">
        <f t="shared" si="124"/>
        <v/>
      </c>
      <c r="BF217" s="59"/>
      <c r="BG217" s="58" t="str">
        <f t="shared" si="125"/>
        <v/>
      </c>
      <c r="BH217" s="59"/>
      <c r="BI217" s="58" t="str">
        <f t="shared" si="126"/>
        <v/>
      </c>
      <c r="BJ217" s="59"/>
      <c r="BK217" s="58" t="str">
        <f t="shared" si="127"/>
        <v/>
      </c>
      <c r="BL217" s="59"/>
      <c r="BM217" s="58" t="str">
        <f t="shared" si="128"/>
        <v/>
      </c>
      <c r="BN217" s="59"/>
      <c r="BO217" s="58" t="str">
        <f t="shared" si="129"/>
        <v/>
      </c>
      <c r="BP217" s="59"/>
      <c r="BQ217" s="58" t="str">
        <f t="shared" si="130"/>
        <v/>
      </c>
      <c r="BR217" s="59"/>
      <c r="BS217" s="58" t="str">
        <f t="shared" si="131"/>
        <v/>
      </c>
      <c r="BT217" s="59"/>
      <c r="BU217" s="58" t="str">
        <f t="shared" si="132"/>
        <v/>
      </c>
      <c r="BV217" s="59"/>
    </row>
    <row r="218" spans="1:74" ht="14.5">
      <c r="A218" s="51" t="s">
        <v>58</v>
      </c>
      <c r="B218" s="52">
        <v>341</v>
      </c>
      <c r="C218" s="52" t="s">
        <v>188</v>
      </c>
      <c r="D218" s="41">
        <f t="shared" si="102"/>
        <v>3</v>
      </c>
      <c r="E218" s="52" t="s">
        <v>190</v>
      </c>
      <c r="F218" s="52" t="s">
        <v>242</v>
      </c>
      <c r="G218" s="52" t="s">
        <v>244</v>
      </c>
      <c r="H218" s="52" t="s">
        <v>438</v>
      </c>
      <c r="I218" s="53">
        <v>45675</v>
      </c>
      <c r="J218" s="108">
        <v>192</v>
      </c>
      <c r="K218" s="101"/>
      <c r="L218" s="101"/>
      <c r="M218" s="101">
        <f t="shared" si="103"/>
        <v>192</v>
      </c>
      <c r="N218" s="54">
        <f t="shared" si="104"/>
        <v>192</v>
      </c>
      <c r="O218" s="101" t="s">
        <v>431</v>
      </c>
      <c r="P218" s="102">
        <f t="shared" si="105"/>
        <v>0.26666666666666666</v>
      </c>
      <c r="Q218" s="102">
        <v>6</v>
      </c>
      <c r="R218" s="99">
        <v>120</v>
      </c>
      <c r="S218" s="55">
        <f t="shared" si="101"/>
        <v>45647</v>
      </c>
      <c r="T218" s="55">
        <v>45635</v>
      </c>
      <c r="U218" s="56">
        <f t="shared" ca="1" si="106"/>
        <v>12</v>
      </c>
      <c r="V218" s="55">
        <f t="shared" si="107"/>
        <v>45663</v>
      </c>
      <c r="W218" s="55"/>
      <c r="X218" s="56">
        <f t="shared" ca="1" si="108"/>
        <v>-177</v>
      </c>
      <c r="Y218" s="55"/>
      <c r="Z218" s="57"/>
      <c r="AA218" s="58" t="str">
        <f t="shared" si="109"/>
        <v>-</v>
      </c>
      <c r="AB218" s="59"/>
      <c r="AC218" s="58" t="str">
        <f t="shared" si="110"/>
        <v/>
      </c>
      <c r="AD218" s="59"/>
      <c r="AE218" s="58" t="str">
        <f t="shared" si="111"/>
        <v/>
      </c>
      <c r="AF218" s="59"/>
      <c r="AG218" s="58" t="str">
        <f t="shared" si="112"/>
        <v/>
      </c>
      <c r="AH218" s="59"/>
      <c r="AI218" s="58" t="str">
        <f t="shared" si="113"/>
        <v/>
      </c>
      <c r="AJ218" s="59"/>
      <c r="AK218" s="58" t="str">
        <f t="shared" si="114"/>
        <v/>
      </c>
      <c r="AL218" s="59"/>
      <c r="AM218" s="58" t="str">
        <f t="shared" si="115"/>
        <v/>
      </c>
      <c r="AN218" s="59"/>
      <c r="AO218" s="58" t="str">
        <f t="shared" si="116"/>
        <v/>
      </c>
      <c r="AP218" s="59"/>
      <c r="AQ218" s="58" t="str">
        <f t="shared" si="117"/>
        <v/>
      </c>
      <c r="AR218" s="59"/>
      <c r="AS218" s="58" t="str">
        <f t="shared" si="118"/>
        <v/>
      </c>
      <c r="AT218" s="59"/>
      <c r="AU218" s="58">
        <f t="shared" si="119"/>
        <v>192</v>
      </c>
      <c r="AV218" s="59"/>
      <c r="AW218" s="58" t="str">
        <f t="shared" si="120"/>
        <v/>
      </c>
      <c r="AX218" s="59"/>
      <c r="AY218" s="58" t="str">
        <f t="shared" si="121"/>
        <v/>
      </c>
      <c r="AZ218" s="59"/>
      <c r="BA218" s="58" t="str">
        <f t="shared" si="122"/>
        <v/>
      </c>
      <c r="BB218" s="59"/>
      <c r="BC218" s="58" t="str">
        <f t="shared" si="123"/>
        <v/>
      </c>
      <c r="BD218" s="59"/>
      <c r="BE218" s="58" t="str">
        <f t="shared" si="124"/>
        <v/>
      </c>
      <c r="BF218" s="59"/>
      <c r="BG218" s="58" t="str">
        <f t="shared" si="125"/>
        <v/>
      </c>
      <c r="BH218" s="59"/>
      <c r="BI218" s="58" t="str">
        <f t="shared" si="126"/>
        <v/>
      </c>
      <c r="BJ218" s="59"/>
      <c r="BK218" s="58" t="str">
        <f t="shared" si="127"/>
        <v/>
      </c>
      <c r="BL218" s="59"/>
      <c r="BM218" s="58" t="str">
        <f t="shared" si="128"/>
        <v/>
      </c>
      <c r="BN218" s="59"/>
      <c r="BO218" s="58" t="str">
        <f t="shared" si="129"/>
        <v/>
      </c>
      <c r="BP218" s="59"/>
      <c r="BQ218" s="58" t="str">
        <f t="shared" si="130"/>
        <v/>
      </c>
      <c r="BR218" s="59"/>
      <c r="BS218" s="58" t="str">
        <f t="shared" si="131"/>
        <v/>
      </c>
      <c r="BT218" s="59"/>
      <c r="BU218" s="58" t="str">
        <f t="shared" si="132"/>
        <v/>
      </c>
      <c r="BV218" s="59"/>
    </row>
    <row r="219" spans="1:74" ht="14.5">
      <c r="A219" s="51" t="s">
        <v>466</v>
      </c>
      <c r="B219" s="52">
        <v>367</v>
      </c>
      <c r="C219" s="52" t="s">
        <v>518</v>
      </c>
      <c r="D219" s="41">
        <f t="shared" si="102"/>
        <v>4</v>
      </c>
      <c r="E219" s="52" t="s">
        <v>200</v>
      </c>
      <c r="F219" s="52" t="s">
        <v>242</v>
      </c>
      <c r="G219" s="52" t="s">
        <v>163</v>
      </c>
      <c r="H219" s="52" t="s">
        <v>519</v>
      </c>
      <c r="I219" s="53">
        <v>45677</v>
      </c>
      <c r="J219" s="108">
        <v>552</v>
      </c>
      <c r="K219" s="101"/>
      <c r="L219" s="101"/>
      <c r="M219" s="101">
        <f t="shared" si="103"/>
        <v>552</v>
      </c>
      <c r="N219" s="54">
        <f t="shared" si="104"/>
        <v>552</v>
      </c>
      <c r="O219" s="101" t="s">
        <v>178</v>
      </c>
      <c r="P219" s="102">
        <f t="shared" si="105"/>
        <v>0.26285714285714284</v>
      </c>
      <c r="Q219" s="102">
        <v>6</v>
      </c>
      <c r="R219" s="99">
        <v>350</v>
      </c>
      <c r="S219" s="55">
        <f t="shared" ref="S219:S241" si="133">+I219-(32)</f>
        <v>45645</v>
      </c>
      <c r="T219" s="55"/>
      <c r="U219" s="56">
        <f t="shared" ca="1" si="106"/>
        <v>-195</v>
      </c>
      <c r="V219" s="55">
        <f t="shared" si="107"/>
        <v>45661</v>
      </c>
      <c r="W219" s="55"/>
      <c r="X219" s="56">
        <f t="shared" ca="1" si="108"/>
        <v>-179</v>
      </c>
      <c r="Y219" s="55"/>
      <c r="Z219" s="57"/>
      <c r="AA219" s="58" t="str">
        <f t="shared" si="109"/>
        <v>-</v>
      </c>
      <c r="AB219" s="59"/>
      <c r="AC219" s="58" t="str">
        <f t="shared" si="110"/>
        <v/>
      </c>
      <c r="AD219" s="59"/>
      <c r="AE219" s="58" t="str">
        <f t="shared" si="111"/>
        <v/>
      </c>
      <c r="AF219" s="59"/>
      <c r="AG219" s="58" t="str">
        <f t="shared" si="112"/>
        <v/>
      </c>
      <c r="AH219" s="59"/>
      <c r="AI219" s="58" t="str">
        <f t="shared" si="113"/>
        <v/>
      </c>
      <c r="AJ219" s="59"/>
      <c r="AK219" s="58" t="str">
        <f t="shared" si="114"/>
        <v/>
      </c>
      <c r="AL219" s="59"/>
      <c r="AM219" s="58" t="str">
        <f t="shared" si="115"/>
        <v/>
      </c>
      <c r="AN219" s="59"/>
      <c r="AO219" s="58" t="str">
        <f t="shared" si="116"/>
        <v/>
      </c>
      <c r="AP219" s="59"/>
      <c r="AQ219" s="58" t="str">
        <f t="shared" si="117"/>
        <v/>
      </c>
      <c r="AR219" s="59"/>
      <c r="AS219" s="58" t="str">
        <f t="shared" si="118"/>
        <v/>
      </c>
      <c r="AT219" s="59"/>
      <c r="AU219" s="58">
        <f t="shared" si="119"/>
        <v>552</v>
      </c>
      <c r="AV219" s="59"/>
      <c r="AW219" s="58" t="str">
        <f t="shared" si="120"/>
        <v/>
      </c>
      <c r="AX219" s="59"/>
      <c r="AY219" s="58" t="str">
        <f t="shared" si="121"/>
        <v/>
      </c>
      <c r="AZ219" s="59"/>
      <c r="BA219" s="58" t="str">
        <f t="shared" si="122"/>
        <v/>
      </c>
      <c r="BB219" s="59"/>
      <c r="BC219" s="58" t="str">
        <f t="shared" si="123"/>
        <v/>
      </c>
      <c r="BD219" s="59"/>
      <c r="BE219" s="58" t="str">
        <f t="shared" si="124"/>
        <v/>
      </c>
      <c r="BF219" s="59"/>
      <c r="BG219" s="58" t="str">
        <f t="shared" si="125"/>
        <v/>
      </c>
      <c r="BH219" s="59"/>
      <c r="BI219" s="58" t="str">
        <f t="shared" si="126"/>
        <v/>
      </c>
      <c r="BJ219" s="59"/>
      <c r="BK219" s="58" t="str">
        <f t="shared" si="127"/>
        <v/>
      </c>
      <c r="BL219" s="59"/>
      <c r="BM219" s="58" t="str">
        <f t="shared" si="128"/>
        <v/>
      </c>
      <c r="BN219" s="59"/>
      <c r="BO219" s="58" t="str">
        <f t="shared" si="129"/>
        <v/>
      </c>
      <c r="BP219" s="59"/>
      <c r="BQ219" s="58" t="str">
        <f t="shared" si="130"/>
        <v/>
      </c>
      <c r="BR219" s="59"/>
      <c r="BS219" s="58" t="str">
        <f t="shared" si="131"/>
        <v/>
      </c>
      <c r="BT219" s="59"/>
      <c r="BU219" s="58" t="str">
        <f t="shared" si="132"/>
        <v/>
      </c>
      <c r="BV219" s="59"/>
    </row>
    <row r="220" spans="1:74" ht="14.5">
      <c r="A220" s="51" t="s">
        <v>466</v>
      </c>
      <c r="B220" s="52">
        <v>367</v>
      </c>
      <c r="C220" s="52" t="s">
        <v>518</v>
      </c>
      <c r="D220" s="41">
        <f t="shared" si="102"/>
        <v>4</v>
      </c>
      <c r="E220" s="52" t="s">
        <v>200</v>
      </c>
      <c r="F220" s="52" t="s">
        <v>242</v>
      </c>
      <c r="G220" s="52" t="s">
        <v>520</v>
      </c>
      <c r="H220" s="52" t="s">
        <v>519</v>
      </c>
      <c r="I220" s="53">
        <v>45677</v>
      </c>
      <c r="J220" s="108">
        <v>552</v>
      </c>
      <c r="K220" s="101"/>
      <c r="L220" s="101"/>
      <c r="M220" s="101">
        <f t="shared" si="103"/>
        <v>552</v>
      </c>
      <c r="N220" s="54">
        <f t="shared" si="104"/>
        <v>552</v>
      </c>
      <c r="O220" s="101" t="s">
        <v>178</v>
      </c>
      <c r="P220" s="102">
        <f t="shared" si="105"/>
        <v>0.26285714285714284</v>
      </c>
      <c r="Q220" s="102">
        <v>6</v>
      </c>
      <c r="R220" s="99">
        <v>350</v>
      </c>
      <c r="S220" s="55">
        <f t="shared" si="133"/>
        <v>45645</v>
      </c>
      <c r="T220" s="55"/>
      <c r="U220" s="56">
        <f t="shared" ca="1" si="106"/>
        <v>-195</v>
      </c>
      <c r="V220" s="55">
        <f t="shared" si="107"/>
        <v>45661</v>
      </c>
      <c r="W220" s="55"/>
      <c r="X220" s="56">
        <f t="shared" ca="1" si="108"/>
        <v>-179</v>
      </c>
      <c r="Y220" s="55"/>
      <c r="Z220" s="57"/>
      <c r="AA220" s="58" t="str">
        <f t="shared" si="109"/>
        <v>-</v>
      </c>
      <c r="AB220" s="59"/>
      <c r="AC220" s="58" t="str">
        <f t="shared" si="110"/>
        <v/>
      </c>
      <c r="AD220" s="59"/>
      <c r="AE220" s="58" t="str">
        <f t="shared" si="111"/>
        <v/>
      </c>
      <c r="AF220" s="59"/>
      <c r="AG220" s="58" t="str">
        <f t="shared" si="112"/>
        <v/>
      </c>
      <c r="AH220" s="59"/>
      <c r="AI220" s="58" t="str">
        <f t="shared" si="113"/>
        <v/>
      </c>
      <c r="AJ220" s="59"/>
      <c r="AK220" s="58" t="str">
        <f t="shared" si="114"/>
        <v/>
      </c>
      <c r="AL220" s="59"/>
      <c r="AM220" s="58" t="str">
        <f t="shared" si="115"/>
        <v/>
      </c>
      <c r="AN220" s="59"/>
      <c r="AO220" s="58" t="str">
        <f t="shared" si="116"/>
        <v/>
      </c>
      <c r="AP220" s="59"/>
      <c r="AQ220" s="58" t="str">
        <f t="shared" si="117"/>
        <v/>
      </c>
      <c r="AR220" s="59"/>
      <c r="AS220" s="58" t="str">
        <f t="shared" si="118"/>
        <v/>
      </c>
      <c r="AT220" s="59"/>
      <c r="AU220" s="58">
        <f t="shared" si="119"/>
        <v>552</v>
      </c>
      <c r="AV220" s="59"/>
      <c r="AW220" s="58" t="str">
        <f t="shared" si="120"/>
        <v/>
      </c>
      <c r="AX220" s="59"/>
      <c r="AY220" s="58" t="str">
        <f t="shared" si="121"/>
        <v/>
      </c>
      <c r="AZ220" s="59"/>
      <c r="BA220" s="58" t="str">
        <f t="shared" si="122"/>
        <v/>
      </c>
      <c r="BB220" s="59"/>
      <c r="BC220" s="58" t="str">
        <f t="shared" si="123"/>
        <v/>
      </c>
      <c r="BD220" s="59"/>
      <c r="BE220" s="58" t="str">
        <f t="shared" si="124"/>
        <v/>
      </c>
      <c r="BF220" s="59"/>
      <c r="BG220" s="58" t="str">
        <f t="shared" si="125"/>
        <v/>
      </c>
      <c r="BH220" s="59"/>
      <c r="BI220" s="58" t="str">
        <f t="shared" si="126"/>
        <v/>
      </c>
      <c r="BJ220" s="59"/>
      <c r="BK220" s="58" t="str">
        <f t="shared" si="127"/>
        <v/>
      </c>
      <c r="BL220" s="59"/>
      <c r="BM220" s="58" t="str">
        <f t="shared" si="128"/>
        <v/>
      </c>
      <c r="BN220" s="59"/>
      <c r="BO220" s="58" t="str">
        <f t="shared" si="129"/>
        <v/>
      </c>
      <c r="BP220" s="59"/>
      <c r="BQ220" s="58" t="str">
        <f t="shared" si="130"/>
        <v/>
      </c>
      <c r="BR220" s="59"/>
      <c r="BS220" s="58" t="str">
        <f t="shared" si="131"/>
        <v/>
      </c>
      <c r="BT220" s="59"/>
      <c r="BU220" s="58" t="str">
        <f t="shared" si="132"/>
        <v/>
      </c>
      <c r="BV220" s="59"/>
    </row>
    <row r="221" spans="1:74" ht="14.5">
      <c r="A221" s="51" t="s">
        <v>466</v>
      </c>
      <c r="B221" s="52">
        <v>367</v>
      </c>
      <c r="C221" s="52" t="s">
        <v>518</v>
      </c>
      <c r="D221" s="41">
        <f t="shared" si="102"/>
        <v>4</v>
      </c>
      <c r="E221" s="52" t="s">
        <v>200</v>
      </c>
      <c r="F221" s="52" t="s">
        <v>242</v>
      </c>
      <c r="G221" s="52" t="s">
        <v>163</v>
      </c>
      <c r="H221" s="52" t="s">
        <v>521</v>
      </c>
      <c r="I221" s="53">
        <v>45677</v>
      </c>
      <c r="J221" s="108">
        <v>462</v>
      </c>
      <c r="K221" s="101"/>
      <c r="L221" s="101"/>
      <c r="M221" s="101">
        <f t="shared" si="103"/>
        <v>462</v>
      </c>
      <c r="N221" s="54">
        <f t="shared" si="104"/>
        <v>462</v>
      </c>
      <c r="O221" s="101" t="s">
        <v>178</v>
      </c>
      <c r="P221" s="102">
        <f t="shared" si="105"/>
        <v>0.22</v>
      </c>
      <c r="Q221" s="102">
        <v>6</v>
      </c>
      <c r="R221" s="99">
        <v>350</v>
      </c>
      <c r="S221" s="55">
        <f t="shared" si="133"/>
        <v>45645</v>
      </c>
      <c r="T221" s="55"/>
      <c r="U221" s="56">
        <f t="shared" ca="1" si="106"/>
        <v>-195</v>
      </c>
      <c r="V221" s="55">
        <f t="shared" si="107"/>
        <v>45661</v>
      </c>
      <c r="W221" s="55"/>
      <c r="X221" s="56">
        <f t="shared" ca="1" si="108"/>
        <v>-179</v>
      </c>
      <c r="Y221" s="55"/>
      <c r="Z221" s="57"/>
      <c r="AA221" s="58" t="str">
        <f t="shared" si="109"/>
        <v>-</v>
      </c>
      <c r="AB221" s="59"/>
      <c r="AC221" s="58" t="str">
        <f t="shared" si="110"/>
        <v/>
      </c>
      <c r="AD221" s="59"/>
      <c r="AE221" s="58" t="str">
        <f t="shared" si="111"/>
        <v/>
      </c>
      <c r="AF221" s="59"/>
      <c r="AG221" s="58" t="str">
        <f t="shared" si="112"/>
        <v/>
      </c>
      <c r="AH221" s="59"/>
      <c r="AI221" s="58" t="str">
        <f t="shared" si="113"/>
        <v/>
      </c>
      <c r="AJ221" s="59"/>
      <c r="AK221" s="58" t="str">
        <f t="shared" si="114"/>
        <v/>
      </c>
      <c r="AL221" s="59"/>
      <c r="AM221" s="58" t="str">
        <f t="shared" si="115"/>
        <v/>
      </c>
      <c r="AN221" s="59"/>
      <c r="AO221" s="58" t="str">
        <f t="shared" si="116"/>
        <v/>
      </c>
      <c r="AP221" s="59"/>
      <c r="AQ221" s="58" t="str">
        <f t="shared" si="117"/>
        <v/>
      </c>
      <c r="AR221" s="59"/>
      <c r="AS221" s="58" t="str">
        <f t="shared" si="118"/>
        <v/>
      </c>
      <c r="AT221" s="59"/>
      <c r="AU221" s="58">
        <f t="shared" si="119"/>
        <v>462</v>
      </c>
      <c r="AV221" s="59"/>
      <c r="AW221" s="58" t="str">
        <f t="shared" si="120"/>
        <v/>
      </c>
      <c r="AX221" s="59"/>
      <c r="AY221" s="58" t="str">
        <f t="shared" si="121"/>
        <v/>
      </c>
      <c r="AZ221" s="59"/>
      <c r="BA221" s="58" t="str">
        <f t="shared" si="122"/>
        <v/>
      </c>
      <c r="BB221" s="59"/>
      <c r="BC221" s="58" t="str">
        <f t="shared" si="123"/>
        <v/>
      </c>
      <c r="BD221" s="59"/>
      <c r="BE221" s="58" t="str">
        <f t="shared" si="124"/>
        <v/>
      </c>
      <c r="BF221" s="59"/>
      <c r="BG221" s="58" t="str">
        <f t="shared" si="125"/>
        <v/>
      </c>
      <c r="BH221" s="59"/>
      <c r="BI221" s="58" t="str">
        <f t="shared" si="126"/>
        <v/>
      </c>
      <c r="BJ221" s="59"/>
      <c r="BK221" s="58" t="str">
        <f t="shared" si="127"/>
        <v/>
      </c>
      <c r="BL221" s="59"/>
      <c r="BM221" s="58" t="str">
        <f t="shared" si="128"/>
        <v/>
      </c>
      <c r="BN221" s="59"/>
      <c r="BO221" s="58" t="str">
        <f t="shared" si="129"/>
        <v/>
      </c>
      <c r="BP221" s="59"/>
      <c r="BQ221" s="58" t="str">
        <f t="shared" si="130"/>
        <v/>
      </c>
      <c r="BR221" s="59"/>
      <c r="BS221" s="58" t="str">
        <f t="shared" si="131"/>
        <v/>
      </c>
      <c r="BT221" s="59"/>
      <c r="BU221" s="58" t="str">
        <f t="shared" si="132"/>
        <v/>
      </c>
      <c r="BV221" s="59"/>
    </row>
    <row r="222" spans="1:74" ht="14.5">
      <c r="A222" s="51" t="s">
        <v>466</v>
      </c>
      <c r="B222" s="52">
        <v>367</v>
      </c>
      <c r="C222" s="52" t="s">
        <v>518</v>
      </c>
      <c r="D222" s="41">
        <f t="shared" si="102"/>
        <v>4</v>
      </c>
      <c r="E222" s="52" t="s">
        <v>200</v>
      </c>
      <c r="F222" s="52" t="s">
        <v>242</v>
      </c>
      <c r="G222" s="52" t="s">
        <v>520</v>
      </c>
      <c r="H222" s="52" t="s">
        <v>521</v>
      </c>
      <c r="I222" s="53">
        <v>45677</v>
      </c>
      <c r="J222" s="108">
        <v>462</v>
      </c>
      <c r="K222" s="101"/>
      <c r="L222" s="101"/>
      <c r="M222" s="101">
        <f t="shared" si="103"/>
        <v>462</v>
      </c>
      <c r="N222" s="54">
        <f t="shared" si="104"/>
        <v>462</v>
      </c>
      <c r="O222" s="101" t="s">
        <v>178</v>
      </c>
      <c r="P222" s="102">
        <f t="shared" si="105"/>
        <v>0.22</v>
      </c>
      <c r="Q222" s="102">
        <v>6</v>
      </c>
      <c r="R222" s="99">
        <v>350</v>
      </c>
      <c r="S222" s="55">
        <f t="shared" si="133"/>
        <v>45645</v>
      </c>
      <c r="T222" s="55"/>
      <c r="U222" s="56">
        <f t="shared" ca="1" si="106"/>
        <v>-195</v>
      </c>
      <c r="V222" s="55">
        <f t="shared" si="107"/>
        <v>45661</v>
      </c>
      <c r="W222" s="55"/>
      <c r="X222" s="56">
        <f t="shared" ca="1" si="108"/>
        <v>-179</v>
      </c>
      <c r="Y222" s="55"/>
      <c r="Z222" s="57"/>
      <c r="AA222" s="58" t="str">
        <f t="shared" si="109"/>
        <v>-</v>
      </c>
      <c r="AB222" s="59"/>
      <c r="AC222" s="58" t="str">
        <f t="shared" si="110"/>
        <v/>
      </c>
      <c r="AD222" s="59"/>
      <c r="AE222" s="58" t="str">
        <f t="shared" si="111"/>
        <v/>
      </c>
      <c r="AF222" s="59"/>
      <c r="AG222" s="58" t="str">
        <f t="shared" si="112"/>
        <v/>
      </c>
      <c r="AH222" s="59"/>
      <c r="AI222" s="58" t="str">
        <f t="shared" si="113"/>
        <v/>
      </c>
      <c r="AJ222" s="59"/>
      <c r="AK222" s="58" t="str">
        <f t="shared" si="114"/>
        <v/>
      </c>
      <c r="AL222" s="59"/>
      <c r="AM222" s="58" t="str">
        <f t="shared" si="115"/>
        <v/>
      </c>
      <c r="AN222" s="59"/>
      <c r="AO222" s="58" t="str">
        <f t="shared" si="116"/>
        <v/>
      </c>
      <c r="AP222" s="59"/>
      <c r="AQ222" s="58" t="str">
        <f t="shared" si="117"/>
        <v/>
      </c>
      <c r="AR222" s="59"/>
      <c r="AS222" s="58" t="str">
        <f t="shared" si="118"/>
        <v/>
      </c>
      <c r="AT222" s="59"/>
      <c r="AU222" s="58">
        <f t="shared" si="119"/>
        <v>462</v>
      </c>
      <c r="AV222" s="59"/>
      <c r="AW222" s="58" t="str">
        <f t="shared" si="120"/>
        <v/>
      </c>
      <c r="AX222" s="59"/>
      <c r="AY222" s="58" t="str">
        <f t="shared" si="121"/>
        <v/>
      </c>
      <c r="AZ222" s="59"/>
      <c r="BA222" s="58" t="str">
        <f t="shared" si="122"/>
        <v/>
      </c>
      <c r="BB222" s="59"/>
      <c r="BC222" s="58" t="str">
        <f t="shared" si="123"/>
        <v/>
      </c>
      <c r="BD222" s="59"/>
      <c r="BE222" s="58" t="str">
        <f t="shared" si="124"/>
        <v/>
      </c>
      <c r="BF222" s="59"/>
      <c r="BG222" s="58" t="str">
        <f t="shared" si="125"/>
        <v/>
      </c>
      <c r="BH222" s="59"/>
      <c r="BI222" s="58" t="str">
        <f t="shared" si="126"/>
        <v/>
      </c>
      <c r="BJ222" s="59"/>
      <c r="BK222" s="58" t="str">
        <f t="shared" si="127"/>
        <v/>
      </c>
      <c r="BL222" s="59"/>
      <c r="BM222" s="58" t="str">
        <f t="shared" si="128"/>
        <v/>
      </c>
      <c r="BN222" s="59"/>
      <c r="BO222" s="58" t="str">
        <f t="shared" si="129"/>
        <v/>
      </c>
      <c r="BP222" s="59"/>
      <c r="BQ222" s="58" t="str">
        <f t="shared" si="130"/>
        <v/>
      </c>
      <c r="BR222" s="59"/>
      <c r="BS222" s="58" t="str">
        <f t="shared" si="131"/>
        <v/>
      </c>
      <c r="BT222" s="59"/>
      <c r="BU222" s="58" t="str">
        <f t="shared" si="132"/>
        <v/>
      </c>
      <c r="BV222" s="59"/>
    </row>
    <row r="223" spans="1:74" ht="14.5">
      <c r="A223" s="51" t="s">
        <v>466</v>
      </c>
      <c r="B223" s="52">
        <v>367</v>
      </c>
      <c r="C223" s="52" t="s">
        <v>518</v>
      </c>
      <c r="D223" s="41">
        <f t="shared" si="102"/>
        <v>4</v>
      </c>
      <c r="E223" s="52" t="s">
        <v>413</v>
      </c>
      <c r="F223" s="52" t="s">
        <v>242</v>
      </c>
      <c r="G223" s="52" t="s">
        <v>522</v>
      </c>
      <c r="H223" s="52" t="s">
        <v>519</v>
      </c>
      <c r="I223" s="53">
        <v>45677</v>
      </c>
      <c r="J223" s="108">
        <v>252</v>
      </c>
      <c r="K223" s="101"/>
      <c r="L223" s="101"/>
      <c r="M223" s="101">
        <f t="shared" si="103"/>
        <v>252</v>
      </c>
      <c r="N223" s="54">
        <f t="shared" si="104"/>
        <v>252</v>
      </c>
      <c r="O223" s="101" t="s">
        <v>178</v>
      </c>
      <c r="P223" s="102">
        <f t="shared" si="105"/>
        <v>0.12</v>
      </c>
      <c r="Q223" s="102">
        <v>6</v>
      </c>
      <c r="R223" s="99">
        <v>350</v>
      </c>
      <c r="S223" s="55">
        <f t="shared" si="133"/>
        <v>45645</v>
      </c>
      <c r="T223" s="55"/>
      <c r="U223" s="56">
        <f t="shared" ca="1" si="106"/>
        <v>-195</v>
      </c>
      <c r="V223" s="55">
        <f t="shared" si="107"/>
        <v>45661</v>
      </c>
      <c r="W223" s="55"/>
      <c r="X223" s="56">
        <f t="shared" ca="1" si="108"/>
        <v>-179</v>
      </c>
      <c r="Y223" s="55"/>
      <c r="Z223" s="57"/>
      <c r="AA223" s="58" t="str">
        <f t="shared" si="109"/>
        <v>-</v>
      </c>
      <c r="AB223" s="59"/>
      <c r="AC223" s="58" t="str">
        <f t="shared" si="110"/>
        <v/>
      </c>
      <c r="AD223" s="59"/>
      <c r="AE223" s="58" t="str">
        <f t="shared" si="111"/>
        <v/>
      </c>
      <c r="AF223" s="59"/>
      <c r="AG223" s="58" t="str">
        <f t="shared" si="112"/>
        <v/>
      </c>
      <c r="AH223" s="59"/>
      <c r="AI223" s="58" t="str">
        <f t="shared" si="113"/>
        <v/>
      </c>
      <c r="AJ223" s="59"/>
      <c r="AK223" s="58" t="str">
        <f t="shared" si="114"/>
        <v/>
      </c>
      <c r="AL223" s="59"/>
      <c r="AM223" s="58" t="str">
        <f t="shared" si="115"/>
        <v/>
      </c>
      <c r="AN223" s="59"/>
      <c r="AO223" s="58" t="str">
        <f t="shared" si="116"/>
        <v/>
      </c>
      <c r="AP223" s="59"/>
      <c r="AQ223" s="58" t="str">
        <f t="shared" si="117"/>
        <v/>
      </c>
      <c r="AR223" s="59"/>
      <c r="AS223" s="58" t="str">
        <f t="shared" si="118"/>
        <v/>
      </c>
      <c r="AT223" s="59"/>
      <c r="AU223" s="58">
        <f t="shared" si="119"/>
        <v>252</v>
      </c>
      <c r="AV223" s="59"/>
      <c r="AW223" s="58" t="str">
        <f t="shared" si="120"/>
        <v/>
      </c>
      <c r="AX223" s="59"/>
      <c r="AY223" s="58" t="str">
        <f t="shared" si="121"/>
        <v/>
      </c>
      <c r="AZ223" s="59"/>
      <c r="BA223" s="58" t="str">
        <f t="shared" si="122"/>
        <v/>
      </c>
      <c r="BB223" s="59"/>
      <c r="BC223" s="58" t="str">
        <f t="shared" si="123"/>
        <v/>
      </c>
      <c r="BD223" s="59"/>
      <c r="BE223" s="58" t="str">
        <f t="shared" si="124"/>
        <v/>
      </c>
      <c r="BF223" s="59"/>
      <c r="BG223" s="58" t="str">
        <f t="shared" si="125"/>
        <v/>
      </c>
      <c r="BH223" s="59"/>
      <c r="BI223" s="58" t="str">
        <f t="shared" si="126"/>
        <v/>
      </c>
      <c r="BJ223" s="59"/>
      <c r="BK223" s="58" t="str">
        <f t="shared" si="127"/>
        <v/>
      </c>
      <c r="BL223" s="59"/>
      <c r="BM223" s="58" t="str">
        <f t="shared" si="128"/>
        <v/>
      </c>
      <c r="BN223" s="59"/>
      <c r="BO223" s="58" t="str">
        <f t="shared" si="129"/>
        <v/>
      </c>
      <c r="BP223" s="59"/>
      <c r="BQ223" s="58" t="str">
        <f t="shared" si="130"/>
        <v/>
      </c>
      <c r="BR223" s="59"/>
      <c r="BS223" s="58" t="str">
        <f t="shared" si="131"/>
        <v/>
      </c>
      <c r="BT223" s="59"/>
      <c r="BU223" s="58" t="str">
        <f t="shared" si="132"/>
        <v/>
      </c>
      <c r="BV223" s="59"/>
    </row>
    <row r="224" spans="1:74" ht="14.5">
      <c r="A224" s="51" t="s">
        <v>466</v>
      </c>
      <c r="B224" s="52">
        <v>367</v>
      </c>
      <c r="C224" s="52" t="s">
        <v>518</v>
      </c>
      <c r="D224" s="41">
        <f t="shared" si="102"/>
        <v>4</v>
      </c>
      <c r="E224" s="52" t="s">
        <v>414</v>
      </c>
      <c r="F224" s="52" t="s">
        <v>242</v>
      </c>
      <c r="G224" s="52" t="s">
        <v>523</v>
      </c>
      <c r="H224" s="52" t="s">
        <v>519</v>
      </c>
      <c r="I224" s="53">
        <v>45677</v>
      </c>
      <c r="J224" s="108">
        <v>462</v>
      </c>
      <c r="K224" s="101"/>
      <c r="L224" s="101"/>
      <c r="M224" s="101">
        <f t="shared" si="103"/>
        <v>462</v>
      </c>
      <c r="N224" s="54">
        <f t="shared" si="104"/>
        <v>462</v>
      </c>
      <c r="O224" s="101" t="s">
        <v>178</v>
      </c>
      <c r="P224" s="102">
        <f t="shared" si="105"/>
        <v>0.22</v>
      </c>
      <c r="Q224" s="102">
        <v>6</v>
      </c>
      <c r="R224" s="99">
        <v>350</v>
      </c>
      <c r="S224" s="55">
        <f t="shared" si="133"/>
        <v>45645</v>
      </c>
      <c r="T224" s="55"/>
      <c r="U224" s="56">
        <f t="shared" ca="1" si="106"/>
        <v>-195</v>
      </c>
      <c r="V224" s="55">
        <f t="shared" si="107"/>
        <v>45661</v>
      </c>
      <c r="W224" s="55"/>
      <c r="X224" s="56">
        <f t="shared" ca="1" si="108"/>
        <v>-179</v>
      </c>
      <c r="Y224" s="55"/>
      <c r="Z224" s="57"/>
      <c r="AA224" s="58" t="str">
        <f t="shared" si="109"/>
        <v>-</v>
      </c>
      <c r="AB224" s="59"/>
      <c r="AC224" s="58" t="str">
        <f t="shared" si="110"/>
        <v/>
      </c>
      <c r="AD224" s="59"/>
      <c r="AE224" s="58" t="str">
        <f t="shared" si="111"/>
        <v/>
      </c>
      <c r="AF224" s="59"/>
      <c r="AG224" s="58" t="str">
        <f t="shared" si="112"/>
        <v/>
      </c>
      <c r="AH224" s="59"/>
      <c r="AI224" s="58" t="str">
        <f t="shared" si="113"/>
        <v/>
      </c>
      <c r="AJ224" s="59"/>
      <c r="AK224" s="58" t="str">
        <f t="shared" si="114"/>
        <v/>
      </c>
      <c r="AL224" s="59"/>
      <c r="AM224" s="58" t="str">
        <f t="shared" si="115"/>
        <v/>
      </c>
      <c r="AN224" s="59"/>
      <c r="AO224" s="58" t="str">
        <f t="shared" si="116"/>
        <v/>
      </c>
      <c r="AP224" s="59"/>
      <c r="AQ224" s="58" t="str">
        <f t="shared" si="117"/>
        <v/>
      </c>
      <c r="AR224" s="59"/>
      <c r="AS224" s="58" t="str">
        <f t="shared" si="118"/>
        <v/>
      </c>
      <c r="AT224" s="59"/>
      <c r="AU224" s="58">
        <f t="shared" si="119"/>
        <v>462</v>
      </c>
      <c r="AV224" s="59"/>
      <c r="AW224" s="58" t="str">
        <f t="shared" si="120"/>
        <v/>
      </c>
      <c r="AX224" s="59"/>
      <c r="AY224" s="58" t="str">
        <f t="shared" si="121"/>
        <v/>
      </c>
      <c r="AZ224" s="59"/>
      <c r="BA224" s="58" t="str">
        <f t="shared" si="122"/>
        <v/>
      </c>
      <c r="BB224" s="59"/>
      <c r="BC224" s="58" t="str">
        <f t="shared" si="123"/>
        <v/>
      </c>
      <c r="BD224" s="59"/>
      <c r="BE224" s="58" t="str">
        <f t="shared" si="124"/>
        <v/>
      </c>
      <c r="BF224" s="59"/>
      <c r="BG224" s="58" t="str">
        <f t="shared" si="125"/>
        <v/>
      </c>
      <c r="BH224" s="59"/>
      <c r="BI224" s="58" t="str">
        <f t="shared" si="126"/>
        <v/>
      </c>
      <c r="BJ224" s="59"/>
      <c r="BK224" s="58" t="str">
        <f t="shared" si="127"/>
        <v/>
      </c>
      <c r="BL224" s="59"/>
      <c r="BM224" s="58" t="str">
        <f t="shared" si="128"/>
        <v/>
      </c>
      <c r="BN224" s="59"/>
      <c r="BO224" s="58" t="str">
        <f t="shared" si="129"/>
        <v/>
      </c>
      <c r="BP224" s="59"/>
      <c r="BQ224" s="58" t="str">
        <f t="shared" si="130"/>
        <v/>
      </c>
      <c r="BR224" s="59"/>
      <c r="BS224" s="58" t="str">
        <f t="shared" si="131"/>
        <v/>
      </c>
      <c r="BT224" s="59"/>
      <c r="BU224" s="58" t="str">
        <f t="shared" si="132"/>
        <v/>
      </c>
      <c r="BV224" s="59"/>
    </row>
    <row r="225" spans="1:74" ht="14.5">
      <c r="A225" s="51" t="s">
        <v>466</v>
      </c>
      <c r="B225" s="52">
        <v>367</v>
      </c>
      <c r="C225" s="52" t="s">
        <v>518</v>
      </c>
      <c r="D225" s="41">
        <f t="shared" si="102"/>
        <v>4</v>
      </c>
      <c r="E225" s="52" t="s">
        <v>196</v>
      </c>
      <c r="F225" s="52" t="s">
        <v>300</v>
      </c>
      <c r="G225" s="52" t="s">
        <v>524</v>
      </c>
      <c r="H225" s="52" t="s">
        <v>525</v>
      </c>
      <c r="I225" s="53">
        <v>45677</v>
      </c>
      <c r="J225" s="108">
        <v>192</v>
      </c>
      <c r="K225" s="101"/>
      <c r="L225" s="101"/>
      <c r="M225" s="101">
        <f t="shared" si="103"/>
        <v>192</v>
      </c>
      <c r="N225" s="54">
        <f t="shared" si="104"/>
        <v>192</v>
      </c>
      <c r="O225" s="101" t="s">
        <v>178</v>
      </c>
      <c r="P225" s="102">
        <f t="shared" si="105"/>
        <v>0.26666666666666666</v>
      </c>
      <c r="Q225" s="102">
        <v>6</v>
      </c>
      <c r="R225" s="99">
        <v>120</v>
      </c>
      <c r="S225" s="55">
        <f t="shared" si="133"/>
        <v>45645</v>
      </c>
      <c r="T225" s="55"/>
      <c r="U225" s="56">
        <f t="shared" ca="1" si="106"/>
        <v>-195</v>
      </c>
      <c r="V225" s="55">
        <f t="shared" si="107"/>
        <v>45661</v>
      </c>
      <c r="W225" s="55"/>
      <c r="X225" s="56">
        <f t="shared" ca="1" si="108"/>
        <v>-179</v>
      </c>
      <c r="Y225" s="55"/>
      <c r="Z225" s="57"/>
      <c r="AA225" s="58" t="str">
        <f t="shared" si="109"/>
        <v>-</v>
      </c>
      <c r="AB225" s="59"/>
      <c r="AC225" s="58" t="str">
        <f t="shared" si="110"/>
        <v/>
      </c>
      <c r="AD225" s="59"/>
      <c r="AE225" s="58" t="str">
        <f t="shared" si="111"/>
        <v/>
      </c>
      <c r="AF225" s="59"/>
      <c r="AG225" s="58" t="str">
        <f t="shared" si="112"/>
        <v/>
      </c>
      <c r="AH225" s="59"/>
      <c r="AI225" s="58" t="str">
        <f t="shared" si="113"/>
        <v/>
      </c>
      <c r="AJ225" s="59"/>
      <c r="AK225" s="58" t="str">
        <f t="shared" si="114"/>
        <v/>
      </c>
      <c r="AL225" s="59"/>
      <c r="AM225" s="58" t="str">
        <f t="shared" si="115"/>
        <v/>
      </c>
      <c r="AN225" s="59"/>
      <c r="AO225" s="58" t="str">
        <f t="shared" si="116"/>
        <v/>
      </c>
      <c r="AP225" s="59"/>
      <c r="AQ225" s="58" t="str">
        <f t="shared" si="117"/>
        <v/>
      </c>
      <c r="AR225" s="59"/>
      <c r="AS225" s="58" t="str">
        <f t="shared" si="118"/>
        <v/>
      </c>
      <c r="AT225" s="59"/>
      <c r="AU225" s="58">
        <f t="shared" si="119"/>
        <v>192</v>
      </c>
      <c r="AV225" s="59"/>
      <c r="AW225" s="58" t="str">
        <f t="shared" si="120"/>
        <v/>
      </c>
      <c r="AX225" s="59"/>
      <c r="AY225" s="58" t="str">
        <f t="shared" si="121"/>
        <v/>
      </c>
      <c r="AZ225" s="59"/>
      <c r="BA225" s="58" t="str">
        <f t="shared" si="122"/>
        <v/>
      </c>
      <c r="BB225" s="59"/>
      <c r="BC225" s="58" t="str">
        <f t="shared" si="123"/>
        <v/>
      </c>
      <c r="BD225" s="59"/>
      <c r="BE225" s="58" t="str">
        <f t="shared" si="124"/>
        <v/>
      </c>
      <c r="BF225" s="59"/>
      <c r="BG225" s="58" t="str">
        <f t="shared" si="125"/>
        <v/>
      </c>
      <c r="BH225" s="59"/>
      <c r="BI225" s="58" t="str">
        <f t="shared" si="126"/>
        <v/>
      </c>
      <c r="BJ225" s="59"/>
      <c r="BK225" s="58" t="str">
        <f t="shared" si="127"/>
        <v/>
      </c>
      <c r="BL225" s="59"/>
      <c r="BM225" s="58" t="str">
        <f t="shared" si="128"/>
        <v/>
      </c>
      <c r="BN225" s="59"/>
      <c r="BO225" s="58" t="str">
        <f t="shared" si="129"/>
        <v/>
      </c>
      <c r="BP225" s="59"/>
      <c r="BQ225" s="58" t="str">
        <f t="shared" si="130"/>
        <v/>
      </c>
      <c r="BR225" s="59"/>
      <c r="BS225" s="58" t="str">
        <f t="shared" si="131"/>
        <v/>
      </c>
      <c r="BT225" s="59"/>
      <c r="BU225" s="58" t="str">
        <f t="shared" si="132"/>
        <v/>
      </c>
      <c r="BV225" s="59"/>
    </row>
    <row r="226" spans="1:74" ht="14.5">
      <c r="A226" s="51" t="s">
        <v>466</v>
      </c>
      <c r="B226" s="52">
        <v>367</v>
      </c>
      <c r="C226" s="52" t="s">
        <v>518</v>
      </c>
      <c r="D226" s="41">
        <f t="shared" si="102"/>
        <v>4</v>
      </c>
      <c r="E226" s="52" t="s">
        <v>196</v>
      </c>
      <c r="F226" s="52" t="s">
        <v>300</v>
      </c>
      <c r="G226" s="52" t="s">
        <v>526</v>
      </c>
      <c r="H226" s="52" t="s">
        <v>525</v>
      </c>
      <c r="I226" s="53">
        <v>45677</v>
      </c>
      <c r="J226" s="108">
        <v>192</v>
      </c>
      <c r="K226" s="101"/>
      <c r="L226" s="101"/>
      <c r="M226" s="101">
        <f t="shared" si="103"/>
        <v>192</v>
      </c>
      <c r="N226" s="54">
        <f t="shared" si="104"/>
        <v>192</v>
      </c>
      <c r="O226" s="101" t="s">
        <v>178</v>
      </c>
      <c r="P226" s="102">
        <f t="shared" si="105"/>
        <v>0.26666666666666666</v>
      </c>
      <c r="Q226" s="102">
        <v>6</v>
      </c>
      <c r="R226" s="99">
        <v>120</v>
      </c>
      <c r="S226" s="55">
        <f t="shared" si="133"/>
        <v>45645</v>
      </c>
      <c r="T226" s="55"/>
      <c r="U226" s="56">
        <f t="shared" ca="1" si="106"/>
        <v>-195</v>
      </c>
      <c r="V226" s="55">
        <f t="shared" si="107"/>
        <v>45661</v>
      </c>
      <c r="W226" s="55"/>
      <c r="X226" s="56">
        <f t="shared" ca="1" si="108"/>
        <v>-179</v>
      </c>
      <c r="Y226" s="55"/>
      <c r="Z226" s="57"/>
      <c r="AA226" s="58" t="str">
        <f t="shared" si="109"/>
        <v>-</v>
      </c>
      <c r="AB226" s="59"/>
      <c r="AC226" s="58" t="str">
        <f t="shared" si="110"/>
        <v/>
      </c>
      <c r="AD226" s="59"/>
      <c r="AE226" s="58" t="str">
        <f t="shared" si="111"/>
        <v/>
      </c>
      <c r="AF226" s="59"/>
      <c r="AG226" s="58" t="str">
        <f t="shared" si="112"/>
        <v/>
      </c>
      <c r="AH226" s="59"/>
      <c r="AI226" s="58" t="str">
        <f t="shared" si="113"/>
        <v/>
      </c>
      <c r="AJ226" s="59"/>
      <c r="AK226" s="58" t="str">
        <f t="shared" si="114"/>
        <v/>
      </c>
      <c r="AL226" s="59"/>
      <c r="AM226" s="58" t="str">
        <f t="shared" si="115"/>
        <v/>
      </c>
      <c r="AN226" s="59"/>
      <c r="AO226" s="58" t="str">
        <f t="shared" si="116"/>
        <v/>
      </c>
      <c r="AP226" s="59"/>
      <c r="AQ226" s="58" t="str">
        <f t="shared" si="117"/>
        <v/>
      </c>
      <c r="AR226" s="59"/>
      <c r="AS226" s="58" t="str">
        <f t="shared" si="118"/>
        <v/>
      </c>
      <c r="AT226" s="59"/>
      <c r="AU226" s="58">
        <f t="shared" si="119"/>
        <v>192</v>
      </c>
      <c r="AV226" s="59"/>
      <c r="AW226" s="58" t="str">
        <f t="shared" si="120"/>
        <v/>
      </c>
      <c r="AX226" s="59"/>
      <c r="AY226" s="58" t="str">
        <f t="shared" si="121"/>
        <v/>
      </c>
      <c r="AZ226" s="59"/>
      <c r="BA226" s="58" t="str">
        <f t="shared" si="122"/>
        <v/>
      </c>
      <c r="BB226" s="59"/>
      <c r="BC226" s="58" t="str">
        <f t="shared" si="123"/>
        <v/>
      </c>
      <c r="BD226" s="59"/>
      <c r="BE226" s="58" t="str">
        <f t="shared" si="124"/>
        <v/>
      </c>
      <c r="BF226" s="59"/>
      <c r="BG226" s="58" t="str">
        <f t="shared" si="125"/>
        <v/>
      </c>
      <c r="BH226" s="59"/>
      <c r="BI226" s="58" t="str">
        <f t="shared" si="126"/>
        <v/>
      </c>
      <c r="BJ226" s="59"/>
      <c r="BK226" s="58" t="str">
        <f t="shared" si="127"/>
        <v/>
      </c>
      <c r="BL226" s="59"/>
      <c r="BM226" s="58" t="str">
        <f t="shared" si="128"/>
        <v/>
      </c>
      <c r="BN226" s="59"/>
      <c r="BO226" s="58" t="str">
        <f t="shared" si="129"/>
        <v/>
      </c>
      <c r="BP226" s="59"/>
      <c r="BQ226" s="58" t="str">
        <f t="shared" si="130"/>
        <v/>
      </c>
      <c r="BR226" s="59"/>
      <c r="BS226" s="58" t="str">
        <f t="shared" si="131"/>
        <v/>
      </c>
      <c r="BT226" s="59"/>
      <c r="BU226" s="58" t="str">
        <f t="shared" si="132"/>
        <v/>
      </c>
      <c r="BV226" s="59"/>
    </row>
    <row r="227" spans="1:74" ht="14.5">
      <c r="A227" s="51" t="s">
        <v>466</v>
      </c>
      <c r="B227" s="52">
        <v>367</v>
      </c>
      <c r="C227" s="52" t="s">
        <v>518</v>
      </c>
      <c r="D227" s="41">
        <f t="shared" si="102"/>
        <v>4</v>
      </c>
      <c r="E227" s="52" t="s">
        <v>196</v>
      </c>
      <c r="F227" s="52" t="s">
        <v>300</v>
      </c>
      <c r="G227" s="52" t="s">
        <v>527</v>
      </c>
      <c r="H227" s="52" t="s">
        <v>525</v>
      </c>
      <c r="I227" s="53">
        <v>45677</v>
      </c>
      <c r="J227" s="108">
        <v>192</v>
      </c>
      <c r="K227" s="101"/>
      <c r="L227" s="101"/>
      <c r="M227" s="101">
        <f t="shared" si="103"/>
        <v>192</v>
      </c>
      <c r="N227" s="54">
        <f t="shared" si="104"/>
        <v>192</v>
      </c>
      <c r="O227" s="101" t="s">
        <v>178</v>
      </c>
      <c r="P227" s="102">
        <f t="shared" si="105"/>
        <v>0.26666666666666666</v>
      </c>
      <c r="Q227" s="102">
        <v>6</v>
      </c>
      <c r="R227" s="99">
        <v>120</v>
      </c>
      <c r="S227" s="55">
        <f t="shared" si="133"/>
        <v>45645</v>
      </c>
      <c r="T227" s="55"/>
      <c r="U227" s="56">
        <f t="shared" ca="1" si="106"/>
        <v>-195</v>
      </c>
      <c r="V227" s="55">
        <f t="shared" si="107"/>
        <v>45661</v>
      </c>
      <c r="W227" s="55"/>
      <c r="X227" s="56">
        <f t="shared" ca="1" si="108"/>
        <v>-179</v>
      </c>
      <c r="Y227" s="55"/>
      <c r="Z227" s="57"/>
      <c r="AA227" s="58" t="str">
        <f t="shared" si="109"/>
        <v>-</v>
      </c>
      <c r="AB227" s="59"/>
      <c r="AC227" s="58" t="str">
        <f t="shared" si="110"/>
        <v/>
      </c>
      <c r="AD227" s="59"/>
      <c r="AE227" s="58" t="str">
        <f t="shared" si="111"/>
        <v/>
      </c>
      <c r="AF227" s="59"/>
      <c r="AG227" s="58" t="str">
        <f t="shared" si="112"/>
        <v/>
      </c>
      <c r="AH227" s="59"/>
      <c r="AI227" s="58" t="str">
        <f t="shared" si="113"/>
        <v/>
      </c>
      <c r="AJ227" s="59"/>
      <c r="AK227" s="58" t="str">
        <f t="shared" si="114"/>
        <v/>
      </c>
      <c r="AL227" s="59"/>
      <c r="AM227" s="58" t="str">
        <f t="shared" si="115"/>
        <v/>
      </c>
      <c r="AN227" s="59"/>
      <c r="AO227" s="58" t="str">
        <f t="shared" si="116"/>
        <v/>
      </c>
      <c r="AP227" s="59"/>
      <c r="AQ227" s="58" t="str">
        <f t="shared" si="117"/>
        <v/>
      </c>
      <c r="AR227" s="59"/>
      <c r="AS227" s="58" t="str">
        <f t="shared" si="118"/>
        <v/>
      </c>
      <c r="AT227" s="59"/>
      <c r="AU227" s="58">
        <f t="shared" si="119"/>
        <v>192</v>
      </c>
      <c r="AV227" s="59"/>
      <c r="AW227" s="58" t="str">
        <f t="shared" si="120"/>
        <v/>
      </c>
      <c r="AX227" s="59"/>
      <c r="AY227" s="58" t="str">
        <f t="shared" si="121"/>
        <v/>
      </c>
      <c r="AZ227" s="59"/>
      <c r="BA227" s="58" t="str">
        <f t="shared" si="122"/>
        <v/>
      </c>
      <c r="BB227" s="59"/>
      <c r="BC227" s="58" t="str">
        <f t="shared" si="123"/>
        <v/>
      </c>
      <c r="BD227" s="59"/>
      <c r="BE227" s="58" t="str">
        <f t="shared" si="124"/>
        <v/>
      </c>
      <c r="BF227" s="59"/>
      <c r="BG227" s="58" t="str">
        <f t="shared" si="125"/>
        <v/>
      </c>
      <c r="BH227" s="59"/>
      <c r="BI227" s="58" t="str">
        <f t="shared" si="126"/>
        <v/>
      </c>
      <c r="BJ227" s="59"/>
      <c r="BK227" s="58" t="str">
        <f t="shared" si="127"/>
        <v/>
      </c>
      <c r="BL227" s="59"/>
      <c r="BM227" s="58" t="str">
        <f t="shared" si="128"/>
        <v/>
      </c>
      <c r="BN227" s="59"/>
      <c r="BO227" s="58" t="str">
        <f t="shared" si="129"/>
        <v/>
      </c>
      <c r="BP227" s="59"/>
      <c r="BQ227" s="58" t="str">
        <f t="shared" si="130"/>
        <v/>
      </c>
      <c r="BR227" s="59"/>
      <c r="BS227" s="58" t="str">
        <f t="shared" si="131"/>
        <v/>
      </c>
      <c r="BT227" s="59"/>
      <c r="BU227" s="58" t="str">
        <f t="shared" si="132"/>
        <v/>
      </c>
      <c r="BV227" s="59"/>
    </row>
    <row r="228" spans="1:74" ht="14.5">
      <c r="A228" s="51" t="s">
        <v>466</v>
      </c>
      <c r="B228" s="52">
        <v>367</v>
      </c>
      <c r="C228" s="52" t="s">
        <v>518</v>
      </c>
      <c r="D228" s="41">
        <f t="shared" si="102"/>
        <v>4</v>
      </c>
      <c r="E228" s="52" t="s">
        <v>196</v>
      </c>
      <c r="F228" s="52" t="s">
        <v>300</v>
      </c>
      <c r="G228" s="52" t="s">
        <v>528</v>
      </c>
      <c r="H228" s="52" t="s">
        <v>525</v>
      </c>
      <c r="I228" s="53">
        <v>45677</v>
      </c>
      <c r="J228" s="108">
        <v>192</v>
      </c>
      <c r="K228" s="101"/>
      <c r="L228" s="101"/>
      <c r="M228" s="101">
        <f t="shared" si="103"/>
        <v>192</v>
      </c>
      <c r="N228" s="54">
        <f t="shared" si="104"/>
        <v>192</v>
      </c>
      <c r="O228" s="101" t="s">
        <v>178</v>
      </c>
      <c r="P228" s="102">
        <f t="shared" si="105"/>
        <v>0.26666666666666666</v>
      </c>
      <c r="Q228" s="102">
        <v>6</v>
      </c>
      <c r="R228" s="99">
        <v>120</v>
      </c>
      <c r="S228" s="55">
        <f t="shared" si="133"/>
        <v>45645</v>
      </c>
      <c r="T228" s="55"/>
      <c r="U228" s="56">
        <f t="shared" ca="1" si="106"/>
        <v>-195</v>
      </c>
      <c r="V228" s="55">
        <f t="shared" si="107"/>
        <v>45661</v>
      </c>
      <c r="W228" s="55"/>
      <c r="X228" s="56">
        <f t="shared" ca="1" si="108"/>
        <v>-179</v>
      </c>
      <c r="Y228" s="55"/>
      <c r="Z228" s="57"/>
      <c r="AA228" s="58" t="str">
        <f t="shared" si="109"/>
        <v>-</v>
      </c>
      <c r="AB228" s="59"/>
      <c r="AC228" s="58" t="str">
        <f t="shared" si="110"/>
        <v/>
      </c>
      <c r="AD228" s="59"/>
      <c r="AE228" s="58" t="str">
        <f t="shared" si="111"/>
        <v/>
      </c>
      <c r="AF228" s="59"/>
      <c r="AG228" s="58" t="str">
        <f t="shared" si="112"/>
        <v/>
      </c>
      <c r="AH228" s="59"/>
      <c r="AI228" s="58" t="str">
        <f t="shared" si="113"/>
        <v/>
      </c>
      <c r="AJ228" s="59"/>
      <c r="AK228" s="58" t="str">
        <f t="shared" si="114"/>
        <v/>
      </c>
      <c r="AL228" s="59"/>
      <c r="AM228" s="58" t="str">
        <f t="shared" si="115"/>
        <v/>
      </c>
      <c r="AN228" s="59"/>
      <c r="AO228" s="58" t="str">
        <f t="shared" si="116"/>
        <v/>
      </c>
      <c r="AP228" s="59"/>
      <c r="AQ228" s="58" t="str">
        <f t="shared" si="117"/>
        <v/>
      </c>
      <c r="AR228" s="59"/>
      <c r="AS228" s="58" t="str">
        <f t="shared" si="118"/>
        <v/>
      </c>
      <c r="AT228" s="59"/>
      <c r="AU228" s="58">
        <f t="shared" si="119"/>
        <v>192</v>
      </c>
      <c r="AV228" s="59"/>
      <c r="AW228" s="58" t="str">
        <f t="shared" si="120"/>
        <v/>
      </c>
      <c r="AX228" s="59"/>
      <c r="AY228" s="58" t="str">
        <f t="shared" si="121"/>
        <v/>
      </c>
      <c r="AZ228" s="59"/>
      <c r="BA228" s="58" t="str">
        <f t="shared" si="122"/>
        <v/>
      </c>
      <c r="BB228" s="59"/>
      <c r="BC228" s="58" t="str">
        <f t="shared" si="123"/>
        <v/>
      </c>
      <c r="BD228" s="59"/>
      <c r="BE228" s="58" t="str">
        <f t="shared" si="124"/>
        <v/>
      </c>
      <c r="BF228" s="59"/>
      <c r="BG228" s="58" t="str">
        <f t="shared" si="125"/>
        <v/>
      </c>
      <c r="BH228" s="59"/>
      <c r="BI228" s="58" t="str">
        <f t="shared" si="126"/>
        <v/>
      </c>
      <c r="BJ228" s="59"/>
      <c r="BK228" s="58" t="str">
        <f t="shared" si="127"/>
        <v/>
      </c>
      <c r="BL228" s="59"/>
      <c r="BM228" s="58" t="str">
        <f t="shared" si="128"/>
        <v/>
      </c>
      <c r="BN228" s="59"/>
      <c r="BO228" s="58" t="str">
        <f t="shared" si="129"/>
        <v/>
      </c>
      <c r="BP228" s="59"/>
      <c r="BQ228" s="58" t="str">
        <f t="shared" si="130"/>
        <v/>
      </c>
      <c r="BR228" s="59"/>
      <c r="BS228" s="58" t="str">
        <f t="shared" si="131"/>
        <v/>
      </c>
      <c r="BT228" s="59"/>
      <c r="BU228" s="58" t="str">
        <f t="shared" si="132"/>
        <v/>
      </c>
      <c r="BV228" s="59"/>
    </row>
    <row r="229" spans="1:74" ht="14.5">
      <c r="A229" s="51" t="s">
        <v>466</v>
      </c>
      <c r="B229" s="52">
        <v>367</v>
      </c>
      <c r="C229" s="52" t="s">
        <v>518</v>
      </c>
      <c r="D229" s="41">
        <f t="shared" si="102"/>
        <v>4</v>
      </c>
      <c r="E229" s="52" t="s">
        <v>196</v>
      </c>
      <c r="F229" s="52" t="s">
        <v>300</v>
      </c>
      <c r="G229" s="52" t="s">
        <v>524</v>
      </c>
      <c r="H229" s="52" t="s">
        <v>458</v>
      </c>
      <c r="I229" s="53">
        <v>45677</v>
      </c>
      <c r="J229" s="108">
        <v>252</v>
      </c>
      <c r="K229" s="101"/>
      <c r="L229" s="101"/>
      <c r="M229" s="101">
        <f t="shared" si="103"/>
        <v>252</v>
      </c>
      <c r="N229" s="54">
        <f t="shared" si="104"/>
        <v>252</v>
      </c>
      <c r="O229" s="101" t="s">
        <v>178</v>
      </c>
      <c r="P229" s="102">
        <f t="shared" si="105"/>
        <v>0.35</v>
      </c>
      <c r="Q229" s="102">
        <v>6</v>
      </c>
      <c r="R229" s="99">
        <v>120</v>
      </c>
      <c r="S229" s="55">
        <f t="shared" si="133"/>
        <v>45645</v>
      </c>
      <c r="T229" s="55"/>
      <c r="U229" s="56">
        <f t="shared" ca="1" si="106"/>
        <v>-195</v>
      </c>
      <c r="V229" s="55">
        <f t="shared" si="107"/>
        <v>45661</v>
      </c>
      <c r="W229" s="55"/>
      <c r="X229" s="56">
        <f t="shared" ca="1" si="108"/>
        <v>-179</v>
      </c>
      <c r="Y229" s="55"/>
      <c r="Z229" s="57"/>
      <c r="AA229" s="58" t="str">
        <f t="shared" si="109"/>
        <v>-</v>
      </c>
      <c r="AB229" s="59"/>
      <c r="AC229" s="58" t="str">
        <f t="shared" si="110"/>
        <v/>
      </c>
      <c r="AD229" s="59"/>
      <c r="AE229" s="58" t="str">
        <f t="shared" si="111"/>
        <v/>
      </c>
      <c r="AF229" s="59"/>
      <c r="AG229" s="58" t="str">
        <f t="shared" si="112"/>
        <v/>
      </c>
      <c r="AH229" s="59"/>
      <c r="AI229" s="58" t="str">
        <f t="shared" si="113"/>
        <v/>
      </c>
      <c r="AJ229" s="59"/>
      <c r="AK229" s="58" t="str">
        <f t="shared" si="114"/>
        <v/>
      </c>
      <c r="AL229" s="59"/>
      <c r="AM229" s="58" t="str">
        <f t="shared" si="115"/>
        <v/>
      </c>
      <c r="AN229" s="59"/>
      <c r="AO229" s="58" t="str">
        <f t="shared" si="116"/>
        <v/>
      </c>
      <c r="AP229" s="59"/>
      <c r="AQ229" s="58" t="str">
        <f t="shared" si="117"/>
        <v/>
      </c>
      <c r="AR229" s="59"/>
      <c r="AS229" s="58" t="str">
        <f t="shared" si="118"/>
        <v/>
      </c>
      <c r="AT229" s="59"/>
      <c r="AU229" s="58">
        <f t="shared" si="119"/>
        <v>252</v>
      </c>
      <c r="AV229" s="59"/>
      <c r="AW229" s="58" t="str">
        <f t="shared" si="120"/>
        <v/>
      </c>
      <c r="AX229" s="59"/>
      <c r="AY229" s="58" t="str">
        <f t="shared" si="121"/>
        <v/>
      </c>
      <c r="AZ229" s="59"/>
      <c r="BA229" s="58" t="str">
        <f t="shared" si="122"/>
        <v/>
      </c>
      <c r="BB229" s="59"/>
      <c r="BC229" s="58" t="str">
        <f t="shared" si="123"/>
        <v/>
      </c>
      <c r="BD229" s="59"/>
      <c r="BE229" s="58" t="str">
        <f t="shared" si="124"/>
        <v/>
      </c>
      <c r="BF229" s="59"/>
      <c r="BG229" s="58" t="str">
        <f t="shared" si="125"/>
        <v/>
      </c>
      <c r="BH229" s="59"/>
      <c r="BI229" s="58" t="str">
        <f t="shared" si="126"/>
        <v/>
      </c>
      <c r="BJ229" s="59"/>
      <c r="BK229" s="58" t="str">
        <f t="shared" si="127"/>
        <v/>
      </c>
      <c r="BL229" s="59"/>
      <c r="BM229" s="58" t="str">
        <f t="shared" si="128"/>
        <v/>
      </c>
      <c r="BN229" s="59"/>
      <c r="BO229" s="58" t="str">
        <f t="shared" si="129"/>
        <v/>
      </c>
      <c r="BP229" s="59"/>
      <c r="BQ229" s="58" t="str">
        <f t="shared" si="130"/>
        <v/>
      </c>
      <c r="BR229" s="59"/>
      <c r="BS229" s="58" t="str">
        <f t="shared" si="131"/>
        <v/>
      </c>
      <c r="BT229" s="59"/>
      <c r="BU229" s="58" t="str">
        <f t="shared" si="132"/>
        <v/>
      </c>
      <c r="BV229" s="59"/>
    </row>
    <row r="230" spans="1:74" ht="14.5">
      <c r="A230" s="51" t="s">
        <v>466</v>
      </c>
      <c r="B230" s="52">
        <v>367</v>
      </c>
      <c r="C230" s="52" t="s">
        <v>518</v>
      </c>
      <c r="D230" s="41">
        <f t="shared" si="102"/>
        <v>4</v>
      </c>
      <c r="E230" s="52" t="s">
        <v>196</v>
      </c>
      <c r="F230" s="52" t="s">
        <v>300</v>
      </c>
      <c r="G230" s="52" t="s">
        <v>526</v>
      </c>
      <c r="H230" s="52" t="s">
        <v>458</v>
      </c>
      <c r="I230" s="53">
        <v>45677</v>
      </c>
      <c r="J230" s="108">
        <v>252</v>
      </c>
      <c r="K230" s="101"/>
      <c r="L230" s="101"/>
      <c r="M230" s="101">
        <f t="shared" si="103"/>
        <v>252</v>
      </c>
      <c r="N230" s="54">
        <f t="shared" si="104"/>
        <v>252</v>
      </c>
      <c r="O230" s="101" t="s">
        <v>178</v>
      </c>
      <c r="P230" s="102">
        <f t="shared" si="105"/>
        <v>0.35</v>
      </c>
      <c r="Q230" s="102">
        <v>6</v>
      </c>
      <c r="R230" s="99">
        <v>120</v>
      </c>
      <c r="S230" s="55">
        <f t="shared" si="133"/>
        <v>45645</v>
      </c>
      <c r="T230" s="55"/>
      <c r="U230" s="56">
        <f t="shared" ca="1" si="106"/>
        <v>-195</v>
      </c>
      <c r="V230" s="55">
        <f t="shared" si="107"/>
        <v>45661</v>
      </c>
      <c r="W230" s="55"/>
      <c r="X230" s="56">
        <f t="shared" ca="1" si="108"/>
        <v>-179</v>
      </c>
      <c r="Y230" s="55"/>
      <c r="Z230" s="57"/>
      <c r="AA230" s="58" t="str">
        <f t="shared" si="109"/>
        <v>-</v>
      </c>
      <c r="AB230" s="59"/>
      <c r="AC230" s="58" t="str">
        <f t="shared" si="110"/>
        <v/>
      </c>
      <c r="AD230" s="59"/>
      <c r="AE230" s="58" t="str">
        <f t="shared" si="111"/>
        <v/>
      </c>
      <c r="AF230" s="59"/>
      <c r="AG230" s="58" t="str">
        <f t="shared" si="112"/>
        <v/>
      </c>
      <c r="AH230" s="59"/>
      <c r="AI230" s="58" t="str">
        <f t="shared" si="113"/>
        <v/>
      </c>
      <c r="AJ230" s="59"/>
      <c r="AK230" s="58" t="str">
        <f t="shared" si="114"/>
        <v/>
      </c>
      <c r="AL230" s="59"/>
      <c r="AM230" s="58" t="str">
        <f t="shared" si="115"/>
        <v/>
      </c>
      <c r="AN230" s="59"/>
      <c r="AO230" s="58" t="str">
        <f t="shared" si="116"/>
        <v/>
      </c>
      <c r="AP230" s="59"/>
      <c r="AQ230" s="58" t="str">
        <f t="shared" si="117"/>
        <v/>
      </c>
      <c r="AR230" s="59"/>
      <c r="AS230" s="58" t="str">
        <f t="shared" si="118"/>
        <v/>
      </c>
      <c r="AT230" s="59"/>
      <c r="AU230" s="58">
        <f t="shared" si="119"/>
        <v>252</v>
      </c>
      <c r="AV230" s="59"/>
      <c r="AW230" s="58" t="str">
        <f t="shared" si="120"/>
        <v/>
      </c>
      <c r="AX230" s="59"/>
      <c r="AY230" s="58" t="str">
        <f t="shared" si="121"/>
        <v/>
      </c>
      <c r="AZ230" s="59"/>
      <c r="BA230" s="58" t="str">
        <f t="shared" si="122"/>
        <v/>
      </c>
      <c r="BB230" s="59"/>
      <c r="BC230" s="58" t="str">
        <f t="shared" si="123"/>
        <v/>
      </c>
      <c r="BD230" s="59"/>
      <c r="BE230" s="58" t="str">
        <f t="shared" si="124"/>
        <v/>
      </c>
      <c r="BF230" s="59"/>
      <c r="BG230" s="58" t="str">
        <f t="shared" si="125"/>
        <v/>
      </c>
      <c r="BH230" s="59"/>
      <c r="BI230" s="58" t="str">
        <f t="shared" si="126"/>
        <v/>
      </c>
      <c r="BJ230" s="59"/>
      <c r="BK230" s="58" t="str">
        <f t="shared" si="127"/>
        <v/>
      </c>
      <c r="BL230" s="59"/>
      <c r="BM230" s="58" t="str">
        <f t="shared" si="128"/>
        <v/>
      </c>
      <c r="BN230" s="59"/>
      <c r="BO230" s="58" t="str">
        <f t="shared" si="129"/>
        <v/>
      </c>
      <c r="BP230" s="59"/>
      <c r="BQ230" s="58" t="str">
        <f t="shared" si="130"/>
        <v/>
      </c>
      <c r="BR230" s="59"/>
      <c r="BS230" s="58" t="str">
        <f t="shared" si="131"/>
        <v/>
      </c>
      <c r="BT230" s="59"/>
      <c r="BU230" s="58" t="str">
        <f t="shared" si="132"/>
        <v/>
      </c>
      <c r="BV230" s="59"/>
    </row>
    <row r="231" spans="1:74" ht="14.5">
      <c r="A231" s="51" t="s">
        <v>466</v>
      </c>
      <c r="B231" s="52">
        <v>367</v>
      </c>
      <c r="C231" s="52" t="s">
        <v>518</v>
      </c>
      <c r="D231" s="41">
        <f t="shared" si="102"/>
        <v>4</v>
      </c>
      <c r="E231" s="52" t="s">
        <v>196</v>
      </c>
      <c r="F231" s="52" t="s">
        <v>300</v>
      </c>
      <c r="G231" s="52" t="s">
        <v>527</v>
      </c>
      <c r="H231" s="52" t="s">
        <v>458</v>
      </c>
      <c r="I231" s="53">
        <v>45677</v>
      </c>
      <c r="J231" s="108">
        <v>252</v>
      </c>
      <c r="K231" s="101"/>
      <c r="L231" s="101"/>
      <c r="M231" s="101">
        <f t="shared" si="103"/>
        <v>252</v>
      </c>
      <c r="N231" s="54">
        <f t="shared" si="104"/>
        <v>252</v>
      </c>
      <c r="O231" s="101" t="s">
        <v>178</v>
      </c>
      <c r="P231" s="102">
        <f t="shared" si="105"/>
        <v>0.35</v>
      </c>
      <c r="Q231" s="102">
        <v>6</v>
      </c>
      <c r="R231" s="99">
        <v>120</v>
      </c>
      <c r="S231" s="55">
        <f t="shared" si="133"/>
        <v>45645</v>
      </c>
      <c r="T231" s="55"/>
      <c r="U231" s="56">
        <f t="shared" ca="1" si="106"/>
        <v>-195</v>
      </c>
      <c r="V231" s="55">
        <f t="shared" si="107"/>
        <v>45661</v>
      </c>
      <c r="W231" s="55"/>
      <c r="X231" s="56">
        <f t="shared" ca="1" si="108"/>
        <v>-179</v>
      </c>
      <c r="Y231" s="55"/>
      <c r="Z231" s="57"/>
      <c r="AA231" s="58" t="str">
        <f t="shared" si="109"/>
        <v>-</v>
      </c>
      <c r="AB231" s="59"/>
      <c r="AC231" s="58" t="str">
        <f t="shared" si="110"/>
        <v/>
      </c>
      <c r="AD231" s="59"/>
      <c r="AE231" s="58" t="str">
        <f t="shared" si="111"/>
        <v/>
      </c>
      <c r="AF231" s="59"/>
      <c r="AG231" s="58" t="str">
        <f t="shared" si="112"/>
        <v/>
      </c>
      <c r="AH231" s="59"/>
      <c r="AI231" s="58" t="str">
        <f t="shared" si="113"/>
        <v/>
      </c>
      <c r="AJ231" s="59"/>
      <c r="AK231" s="58" t="str">
        <f t="shared" si="114"/>
        <v/>
      </c>
      <c r="AL231" s="59"/>
      <c r="AM231" s="58" t="str">
        <f t="shared" si="115"/>
        <v/>
      </c>
      <c r="AN231" s="59"/>
      <c r="AO231" s="58" t="str">
        <f t="shared" si="116"/>
        <v/>
      </c>
      <c r="AP231" s="59"/>
      <c r="AQ231" s="58" t="str">
        <f t="shared" si="117"/>
        <v/>
      </c>
      <c r="AR231" s="59"/>
      <c r="AS231" s="58" t="str">
        <f t="shared" si="118"/>
        <v/>
      </c>
      <c r="AT231" s="59"/>
      <c r="AU231" s="58">
        <f t="shared" si="119"/>
        <v>252</v>
      </c>
      <c r="AV231" s="59"/>
      <c r="AW231" s="58" t="str">
        <f t="shared" si="120"/>
        <v/>
      </c>
      <c r="AX231" s="59"/>
      <c r="AY231" s="58" t="str">
        <f t="shared" si="121"/>
        <v/>
      </c>
      <c r="AZ231" s="59"/>
      <c r="BA231" s="58" t="str">
        <f t="shared" si="122"/>
        <v/>
      </c>
      <c r="BB231" s="59"/>
      <c r="BC231" s="58" t="str">
        <f t="shared" si="123"/>
        <v/>
      </c>
      <c r="BD231" s="59"/>
      <c r="BE231" s="58" t="str">
        <f t="shared" si="124"/>
        <v/>
      </c>
      <c r="BF231" s="59"/>
      <c r="BG231" s="58" t="str">
        <f t="shared" si="125"/>
        <v/>
      </c>
      <c r="BH231" s="59"/>
      <c r="BI231" s="58" t="str">
        <f t="shared" si="126"/>
        <v/>
      </c>
      <c r="BJ231" s="59"/>
      <c r="BK231" s="58" t="str">
        <f t="shared" si="127"/>
        <v/>
      </c>
      <c r="BL231" s="59"/>
      <c r="BM231" s="58" t="str">
        <f t="shared" si="128"/>
        <v/>
      </c>
      <c r="BN231" s="59"/>
      <c r="BO231" s="58" t="str">
        <f t="shared" si="129"/>
        <v/>
      </c>
      <c r="BP231" s="59"/>
      <c r="BQ231" s="58" t="str">
        <f t="shared" si="130"/>
        <v/>
      </c>
      <c r="BR231" s="59"/>
      <c r="BS231" s="58" t="str">
        <f t="shared" si="131"/>
        <v/>
      </c>
      <c r="BT231" s="59"/>
      <c r="BU231" s="58" t="str">
        <f t="shared" si="132"/>
        <v/>
      </c>
      <c r="BV231" s="59"/>
    </row>
    <row r="232" spans="1:74" ht="14.5">
      <c r="A232" s="51" t="s">
        <v>466</v>
      </c>
      <c r="B232" s="52">
        <v>367</v>
      </c>
      <c r="C232" s="52" t="s">
        <v>518</v>
      </c>
      <c r="D232" s="41">
        <f t="shared" si="102"/>
        <v>4</v>
      </c>
      <c r="E232" s="52" t="s">
        <v>196</v>
      </c>
      <c r="F232" s="52" t="s">
        <v>300</v>
      </c>
      <c r="G232" s="52" t="s">
        <v>528</v>
      </c>
      <c r="H232" s="52" t="s">
        <v>458</v>
      </c>
      <c r="I232" s="53">
        <v>45677</v>
      </c>
      <c r="J232" s="108">
        <v>252</v>
      </c>
      <c r="K232" s="101"/>
      <c r="L232" s="101"/>
      <c r="M232" s="101">
        <f t="shared" si="103"/>
        <v>252</v>
      </c>
      <c r="N232" s="54">
        <f t="shared" si="104"/>
        <v>252</v>
      </c>
      <c r="O232" s="101" t="s">
        <v>178</v>
      </c>
      <c r="P232" s="102">
        <f t="shared" si="105"/>
        <v>0.35</v>
      </c>
      <c r="Q232" s="102">
        <v>6</v>
      </c>
      <c r="R232" s="99">
        <v>120</v>
      </c>
      <c r="S232" s="55">
        <f t="shared" si="133"/>
        <v>45645</v>
      </c>
      <c r="T232" s="55"/>
      <c r="U232" s="56">
        <f t="shared" ca="1" si="106"/>
        <v>-195</v>
      </c>
      <c r="V232" s="55">
        <f t="shared" si="107"/>
        <v>45661</v>
      </c>
      <c r="W232" s="55"/>
      <c r="X232" s="56">
        <f t="shared" ca="1" si="108"/>
        <v>-179</v>
      </c>
      <c r="Y232" s="55"/>
      <c r="Z232" s="57"/>
      <c r="AA232" s="58" t="str">
        <f t="shared" si="109"/>
        <v>-</v>
      </c>
      <c r="AB232" s="59"/>
      <c r="AC232" s="58" t="str">
        <f t="shared" si="110"/>
        <v/>
      </c>
      <c r="AD232" s="59"/>
      <c r="AE232" s="58" t="str">
        <f t="shared" si="111"/>
        <v/>
      </c>
      <c r="AF232" s="59"/>
      <c r="AG232" s="58" t="str">
        <f t="shared" si="112"/>
        <v/>
      </c>
      <c r="AH232" s="59"/>
      <c r="AI232" s="58" t="str">
        <f t="shared" si="113"/>
        <v/>
      </c>
      <c r="AJ232" s="59"/>
      <c r="AK232" s="58" t="str">
        <f t="shared" si="114"/>
        <v/>
      </c>
      <c r="AL232" s="59"/>
      <c r="AM232" s="58" t="str">
        <f t="shared" si="115"/>
        <v/>
      </c>
      <c r="AN232" s="59"/>
      <c r="AO232" s="58" t="str">
        <f t="shared" si="116"/>
        <v/>
      </c>
      <c r="AP232" s="59"/>
      <c r="AQ232" s="58" t="str">
        <f t="shared" si="117"/>
        <v/>
      </c>
      <c r="AR232" s="59"/>
      <c r="AS232" s="58" t="str">
        <f t="shared" si="118"/>
        <v/>
      </c>
      <c r="AT232" s="59"/>
      <c r="AU232" s="58">
        <f t="shared" si="119"/>
        <v>252</v>
      </c>
      <c r="AV232" s="59"/>
      <c r="AW232" s="58" t="str">
        <f t="shared" si="120"/>
        <v/>
      </c>
      <c r="AX232" s="59"/>
      <c r="AY232" s="58" t="str">
        <f t="shared" si="121"/>
        <v/>
      </c>
      <c r="AZ232" s="59"/>
      <c r="BA232" s="58" t="str">
        <f t="shared" si="122"/>
        <v/>
      </c>
      <c r="BB232" s="59"/>
      <c r="BC232" s="58" t="str">
        <f t="shared" si="123"/>
        <v/>
      </c>
      <c r="BD232" s="59"/>
      <c r="BE232" s="58" t="str">
        <f t="shared" si="124"/>
        <v/>
      </c>
      <c r="BF232" s="59"/>
      <c r="BG232" s="58" t="str">
        <f t="shared" si="125"/>
        <v/>
      </c>
      <c r="BH232" s="59"/>
      <c r="BI232" s="58" t="str">
        <f t="shared" si="126"/>
        <v/>
      </c>
      <c r="BJ232" s="59"/>
      <c r="BK232" s="58" t="str">
        <f t="shared" si="127"/>
        <v/>
      </c>
      <c r="BL232" s="59"/>
      <c r="BM232" s="58" t="str">
        <f t="shared" si="128"/>
        <v/>
      </c>
      <c r="BN232" s="59"/>
      <c r="BO232" s="58" t="str">
        <f t="shared" si="129"/>
        <v/>
      </c>
      <c r="BP232" s="59"/>
      <c r="BQ232" s="58" t="str">
        <f t="shared" si="130"/>
        <v/>
      </c>
      <c r="BR232" s="59"/>
      <c r="BS232" s="58" t="str">
        <f t="shared" si="131"/>
        <v/>
      </c>
      <c r="BT232" s="59"/>
      <c r="BU232" s="58" t="str">
        <f t="shared" si="132"/>
        <v/>
      </c>
      <c r="BV232" s="59"/>
    </row>
    <row r="233" spans="1:74" ht="14.5">
      <c r="A233" s="51" t="s">
        <v>466</v>
      </c>
      <c r="B233" s="52">
        <v>367</v>
      </c>
      <c r="C233" s="52" t="s">
        <v>518</v>
      </c>
      <c r="D233" s="41">
        <f t="shared" si="102"/>
        <v>4</v>
      </c>
      <c r="E233" s="52" t="s">
        <v>196</v>
      </c>
      <c r="F233" s="52" t="s">
        <v>300</v>
      </c>
      <c r="G233" s="52" t="s">
        <v>524</v>
      </c>
      <c r="H233" s="52" t="s">
        <v>529</v>
      </c>
      <c r="I233" s="53">
        <v>45677</v>
      </c>
      <c r="J233" s="108">
        <v>192</v>
      </c>
      <c r="K233" s="101"/>
      <c r="L233" s="101"/>
      <c r="M233" s="101">
        <f t="shared" si="103"/>
        <v>192</v>
      </c>
      <c r="N233" s="54">
        <f t="shared" si="104"/>
        <v>192</v>
      </c>
      <c r="O233" s="101" t="s">
        <v>178</v>
      </c>
      <c r="P233" s="102">
        <f t="shared" si="105"/>
        <v>0.26666666666666666</v>
      </c>
      <c r="Q233" s="102">
        <v>6</v>
      </c>
      <c r="R233" s="99">
        <v>120</v>
      </c>
      <c r="S233" s="55">
        <f t="shared" si="133"/>
        <v>45645</v>
      </c>
      <c r="T233" s="55"/>
      <c r="U233" s="56">
        <f t="shared" ca="1" si="106"/>
        <v>-195</v>
      </c>
      <c r="V233" s="55">
        <f t="shared" si="107"/>
        <v>45661</v>
      </c>
      <c r="W233" s="55"/>
      <c r="X233" s="56">
        <f t="shared" ca="1" si="108"/>
        <v>-179</v>
      </c>
      <c r="Y233" s="55"/>
      <c r="Z233" s="57"/>
      <c r="AA233" s="58" t="str">
        <f t="shared" si="109"/>
        <v>-</v>
      </c>
      <c r="AB233" s="59"/>
      <c r="AC233" s="58" t="str">
        <f t="shared" si="110"/>
        <v/>
      </c>
      <c r="AD233" s="59"/>
      <c r="AE233" s="58" t="str">
        <f t="shared" si="111"/>
        <v/>
      </c>
      <c r="AF233" s="59"/>
      <c r="AG233" s="58" t="str">
        <f t="shared" si="112"/>
        <v/>
      </c>
      <c r="AH233" s="59"/>
      <c r="AI233" s="58" t="str">
        <f t="shared" si="113"/>
        <v/>
      </c>
      <c r="AJ233" s="59"/>
      <c r="AK233" s="58" t="str">
        <f t="shared" si="114"/>
        <v/>
      </c>
      <c r="AL233" s="59"/>
      <c r="AM233" s="58" t="str">
        <f t="shared" si="115"/>
        <v/>
      </c>
      <c r="AN233" s="59"/>
      <c r="AO233" s="58" t="str">
        <f t="shared" si="116"/>
        <v/>
      </c>
      <c r="AP233" s="59"/>
      <c r="AQ233" s="58" t="str">
        <f t="shared" si="117"/>
        <v/>
      </c>
      <c r="AR233" s="59"/>
      <c r="AS233" s="58" t="str">
        <f t="shared" si="118"/>
        <v/>
      </c>
      <c r="AT233" s="59"/>
      <c r="AU233" s="58">
        <f t="shared" si="119"/>
        <v>192</v>
      </c>
      <c r="AV233" s="59"/>
      <c r="AW233" s="58" t="str">
        <f t="shared" si="120"/>
        <v/>
      </c>
      <c r="AX233" s="59"/>
      <c r="AY233" s="58" t="str">
        <f t="shared" si="121"/>
        <v/>
      </c>
      <c r="AZ233" s="59"/>
      <c r="BA233" s="58" t="str">
        <f t="shared" si="122"/>
        <v/>
      </c>
      <c r="BB233" s="59"/>
      <c r="BC233" s="58" t="str">
        <f t="shared" si="123"/>
        <v/>
      </c>
      <c r="BD233" s="59"/>
      <c r="BE233" s="58" t="str">
        <f t="shared" si="124"/>
        <v/>
      </c>
      <c r="BF233" s="59"/>
      <c r="BG233" s="58" t="str">
        <f t="shared" si="125"/>
        <v/>
      </c>
      <c r="BH233" s="59"/>
      <c r="BI233" s="58" t="str">
        <f t="shared" si="126"/>
        <v/>
      </c>
      <c r="BJ233" s="59"/>
      <c r="BK233" s="58" t="str">
        <f t="shared" si="127"/>
        <v/>
      </c>
      <c r="BL233" s="59"/>
      <c r="BM233" s="58" t="str">
        <f t="shared" si="128"/>
        <v/>
      </c>
      <c r="BN233" s="59"/>
      <c r="BO233" s="58" t="str">
        <f t="shared" si="129"/>
        <v/>
      </c>
      <c r="BP233" s="59"/>
      <c r="BQ233" s="58" t="str">
        <f t="shared" si="130"/>
        <v/>
      </c>
      <c r="BR233" s="59"/>
      <c r="BS233" s="58" t="str">
        <f t="shared" si="131"/>
        <v/>
      </c>
      <c r="BT233" s="59"/>
      <c r="BU233" s="58" t="str">
        <f t="shared" si="132"/>
        <v/>
      </c>
      <c r="BV233" s="59"/>
    </row>
    <row r="234" spans="1:74" ht="14.5">
      <c r="A234" s="51" t="s">
        <v>466</v>
      </c>
      <c r="B234" s="52">
        <v>367</v>
      </c>
      <c r="C234" s="52" t="s">
        <v>518</v>
      </c>
      <c r="D234" s="41">
        <f t="shared" si="102"/>
        <v>4</v>
      </c>
      <c r="E234" s="52" t="s">
        <v>196</v>
      </c>
      <c r="F234" s="52" t="s">
        <v>300</v>
      </c>
      <c r="G234" s="52" t="s">
        <v>526</v>
      </c>
      <c r="H234" s="52" t="s">
        <v>529</v>
      </c>
      <c r="I234" s="53">
        <v>45677</v>
      </c>
      <c r="J234" s="108">
        <v>192</v>
      </c>
      <c r="K234" s="101"/>
      <c r="L234" s="101"/>
      <c r="M234" s="101">
        <f t="shared" si="103"/>
        <v>192</v>
      </c>
      <c r="N234" s="54">
        <f t="shared" si="104"/>
        <v>192</v>
      </c>
      <c r="O234" s="101" t="s">
        <v>178</v>
      </c>
      <c r="P234" s="102">
        <f t="shared" si="105"/>
        <v>0.26666666666666666</v>
      </c>
      <c r="Q234" s="102">
        <v>6</v>
      </c>
      <c r="R234" s="99">
        <v>120</v>
      </c>
      <c r="S234" s="55">
        <f t="shared" si="133"/>
        <v>45645</v>
      </c>
      <c r="T234" s="55"/>
      <c r="U234" s="56">
        <f t="shared" ca="1" si="106"/>
        <v>-195</v>
      </c>
      <c r="V234" s="55">
        <f t="shared" si="107"/>
        <v>45661</v>
      </c>
      <c r="W234" s="55"/>
      <c r="X234" s="56">
        <f t="shared" ca="1" si="108"/>
        <v>-179</v>
      </c>
      <c r="Y234" s="55"/>
      <c r="Z234" s="57"/>
      <c r="AA234" s="58" t="str">
        <f t="shared" si="109"/>
        <v>-</v>
      </c>
      <c r="AB234" s="59"/>
      <c r="AC234" s="58" t="str">
        <f t="shared" si="110"/>
        <v/>
      </c>
      <c r="AD234" s="59"/>
      <c r="AE234" s="58" t="str">
        <f t="shared" si="111"/>
        <v/>
      </c>
      <c r="AF234" s="59"/>
      <c r="AG234" s="58" t="str">
        <f t="shared" si="112"/>
        <v/>
      </c>
      <c r="AH234" s="59"/>
      <c r="AI234" s="58" t="str">
        <f t="shared" si="113"/>
        <v/>
      </c>
      <c r="AJ234" s="59"/>
      <c r="AK234" s="58" t="str">
        <f t="shared" si="114"/>
        <v/>
      </c>
      <c r="AL234" s="59"/>
      <c r="AM234" s="58" t="str">
        <f t="shared" si="115"/>
        <v/>
      </c>
      <c r="AN234" s="59"/>
      <c r="AO234" s="58" t="str">
        <f t="shared" si="116"/>
        <v/>
      </c>
      <c r="AP234" s="59"/>
      <c r="AQ234" s="58" t="str">
        <f t="shared" si="117"/>
        <v/>
      </c>
      <c r="AR234" s="59"/>
      <c r="AS234" s="58" t="str">
        <f t="shared" si="118"/>
        <v/>
      </c>
      <c r="AT234" s="59"/>
      <c r="AU234" s="58">
        <f t="shared" si="119"/>
        <v>192</v>
      </c>
      <c r="AV234" s="59"/>
      <c r="AW234" s="58" t="str">
        <f t="shared" si="120"/>
        <v/>
      </c>
      <c r="AX234" s="59"/>
      <c r="AY234" s="58" t="str">
        <f t="shared" si="121"/>
        <v/>
      </c>
      <c r="AZ234" s="59"/>
      <c r="BA234" s="58" t="str">
        <f t="shared" si="122"/>
        <v/>
      </c>
      <c r="BB234" s="59"/>
      <c r="BC234" s="58" t="str">
        <f t="shared" si="123"/>
        <v/>
      </c>
      <c r="BD234" s="59"/>
      <c r="BE234" s="58" t="str">
        <f t="shared" si="124"/>
        <v/>
      </c>
      <c r="BF234" s="59"/>
      <c r="BG234" s="58" t="str">
        <f t="shared" si="125"/>
        <v/>
      </c>
      <c r="BH234" s="59"/>
      <c r="BI234" s="58" t="str">
        <f t="shared" si="126"/>
        <v/>
      </c>
      <c r="BJ234" s="59"/>
      <c r="BK234" s="58" t="str">
        <f t="shared" si="127"/>
        <v/>
      </c>
      <c r="BL234" s="59"/>
      <c r="BM234" s="58" t="str">
        <f t="shared" si="128"/>
        <v/>
      </c>
      <c r="BN234" s="59"/>
      <c r="BO234" s="58" t="str">
        <f t="shared" si="129"/>
        <v/>
      </c>
      <c r="BP234" s="59"/>
      <c r="BQ234" s="58" t="str">
        <f t="shared" si="130"/>
        <v/>
      </c>
      <c r="BR234" s="59"/>
      <c r="BS234" s="58" t="str">
        <f t="shared" si="131"/>
        <v/>
      </c>
      <c r="BT234" s="59"/>
      <c r="BU234" s="58" t="str">
        <f t="shared" si="132"/>
        <v/>
      </c>
      <c r="BV234" s="59"/>
    </row>
    <row r="235" spans="1:74" ht="14.5">
      <c r="A235" s="51" t="s">
        <v>466</v>
      </c>
      <c r="B235" s="52">
        <v>367</v>
      </c>
      <c r="C235" s="52" t="s">
        <v>518</v>
      </c>
      <c r="D235" s="41">
        <f t="shared" si="102"/>
        <v>4</v>
      </c>
      <c r="E235" s="52" t="s">
        <v>196</v>
      </c>
      <c r="F235" s="52" t="s">
        <v>300</v>
      </c>
      <c r="G235" s="52" t="s">
        <v>527</v>
      </c>
      <c r="H235" s="52" t="s">
        <v>529</v>
      </c>
      <c r="I235" s="53">
        <v>45677</v>
      </c>
      <c r="J235" s="108">
        <v>192</v>
      </c>
      <c r="K235" s="101"/>
      <c r="L235" s="101"/>
      <c r="M235" s="101">
        <f t="shared" si="103"/>
        <v>192</v>
      </c>
      <c r="N235" s="54">
        <f t="shared" si="104"/>
        <v>192</v>
      </c>
      <c r="O235" s="101" t="s">
        <v>178</v>
      </c>
      <c r="P235" s="102">
        <f t="shared" si="105"/>
        <v>0.26666666666666666</v>
      </c>
      <c r="Q235" s="102">
        <v>6</v>
      </c>
      <c r="R235" s="99">
        <v>120</v>
      </c>
      <c r="S235" s="55">
        <f t="shared" si="133"/>
        <v>45645</v>
      </c>
      <c r="T235" s="55"/>
      <c r="U235" s="56">
        <f t="shared" ca="1" si="106"/>
        <v>-195</v>
      </c>
      <c r="V235" s="55">
        <f t="shared" si="107"/>
        <v>45661</v>
      </c>
      <c r="W235" s="55"/>
      <c r="X235" s="56">
        <f t="shared" ca="1" si="108"/>
        <v>-179</v>
      </c>
      <c r="Y235" s="55"/>
      <c r="Z235" s="57"/>
      <c r="AA235" s="58" t="str">
        <f t="shared" si="109"/>
        <v>-</v>
      </c>
      <c r="AB235" s="59"/>
      <c r="AC235" s="58" t="str">
        <f t="shared" si="110"/>
        <v/>
      </c>
      <c r="AD235" s="59"/>
      <c r="AE235" s="58" t="str">
        <f t="shared" si="111"/>
        <v/>
      </c>
      <c r="AF235" s="59"/>
      <c r="AG235" s="58" t="str">
        <f t="shared" si="112"/>
        <v/>
      </c>
      <c r="AH235" s="59"/>
      <c r="AI235" s="58" t="str">
        <f t="shared" si="113"/>
        <v/>
      </c>
      <c r="AJ235" s="59"/>
      <c r="AK235" s="58" t="str">
        <f t="shared" si="114"/>
        <v/>
      </c>
      <c r="AL235" s="59"/>
      <c r="AM235" s="58" t="str">
        <f t="shared" si="115"/>
        <v/>
      </c>
      <c r="AN235" s="59"/>
      <c r="AO235" s="58" t="str">
        <f t="shared" si="116"/>
        <v/>
      </c>
      <c r="AP235" s="59"/>
      <c r="AQ235" s="58" t="str">
        <f t="shared" si="117"/>
        <v/>
      </c>
      <c r="AR235" s="59"/>
      <c r="AS235" s="58" t="str">
        <f t="shared" si="118"/>
        <v/>
      </c>
      <c r="AT235" s="59"/>
      <c r="AU235" s="58">
        <f t="shared" si="119"/>
        <v>192</v>
      </c>
      <c r="AV235" s="59"/>
      <c r="AW235" s="58" t="str">
        <f t="shared" si="120"/>
        <v/>
      </c>
      <c r="AX235" s="59"/>
      <c r="AY235" s="58" t="str">
        <f t="shared" si="121"/>
        <v/>
      </c>
      <c r="AZ235" s="59"/>
      <c r="BA235" s="58" t="str">
        <f t="shared" si="122"/>
        <v/>
      </c>
      <c r="BB235" s="59"/>
      <c r="BC235" s="58" t="str">
        <f t="shared" si="123"/>
        <v/>
      </c>
      <c r="BD235" s="59"/>
      <c r="BE235" s="58" t="str">
        <f t="shared" si="124"/>
        <v/>
      </c>
      <c r="BF235" s="59"/>
      <c r="BG235" s="58" t="str">
        <f t="shared" si="125"/>
        <v/>
      </c>
      <c r="BH235" s="59"/>
      <c r="BI235" s="58" t="str">
        <f t="shared" si="126"/>
        <v/>
      </c>
      <c r="BJ235" s="59"/>
      <c r="BK235" s="58" t="str">
        <f t="shared" si="127"/>
        <v/>
      </c>
      <c r="BL235" s="59"/>
      <c r="BM235" s="58" t="str">
        <f t="shared" si="128"/>
        <v/>
      </c>
      <c r="BN235" s="59"/>
      <c r="BO235" s="58" t="str">
        <f t="shared" si="129"/>
        <v/>
      </c>
      <c r="BP235" s="59"/>
      <c r="BQ235" s="58" t="str">
        <f t="shared" si="130"/>
        <v/>
      </c>
      <c r="BR235" s="59"/>
      <c r="BS235" s="58" t="str">
        <f t="shared" si="131"/>
        <v/>
      </c>
      <c r="BT235" s="59"/>
      <c r="BU235" s="58" t="str">
        <f t="shared" si="132"/>
        <v/>
      </c>
      <c r="BV235" s="59"/>
    </row>
    <row r="236" spans="1:74" ht="14.5">
      <c r="A236" s="51" t="s">
        <v>466</v>
      </c>
      <c r="B236" s="52">
        <v>367</v>
      </c>
      <c r="C236" s="52" t="s">
        <v>518</v>
      </c>
      <c r="D236" s="41">
        <f t="shared" si="102"/>
        <v>4</v>
      </c>
      <c r="E236" s="52" t="s">
        <v>196</v>
      </c>
      <c r="F236" s="52" t="s">
        <v>300</v>
      </c>
      <c r="G236" s="52" t="s">
        <v>528</v>
      </c>
      <c r="H236" s="52" t="s">
        <v>529</v>
      </c>
      <c r="I236" s="53">
        <v>45677</v>
      </c>
      <c r="J236" s="108">
        <v>192</v>
      </c>
      <c r="K236" s="101"/>
      <c r="L236" s="101"/>
      <c r="M236" s="101">
        <f t="shared" si="103"/>
        <v>192</v>
      </c>
      <c r="N236" s="54">
        <f t="shared" si="104"/>
        <v>192</v>
      </c>
      <c r="O236" s="101" t="s">
        <v>178</v>
      </c>
      <c r="P236" s="102">
        <f t="shared" si="105"/>
        <v>0.26666666666666666</v>
      </c>
      <c r="Q236" s="102">
        <v>6</v>
      </c>
      <c r="R236" s="99">
        <v>120</v>
      </c>
      <c r="S236" s="55">
        <f t="shared" si="133"/>
        <v>45645</v>
      </c>
      <c r="T236" s="55"/>
      <c r="U236" s="56">
        <f t="shared" ca="1" si="106"/>
        <v>-195</v>
      </c>
      <c r="V236" s="55">
        <f t="shared" si="107"/>
        <v>45661</v>
      </c>
      <c r="W236" s="55"/>
      <c r="X236" s="56">
        <f t="shared" ca="1" si="108"/>
        <v>-179</v>
      </c>
      <c r="Y236" s="55"/>
      <c r="Z236" s="57"/>
      <c r="AA236" s="58" t="str">
        <f t="shared" si="109"/>
        <v>-</v>
      </c>
      <c r="AB236" s="59"/>
      <c r="AC236" s="58" t="str">
        <f t="shared" si="110"/>
        <v/>
      </c>
      <c r="AD236" s="59"/>
      <c r="AE236" s="58" t="str">
        <f t="shared" si="111"/>
        <v/>
      </c>
      <c r="AF236" s="59"/>
      <c r="AG236" s="58" t="str">
        <f t="shared" si="112"/>
        <v/>
      </c>
      <c r="AH236" s="59"/>
      <c r="AI236" s="58" t="str">
        <f t="shared" si="113"/>
        <v/>
      </c>
      <c r="AJ236" s="59"/>
      <c r="AK236" s="58" t="str">
        <f t="shared" si="114"/>
        <v/>
      </c>
      <c r="AL236" s="59"/>
      <c r="AM236" s="58" t="str">
        <f t="shared" si="115"/>
        <v/>
      </c>
      <c r="AN236" s="59"/>
      <c r="AO236" s="58" t="str">
        <f t="shared" si="116"/>
        <v/>
      </c>
      <c r="AP236" s="59"/>
      <c r="AQ236" s="58" t="str">
        <f t="shared" si="117"/>
        <v/>
      </c>
      <c r="AR236" s="59"/>
      <c r="AS236" s="58" t="str">
        <f t="shared" si="118"/>
        <v/>
      </c>
      <c r="AT236" s="59"/>
      <c r="AU236" s="58">
        <f t="shared" si="119"/>
        <v>192</v>
      </c>
      <c r="AV236" s="59"/>
      <c r="AW236" s="58" t="str">
        <f t="shared" si="120"/>
        <v/>
      </c>
      <c r="AX236" s="59"/>
      <c r="AY236" s="58" t="str">
        <f t="shared" si="121"/>
        <v/>
      </c>
      <c r="AZ236" s="59"/>
      <c r="BA236" s="58" t="str">
        <f t="shared" si="122"/>
        <v/>
      </c>
      <c r="BB236" s="59"/>
      <c r="BC236" s="58" t="str">
        <f t="shared" si="123"/>
        <v/>
      </c>
      <c r="BD236" s="59"/>
      <c r="BE236" s="58" t="str">
        <f t="shared" si="124"/>
        <v/>
      </c>
      <c r="BF236" s="59"/>
      <c r="BG236" s="58" t="str">
        <f t="shared" si="125"/>
        <v/>
      </c>
      <c r="BH236" s="59"/>
      <c r="BI236" s="58" t="str">
        <f t="shared" si="126"/>
        <v/>
      </c>
      <c r="BJ236" s="59"/>
      <c r="BK236" s="58" t="str">
        <f t="shared" si="127"/>
        <v/>
      </c>
      <c r="BL236" s="59"/>
      <c r="BM236" s="58" t="str">
        <f t="shared" si="128"/>
        <v/>
      </c>
      <c r="BN236" s="59"/>
      <c r="BO236" s="58" t="str">
        <f t="shared" si="129"/>
        <v/>
      </c>
      <c r="BP236" s="59"/>
      <c r="BQ236" s="58" t="str">
        <f t="shared" si="130"/>
        <v/>
      </c>
      <c r="BR236" s="59"/>
      <c r="BS236" s="58" t="str">
        <f t="shared" si="131"/>
        <v/>
      </c>
      <c r="BT236" s="59"/>
      <c r="BU236" s="58" t="str">
        <f t="shared" si="132"/>
        <v/>
      </c>
      <c r="BV236" s="59"/>
    </row>
    <row r="237" spans="1:74" ht="14.5">
      <c r="A237" s="51" t="s">
        <v>466</v>
      </c>
      <c r="B237" s="52">
        <v>367</v>
      </c>
      <c r="C237" s="52" t="s">
        <v>518</v>
      </c>
      <c r="D237" s="41">
        <f t="shared" si="102"/>
        <v>4</v>
      </c>
      <c r="E237" s="52" t="s">
        <v>196</v>
      </c>
      <c r="F237" s="52" t="s">
        <v>530</v>
      </c>
      <c r="G237" s="52" t="s">
        <v>524</v>
      </c>
      <c r="H237" s="52" t="s">
        <v>531</v>
      </c>
      <c r="I237" s="53">
        <v>45677</v>
      </c>
      <c r="J237" s="108">
        <v>264</v>
      </c>
      <c r="K237" s="101"/>
      <c r="L237" s="101"/>
      <c r="M237" s="101">
        <f t="shared" si="103"/>
        <v>264</v>
      </c>
      <c r="N237" s="54">
        <f t="shared" si="104"/>
        <v>264</v>
      </c>
      <c r="O237" s="101" t="s">
        <v>178</v>
      </c>
      <c r="P237" s="102">
        <f t="shared" si="105"/>
        <v>0.55000000000000004</v>
      </c>
      <c r="Q237" s="102">
        <v>6</v>
      </c>
      <c r="R237" s="99">
        <v>80</v>
      </c>
      <c r="S237" s="55">
        <f t="shared" si="133"/>
        <v>45645</v>
      </c>
      <c r="T237" s="55"/>
      <c r="U237" s="56">
        <f t="shared" ca="1" si="106"/>
        <v>-195</v>
      </c>
      <c r="V237" s="55">
        <f t="shared" si="107"/>
        <v>45661</v>
      </c>
      <c r="W237" s="55"/>
      <c r="X237" s="56">
        <f t="shared" ca="1" si="108"/>
        <v>-179</v>
      </c>
      <c r="Y237" s="55"/>
      <c r="Z237" s="57"/>
      <c r="AA237" s="58" t="str">
        <f t="shared" si="109"/>
        <v>-</v>
      </c>
      <c r="AB237" s="59"/>
      <c r="AC237" s="58" t="str">
        <f t="shared" si="110"/>
        <v/>
      </c>
      <c r="AD237" s="59"/>
      <c r="AE237" s="58" t="str">
        <f t="shared" si="111"/>
        <v/>
      </c>
      <c r="AF237" s="59"/>
      <c r="AG237" s="58" t="str">
        <f t="shared" si="112"/>
        <v/>
      </c>
      <c r="AH237" s="59"/>
      <c r="AI237" s="58" t="str">
        <f t="shared" si="113"/>
        <v/>
      </c>
      <c r="AJ237" s="59"/>
      <c r="AK237" s="58" t="str">
        <f t="shared" si="114"/>
        <v/>
      </c>
      <c r="AL237" s="59"/>
      <c r="AM237" s="58" t="str">
        <f t="shared" si="115"/>
        <v/>
      </c>
      <c r="AN237" s="59"/>
      <c r="AO237" s="58" t="str">
        <f t="shared" si="116"/>
        <v/>
      </c>
      <c r="AP237" s="59"/>
      <c r="AQ237" s="58" t="str">
        <f t="shared" si="117"/>
        <v/>
      </c>
      <c r="AR237" s="59"/>
      <c r="AS237" s="58" t="str">
        <f t="shared" si="118"/>
        <v/>
      </c>
      <c r="AT237" s="59"/>
      <c r="AU237" s="58">
        <f t="shared" si="119"/>
        <v>264</v>
      </c>
      <c r="AV237" s="59"/>
      <c r="AW237" s="58" t="str">
        <f t="shared" si="120"/>
        <v/>
      </c>
      <c r="AX237" s="59"/>
      <c r="AY237" s="58" t="str">
        <f t="shared" si="121"/>
        <v/>
      </c>
      <c r="AZ237" s="59"/>
      <c r="BA237" s="58" t="str">
        <f t="shared" si="122"/>
        <v/>
      </c>
      <c r="BB237" s="59"/>
      <c r="BC237" s="58" t="str">
        <f t="shared" si="123"/>
        <v/>
      </c>
      <c r="BD237" s="59"/>
      <c r="BE237" s="58" t="str">
        <f t="shared" si="124"/>
        <v/>
      </c>
      <c r="BF237" s="59"/>
      <c r="BG237" s="58" t="str">
        <f t="shared" si="125"/>
        <v/>
      </c>
      <c r="BH237" s="59"/>
      <c r="BI237" s="58" t="str">
        <f t="shared" si="126"/>
        <v/>
      </c>
      <c r="BJ237" s="59"/>
      <c r="BK237" s="58" t="str">
        <f t="shared" si="127"/>
        <v/>
      </c>
      <c r="BL237" s="59"/>
      <c r="BM237" s="58" t="str">
        <f t="shared" si="128"/>
        <v/>
      </c>
      <c r="BN237" s="59"/>
      <c r="BO237" s="58" t="str">
        <f t="shared" si="129"/>
        <v/>
      </c>
      <c r="BP237" s="59"/>
      <c r="BQ237" s="58" t="str">
        <f t="shared" si="130"/>
        <v/>
      </c>
      <c r="BR237" s="59"/>
      <c r="BS237" s="58" t="str">
        <f t="shared" si="131"/>
        <v/>
      </c>
      <c r="BT237" s="59"/>
      <c r="BU237" s="58" t="str">
        <f t="shared" si="132"/>
        <v/>
      </c>
      <c r="BV237" s="59"/>
    </row>
    <row r="238" spans="1:74" ht="14.5">
      <c r="A238" s="51" t="s">
        <v>466</v>
      </c>
      <c r="B238" s="52">
        <v>367</v>
      </c>
      <c r="C238" s="52" t="s">
        <v>518</v>
      </c>
      <c r="D238" s="41">
        <f t="shared" si="102"/>
        <v>4</v>
      </c>
      <c r="E238" s="52" t="s">
        <v>196</v>
      </c>
      <c r="F238" s="52" t="s">
        <v>530</v>
      </c>
      <c r="G238" s="52" t="s">
        <v>526</v>
      </c>
      <c r="H238" s="52" t="s">
        <v>531</v>
      </c>
      <c r="I238" s="53">
        <v>45677</v>
      </c>
      <c r="J238" s="108">
        <v>264</v>
      </c>
      <c r="K238" s="101"/>
      <c r="L238" s="101"/>
      <c r="M238" s="101">
        <f t="shared" si="103"/>
        <v>264</v>
      </c>
      <c r="N238" s="54">
        <f t="shared" si="104"/>
        <v>264</v>
      </c>
      <c r="O238" s="101" t="s">
        <v>178</v>
      </c>
      <c r="P238" s="102">
        <f t="shared" si="105"/>
        <v>0.55000000000000004</v>
      </c>
      <c r="Q238" s="102">
        <v>6</v>
      </c>
      <c r="R238" s="99">
        <v>80</v>
      </c>
      <c r="S238" s="55">
        <f t="shared" si="133"/>
        <v>45645</v>
      </c>
      <c r="T238" s="55"/>
      <c r="U238" s="56">
        <f t="shared" ca="1" si="106"/>
        <v>-195</v>
      </c>
      <c r="V238" s="55">
        <f t="shared" si="107"/>
        <v>45661</v>
      </c>
      <c r="W238" s="55"/>
      <c r="X238" s="56">
        <f t="shared" ca="1" si="108"/>
        <v>-179</v>
      </c>
      <c r="Y238" s="55"/>
      <c r="Z238" s="57"/>
      <c r="AA238" s="58" t="str">
        <f t="shared" si="109"/>
        <v>-</v>
      </c>
      <c r="AB238" s="59"/>
      <c r="AC238" s="58" t="str">
        <f t="shared" si="110"/>
        <v/>
      </c>
      <c r="AD238" s="59"/>
      <c r="AE238" s="58" t="str">
        <f t="shared" si="111"/>
        <v/>
      </c>
      <c r="AF238" s="59"/>
      <c r="AG238" s="58" t="str">
        <f t="shared" si="112"/>
        <v/>
      </c>
      <c r="AH238" s="59"/>
      <c r="AI238" s="58" t="str">
        <f t="shared" si="113"/>
        <v/>
      </c>
      <c r="AJ238" s="59"/>
      <c r="AK238" s="58" t="str">
        <f t="shared" si="114"/>
        <v/>
      </c>
      <c r="AL238" s="59"/>
      <c r="AM238" s="58" t="str">
        <f t="shared" si="115"/>
        <v/>
      </c>
      <c r="AN238" s="59"/>
      <c r="AO238" s="58" t="str">
        <f t="shared" si="116"/>
        <v/>
      </c>
      <c r="AP238" s="59"/>
      <c r="AQ238" s="58" t="str">
        <f t="shared" si="117"/>
        <v/>
      </c>
      <c r="AR238" s="59"/>
      <c r="AS238" s="58" t="str">
        <f t="shared" si="118"/>
        <v/>
      </c>
      <c r="AT238" s="59"/>
      <c r="AU238" s="58">
        <f t="shared" si="119"/>
        <v>264</v>
      </c>
      <c r="AV238" s="59"/>
      <c r="AW238" s="58" t="str">
        <f t="shared" si="120"/>
        <v/>
      </c>
      <c r="AX238" s="59"/>
      <c r="AY238" s="58" t="str">
        <f t="shared" si="121"/>
        <v/>
      </c>
      <c r="AZ238" s="59"/>
      <c r="BA238" s="58" t="str">
        <f t="shared" si="122"/>
        <v/>
      </c>
      <c r="BB238" s="59"/>
      <c r="BC238" s="58" t="str">
        <f t="shared" si="123"/>
        <v/>
      </c>
      <c r="BD238" s="59"/>
      <c r="BE238" s="58" t="str">
        <f t="shared" si="124"/>
        <v/>
      </c>
      <c r="BF238" s="59"/>
      <c r="BG238" s="58" t="str">
        <f t="shared" si="125"/>
        <v/>
      </c>
      <c r="BH238" s="59"/>
      <c r="BI238" s="58" t="str">
        <f t="shared" si="126"/>
        <v/>
      </c>
      <c r="BJ238" s="59"/>
      <c r="BK238" s="58" t="str">
        <f t="shared" si="127"/>
        <v/>
      </c>
      <c r="BL238" s="59"/>
      <c r="BM238" s="58" t="str">
        <f t="shared" si="128"/>
        <v/>
      </c>
      <c r="BN238" s="59"/>
      <c r="BO238" s="58" t="str">
        <f t="shared" si="129"/>
        <v/>
      </c>
      <c r="BP238" s="59"/>
      <c r="BQ238" s="58" t="str">
        <f t="shared" si="130"/>
        <v/>
      </c>
      <c r="BR238" s="59"/>
      <c r="BS238" s="58" t="str">
        <f t="shared" si="131"/>
        <v/>
      </c>
      <c r="BT238" s="59"/>
      <c r="BU238" s="58" t="str">
        <f t="shared" si="132"/>
        <v/>
      </c>
      <c r="BV238" s="59"/>
    </row>
    <row r="239" spans="1:74" ht="14.5">
      <c r="A239" s="51" t="s">
        <v>466</v>
      </c>
      <c r="B239" s="52">
        <v>367</v>
      </c>
      <c r="C239" s="52" t="s">
        <v>518</v>
      </c>
      <c r="D239" s="41">
        <f t="shared" si="102"/>
        <v>4</v>
      </c>
      <c r="E239" s="52" t="s">
        <v>196</v>
      </c>
      <c r="F239" s="52" t="s">
        <v>530</v>
      </c>
      <c r="G239" s="52" t="s">
        <v>527</v>
      </c>
      <c r="H239" s="52" t="s">
        <v>531</v>
      </c>
      <c r="I239" s="53">
        <v>45677</v>
      </c>
      <c r="J239" s="108">
        <v>264</v>
      </c>
      <c r="K239" s="101"/>
      <c r="L239" s="101"/>
      <c r="M239" s="101">
        <f t="shared" si="103"/>
        <v>264</v>
      </c>
      <c r="N239" s="54">
        <f t="shared" si="104"/>
        <v>264</v>
      </c>
      <c r="O239" s="101" t="s">
        <v>178</v>
      </c>
      <c r="P239" s="102">
        <f t="shared" si="105"/>
        <v>0.55000000000000004</v>
      </c>
      <c r="Q239" s="102">
        <v>6</v>
      </c>
      <c r="R239" s="99">
        <v>80</v>
      </c>
      <c r="S239" s="55">
        <f t="shared" si="133"/>
        <v>45645</v>
      </c>
      <c r="T239" s="55"/>
      <c r="U239" s="56">
        <f t="shared" ca="1" si="106"/>
        <v>-195</v>
      </c>
      <c r="V239" s="55">
        <f t="shared" si="107"/>
        <v>45661</v>
      </c>
      <c r="W239" s="55"/>
      <c r="X239" s="56">
        <f t="shared" ca="1" si="108"/>
        <v>-179</v>
      </c>
      <c r="Y239" s="55"/>
      <c r="Z239" s="57"/>
      <c r="AA239" s="58" t="str">
        <f t="shared" si="109"/>
        <v>-</v>
      </c>
      <c r="AB239" s="59"/>
      <c r="AC239" s="58" t="str">
        <f t="shared" si="110"/>
        <v/>
      </c>
      <c r="AD239" s="59"/>
      <c r="AE239" s="58" t="str">
        <f t="shared" si="111"/>
        <v/>
      </c>
      <c r="AF239" s="59"/>
      <c r="AG239" s="58" t="str">
        <f t="shared" si="112"/>
        <v/>
      </c>
      <c r="AH239" s="59"/>
      <c r="AI239" s="58" t="str">
        <f t="shared" si="113"/>
        <v/>
      </c>
      <c r="AJ239" s="59"/>
      <c r="AK239" s="58" t="str">
        <f t="shared" si="114"/>
        <v/>
      </c>
      <c r="AL239" s="59"/>
      <c r="AM239" s="58" t="str">
        <f t="shared" si="115"/>
        <v/>
      </c>
      <c r="AN239" s="59"/>
      <c r="AO239" s="58" t="str">
        <f t="shared" si="116"/>
        <v/>
      </c>
      <c r="AP239" s="59"/>
      <c r="AQ239" s="58" t="str">
        <f t="shared" si="117"/>
        <v/>
      </c>
      <c r="AR239" s="59"/>
      <c r="AS239" s="58" t="str">
        <f t="shared" si="118"/>
        <v/>
      </c>
      <c r="AT239" s="59"/>
      <c r="AU239" s="58">
        <f t="shared" si="119"/>
        <v>264</v>
      </c>
      <c r="AV239" s="59"/>
      <c r="AW239" s="58" t="str">
        <f t="shared" si="120"/>
        <v/>
      </c>
      <c r="AX239" s="59"/>
      <c r="AY239" s="58" t="str">
        <f t="shared" si="121"/>
        <v/>
      </c>
      <c r="AZ239" s="59"/>
      <c r="BA239" s="58" t="str">
        <f t="shared" si="122"/>
        <v/>
      </c>
      <c r="BB239" s="59"/>
      <c r="BC239" s="58" t="str">
        <f t="shared" si="123"/>
        <v/>
      </c>
      <c r="BD239" s="59"/>
      <c r="BE239" s="58" t="str">
        <f t="shared" si="124"/>
        <v/>
      </c>
      <c r="BF239" s="59"/>
      <c r="BG239" s="58" t="str">
        <f t="shared" si="125"/>
        <v/>
      </c>
      <c r="BH239" s="59"/>
      <c r="BI239" s="58" t="str">
        <f t="shared" si="126"/>
        <v/>
      </c>
      <c r="BJ239" s="59"/>
      <c r="BK239" s="58" t="str">
        <f t="shared" si="127"/>
        <v/>
      </c>
      <c r="BL239" s="59"/>
      <c r="BM239" s="58" t="str">
        <f t="shared" si="128"/>
        <v/>
      </c>
      <c r="BN239" s="59"/>
      <c r="BO239" s="58" t="str">
        <f t="shared" si="129"/>
        <v/>
      </c>
      <c r="BP239" s="59"/>
      <c r="BQ239" s="58" t="str">
        <f t="shared" si="130"/>
        <v/>
      </c>
      <c r="BR239" s="59"/>
      <c r="BS239" s="58" t="str">
        <f t="shared" si="131"/>
        <v/>
      </c>
      <c r="BT239" s="59"/>
      <c r="BU239" s="58" t="str">
        <f t="shared" si="132"/>
        <v/>
      </c>
      <c r="BV239" s="59"/>
    </row>
    <row r="240" spans="1:74" ht="14.5">
      <c r="A240" s="51" t="s">
        <v>466</v>
      </c>
      <c r="B240" s="52">
        <v>367</v>
      </c>
      <c r="C240" s="52" t="s">
        <v>518</v>
      </c>
      <c r="D240" s="41">
        <f t="shared" si="102"/>
        <v>4</v>
      </c>
      <c r="E240" s="52" t="s">
        <v>196</v>
      </c>
      <c r="F240" s="52" t="s">
        <v>530</v>
      </c>
      <c r="G240" s="52" t="s">
        <v>528</v>
      </c>
      <c r="H240" s="52" t="s">
        <v>531</v>
      </c>
      <c r="I240" s="53">
        <v>45677</v>
      </c>
      <c r="J240" s="108">
        <v>264</v>
      </c>
      <c r="K240" s="101"/>
      <c r="L240" s="101"/>
      <c r="M240" s="101">
        <f t="shared" si="103"/>
        <v>264</v>
      </c>
      <c r="N240" s="54">
        <f t="shared" si="104"/>
        <v>264</v>
      </c>
      <c r="O240" s="101" t="s">
        <v>178</v>
      </c>
      <c r="P240" s="102">
        <f t="shared" si="105"/>
        <v>0.55000000000000004</v>
      </c>
      <c r="Q240" s="102">
        <v>6</v>
      </c>
      <c r="R240" s="99">
        <v>80</v>
      </c>
      <c r="S240" s="55">
        <f t="shared" si="133"/>
        <v>45645</v>
      </c>
      <c r="T240" s="55"/>
      <c r="U240" s="56">
        <f t="shared" ca="1" si="106"/>
        <v>-195</v>
      </c>
      <c r="V240" s="55">
        <f t="shared" si="107"/>
        <v>45661</v>
      </c>
      <c r="W240" s="55"/>
      <c r="X240" s="56">
        <f t="shared" ca="1" si="108"/>
        <v>-179</v>
      </c>
      <c r="Y240" s="55"/>
      <c r="Z240" s="57"/>
      <c r="AA240" s="58" t="str">
        <f t="shared" si="109"/>
        <v>-</v>
      </c>
      <c r="AB240" s="59"/>
      <c r="AC240" s="58" t="str">
        <f t="shared" si="110"/>
        <v/>
      </c>
      <c r="AD240" s="59"/>
      <c r="AE240" s="58" t="str">
        <f t="shared" si="111"/>
        <v/>
      </c>
      <c r="AF240" s="59"/>
      <c r="AG240" s="58" t="str">
        <f t="shared" si="112"/>
        <v/>
      </c>
      <c r="AH240" s="59"/>
      <c r="AI240" s="58" t="str">
        <f t="shared" si="113"/>
        <v/>
      </c>
      <c r="AJ240" s="59"/>
      <c r="AK240" s="58" t="str">
        <f t="shared" si="114"/>
        <v/>
      </c>
      <c r="AL240" s="59"/>
      <c r="AM240" s="58" t="str">
        <f t="shared" si="115"/>
        <v/>
      </c>
      <c r="AN240" s="59"/>
      <c r="AO240" s="58" t="str">
        <f t="shared" si="116"/>
        <v/>
      </c>
      <c r="AP240" s="59"/>
      <c r="AQ240" s="58" t="str">
        <f t="shared" si="117"/>
        <v/>
      </c>
      <c r="AR240" s="59"/>
      <c r="AS240" s="58" t="str">
        <f t="shared" si="118"/>
        <v/>
      </c>
      <c r="AT240" s="59"/>
      <c r="AU240" s="58">
        <f t="shared" si="119"/>
        <v>264</v>
      </c>
      <c r="AV240" s="59"/>
      <c r="AW240" s="58" t="str">
        <f t="shared" si="120"/>
        <v/>
      </c>
      <c r="AX240" s="59"/>
      <c r="AY240" s="58" t="str">
        <f t="shared" si="121"/>
        <v/>
      </c>
      <c r="AZ240" s="59"/>
      <c r="BA240" s="58" t="str">
        <f t="shared" si="122"/>
        <v/>
      </c>
      <c r="BB240" s="59"/>
      <c r="BC240" s="58" t="str">
        <f t="shared" si="123"/>
        <v/>
      </c>
      <c r="BD240" s="59"/>
      <c r="BE240" s="58" t="str">
        <f t="shared" si="124"/>
        <v/>
      </c>
      <c r="BF240" s="59"/>
      <c r="BG240" s="58" t="str">
        <f t="shared" si="125"/>
        <v/>
      </c>
      <c r="BH240" s="59"/>
      <c r="BI240" s="58" t="str">
        <f t="shared" si="126"/>
        <v/>
      </c>
      <c r="BJ240" s="59"/>
      <c r="BK240" s="58" t="str">
        <f t="shared" si="127"/>
        <v/>
      </c>
      <c r="BL240" s="59"/>
      <c r="BM240" s="58" t="str">
        <f t="shared" si="128"/>
        <v/>
      </c>
      <c r="BN240" s="59"/>
      <c r="BO240" s="58" t="str">
        <f t="shared" si="129"/>
        <v/>
      </c>
      <c r="BP240" s="59"/>
      <c r="BQ240" s="58" t="str">
        <f t="shared" si="130"/>
        <v/>
      </c>
      <c r="BR240" s="59"/>
      <c r="BS240" s="58" t="str">
        <f t="shared" si="131"/>
        <v/>
      </c>
      <c r="BT240" s="59"/>
      <c r="BU240" s="58" t="str">
        <f t="shared" si="132"/>
        <v/>
      </c>
      <c r="BV240" s="59"/>
    </row>
    <row r="241" spans="1:74" ht="14.5">
      <c r="A241" s="51" t="s">
        <v>466</v>
      </c>
      <c r="B241" s="52">
        <v>367</v>
      </c>
      <c r="C241" s="52" t="s">
        <v>518</v>
      </c>
      <c r="D241" s="41">
        <f t="shared" si="102"/>
        <v>4</v>
      </c>
      <c r="E241" s="52" t="s">
        <v>410</v>
      </c>
      <c r="F241" s="52" t="s">
        <v>532</v>
      </c>
      <c r="G241" s="52" t="s">
        <v>533</v>
      </c>
      <c r="H241" s="52" t="s">
        <v>534</v>
      </c>
      <c r="I241" s="53">
        <v>45677</v>
      </c>
      <c r="J241" s="108">
        <v>96</v>
      </c>
      <c r="K241" s="101"/>
      <c r="L241" s="101"/>
      <c r="M241" s="101">
        <f t="shared" si="103"/>
        <v>96</v>
      </c>
      <c r="N241" s="54">
        <f t="shared" si="104"/>
        <v>96</v>
      </c>
      <c r="O241" s="101" t="s">
        <v>178</v>
      </c>
      <c r="P241" s="102">
        <f t="shared" si="105"/>
        <v>0.2</v>
      </c>
      <c r="Q241" s="102">
        <v>6</v>
      </c>
      <c r="R241" s="99">
        <v>80</v>
      </c>
      <c r="S241" s="55">
        <f t="shared" si="133"/>
        <v>45645</v>
      </c>
      <c r="T241" s="55"/>
      <c r="U241" s="56">
        <f t="shared" ca="1" si="106"/>
        <v>-195</v>
      </c>
      <c r="V241" s="55">
        <f t="shared" si="107"/>
        <v>45661</v>
      </c>
      <c r="W241" s="55"/>
      <c r="X241" s="56">
        <f t="shared" ca="1" si="108"/>
        <v>-179</v>
      </c>
      <c r="Y241" s="55"/>
      <c r="Z241" s="57"/>
      <c r="AA241" s="58" t="str">
        <f t="shared" si="109"/>
        <v>-</v>
      </c>
      <c r="AB241" s="59"/>
      <c r="AC241" s="58" t="str">
        <f t="shared" si="110"/>
        <v/>
      </c>
      <c r="AD241" s="59"/>
      <c r="AE241" s="58" t="str">
        <f t="shared" si="111"/>
        <v/>
      </c>
      <c r="AF241" s="59"/>
      <c r="AG241" s="58" t="str">
        <f t="shared" si="112"/>
        <v/>
      </c>
      <c r="AH241" s="59"/>
      <c r="AI241" s="58" t="str">
        <f t="shared" si="113"/>
        <v/>
      </c>
      <c r="AJ241" s="59"/>
      <c r="AK241" s="58" t="str">
        <f t="shared" si="114"/>
        <v/>
      </c>
      <c r="AL241" s="59"/>
      <c r="AM241" s="58" t="str">
        <f t="shared" si="115"/>
        <v/>
      </c>
      <c r="AN241" s="59"/>
      <c r="AO241" s="58" t="str">
        <f t="shared" si="116"/>
        <v/>
      </c>
      <c r="AP241" s="59"/>
      <c r="AQ241" s="58" t="str">
        <f t="shared" si="117"/>
        <v/>
      </c>
      <c r="AR241" s="59"/>
      <c r="AS241" s="58" t="str">
        <f t="shared" si="118"/>
        <v/>
      </c>
      <c r="AT241" s="59"/>
      <c r="AU241" s="58">
        <f t="shared" si="119"/>
        <v>96</v>
      </c>
      <c r="AV241" s="59"/>
      <c r="AW241" s="58" t="str">
        <f t="shared" si="120"/>
        <v/>
      </c>
      <c r="AX241" s="59"/>
      <c r="AY241" s="58" t="str">
        <f t="shared" si="121"/>
        <v/>
      </c>
      <c r="AZ241" s="59"/>
      <c r="BA241" s="58" t="str">
        <f t="shared" si="122"/>
        <v/>
      </c>
      <c r="BB241" s="59"/>
      <c r="BC241" s="58" t="str">
        <f t="shared" si="123"/>
        <v/>
      </c>
      <c r="BD241" s="59"/>
      <c r="BE241" s="58" t="str">
        <f t="shared" si="124"/>
        <v/>
      </c>
      <c r="BF241" s="59"/>
      <c r="BG241" s="58" t="str">
        <f t="shared" si="125"/>
        <v/>
      </c>
      <c r="BH241" s="59"/>
      <c r="BI241" s="58" t="str">
        <f t="shared" si="126"/>
        <v/>
      </c>
      <c r="BJ241" s="59"/>
      <c r="BK241" s="58" t="str">
        <f t="shared" si="127"/>
        <v/>
      </c>
      <c r="BL241" s="59"/>
      <c r="BM241" s="58" t="str">
        <f t="shared" si="128"/>
        <v/>
      </c>
      <c r="BN241" s="59"/>
      <c r="BO241" s="58" t="str">
        <f t="shared" si="129"/>
        <v/>
      </c>
      <c r="BP241" s="59"/>
      <c r="BQ241" s="58" t="str">
        <f t="shared" si="130"/>
        <v/>
      </c>
      <c r="BR241" s="59"/>
      <c r="BS241" s="58" t="str">
        <f t="shared" si="131"/>
        <v/>
      </c>
      <c r="BT241" s="59"/>
      <c r="BU241" s="58" t="str">
        <f t="shared" si="132"/>
        <v/>
      </c>
      <c r="BV241" s="59"/>
    </row>
    <row r="242" spans="1:74" ht="14.5">
      <c r="A242" s="51" t="s">
        <v>58</v>
      </c>
      <c r="B242" s="52">
        <v>338</v>
      </c>
      <c r="C242" s="52" t="s">
        <v>188</v>
      </c>
      <c r="D242" s="41">
        <f t="shared" si="102"/>
        <v>4</v>
      </c>
      <c r="E242" s="52" t="s">
        <v>201</v>
      </c>
      <c r="F242" s="52" t="s">
        <v>247</v>
      </c>
      <c r="G242" s="52" t="s">
        <v>155</v>
      </c>
      <c r="H242" s="52" t="s">
        <v>442</v>
      </c>
      <c r="I242" s="53">
        <v>45678</v>
      </c>
      <c r="J242" s="108">
        <v>14256</v>
      </c>
      <c r="K242" s="101"/>
      <c r="L242" s="101"/>
      <c r="M242" s="101">
        <f t="shared" si="103"/>
        <v>14256</v>
      </c>
      <c r="N242" s="54">
        <f t="shared" si="104"/>
        <v>14256</v>
      </c>
      <c r="O242" s="101" t="s">
        <v>443</v>
      </c>
      <c r="P242" s="102">
        <f t="shared" si="105"/>
        <v>8.1462857142857139</v>
      </c>
      <c r="Q242" s="102">
        <v>5</v>
      </c>
      <c r="R242" s="99">
        <v>350</v>
      </c>
      <c r="S242" s="55">
        <f t="shared" ref="S242:S273" si="134">+I242-(28)</f>
        <v>45650</v>
      </c>
      <c r="T242" s="55">
        <v>45606</v>
      </c>
      <c r="U242" s="56">
        <f t="shared" ca="1" si="106"/>
        <v>44</v>
      </c>
      <c r="V242" s="55">
        <f t="shared" si="107"/>
        <v>45666</v>
      </c>
      <c r="W242" s="55"/>
      <c r="X242" s="56">
        <f t="shared" ca="1" si="108"/>
        <v>-174</v>
      </c>
      <c r="Y242" s="55"/>
      <c r="Z242" s="57"/>
      <c r="AA242" s="58" t="str">
        <f t="shared" si="109"/>
        <v>-</v>
      </c>
      <c r="AB242" s="59"/>
      <c r="AC242" s="58" t="str">
        <f t="shared" si="110"/>
        <v/>
      </c>
      <c r="AD242" s="59"/>
      <c r="AE242" s="58" t="str">
        <f t="shared" si="111"/>
        <v/>
      </c>
      <c r="AF242" s="59"/>
      <c r="AG242" s="58" t="str">
        <f t="shared" si="112"/>
        <v/>
      </c>
      <c r="AH242" s="59"/>
      <c r="AI242" s="58" t="str">
        <f t="shared" si="113"/>
        <v/>
      </c>
      <c r="AJ242" s="59"/>
      <c r="AK242" s="58" t="str">
        <f t="shared" si="114"/>
        <v/>
      </c>
      <c r="AL242" s="59"/>
      <c r="AM242" s="58" t="str">
        <f t="shared" si="115"/>
        <v/>
      </c>
      <c r="AN242" s="59"/>
      <c r="AO242" s="58" t="str">
        <f t="shared" si="116"/>
        <v/>
      </c>
      <c r="AP242" s="59"/>
      <c r="AQ242" s="58" t="str">
        <f t="shared" si="117"/>
        <v/>
      </c>
      <c r="AR242" s="59"/>
      <c r="AS242" s="58" t="str">
        <f t="shared" si="118"/>
        <v/>
      </c>
      <c r="AT242" s="59"/>
      <c r="AU242" s="58" t="str">
        <f t="shared" si="119"/>
        <v/>
      </c>
      <c r="AV242" s="59"/>
      <c r="AW242" s="58">
        <f t="shared" si="120"/>
        <v>14256</v>
      </c>
      <c r="AX242" s="59"/>
      <c r="AY242" s="58" t="str">
        <f t="shared" si="121"/>
        <v/>
      </c>
      <c r="AZ242" s="59"/>
      <c r="BA242" s="58" t="str">
        <f t="shared" si="122"/>
        <v/>
      </c>
      <c r="BB242" s="59"/>
      <c r="BC242" s="58" t="str">
        <f t="shared" si="123"/>
        <v/>
      </c>
      <c r="BD242" s="59"/>
      <c r="BE242" s="58" t="str">
        <f t="shared" si="124"/>
        <v/>
      </c>
      <c r="BF242" s="59"/>
      <c r="BG242" s="58" t="str">
        <f t="shared" si="125"/>
        <v/>
      </c>
      <c r="BH242" s="59"/>
      <c r="BI242" s="58" t="str">
        <f t="shared" si="126"/>
        <v/>
      </c>
      <c r="BJ242" s="59"/>
      <c r="BK242" s="58" t="str">
        <f t="shared" si="127"/>
        <v/>
      </c>
      <c r="BL242" s="59"/>
      <c r="BM242" s="58" t="str">
        <f t="shared" si="128"/>
        <v/>
      </c>
      <c r="BN242" s="59"/>
      <c r="BO242" s="58" t="str">
        <f t="shared" si="129"/>
        <v/>
      </c>
      <c r="BP242" s="59"/>
      <c r="BQ242" s="58" t="str">
        <f t="shared" si="130"/>
        <v/>
      </c>
      <c r="BR242" s="59"/>
      <c r="BS242" s="58" t="str">
        <f t="shared" si="131"/>
        <v/>
      </c>
      <c r="BT242" s="59"/>
      <c r="BU242" s="58" t="str">
        <f t="shared" si="132"/>
        <v/>
      </c>
      <c r="BV242" s="59"/>
    </row>
    <row r="243" spans="1:74" ht="14.5">
      <c r="A243" s="51" t="s">
        <v>58</v>
      </c>
      <c r="B243" s="52">
        <v>338</v>
      </c>
      <c r="C243" s="52" t="s">
        <v>188</v>
      </c>
      <c r="D243" s="41">
        <f t="shared" si="102"/>
        <v>4</v>
      </c>
      <c r="E243" s="52" t="s">
        <v>502</v>
      </c>
      <c r="F243" s="52" t="s">
        <v>289</v>
      </c>
      <c r="G243" s="52" t="s">
        <v>155</v>
      </c>
      <c r="H243" s="52" t="s">
        <v>503</v>
      </c>
      <c r="I243" s="53">
        <v>45678</v>
      </c>
      <c r="J243" s="108">
        <v>3888</v>
      </c>
      <c r="K243" s="101"/>
      <c r="L243" s="101"/>
      <c r="M243" s="101">
        <f t="shared" si="103"/>
        <v>3888</v>
      </c>
      <c r="N243" s="54">
        <f t="shared" si="104"/>
        <v>3888</v>
      </c>
      <c r="O243" s="101" t="s">
        <v>504</v>
      </c>
      <c r="P243" s="102">
        <f t="shared" si="105"/>
        <v>20.25</v>
      </c>
      <c r="Q243" s="102">
        <v>6</v>
      </c>
      <c r="R243" s="99">
        <f>480/15</f>
        <v>32</v>
      </c>
      <c r="S243" s="55">
        <f t="shared" si="134"/>
        <v>45650</v>
      </c>
      <c r="T243" s="55"/>
      <c r="U243" s="56">
        <f t="shared" ca="1" si="106"/>
        <v>-190</v>
      </c>
      <c r="V243" s="55">
        <f t="shared" si="107"/>
        <v>45666</v>
      </c>
      <c r="W243" s="55"/>
      <c r="X243" s="56">
        <f t="shared" ca="1" si="108"/>
        <v>-174</v>
      </c>
      <c r="Y243" s="55"/>
      <c r="Z243" s="57"/>
      <c r="AA243" s="58" t="str">
        <f t="shared" si="109"/>
        <v>-</v>
      </c>
      <c r="AB243" s="59"/>
      <c r="AC243" s="58" t="str">
        <f t="shared" si="110"/>
        <v/>
      </c>
      <c r="AD243" s="59"/>
      <c r="AE243" s="58" t="str">
        <f t="shared" si="111"/>
        <v/>
      </c>
      <c r="AF243" s="59"/>
      <c r="AG243" s="58" t="str">
        <f t="shared" si="112"/>
        <v/>
      </c>
      <c r="AH243" s="59"/>
      <c r="AI243" s="58" t="str">
        <f t="shared" si="113"/>
        <v/>
      </c>
      <c r="AJ243" s="59"/>
      <c r="AK243" s="58" t="str">
        <f t="shared" si="114"/>
        <v/>
      </c>
      <c r="AL243" s="59"/>
      <c r="AM243" s="58" t="str">
        <f t="shared" si="115"/>
        <v/>
      </c>
      <c r="AN243" s="59"/>
      <c r="AO243" s="58" t="str">
        <f t="shared" si="116"/>
        <v/>
      </c>
      <c r="AP243" s="59"/>
      <c r="AQ243" s="58" t="str">
        <f t="shared" si="117"/>
        <v/>
      </c>
      <c r="AR243" s="59"/>
      <c r="AS243" s="58" t="str">
        <f t="shared" si="118"/>
        <v/>
      </c>
      <c r="AT243" s="59"/>
      <c r="AU243" s="58" t="str">
        <f t="shared" si="119"/>
        <v/>
      </c>
      <c r="AV243" s="59"/>
      <c r="AW243" s="58">
        <f t="shared" si="120"/>
        <v>3888</v>
      </c>
      <c r="AX243" s="59"/>
      <c r="AY243" s="58" t="str">
        <f t="shared" si="121"/>
        <v/>
      </c>
      <c r="AZ243" s="59"/>
      <c r="BA243" s="58" t="str">
        <f t="shared" si="122"/>
        <v/>
      </c>
      <c r="BB243" s="59"/>
      <c r="BC243" s="58" t="str">
        <f t="shared" si="123"/>
        <v/>
      </c>
      <c r="BD243" s="59"/>
      <c r="BE243" s="58" t="str">
        <f t="shared" si="124"/>
        <v/>
      </c>
      <c r="BF243" s="59"/>
      <c r="BG243" s="58" t="str">
        <f t="shared" si="125"/>
        <v/>
      </c>
      <c r="BH243" s="59"/>
      <c r="BI243" s="58" t="str">
        <f t="shared" si="126"/>
        <v/>
      </c>
      <c r="BJ243" s="59"/>
      <c r="BK243" s="58" t="str">
        <f t="shared" si="127"/>
        <v/>
      </c>
      <c r="BL243" s="59"/>
      <c r="BM243" s="58" t="str">
        <f t="shared" si="128"/>
        <v/>
      </c>
      <c r="BN243" s="59"/>
      <c r="BO243" s="58" t="str">
        <f t="shared" si="129"/>
        <v/>
      </c>
      <c r="BP243" s="59"/>
      <c r="BQ243" s="58" t="str">
        <f t="shared" si="130"/>
        <v/>
      </c>
      <c r="BR243" s="59"/>
      <c r="BS243" s="58" t="str">
        <f t="shared" si="131"/>
        <v/>
      </c>
      <c r="BT243" s="59"/>
      <c r="BU243" s="58" t="str">
        <f t="shared" si="132"/>
        <v/>
      </c>
      <c r="BV243" s="59"/>
    </row>
    <row r="244" spans="1:74" ht="14.5">
      <c r="A244" s="51" t="s">
        <v>58</v>
      </c>
      <c r="B244" s="52">
        <v>338</v>
      </c>
      <c r="C244" s="52" t="s">
        <v>188</v>
      </c>
      <c r="D244" s="41">
        <f t="shared" si="102"/>
        <v>4</v>
      </c>
      <c r="E244" s="52" t="s">
        <v>502</v>
      </c>
      <c r="F244" s="52" t="s">
        <v>289</v>
      </c>
      <c r="G244" s="52" t="s">
        <v>154</v>
      </c>
      <c r="H244" s="52" t="s">
        <v>503</v>
      </c>
      <c r="I244" s="53">
        <v>45678</v>
      </c>
      <c r="J244" s="108">
        <v>3240</v>
      </c>
      <c r="K244" s="101"/>
      <c r="L244" s="101"/>
      <c r="M244" s="101">
        <f t="shared" si="103"/>
        <v>3240</v>
      </c>
      <c r="N244" s="54">
        <f t="shared" si="104"/>
        <v>3240</v>
      </c>
      <c r="O244" s="101" t="s">
        <v>505</v>
      </c>
      <c r="P244" s="102">
        <f t="shared" si="105"/>
        <v>16.875</v>
      </c>
      <c r="Q244" s="102">
        <v>6</v>
      </c>
      <c r="R244" s="99">
        <f>480/15</f>
        <v>32</v>
      </c>
      <c r="S244" s="55">
        <f t="shared" si="134"/>
        <v>45650</v>
      </c>
      <c r="T244" s="55"/>
      <c r="U244" s="56">
        <f t="shared" ca="1" si="106"/>
        <v>-190</v>
      </c>
      <c r="V244" s="55">
        <f t="shared" si="107"/>
        <v>45666</v>
      </c>
      <c r="W244" s="55"/>
      <c r="X244" s="56">
        <f t="shared" ca="1" si="108"/>
        <v>-174</v>
      </c>
      <c r="Y244" s="55"/>
      <c r="Z244" s="57"/>
      <c r="AA244" s="58" t="str">
        <f t="shared" si="109"/>
        <v>-</v>
      </c>
      <c r="AB244" s="59"/>
      <c r="AC244" s="58" t="str">
        <f t="shared" si="110"/>
        <v/>
      </c>
      <c r="AD244" s="59"/>
      <c r="AE244" s="58" t="str">
        <f t="shared" si="111"/>
        <v/>
      </c>
      <c r="AF244" s="59"/>
      <c r="AG244" s="58" t="str">
        <f t="shared" si="112"/>
        <v/>
      </c>
      <c r="AH244" s="59"/>
      <c r="AI244" s="58" t="str">
        <f t="shared" si="113"/>
        <v/>
      </c>
      <c r="AJ244" s="59"/>
      <c r="AK244" s="58" t="str">
        <f t="shared" si="114"/>
        <v/>
      </c>
      <c r="AL244" s="59"/>
      <c r="AM244" s="58" t="str">
        <f t="shared" si="115"/>
        <v/>
      </c>
      <c r="AN244" s="59"/>
      <c r="AO244" s="58" t="str">
        <f t="shared" si="116"/>
        <v/>
      </c>
      <c r="AP244" s="59"/>
      <c r="AQ244" s="58" t="str">
        <f t="shared" si="117"/>
        <v/>
      </c>
      <c r="AR244" s="59"/>
      <c r="AS244" s="58" t="str">
        <f t="shared" si="118"/>
        <v/>
      </c>
      <c r="AT244" s="59"/>
      <c r="AU244" s="58" t="str">
        <f t="shared" si="119"/>
        <v/>
      </c>
      <c r="AV244" s="59"/>
      <c r="AW244" s="58">
        <f t="shared" si="120"/>
        <v>3240</v>
      </c>
      <c r="AX244" s="59"/>
      <c r="AY244" s="58" t="str">
        <f t="shared" si="121"/>
        <v/>
      </c>
      <c r="AZ244" s="59"/>
      <c r="BA244" s="58" t="str">
        <f t="shared" si="122"/>
        <v/>
      </c>
      <c r="BB244" s="59"/>
      <c r="BC244" s="58" t="str">
        <f t="shared" si="123"/>
        <v/>
      </c>
      <c r="BD244" s="59"/>
      <c r="BE244" s="58" t="str">
        <f t="shared" si="124"/>
        <v/>
      </c>
      <c r="BF244" s="59"/>
      <c r="BG244" s="58" t="str">
        <f t="shared" si="125"/>
        <v/>
      </c>
      <c r="BH244" s="59"/>
      <c r="BI244" s="58" t="str">
        <f t="shared" si="126"/>
        <v/>
      </c>
      <c r="BJ244" s="59"/>
      <c r="BK244" s="58" t="str">
        <f t="shared" si="127"/>
        <v/>
      </c>
      <c r="BL244" s="59"/>
      <c r="BM244" s="58" t="str">
        <f t="shared" si="128"/>
        <v/>
      </c>
      <c r="BN244" s="59"/>
      <c r="BO244" s="58" t="str">
        <f t="shared" si="129"/>
        <v/>
      </c>
      <c r="BP244" s="59"/>
      <c r="BQ244" s="58" t="str">
        <f t="shared" si="130"/>
        <v/>
      </c>
      <c r="BR244" s="59"/>
      <c r="BS244" s="58" t="str">
        <f t="shared" si="131"/>
        <v/>
      </c>
      <c r="BT244" s="59"/>
      <c r="BU244" s="58" t="str">
        <f t="shared" si="132"/>
        <v/>
      </c>
      <c r="BV244" s="59"/>
    </row>
    <row r="245" spans="1:74" ht="14.5">
      <c r="A245" s="51" t="s">
        <v>58</v>
      </c>
      <c r="B245" s="52">
        <v>338</v>
      </c>
      <c r="C245" s="52" t="s">
        <v>188</v>
      </c>
      <c r="D245" s="41">
        <f t="shared" si="102"/>
        <v>4</v>
      </c>
      <c r="E245" s="52" t="s">
        <v>502</v>
      </c>
      <c r="F245" s="52" t="s">
        <v>289</v>
      </c>
      <c r="G245" s="52" t="s">
        <v>156</v>
      </c>
      <c r="H245" s="52" t="s">
        <v>503</v>
      </c>
      <c r="I245" s="53">
        <v>45678</v>
      </c>
      <c r="J245" s="108">
        <v>2592</v>
      </c>
      <c r="K245" s="101"/>
      <c r="L245" s="101"/>
      <c r="M245" s="101">
        <f t="shared" si="103"/>
        <v>2592</v>
      </c>
      <c r="N245" s="54">
        <f t="shared" si="104"/>
        <v>2592</v>
      </c>
      <c r="O245" s="101" t="s">
        <v>506</v>
      </c>
      <c r="P245" s="102">
        <f t="shared" si="105"/>
        <v>13.5</v>
      </c>
      <c r="Q245" s="102">
        <v>6</v>
      </c>
      <c r="R245" s="99">
        <f>480/15</f>
        <v>32</v>
      </c>
      <c r="S245" s="55">
        <f t="shared" si="134"/>
        <v>45650</v>
      </c>
      <c r="T245" s="55"/>
      <c r="U245" s="56">
        <f t="shared" ca="1" si="106"/>
        <v>-190</v>
      </c>
      <c r="V245" s="55">
        <f t="shared" si="107"/>
        <v>45666</v>
      </c>
      <c r="W245" s="55"/>
      <c r="X245" s="56">
        <f t="shared" ca="1" si="108"/>
        <v>-174</v>
      </c>
      <c r="Y245" s="55"/>
      <c r="Z245" s="57"/>
      <c r="AA245" s="58" t="str">
        <f t="shared" si="109"/>
        <v>-</v>
      </c>
      <c r="AB245" s="59"/>
      <c r="AC245" s="58" t="str">
        <f t="shared" si="110"/>
        <v/>
      </c>
      <c r="AD245" s="59"/>
      <c r="AE245" s="58" t="str">
        <f t="shared" si="111"/>
        <v/>
      </c>
      <c r="AF245" s="59"/>
      <c r="AG245" s="58" t="str">
        <f t="shared" si="112"/>
        <v/>
      </c>
      <c r="AH245" s="59"/>
      <c r="AI245" s="58" t="str">
        <f t="shared" si="113"/>
        <v/>
      </c>
      <c r="AJ245" s="59"/>
      <c r="AK245" s="58" t="str">
        <f t="shared" si="114"/>
        <v/>
      </c>
      <c r="AL245" s="59"/>
      <c r="AM245" s="58" t="str">
        <f t="shared" si="115"/>
        <v/>
      </c>
      <c r="AN245" s="59"/>
      <c r="AO245" s="58" t="str">
        <f t="shared" si="116"/>
        <v/>
      </c>
      <c r="AP245" s="59"/>
      <c r="AQ245" s="58" t="str">
        <f t="shared" si="117"/>
        <v/>
      </c>
      <c r="AR245" s="59"/>
      <c r="AS245" s="58" t="str">
        <f t="shared" si="118"/>
        <v/>
      </c>
      <c r="AT245" s="59"/>
      <c r="AU245" s="58" t="str">
        <f t="shared" si="119"/>
        <v/>
      </c>
      <c r="AV245" s="59"/>
      <c r="AW245" s="58">
        <f t="shared" si="120"/>
        <v>2592</v>
      </c>
      <c r="AX245" s="59"/>
      <c r="AY245" s="58" t="str">
        <f t="shared" si="121"/>
        <v/>
      </c>
      <c r="AZ245" s="59"/>
      <c r="BA245" s="58" t="str">
        <f t="shared" si="122"/>
        <v/>
      </c>
      <c r="BB245" s="59"/>
      <c r="BC245" s="58" t="str">
        <f t="shared" si="123"/>
        <v/>
      </c>
      <c r="BD245" s="59"/>
      <c r="BE245" s="58" t="str">
        <f t="shared" si="124"/>
        <v/>
      </c>
      <c r="BF245" s="59"/>
      <c r="BG245" s="58" t="str">
        <f t="shared" si="125"/>
        <v/>
      </c>
      <c r="BH245" s="59"/>
      <c r="BI245" s="58" t="str">
        <f t="shared" si="126"/>
        <v/>
      </c>
      <c r="BJ245" s="59"/>
      <c r="BK245" s="58" t="str">
        <f t="shared" si="127"/>
        <v/>
      </c>
      <c r="BL245" s="59"/>
      <c r="BM245" s="58" t="str">
        <f t="shared" si="128"/>
        <v/>
      </c>
      <c r="BN245" s="59"/>
      <c r="BO245" s="58" t="str">
        <f t="shared" si="129"/>
        <v/>
      </c>
      <c r="BP245" s="59"/>
      <c r="BQ245" s="58" t="str">
        <f t="shared" si="130"/>
        <v/>
      </c>
      <c r="BR245" s="59"/>
      <c r="BS245" s="58" t="str">
        <f t="shared" si="131"/>
        <v/>
      </c>
      <c r="BT245" s="59"/>
      <c r="BU245" s="58" t="str">
        <f t="shared" si="132"/>
        <v/>
      </c>
      <c r="BV245" s="59"/>
    </row>
    <row r="246" spans="1:74" ht="14.5">
      <c r="A246" s="51" t="s">
        <v>58</v>
      </c>
      <c r="B246" s="52">
        <v>338</v>
      </c>
      <c r="C246" s="52" t="s">
        <v>188</v>
      </c>
      <c r="D246" s="41">
        <f t="shared" si="102"/>
        <v>4</v>
      </c>
      <c r="E246" s="52" t="s">
        <v>158</v>
      </c>
      <c r="F246" s="52" t="s">
        <v>242</v>
      </c>
      <c r="G246" s="52" t="s">
        <v>155</v>
      </c>
      <c r="H246" s="52" t="s">
        <v>432</v>
      </c>
      <c r="I246" s="53">
        <v>45678</v>
      </c>
      <c r="J246" s="108">
        <v>968</v>
      </c>
      <c r="K246" s="101"/>
      <c r="L246" s="101"/>
      <c r="M246" s="101">
        <f t="shared" si="103"/>
        <v>968</v>
      </c>
      <c r="N246" s="54">
        <f t="shared" si="104"/>
        <v>968</v>
      </c>
      <c r="O246" s="101" t="s">
        <v>439</v>
      </c>
      <c r="P246" s="102">
        <f t="shared" si="105"/>
        <v>1.3444444444444446</v>
      </c>
      <c r="Q246" s="102">
        <v>6</v>
      </c>
      <c r="R246" s="99">
        <v>120</v>
      </c>
      <c r="S246" s="55">
        <f t="shared" si="134"/>
        <v>45650</v>
      </c>
      <c r="T246" s="55">
        <v>45606</v>
      </c>
      <c r="U246" s="56">
        <f t="shared" ca="1" si="106"/>
        <v>44</v>
      </c>
      <c r="V246" s="55">
        <f t="shared" si="107"/>
        <v>45666</v>
      </c>
      <c r="W246" s="55"/>
      <c r="X246" s="56">
        <f t="shared" ca="1" si="108"/>
        <v>-174</v>
      </c>
      <c r="Y246" s="55"/>
      <c r="Z246" s="57"/>
      <c r="AA246" s="58" t="str">
        <f t="shared" si="109"/>
        <v>-</v>
      </c>
      <c r="AB246" s="59"/>
      <c r="AC246" s="58" t="str">
        <f t="shared" si="110"/>
        <v/>
      </c>
      <c r="AD246" s="59"/>
      <c r="AE246" s="58" t="str">
        <f t="shared" si="111"/>
        <v/>
      </c>
      <c r="AF246" s="59"/>
      <c r="AG246" s="58" t="str">
        <f t="shared" si="112"/>
        <v/>
      </c>
      <c r="AH246" s="59"/>
      <c r="AI246" s="58" t="str">
        <f t="shared" si="113"/>
        <v/>
      </c>
      <c r="AJ246" s="59"/>
      <c r="AK246" s="58" t="str">
        <f t="shared" si="114"/>
        <v/>
      </c>
      <c r="AL246" s="59"/>
      <c r="AM246" s="58" t="str">
        <f t="shared" si="115"/>
        <v/>
      </c>
      <c r="AN246" s="59"/>
      <c r="AO246" s="58" t="str">
        <f t="shared" si="116"/>
        <v/>
      </c>
      <c r="AP246" s="59"/>
      <c r="AQ246" s="58" t="str">
        <f t="shared" si="117"/>
        <v/>
      </c>
      <c r="AR246" s="59"/>
      <c r="AS246" s="58" t="str">
        <f t="shared" si="118"/>
        <v/>
      </c>
      <c r="AT246" s="59"/>
      <c r="AU246" s="58" t="str">
        <f t="shared" si="119"/>
        <v/>
      </c>
      <c r="AV246" s="59"/>
      <c r="AW246" s="58">
        <f t="shared" si="120"/>
        <v>968</v>
      </c>
      <c r="AX246" s="59"/>
      <c r="AY246" s="58" t="str">
        <f t="shared" si="121"/>
        <v/>
      </c>
      <c r="AZ246" s="59"/>
      <c r="BA246" s="58" t="str">
        <f t="shared" si="122"/>
        <v/>
      </c>
      <c r="BB246" s="59"/>
      <c r="BC246" s="58" t="str">
        <f t="shared" si="123"/>
        <v/>
      </c>
      <c r="BD246" s="59"/>
      <c r="BE246" s="58" t="str">
        <f t="shared" si="124"/>
        <v/>
      </c>
      <c r="BF246" s="59"/>
      <c r="BG246" s="58" t="str">
        <f t="shared" si="125"/>
        <v/>
      </c>
      <c r="BH246" s="59"/>
      <c r="BI246" s="58" t="str">
        <f t="shared" si="126"/>
        <v/>
      </c>
      <c r="BJ246" s="59"/>
      <c r="BK246" s="58" t="str">
        <f t="shared" si="127"/>
        <v/>
      </c>
      <c r="BL246" s="59"/>
      <c r="BM246" s="58" t="str">
        <f t="shared" si="128"/>
        <v/>
      </c>
      <c r="BN246" s="59"/>
      <c r="BO246" s="58" t="str">
        <f t="shared" si="129"/>
        <v/>
      </c>
      <c r="BP246" s="59"/>
      <c r="BQ246" s="58" t="str">
        <f t="shared" si="130"/>
        <v/>
      </c>
      <c r="BR246" s="59"/>
      <c r="BS246" s="58" t="str">
        <f t="shared" si="131"/>
        <v/>
      </c>
      <c r="BT246" s="59"/>
      <c r="BU246" s="58" t="str">
        <f t="shared" si="132"/>
        <v/>
      </c>
      <c r="BV246" s="59"/>
    </row>
    <row r="247" spans="1:74" ht="14.5">
      <c r="A247" s="51" t="s">
        <v>58</v>
      </c>
      <c r="B247" s="52">
        <v>338</v>
      </c>
      <c r="C247" s="52" t="s">
        <v>188</v>
      </c>
      <c r="D247" s="41">
        <f t="shared" si="102"/>
        <v>4</v>
      </c>
      <c r="E247" s="52" t="s">
        <v>195</v>
      </c>
      <c r="F247" s="52" t="s">
        <v>286</v>
      </c>
      <c r="G247" s="52" t="s">
        <v>162</v>
      </c>
      <c r="H247" s="52" t="s">
        <v>434</v>
      </c>
      <c r="I247" s="53">
        <v>45678</v>
      </c>
      <c r="J247" s="108">
        <v>4464</v>
      </c>
      <c r="K247" s="101"/>
      <c r="L247" s="101"/>
      <c r="M247" s="101">
        <f t="shared" si="103"/>
        <v>4464</v>
      </c>
      <c r="N247" s="54">
        <f t="shared" si="104"/>
        <v>4464</v>
      </c>
      <c r="O247" s="101" t="s">
        <v>431</v>
      </c>
      <c r="P247" s="102">
        <f t="shared" si="105"/>
        <v>6.2</v>
      </c>
      <c r="Q247" s="102">
        <v>6</v>
      </c>
      <c r="R247" s="99">
        <v>120</v>
      </c>
      <c r="S247" s="55">
        <f t="shared" si="134"/>
        <v>45650</v>
      </c>
      <c r="T247" s="55">
        <v>45606</v>
      </c>
      <c r="U247" s="56">
        <f t="shared" ca="1" si="106"/>
        <v>44</v>
      </c>
      <c r="V247" s="55">
        <f t="shared" si="107"/>
        <v>45666</v>
      </c>
      <c r="W247" s="55"/>
      <c r="X247" s="56">
        <f t="shared" ca="1" si="108"/>
        <v>-174</v>
      </c>
      <c r="Y247" s="55"/>
      <c r="Z247" s="57"/>
      <c r="AA247" s="58" t="str">
        <f t="shared" si="109"/>
        <v>-</v>
      </c>
      <c r="AB247" s="59"/>
      <c r="AC247" s="58" t="str">
        <f t="shared" si="110"/>
        <v/>
      </c>
      <c r="AD247" s="59"/>
      <c r="AE247" s="58" t="str">
        <f t="shared" si="111"/>
        <v/>
      </c>
      <c r="AF247" s="59"/>
      <c r="AG247" s="58" t="str">
        <f t="shared" si="112"/>
        <v/>
      </c>
      <c r="AH247" s="59"/>
      <c r="AI247" s="58" t="str">
        <f t="shared" si="113"/>
        <v/>
      </c>
      <c r="AJ247" s="59"/>
      <c r="AK247" s="58" t="str">
        <f t="shared" si="114"/>
        <v/>
      </c>
      <c r="AL247" s="59"/>
      <c r="AM247" s="58" t="str">
        <f t="shared" si="115"/>
        <v/>
      </c>
      <c r="AN247" s="59"/>
      <c r="AO247" s="58" t="str">
        <f t="shared" si="116"/>
        <v/>
      </c>
      <c r="AP247" s="59"/>
      <c r="AQ247" s="58" t="str">
        <f t="shared" si="117"/>
        <v/>
      </c>
      <c r="AR247" s="59"/>
      <c r="AS247" s="58" t="str">
        <f t="shared" si="118"/>
        <v/>
      </c>
      <c r="AT247" s="59"/>
      <c r="AU247" s="58" t="str">
        <f t="shared" si="119"/>
        <v/>
      </c>
      <c r="AV247" s="59"/>
      <c r="AW247" s="58">
        <f t="shared" si="120"/>
        <v>4464</v>
      </c>
      <c r="AX247" s="59"/>
      <c r="AY247" s="58" t="str">
        <f t="shared" si="121"/>
        <v/>
      </c>
      <c r="AZ247" s="59"/>
      <c r="BA247" s="58" t="str">
        <f t="shared" si="122"/>
        <v/>
      </c>
      <c r="BB247" s="59"/>
      <c r="BC247" s="58" t="str">
        <f t="shared" si="123"/>
        <v/>
      </c>
      <c r="BD247" s="59"/>
      <c r="BE247" s="58" t="str">
        <f t="shared" si="124"/>
        <v/>
      </c>
      <c r="BF247" s="59"/>
      <c r="BG247" s="58" t="str">
        <f t="shared" si="125"/>
        <v/>
      </c>
      <c r="BH247" s="59"/>
      <c r="BI247" s="58" t="str">
        <f t="shared" si="126"/>
        <v/>
      </c>
      <c r="BJ247" s="59"/>
      <c r="BK247" s="58" t="str">
        <f t="shared" si="127"/>
        <v/>
      </c>
      <c r="BL247" s="59"/>
      <c r="BM247" s="58" t="str">
        <f t="shared" si="128"/>
        <v/>
      </c>
      <c r="BN247" s="59"/>
      <c r="BO247" s="58" t="str">
        <f t="shared" si="129"/>
        <v/>
      </c>
      <c r="BP247" s="59"/>
      <c r="BQ247" s="58" t="str">
        <f t="shared" si="130"/>
        <v/>
      </c>
      <c r="BR247" s="59"/>
      <c r="BS247" s="58" t="str">
        <f t="shared" si="131"/>
        <v/>
      </c>
      <c r="BT247" s="59"/>
      <c r="BU247" s="58" t="str">
        <f t="shared" si="132"/>
        <v/>
      </c>
      <c r="BV247" s="59"/>
    </row>
    <row r="248" spans="1:74" ht="14.5">
      <c r="A248" s="51" t="s">
        <v>58</v>
      </c>
      <c r="B248" s="52">
        <v>338</v>
      </c>
      <c r="C248" s="52" t="s">
        <v>188</v>
      </c>
      <c r="D248" s="41">
        <f t="shared" si="102"/>
        <v>4</v>
      </c>
      <c r="E248" s="52" t="s">
        <v>189</v>
      </c>
      <c r="F248" s="52" t="s">
        <v>242</v>
      </c>
      <c r="G248" s="52" t="s">
        <v>162</v>
      </c>
      <c r="H248" s="52" t="s">
        <v>432</v>
      </c>
      <c r="I248" s="53">
        <v>45678</v>
      </c>
      <c r="J248" s="108">
        <v>300</v>
      </c>
      <c r="K248" s="101"/>
      <c r="L248" s="101"/>
      <c r="M248" s="101">
        <f t="shared" si="103"/>
        <v>300</v>
      </c>
      <c r="N248" s="54">
        <f t="shared" si="104"/>
        <v>300</v>
      </c>
      <c r="O248" s="101" t="s">
        <v>178</v>
      </c>
      <c r="P248" s="102">
        <f t="shared" si="105"/>
        <v>0.41666666666666669</v>
      </c>
      <c r="Q248" s="102">
        <v>6</v>
      </c>
      <c r="R248" s="99">
        <v>120</v>
      </c>
      <c r="S248" s="55">
        <f t="shared" si="134"/>
        <v>45650</v>
      </c>
      <c r="T248" s="55">
        <v>45606</v>
      </c>
      <c r="U248" s="56">
        <f t="shared" ca="1" si="106"/>
        <v>44</v>
      </c>
      <c r="V248" s="55">
        <f t="shared" si="107"/>
        <v>45666</v>
      </c>
      <c r="W248" s="55"/>
      <c r="X248" s="56">
        <f t="shared" ca="1" si="108"/>
        <v>-174</v>
      </c>
      <c r="Y248" s="55"/>
      <c r="Z248" s="57"/>
      <c r="AA248" s="58" t="str">
        <f t="shared" si="109"/>
        <v>-</v>
      </c>
      <c r="AB248" s="59"/>
      <c r="AC248" s="58" t="str">
        <f t="shared" si="110"/>
        <v/>
      </c>
      <c r="AD248" s="59"/>
      <c r="AE248" s="58" t="str">
        <f t="shared" si="111"/>
        <v/>
      </c>
      <c r="AF248" s="59"/>
      <c r="AG248" s="58" t="str">
        <f t="shared" si="112"/>
        <v/>
      </c>
      <c r="AH248" s="59"/>
      <c r="AI248" s="58" t="str">
        <f t="shared" si="113"/>
        <v/>
      </c>
      <c r="AJ248" s="59"/>
      <c r="AK248" s="58" t="str">
        <f t="shared" si="114"/>
        <v/>
      </c>
      <c r="AL248" s="59"/>
      <c r="AM248" s="58" t="str">
        <f t="shared" si="115"/>
        <v/>
      </c>
      <c r="AN248" s="59"/>
      <c r="AO248" s="58" t="str">
        <f t="shared" si="116"/>
        <v/>
      </c>
      <c r="AP248" s="59"/>
      <c r="AQ248" s="58" t="str">
        <f t="shared" si="117"/>
        <v/>
      </c>
      <c r="AR248" s="59"/>
      <c r="AS248" s="58" t="str">
        <f t="shared" si="118"/>
        <v/>
      </c>
      <c r="AT248" s="59"/>
      <c r="AU248" s="58" t="str">
        <f t="shared" si="119"/>
        <v/>
      </c>
      <c r="AV248" s="59"/>
      <c r="AW248" s="58">
        <f t="shared" si="120"/>
        <v>300</v>
      </c>
      <c r="AX248" s="59"/>
      <c r="AY248" s="58" t="str">
        <f t="shared" si="121"/>
        <v/>
      </c>
      <c r="AZ248" s="59"/>
      <c r="BA248" s="58" t="str">
        <f t="shared" si="122"/>
        <v/>
      </c>
      <c r="BB248" s="59"/>
      <c r="BC248" s="58" t="str">
        <f t="shared" si="123"/>
        <v/>
      </c>
      <c r="BD248" s="59"/>
      <c r="BE248" s="58" t="str">
        <f t="shared" si="124"/>
        <v/>
      </c>
      <c r="BF248" s="59"/>
      <c r="BG248" s="58" t="str">
        <f t="shared" si="125"/>
        <v/>
      </c>
      <c r="BH248" s="59"/>
      <c r="BI248" s="58" t="str">
        <f t="shared" si="126"/>
        <v/>
      </c>
      <c r="BJ248" s="59"/>
      <c r="BK248" s="58" t="str">
        <f t="shared" si="127"/>
        <v/>
      </c>
      <c r="BL248" s="59"/>
      <c r="BM248" s="58" t="str">
        <f t="shared" si="128"/>
        <v/>
      </c>
      <c r="BN248" s="59"/>
      <c r="BO248" s="58" t="str">
        <f t="shared" si="129"/>
        <v/>
      </c>
      <c r="BP248" s="59"/>
      <c r="BQ248" s="58" t="str">
        <f t="shared" si="130"/>
        <v/>
      </c>
      <c r="BR248" s="59"/>
      <c r="BS248" s="58" t="str">
        <f t="shared" si="131"/>
        <v/>
      </c>
      <c r="BT248" s="59"/>
      <c r="BU248" s="58" t="str">
        <f t="shared" si="132"/>
        <v/>
      </c>
      <c r="BV248" s="59"/>
    </row>
    <row r="249" spans="1:74" ht="14.5">
      <c r="A249" s="51" t="s">
        <v>58</v>
      </c>
      <c r="B249" s="52">
        <v>338</v>
      </c>
      <c r="C249" s="52" t="s">
        <v>188</v>
      </c>
      <c r="D249" s="41">
        <f t="shared" si="102"/>
        <v>4</v>
      </c>
      <c r="E249" s="52" t="s">
        <v>158</v>
      </c>
      <c r="F249" s="52" t="s">
        <v>242</v>
      </c>
      <c r="G249" s="52" t="s">
        <v>255</v>
      </c>
      <c r="H249" s="52" t="s">
        <v>432</v>
      </c>
      <c r="I249" s="53">
        <v>45678</v>
      </c>
      <c r="J249" s="108">
        <v>120</v>
      </c>
      <c r="K249" s="101"/>
      <c r="L249" s="101"/>
      <c r="M249" s="101">
        <f t="shared" si="103"/>
        <v>120</v>
      </c>
      <c r="N249" s="54">
        <f t="shared" si="104"/>
        <v>120</v>
      </c>
      <c r="O249" s="101" t="s">
        <v>439</v>
      </c>
      <c r="P249" s="102">
        <f t="shared" si="105"/>
        <v>0.16666666666666666</v>
      </c>
      <c r="Q249" s="102">
        <v>6</v>
      </c>
      <c r="R249" s="99">
        <v>120</v>
      </c>
      <c r="S249" s="55">
        <f t="shared" si="134"/>
        <v>45650</v>
      </c>
      <c r="T249" s="55">
        <v>45606</v>
      </c>
      <c r="U249" s="56">
        <f t="shared" ca="1" si="106"/>
        <v>44</v>
      </c>
      <c r="V249" s="55">
        <f t="shared" si="107"/>
        <v>45666</v>
      </c>
      <c r="W249" s="55"/>
      <c r="X249" s="56">
        <f t="shared" ca="1" si="108"/>
        <v>-174</v>
      </c>
      <c r="Y249" s="55"/>
      <c r="Z249" s="57"/>
      <c r="AA249" s="58" t="str">
        <f t="shared" si="109"/>
        <v>-</v>
      </c>
      <c r="AB249" s="59"/>
      <c r="AC249" s="58" t="str">
        <f t="shared" si="110"/>
        <v/>
      </c>
      <c r="AD249" s="59"/>
      <c r="AE249" s="58" t="str">
        <f t="shared" si="111"/>
        <v/>
      </c>
      <c r="AF249" s="59"/>
      <c r="AG249" s="58" t="str">
        <f t="shared" si="112"/>
        <v/>
      </c>
      <c r="AH249" s="59"/>
      <c r="AI249" s="58" t="str">
        <f t="shared" si="113"/>
        <v/>
      </c>
      <c r="AJ249" s="59"/>
      <c r="AK249" s="58" t="str">
        <f t="shared" si="114"/>
        <v/>
      </c>
      <c r="AL249" s="59"/>
      <c r="AM249" s="58" t="str">
        <f t="shared" si="115"/>
        <v/>
      </c>
      <c r="AN249" s="59"/>
      <c r="AO249" s="58" t="str">
        <f t="shared" si="116"/>
        <v/>
      </c>
      <c r="AP249" s="59"/>
      <c r="AQ249" s="58" t="str">
        <f t="shared" si="117"/>
        <v/>
      </c>
      <c r="AR249" s="59"/>
      <c r="AS249" s="58" t="str">
        <f t="shared" si="118"/>
        <v/>
      </c>
      <c r="AT249" s="59"/>
      <c r="AU249" s="58" t="str">
        <f t="shared" si="119"/>
        <v/>
      </c>
      <c r="AV249" s="59"/>
      <c r="AW249" s="58">
        <f t="shared" si="120"/>
        <v>120</v>
      </c>
      <c r="AX249" s="59"/>
      <c r="AY249" s="58" t="str">
        <f t="shared" si="121"/>
        <v/>
      </c>
      <c r="AZ249" s="59"/>
      <c r="BA249" s="58" t="str">
        <f t="shared" si="122"/>
        <v/>
      </c>
      <c r="BB249" s="59"/>
      <c r="BC249" s="58" t="str">
        <f t="shared" si="123"/>
        <v/>
      </c>
      <c r="BD249" s="59"/>
      <c r="BE249" s="58" t="str">
        <f t="shared" si="124"/>
        <v/>
      </c>
      <c r="BF249" s="59"/>
      <c r="BG249" s="58" t="str">
        <f t="shared" si="125"/>
        <v/>
      </c>
      <c r="BH249" s="59"/>
      <c r="BI249" s="58" t="str">
        <f t="shared" si="126"/>
        <v/>
      </c>
      <c r="BJ249" s="59"/>
      <c r="BK249" s="58" t="str">
        <f t="shared" si="127"/>
        <v/>
      </c>
      <c r="BL249" s="59"/>
      <c r="BM249" s="58" t="str">
        <f t="shared" si="128"/>
        <v/>
      </c>
      <c r="BN249" s="59"/>
      <c r="BO249" s="58" t="str">
        <f t="shared" si="129"/>
        <v/>
      </c>
      <c r="BP249" s="59"/>
      <c r="BQ249" s="58" t="str">
        <f t="shared" si="130"/>
        <v/>
      </c>
      <c r="BR249" s="59"/>
      <c r="BS249" s="58" t="str">
        <f t="shared" si="131"/>
        <v/>
      </c>
      <c r="BT249" s="59"/>
      <c r="BU249" s="58" t="str">
        <f t="shared" si="132"/>
        <v/>
      </c>
      <c r="BV249" s="59"/>
    </row>
    <row r="250" spans="1:74" ht="14.5">
      <c r="A250" s="51" t="s">
        <v>58</v>
      </c>
      <c r="B250" s="52">
        <v>338</v>
      </c>
      <c r="C250" s="52" t="s">
        <v>188</v>
      </c>
      <c r="D250" s="41">
        <f t="shared" si="102"/>
        <v>4</v>
      </c>
      <c r="E250" s="52" t="s">
        <v>190</v>
      </c>
      <c r="F250" s="52" t="s">
        <v>242</v>
      </c>
      <c r="G250" s="52" t="s">
        <v>244</v>
      </c>
      <c r="H250" s="52" t="s">
        <v>438</v>
      </c>
      <c r="I250" s="53">
        <v>45678</v>
      </c>
      <c r="J250" s="108">
        <v>1508</v>
      </c>
      <c r="K250" s="101"/>
      <c r="L250" s="101"/>
      <c r="M250" s="101">
        <f t="shared" si="103"/>
        <v>1508</v>
      </c>
      <c r="N250" s="54">
        <f t="shared" si="104"/>
        <v>1508</v>
      </c>
      <c r="O250" s="101" t="s">
        <v>439</v>
      </c>
      <c r="P250" s="102">
        <f t="shared" si="105"/>
        <v>2.0944444444444446</v>
      </c>
      <c r="Q250" s="102">
        <v>6</v>
      </c>
      <c r="R250" s="99">
        <v>120</v>
      </c>
      <c r="S250" s="55">
        <f t="shared" si="134"/>
        <v>45650</v>
      </c>
      <c r="T250" s="55">
        <v>45606</v>
      </c>
      <c r="U250" s="56">
        <f t="shared" ca="1" si="106"/>
        <v>44</v>
      </c>
      <c r="V250" s="55">
        <f t="shared" si="107"/>
        <v>45666</v>
      </c>
      <c r="W250" s="55"/>
      <c r="X250" s="56">
        <f t="shared" ca="1" si="108"/>
        <v>-174</v>
      </c>
      <c r="Y250" s="55"/>
      <c r="Z250" s="57"/>
      <c r="AA250" s="58" t="str">
        <f t="shared" si="109"/>
        <v>-</v>
      </c>
      <c r="AB250" s="59"/>
      <c r="AC250" s="58" t="str">
        <f t="shared" si="110"/>
        <v/>
      </c>
      <c r="AD250" s="59"/>
      <c r="AE250" s="58" t="str">
        <f t="shared" si="111"/>
        <v/>
      </c>
      <c r="AF250" s="59"/>
      <c r="AG250" s="58" t="str">
        <f t="shared" si="112"/>
        <v/>
      </c>
      <c r="AH250" s="59"/>
      <c r="AI250" s="58" t="str">
        <f t="shared" si="113"/>
        <v/>
      </c>
      <c r="AJ250" s="59"/>
      <c r="AK250" s="58" t="str">
        <f t="shared" si="114"/>
        <v/>
      </c>
      <c r="AL250" s="59"/>
      <c r="AM250" s="58" t="str">
        <f t="shared" si="115"/>
        <v/>
      </c>
      <c r="AN250" s="59"/>
      <c r="AO250" s="58" t="str">
        <f t="shared" si="116"/>
        <v/>
      </c>
      <c r="AP250" s="59"/>
      <c r="AQ250" s="58" t="str">
        <f t="shared" si="117"/>
        <v/>
      </c>
      <c r="AR250" s="59"/>
      <c r="AS250" s="58" t="str">
        <f t="shared" si="118"/>
        <v/>
      </c>
      <c r="AT250" s="59"/>
      <c r="AU250" s="58" t="str">
        <f t="shared" si="119"/>
        <v/>
      </c>
      <c r="AV250" s="59"/>
      <c r="AW250" s="58">
        <f t="shared" si="120"/>
        <v>1508</v>
      </c>
      <c r="AX250" s="59"/>
      <c r="AY250" s="58" t="str">
        <f t="shared" si="121"/>
        <v/>
      </c>
      <c r="AZ250" s="59"/>
      <c r="BA250" s="58" t="str">
        <f t="shared" si="122"/>
        <v/>
      </c>
      <c r="BB250" s="59"/>
      <c r="BC250" s="58" t="str">
        <f t="shared" si="123"/>
        <v/>
      </c>
      <c r="BD250" s="59"/>
      <c r="BE250" s="58" t="str">
        <f t="shared" si="124"/>
        <v/>
      </c>
      <c r="BF250" s="59"/>
      <c r="BG250" s="58" t="str">
        <f t="shared" si="125"/>
        <v/>
      </c>
      <c r="BH250" s="59"/>
      <c r="BI250" s="58" t="str">
        <f t="shared" si="126"/>
        <v/>
      </c>
      <c r="BJ250" s="59"/>
      <c r="BK250" s="58" t="str">
        <f t="shared" si="127"/>
        <v/>
      </c>
      <c r="BL250" s="59"/>
      <c r="BM250" s="58" t="str">
        <f t="shared" si="128"/>
        <v/>
      </c>
      <c r="BN250" s="59"/>
      <c r="BO250" s="58" t="str">
        <f t="shared" si="129"/>
        <v/>
      </c>
      <c r="BP250" s="59"/>
      <c r="BQ250" s="58" t="str">
        <f t="shared" si="130"/>
        <v/>
      </c>
      <c r="BR250" s="59"/>
      <c r="BS250" s="58" t="str">
        <f t="shared" si="131"/>
        <v/>
      </c>
      <c r="BT250" s="59"/>
      <c r="BU250" s="58" t="str">
        <f t="shared" si="132"/>
        <v/>
      </c>
      <c r="BV250" s="59"/>
    </row>
    <row r="251" spans="1:74" ht="14.5">
      <c r="A251" s="51" t="s">
        <v>58</v>
      </c>
      <c r="B251" s="52">
        <v>296</v>
      </c>
      <c r="C251" s="52" t="s">
        <v>188</v>
      </c>
      <c r="D251" s="41">
        <f t="shared" si="102"/>
        <v>4</v>
      </c>
      <c r="E251" s="52" t="s">
        <v>157</v>
      </c>
      <c r="F251" s="52" t="s">
        <v>243</v>
      </c>
      <c r="G251" s="52" t="s">
        <v>155</v>
      </c>
      <c r="H251" s="52" t="s">
        <v>428</v>
      </c>
      <c r="I251" s="53">
        <v>45678</v>
      </c>
      <c r="J251" s="108">
        <v>540</v>
      </c>
      <c r="K251" s="101"/>
      <c r="L251" s="101"/>
      <c r="M251" s="101">
        <f t="shared" si="103"/>
        <v>540</v>
      </c>
      <c r="N251" s="54">
        <f t="shared" si="104"/>
        <v>540</v>
      </c>
      <c r="O251" s="101" t="s">
        <v>429</v>
      </c>
      <c r="P251" s="102">
        <f t="shared" si="105"/>
        <v>0.09</v>
      </c>
      <c r="Q251" s="102">
        <v>6</v>
      </c>
      <c r="R251" s="99">
        <v>1000</v>
      </c>
      <c r="S251" s="55">
        <f t="shared" si="134"/>
        <v>45650</v>
      </c>
      <c r="T251" s="55">
        <v>45613</v>
      </c>
      <c r="U251" s="56">
        <f t="shared" ca="1" si="106"/>
        <v>37</v>
      </c>
      <c r="V251" s="55">
        <f t="shared" si="107"/>
        <v>45666</v>
      </c>
      <c r="W251" s="55"/>
      <c r="X251" s="56">
        <f t="shared" ca="1" si="108"/>
        <v>-174</v>
      </c>
      <c r="Y251" s="55"/>
      <c r="Z251" s="57"/>
      <c r="AA251" s="58" t="str">
        <f t="shared" si="109"/>
        <v>-</v>
      </c>
      <c r="AB251" s="59"/>
      <c r="AC251" s="58" t="str">
        <f t="shared" si="110"/>
        <v/>
      </c>
      <c r="AD251" s="59"/>
      <c r="AE251" s="58" t="str">
        <f t="shared" si="111"/>
        <v/>
      </c>
      <c r="AF251" s="59"/>
      <c r="AG251" s="58" t="str">
        <f t="shared" si="112"/>
        <v/>
      </c>
      <c r="AH251" s="59"/>
      <c r="AI251" s="58" t="str">
        <f t="shared" si="113"/>
        <v/>
      </c>
      <c r="AJ251" s="59"/>
      <c r="AK251" s="58" t="str">
        <f t="shared" si="114"/>
        <v/>
      </c>
      <c r="AL251" s="59"/>
      <c r="AM251" s="58" t="str">
        <f t="shared" si="115"/>
        <v/>
      </c>
      <c r="AN251" s="59"/>
      <c r="AO251" s="58" t="str">
        <f t="shared" si="116"/>
        <v/>
      </c>
      <c r="AP251" s="59"/>
      <c r="AQ251" s="58" t="str">
        <f t="shared" si="117"/>
        <v/>
      </c>
      <c r="AR251" s="59"/>
      <c r="AS251" s="58" t="str">
        <f t="shared" si="118"/>
        <v/>
      </c>
      <c r="AT251" s="59"/>
      <c r="AU251" s="58" t="str">
        <f t="shared" si="119"/>
        <v/>
      </c>
      <c r="AV251" s="59"/>
      <c r="AW251" s="58">
        <f t="shared" si="120"/>
        <v>540</v>
      </c>
      <c r="AX251" s="59"/>
      <c r="AY251" s="58" t="str">
        <f t="shared" si="121"/>
        <v/>
      </c>
      <c r="AZ251" s="59"/>
      <c r="BA251" s="58" t="str">
        <f t="shared" si="122"/>
        <v/>
      </c>
      <c r="BB251" s="59"/>
      <c r="BC251" s="58" t="str">
        <f t="shared" si="123"/>
        <v/>
      </c>
      <c r="BD251" s="59"/>
      <c r="BE251" s="58" t="str">
        <f t="shared" si="124"/>
        <v/>
      </c>
      <c r="BF251" s="59"/>
      <c r="BG251" s="58" t="str">
        <f t="shared" si="125"/>
        <v/>
      </c>
      <c r="BH251" s="59"/>
      <c r="BI251" s="58" t="str">
        <f t="shared" si="126"/>
        <v/>
      </c>
      <c r="BJ251" s="59"/>
      <c r="BK251" s="58" t="str">
        <f t="shared" si="127"/>
        <v/>
      </c>
      <c r="BL251" s="59"/>
      <c r="BM251" s="58" t="str">
        <f t="shared" si="128"/>
        <v/>
      </c>
      <c r="BN251" s="59"/>
      <c r="BO251" s="58" t="str">
        <f t="shared" si="129"/>
        <v/>
      </c>
      <c r="BP251" s="59"/>
      <c r="BQ251" s="58" t="str">
        <f t="shared" si="130"/>
        <v/>
      </c>
      <c r="BR251" s="59"/>
      <c r="BS251" s="58" t="str">
        <f t="shared" si="131"/>
        <v/>
      </c>
      <c r="BT251" s="59"/>
      <c r="BU251" s="58" t="str">
        <f t="shared" si="132"/>
        <v/>
      </c>
      <c r="BV251" s="59"/>
    </row>
    <row r="252" spans="1:74" ht="14.5">
      <c r="A252" s="51" t="s">
        <v>58</v>
      </c>
      <c r="B252" s="52">
        <v>296</v>
      </c>
      <c r="C252" s="52" t="s">
        <v>188</v>
      </c>
      <c r="D252" s="41">
        <f t="shared" si="102"/>
        <v>4</v>
      </c>
      <c r="E252" s="52" t="s">
        <v>195</v>
      </c>
      <c r="F252" s="52" t="s">
        <v>286</v>
      </c>
      <c r="G252" s="52" t="s">
        <v>162</v>
      </c>
      <c r="H252" s="52" t="s">
        <v>434</v>
      </c>
      <c r="I252" s="53">
        <v>45678</v>
      </c>
      <c r="J252" s="108">
        <v>4464</v>
      </c>
      <c r="K252" s="101"/>
      <c r="L252" s="101"/>
      <c r="M252" s="101">
        <f t="shared" si="103"/>
        <v>4464</v>
      </c>
      <c r="N252" s="54">
        <f t="shared" si="104"/>
        <v>4464</v>
      </c>
      <c r="O252" s="101" t="s">
        <v>431</v>
      </c>
      <c r="P252" s="102">
        <f t="shared" si="105"/>
        <v>6.2</v>
      </c>
      <c r="Q252" s="102">
        <v>6</v>
      </c>
      <c r="R252" s="99">
        <v>120</v>
      </c>
      <c r="S252" s="55">
        <f t="shared" si="134"/>
        <v>45650</v>
      </c>
      <c r="T252" s="55">
        <v>45613</v>
      </c>
      <c r="U252" s="56">
        <f t="shared" ca="1" si="106"/>
        <v>37</v>
      </c>
      <c r="V252" s="55">
        <f t="shared" si="107"/>
        <v>45666</v>
      </c>
      <c r="W252" s="55"/>
      <c r="X252" s="56">
        <f t="shared" ca="1" si="108"/>
        <v>-174</v>
      </c>
      <c r="Y252" s="55"/>
      <c r="Z252" s="57"/>
      <c r="AA252" s="58" t="str">
        <f t="shared" si="109"/>
        <v>-</v>
      </c>
      <c r="AB252" s="59"/>
      <c r="AC252" s="58" t="str">
        <f t="shared" si="110"/>
        <v/>
      </c>
      <c r="AD252" s="59"/>
      <c r="AE252" s="58" t="str">
        <f t="shared" si="111"/>
        <v/>
      </c>
      <c r="AF252" s="59"/>
      <c r="AG252" s="58" t="str">
        <f t="shared" si="112"/>
        <v/>
      </c>
      <c r="AH252" s="59"/>
      <c r="AI252" s="58" t="str">
        <f t="shared" si="113"/>
        <v/>
      </c>
      <c r="AJ252" s="59"/>
      <c r="AK252" s="58" t="str">
        <f t="shared" si="114"/>
        <v/>
      </c>
      <c r="AL252" s="59"/>
      <c r="AM252" s="58" t="str">
        <f t="shared" si="115"/>
        <v/>
      </c>
      <c r="AN252" s="59"/>
      <c r="AO252" s="58" t="str">
        <f t="shared" si="116"/>
        <v/>
      </c>
      <c r="AP252" s="59"/>
      <c r="AQ252" s="58" t="str">
        <f t="shared" si="117"/>
        <v/>
      </c>
      <c r="AR252" s="59"/>
      <c r="AS252" s="58" t="str">
        <f t="shared" si="118"/>
        <v/>
      </c>
      <c r="AT252" s="59"/>
      <c r="AU252" s="58" t="str">
        <f t="shared" si="119"/>
        <v/>
      </c>
      <c r="AV252" s="59"/>
      <c r="AW252" s="58">
        <f t="shared" si="120"/>
        <v>4464</v>
      </c>
      <c r="AX252" s="59"/>
      <c r="AY252" s="58" t="str">
        <f t="shared" si="121"/>
        <v/>
      </c>
      <c r="AZ252" s="59"/>
      <c r="BA252" s="58" t="str">
        <f t="shared" si="122"/>
        <v/>
      </c>
      <c r="BB252" s="59"/>
      <c r="BC252" s="58" t="str">
        <f t="shared" si="123"/>
        <v/>
      </c>
      <c r="BD252" s="59"/>
      <c r="BE252" s="58" t="str">
        <f t="shared" si="124"/>
        <v/>
      </c>
      <c r="BF252" s="59"/>
      <c r="BG252" s="58" t="str">
        <f t="shared" si="125"/>
        <v/>
      </c>
      <c r="BH252" s="59"/>
      <c r="BI252" s="58" t="str">
        <f t="shared" si="126"/>
        <v/>
      </c>
      <c r="BJ252" s="59"/>
      <c r="BK252" s="58" t="str">
        <f t="shared" si="127"/>
        <v/>
      </c>
      <c r="BL252" s="59"/>
      <c r="BM252" s="58" t="str">
        <f t="shared" si="128"/>
        <v/>
      </c>
      <c r="BN252" s="59"/>
      <c r="BO252" s="58" t="str">
        <f t="shared" si="129"/>
        <v/>
      </c>
      <c r="BP252" s="59"/>
      <c r="BQ252" s="58" t="str">
        <f t="shared" si="130"/>
        <v/>
      </c>
      <c r="BR252" s="59"/>
      <c r="BS252" s="58" t="str">
        <f t="shared" si="131"/>
        <v/>
      </c>
      <c r="BT252" s="59"/>
      <c r="BU252" s="58" t="str">
        <f t="shared" si="132"/>
        <v/>
      </c>
      <c r="BV252" s="59"/>
    </row>
    <row r="253" spans="1:74" ht="14.5">
      <c r="A253" s="51" t="s">
        <v>58</v>
      </c>
      <c r="B253" s="52">
        <v>296</v>
      </c>
      <c r="C253" s="52" t="s">
        <v>188</v>
      </c>
      <c r="D253" s="41">
        <f t="shared" si="102"/>
        <v>4</v>
      </c>
      <c r="E253" s="52" t="s">
        <v>391</v>
      </c>
      <c r="F253" s="52" t="s">
        <v>392</v>
      </c>
      <c r="G253" s="52" t="s">
        <v>393</v>
      </c>
      <c r="H253" s="52" t="s">
        <v>433</v>
      </c>
      <c r="I253" s="53">
        <v>45678</v>
      </c>
      <c r="J253" s="108">
        <v>1488</v>
      </c>
      <c r="K253" s="101"/>
      <c r="L253" s="101"/>
      <c r="M253" s="101">
        <f t="shared" si="103"/>
        <v>1488</v>
      </c>
      <c r="N253" s="54">
        <f t="shared" si="104"/>
        <v>1488</v>
      </c>
      <c r="O253" s="101" t="s">
        <v>178</v>
      </c>
      <c r="P253" s="102">
        <f t="shared" si="105"/>
        <v>3.1</v>
      </c>
      <c r="Q253" s="102">
        <v>6</v>
      </c>
      <c r="R253" s="99">
        <v>80</v>
      </c>
      <c r="S253" s="55">
        <f t="shared" si="134"/>
        <v>45650</v>
      </c>
      <c r="T253" s="55">
        <v>45613</v>
      </c>
      <c r="U253" s="56">
        <f t="shared" ca="1" si="106"/>
        <v>37</v>
      </c>
      <c r="V253" s="55">
        <f t="shared" si="107"/>
        <v>45666</v>
      </c>
      <c r="W253" s="55"/>
      <c r="X253" s="56">
        <f t="shared" ca="1" si="108"/>
        <v>-174</v>
      </c>
      <c r="Y253" s="55"/>
      <c r="Z253" s="57"/>
      <c r="AA253" s="58" t="str">
        <f t="shared" si="109"/>
        <v>-</v>
      </c>
      <c r="AB253" s="59"/>
      <c r="AC253" s="58" t="str">
        <f t="shared" si="110"/>
        <v/>
      </c>
      <c r="AD253" s="59"/>
      <c r="AE253" s="58" t="str">
        <f t="shared" si="111"/>
        <v/>
      </c>
      <c r="AF253" s="59"/>
      <c r="AG253" s="58" t="str">
        <f t="shared" si="112"/>
        <v/>
      </c>
      <c r="AH253" s="59"/>
      <c r="AI253" s="58" t="str">
        <f t="shared" si="113"/>
        <v/>
      </c>
      <c r="AJ253" s="59"/>
      <c r="AK253" s="58" t="str">
        <f t="shared" si="114"/>
        <v/>
      </c>
      <c r="AL253" s="59"/>
      <c r="AM253" s="58" t="str">
        <f t="shared" si="115"/>
        <v/>
      </c>
      <c r="AN253" s="59"/>
      <c r="AO253" s="58" t="str">
        <f t="shared" si="116"/>
        <v/>
      </c>
      <c r="AP253" s="59"/>
      <c r="AQ253" s="58" t="str">
        <f t="shared" si="117"/>
        <v/>
      </c>
      <c r="AR253" s="59"/>
      <c r="AS253" s="58" t="str">
        <f t="shared" si="118"/>
        <v/>
      </c>
      <c r="AT253" s="59"/>
      <c r="AU253" s="58" t="str">
        <f t="shared" si="119"/>
        <v/>
      </c>
      <c r="AV253" s="59"/>
      <c r="AW253" s="58">
        <f t="shared" si="120"/>
        <v>1488</v>
      </c>
      <c r="AX253" s="59"/>
      <c r="AY253" s="58" t="str">
        <f t="shared" si="121"/>
        <v/>
      </c>
      <c r="AZ253" s="59"/>
      <c r="BA253" s="58" t="str">
        <f t="shared" si="122"/>
        <v/>
      </c>
      <c r="BB253" s="59"/>
      <c r="BC253" s="58" t="str">
        <f t="shared" si="123"/>
        <v/>
      </c>
      <c r="BD253" s="59"/>
      <c r="BE253" s="58" t="str">
        <f t="shared" si="124"/>
        <v/>
      </c>
      <c r="BF253" s="59"/>
      <c r="BG253" s="58" t="str">
        <f t="shared" si="125"/>
        <v/>
      </c>
      <c r="BH253" s="59"/>
      <c r="BI253" s="58" t="str">
        <f t="shared" si="126"/>
        <v/>
      </c>
      <c r="BJ253" s="59"/>
      <c r="BK253" s="58" t="str">
        <f t="shared" si="127"/>
        <v/>
      </c>
      <c r="BL253" s="59"/>
      <c r="BM253" s="58" t="str">
        <f t="shared" si="128"/>
        <v/>
      </c>
      <c r="BN253" s="59"/>
      <c r="BO253" s="58" t="str">
        <f t="shared" si="129"/>
        <v/>
      </c>
      <c r="BP253" s="59"/>
      <c r="BQ253" s="58" t="str">
        <f t="shared" si="130"/>
        <v/>
      </c>
      <c r="BR253" s="59"/>
      <c r="BS253" s="58" t="str">
        <f t="shared" si="131"/>
        <v/>
      </c>
      <c r="BT253" s="59"/>
      <c r="BU253" s="58" t="str">
        <f t="shared" si="132"/>
        <v/>
      </c>
      <c r="BV253" s="59"/>
    </row>
    <row r="254" spans="1:74" ht="14.5">
      <c r="A254" s="51" t="s">
        <v>58</v>
      </c>
      <c r="B254" s="52">
        <v>296</v>
      </c>
      <c r="C254" s="52" t="s">
        <v>188</v>
      </c>
      <c r="D254" s="41">
        <f t="shared" si="102"/>
        <v>4</v>
      </c>
      <c r="E254" s="52" t="s">
        <v>158</v>
      </c>
      <c r="F254" s="52" t="s">
        <v>242</v>
      </c>
      <c r="G254" s="52" t="s">
        <v>156</v>
      </c>
      <c r="H254" s="52" t="s">
        <v>432</v>
      </c>
      <c r="I254" s="53">
        <v>45678</v>
      </c>
      <c r="J254" s="108">
        <v>1340</v>
      </c>
      <c r="K254" s="101"/>
      <c r="L254" s="101"/>
      <c r="M254" s="101">
        <f t="shared" si="103"/>
        <v>1340</v>
      </c>
      <c r="N254" s="54">
        <f t="shared" si="104"/>
        <v>1340</v>
      </c>
      <c r="O254" s="101" t="s">
        <v>439</v>
      </c>
      <c r="P254" s="102">
        <f t="shared" si="105"/>
        <v>1.8611111111111112</v>
      </c>
      <c r="Q254" s="102">
        <v>6</v>
      </c>
      <c r="R254" s="99">
        <v>120</v>
      </c>
      <c r="S254" s="55">
        <f t="shared" si="134"/>
        <v>45650</v>
      </c>
      <c r="T254" s="55">
        <v>45613</v>
      </c>
      <c r="U254" s="56">
        <f t="shared" ca="1" si="106"/>
        <v>37</v>
      </c>
      <c r="V254" s="55">
        <f t="shared" si="107"/>
        <v>45666</v>
      </c>
      <c r="W254" s="55"/>
      <c r="X254" s="56">
        <f t="shared" ca="1" si="108"/>
        <v>-174</v>
      </c>
      <c r="Y254" s="55"/>
      <c r="Z254" s="57"/>
      <c r="AA254" s="58" t="str">
        <f t="shared" si="109"/>
        <v>-</v>
      </c>
      <c r="AB254" s="59"/>
      <c r="AC254" s="58" t="str">
        <f t="shared" si="110"/>
        <v/>
      </c>
      <c r="AD254" s="59"/>
      <c r="AE254" s="58" t="str">
        <f t="shared" si="111"/>
        <v/>
      </c>
      <c r="AF254" s="59"/>
      <c r="AG254" s="58" t="str">
        <f t="shared" si="112"/>
        <v/>
      </c>
      <c r="AH254" s="59"/>
      <c r="AI254" s="58" t="str">
        <f t="shared" si="113"/>
        <v/>
      </c>
      <c r="AJ254" s="59"/>
      <c r="AK254" s="58" t="str">
        <f t="shared" si="114"/>
        <v/>
      </c>
      <c r="AL254" s="59"/>
      <c r="AM254" s="58" t="str">
        <f t="shared" si="115"/>
        <v/>
      </c>
      <c r="AN254" s="59"/>
      <c r="AO254" s="58" t="str">
        <f t="shared" si="116"/>
        <v/>
      </c>
      <c r="AP254" s="59"/>
      <c r="AQ254" s="58" t="str">
        <f t="shared" si="117"/>
        <v/>
      </c>
      <c r="AR254" s="59"/>
      <c r="AS254" s="58" t="str">
        <f t="shared" si="118"/>
        <v/>
      </c>
      <c r="AT254" s="59"/>
      <c r="AU254" s="58" t="str">
        <f t="shared" si="119"/>
        <v/>
      </c>
      <c r="AV254" s="59"/>
      <c r="AW254" s="58">
        <f t="shared" si="120"/>
        <v>1340</v>
      </c>
      <c r="AX254" s="59"/>
      <c r="AY254" s="58" t="str">
        <f t="shared" si="121"/>
        <v/>
      </c>
      <c r="AZ254" s="59"/>
      <c r="BA254" s="58" t="str">
        <f t="shared" si="122"/>
        <v/>
      </c>
      <c r="BB254" s="59"/>
      <c r="BC254" s="58" t="str">
        <f t="shared" si="123"/>
        <v/>
      </c>
      <c r="BD254" s="59"/>
      <c r="BE254" s="58" t="str">
        <f t="shared" si="124"/>
        <v/>
      </c>
      <c r="BF254" s="59"/>
      <c r="BG254" s="58" t="str">
        <f t="shared" si="125"/>
        <v/>
      </c>
      <c r="BH254" s="59"/>
      <c r="BI254" s="58" t="str">
        <f t="shared" si="126"/>
        <v/>
      </c>
      <c r="BJ254" s="59"/>
      <c r="BK254" s="58" t="str">
        <f t="shared" si="127"/>
        <v/>
      </c>
      <c r="BL254" s="59"/>
      <c r="BM254" s="58" t="str">
        <f t="shared" si="128"/>
        <v/>
      </c>
      <c r="BN254" s="59"/>
      <c r="BO254" s="58" t="str">
        <f t="shared" si="129"/>
        <v/>
      </c>
      <c r="BP254" s="59"/>
      <c r="BQ254" s="58" t="str">
        <f t="shared" si="130"/>
        <v/>
      </c>
      <c r="BR254" s="59"/>
      <c r="BS254" s="58" t="str">
        <f t="shared" si="131"/>
        <v/>
      </c>
      <c r="BT254" s="59"/>
      <c r="BU254" s="58" t="str">
        <f t="shared" si="132"/>
        <v/>
      </c>
      <c r="BV254" s="59"/>
    </row>
    <row r="255" spans="1:74" ht="14.5">
      <c r="A255" s="51" t="s">
        <v>58</v>
      </c>
      <c r="B255" s="52">
        <v>296</v>
      </c>
      <c r="C255" s="52" t="s">
        <v>188</v>
      </c>
      <c r="D255" s="41">
        <f t="shared" si="102"/>
        <v>4</v>
      </c>
      <c r="E255" s="52" t="s">
        <v>190</v>
      </c>
      <c r="F255" s="52" t="s">
        <v>242</v>
      </c>
      <c r="G255" s="52" t="s">
        <v>244</v>
      </c>
      <c r="H255" s="52" t="s">
        <v>438</v>
      </c>
      <c r="I255" s="53">
        <v>45678</v>
      </c>
      <c r="J255" s="108">
        <v>1340</v>
      </c>
      <c r="K255" s="101"/>
      <c r="L255" s="101"/>
      <c r="M255" s="101">
        <f t="shared" si="103"/>
        <v>1340</v>
      </c>
      <c r="N255" s="54">
        <f t="shared" si="104"/>
        <v>1340</v>
      </c>
      <c r="O255" s="101" t="s">
        <v>439</v>
      </c>
      <c r="P255" s="102">
        <f t="shared" si="105"/>
        <v>1.8611111111111112</v>
      </c>
      <c r="Q255" s="102">
        <v>6</v>
      </c>
      <c r="R255" s="99">
        <v>120</v>
      </c>
      <c r="S255" s="55">
        <f t="shared" si="134"/>
        <v>45650</v>
      </c>
      <c r="T255" s="55">
        <v>45613</v>
      </c>
      <c r="U255" s="56">
        <f t="shared" ca="1" si="106"/>
        <v>37</v>
      </c>
      <c r="V255" s="55">
        <f t="shared" si="107"/>
        <v>45666</v>
      </c>
      <c r="W255" s="55"/>
      <c r="X255" s="56">
        <f t="shared" ca="1" si="108"/>
        <v>-174</v>
      </c>
      <c r="Y255" s="55"/>
      <c r="Z255" s="57"/>
      <c r="AA255" s="58" t="str">
        <f t="shared" si="109"/>
        <v>-</v>
      </c>
      <c r="AB255" s="59"/>
      <c r="AC255" s="58" t="str">
        <f t="shared" si="110"/>
        <v/>
      </c>
      <c r="AD255" s="59"/>
      <c r="AE255" s="58" t="str">
        <f t="shared" si="111"/>
        <v/>
      </c>
      <c r="AF255" s="59"/>
      <c r="AG255" s="58" t="str">
        <f t="shared" si="112"/>
        <v/>
      </c>
      <c r="AH255" s="59"/>
      <c r="AI255" s="58" t="str">
        <f t="shared" si="113"/>
        <v/>
      </c>
      <c r="AJ255" s="59"/>
      <c r="AK255" s="58" t="str">
        <f t="shared" si="114"/>
        <v/>
      </c>
      <c r="AL255" s="59"/>
      <c r="AM255" s="58" t="str">
        <f t="shared" si="115"/>
        <v/>
      </c>
      <c r="AN255" s="59"/>
      <c r="AO255" s="58" t="str">
        <f t="shared" si="116"/>
        <v/>
      </c>
      <c r="AP255" s="59"/>
      <c r="AQ255" s="58" t="str">
        <f t="shared" si="117"/>
        <v/>
      </c>
      <c r="AR255" s="59"/>
      <c r="AS255" s="58" t="str">
        <f t="shared" si="118"/>
        <v/>
      </c>
      <c r="AT255" s="59"/>
      <c r="AU255" s="58" t="str">
        <f t="shared" si="119"/>
        <v/>
      </c>
      <c r="AV255" s="59"/>
      <c r="AW255" s="58">
        <f t="shared" si="120"/>
        <v>1340</v>
      </c>
      <c r="AX255" s="59"/>
      <c r="AY255" s="58" t="str">
        <f t="shared" si="121"/>
        <v/>
      </c>
      <c r="AZ255" s="59"/>
      <c r="BA255" s="58" t="str">
        <f t="shared" si="122"/>
        <v/>
      </c>
      <c r="BB255" s="59"/>
      <c r="BC255" s="58" t="str">
        <f t="shared" si="123"/>
        <v/>
      </c>
      <c r="BD255" s="59"/>
      <c r="BE255" s="58" t="str">
        <f t="shared" si="124"/>
        <v/>
      </c>
      <c r="BF255" s="59"/>
      <c r="BG255" s="58" t="str">
        <f t="shared" si="125"/>
        <v/>
      </c>
      <c r="BH255" s="59"/>
      <c r="BI255" s="58" t="str">
        <f t="shared" si="126"/>
        <v/>
      </c>
      <c r="BJ255" s="59"/>
      <c r="BK255" s="58" t="str">
        <f t="shared" si="127"/>
        <v/>
      </c>
      <c r="BL255" s="59"/>
      <c r="BM255" s="58" t="str">
        <f t="shared" si="128"/>
        <v/>
      </c>
      <c r="BN255" s="59"/>
      <c r="BO255" s="58" t="str">
        <f t="shared" si="129"/>
        <v/>
      </c>
      <c r="BP255" s="59"/>
      <c r="BQ255" s="58" t="str">
        <f t="shared" si="130"/>
        <v/>
      </c>
      <c r="BR255" s="59"/>
      <c r="BS255" s="58" t="str">
        <f t="shared" si="131"/>
        <v/>
      </c>
      <c r="BT255" s="59"/>
      <c r="BU255" s="58" t="str">
        <f t="shared" si="132"/>
        <v/>
      </c>
      <c r="BV255" s="59"/>
    </row>
    <row r="256" spans="1:74" ht="14.5">
      <c r="A256" s="51" t="s">
        <v>58</v>
      </c>
      <c r="B256" s="52">
        <v>344</v>
      </c>
      <c r="C256" s="52" t="s">
        <v>188</v>
      </c>
      <c r="D256" s="41">
        <f t="shared" si="102"/>
        <v>4</v>
      </c>
      <c r="E256" s="52" t="s">
        <v>189</v>
      </c>
      <c r="F256" s="52" t="s">
        <v>242</v>
      </c>
      <c r="G256" s="52" t="s">
        <v>162</v>
      </c>
      <c r="H256" s="52" t="s">
        <v>432</v>
      </c>
      <c r="I256" s="53">
        <v>45678</v>
      </c>
      <c r="J256" s="108">
        <v>3792</v>
      </c>
      <c r="K256" s="101"/>
      <c r="L256" s="101"/>
      <c r="M256" s="101">
        <f t="shared" si="103"/>
        <v>3792</v>
      </c>
      <c r="N256" s="54">
        <f t="shared" si="104"/>
        <v>3792</v>
      </c>
      <c r="O256" s="101" t="s">
        <v>178</v>
      </c>
      <c r="P256" s="102">
        <f t="shared" si="105"/>
        <v>5.2666666666666666</v>
      </c>
      <c r="Q256" s="102">
        <v>6</v>
      </c>
      <c r="R256" s="99">
        <v>120</v>
      </c>
      <c r="S256" s="55">
        <f t="shared" si="134"/>
        <v>45650</v>
      </c>
      <c r="T256" s="55">
        <v>45620</v>
      </c>
      <c r="U256" s="56">
        <f t="shared" ca="1" si="106"/>
        <v>30</v>
      </c>
      <c r="V256" s="55">
        <f t="shared" si="107"/>
        <v>45666</v>
      </c>
      <c r="W256" s="55"/>
      <c r="X256" s="56">
        <f t="shared" ca="1" si="108"/>
        <v>-174</v>
      </c>
      <c r="Y256" s="55"/>
      <c r="Z256" s="57"/>
      <c r="AA256" s="58" t="str">
        <f t="shared" si="109"/>
        <v>-</v>
      </c>
      <c r="AB256" s="59"/>
      <c r="AC256" s="58" t="str">
        <f t="shared" si="110"/>
        <v/>
      </c>
      <c r="AD256" s="59"/>
      <c r="AE256" s="58" t="str">
        <f t="shared" si="111"/>
        <v/>
      </c>
      <c r="AF256" s="59"/>
      <c r="AG256" s="58" t="str">
        <f t="shared" si="112"/>
        <v/>
      </c>
      <c r="AH256" s="59"/>
      <c r="AI256" s="58" t="str">
        <f t="shared" si="113"/>
        <v/>
      </c>
      <c r="AJ256" s="59"/>
      <c r="AK256" s="58" t="str">
        <f t="shared" si="114"/>
        <v/>
      </c>
      <c r="AL256" s="59"/>
      <c r="AM256" s="58" t="str">
        <f t="shared" si="115"/>
        <v/>
      </c>
      <c r="AN256" s="59"/>
      <c r="AO256" s="58" t="str">
        <f t="shared" si="116"/>
        <v/>
      </c>
      <c r="AP256" s="59"/>
      <c r="AQ256" s="58" t="str">
        <f t="shared" si="117"/>
        <v/>
      </c>
      <c r="AR256" s="59"/>
      <c r="AS256" s="58" t="str">
        <f t="shared" si="118"/>
        <v/>
      </c>
      <c r="AT256" s="59"/>
      <c r="AU256" s="58" t="str">
        <f t="shared" si="119"/>
        <v/>
      </c>
      <c r="AV256" s="59"/>
      <c r="AW256" s="58">
        <f t="shared" si="120"/>
        <v>3792</v>
      </c>
      <c r="AX256" s="59"/>
      <c r="AY256" s="58" t="str">
        <f t="shared" si="121"/>
        <v/>
      </c>
      <c r="AZ256" s="59"/>
      <c r="BA256" s="58" t="str">
        <f t="shared" si="122"/>
        <v/>
      </c>
      <c r="BB256" s="59"/>
      <c r="BC256" s="58" t="str">
        <f t="shared" si="123"/>
        <v/>
      </c>
      <c r="BD256" s="59"/>
      <c r="BE256" s="58" t="str">
        <f t="shared" si="124"/>
        <v/>
      </c>
      <c r="BF256" s="59"/>
      <c r="BG256" s="58" t="str">
        <f t="shared" si="125"/>
        <v/>
      </c>
      <c r="BH256" s="59"/>
      <c r="BI256" s="58" t="str">
        <f t="shared" si="126"/>
        <v/>
      </c>
      <c r="BJ256" s="59"/>
      <c r="BK256" s="58" t="str">
        <f t="shared" si="127"/>
        <v/>
      </c>
      <c r="BL256" s="59"/>
      <c r="BM256" s="58" t="str">
        <f t="shared" si="128"/>
        <v/>
      </c>
      <c r="BN256" s="59"/>
      <c r="BO256" s="58" t="str">
        <f t="shared" si="129"/>
        <v/>
      </c>
      <c r="BP256" s="59"/>
      <c r="BQ256" s="58" t="str">
        <f t="shared" si="130"/>
        <v/>
      </c>
      <c r="BR256" s="59"/>
      <c r="BS256" s="58" t="str">
        <f t="shared" si="131"/>
        <v/>
      </c>
      <c r="BT256" s="59"/>
      <c r="BU256" s="58" t="str">
        <f t="shared" si="132"/>
        <v/>
      </c>
      <c r="BV256" s="59"/>
    </row>
    <row r="257" spans="1:74" ht="14.5">
      <c r="A257" s="51" t="s">
        <v>58</v>
      </c>
      <c r="B257" s="52">
        <v>313</v>
      </c>
      <c r="C257" s="52" t="s">
        <v>188</v>
      </c>
      <c r="D257" s="41">
        <f t="shared" si="102"/>
        <v>4</v>
      </c>
      <c r="E257" s="52" t="s">
        <v>391</v>
      </c>
      <c r="F257" s="52" t="s">
        <v>392</v>
      </c>
      <c r="G257" s="52" t="s">
        <v>393</v>
      </c>
      <c r="H257" s="52" t="s">
        <v>433</v>
      </c>
      <c r="I257" s="53">
        <v>45678</v>
      </c>
      <c r="J257" s="108">
        <v>6684</v>
      </c>
      <c r="K257" s="101"/>
      <c r="L257" s="101"/>
      <c r="M257" s="101">
        <f t="shared" si="103"/>
        <v>6684</v>
      </c>
      <c r="N257" s="54">
        <f t="shared" si="104"/>
        <v>6684</v>
      </c>
      <c r="O257" s="101" t="s">
        <v>178</v>
      </c>
      <c r="P257" s="102">
        <f t="shared" si="105"/>
        <v>13.925000000000001</v>
      </c>
      <c r="Q257" s="102">
        <v>6</v>
      </c>
      <c r="R257" s="99">
        <v>80</v>
      </c>
      <c r="S257" s="55">
        <f t="shared" si="134"/>
        <v>45650</v>
      </c>
      <c r="T257" s="55">
        <v>45620</v>
      </c>
      <c r="U257" s="56">
        <f t="shared" ca="1" si="106"/>
        <v>30</v>
      </c>
      <c r="V257" s="55">
        <f t="shared" si="107"/>
        <v>45666</v>
      </c>
      <c r="W257" s="55"/>
      <c r="X257" s="56">
        <f t="shared" ca="1" si="108"/>
        <v>-174</v>
      </c>
      <c r="Y257" s="55"/>
      <c r="Z257" s="57"/>
      <c r="AA257" s="58" t="str">
        <f t="shared" si="109"/>
        <v>-</v>
      </c>
      <c r="AB257" s="59"/>
      <c r="AC257" s="58" t="str">
        <f t="shared" si="110"/>
        <v/>
      </c>
      <c r="AD257" s="59"/>
      <c r="AE257" s="58" t="str">
        <f t="shared" si="111"/>
        <v/>
      </c>
      <c r="AF257" s="59"/>
      <c r="AG257" s="58" t="str">
        <f t="shared" si="112"/>
        <v/>
      </c>
      <c r="AH257" s="59"/>
      <c r="AI257" s="58" t="str">
        <f t="shared" si="113"/>
        <v/>
      </c>
      <c r="AJ257" s="59"/>
      <c r="AK257" s="58" t="str">
        <f t="shared" si="114"/>
        <v/>
      </c>
      <c r="AL257" s="59"/>
      <c r="AM257" s="58" t="str">
        <f t="shared" si="115"/>
        <v/>
      </c>
      <c r="AN257" s="59"/>
      <c r="AO257" s="58" t="str">
        <f t="shared" si="116"/>
        <v/>
      </c>
      <c r="AP257" s="59"/>
      <c r="AQ257" s="58" t="str">
        <f t="shared" si="117"/>
        <v/>
      </c>
      <c r="AR257" s="59"/>
      <c r="AS257" s="58" t="str">
        <f t="shared" si="118"/>
        <v/>
      </c>
      <c r="AT257" s="59"/>
      <c r="AU257" s="58" t="str">
        <f t="shared" si="119"/>
        <v/>
      </c>
      <c r="AV257" s="59"/>
      <c r="AW257" s="58">
        <f t="shared" si="120"/>
        <v>6684</v>
      </c>
      <c r="AX257" s="59"/>
      <c r="AY257" s="58" t="str">
        <f t="shared" si="121"/>
        <v/>
      </c>
      <c r="AZ257" s="59"/>
      <c r="BA257" s="58" t="str">
        <f t="shared" si="122"/>
        <v/>
      </c>
      <c r="BB257" s="59"/>
      <c r="BC257" s="58" t="str">
        <f t="shared" si="123"/>
        <v/>
      </c>
      <c r="BD257" s="59"/>
      <c r="BE257" s="58" t="str">
        <f t="shared" si="124"/>
        <v/>
      </c>
      <c r="BF257" s="59"/>
      <c r="BG257" s="58" t="str">
        <f t="shared" si="125"/>
        <v/>
      </c>
      <c r="BH257" s="59"/>
      <c r="BI257" s="58" t="str">
        <f t="shared" si="126"/>
        <v/>
      </c>
      <c r="BJ257" s="59"/>
      <c r="BK257" s="58" t="str">
        <f t="shared" si="127"/>
        <v/>
      </c>
      <c r="BL257" s="59"/>
      <c r="BM257" s="58" t="str">
        <f t="shared" si="128"/>
        <v/>
      </c>
      <c r="BN257" s="59"/>
      <c r="BO257" s="58" t="str">
        <f t="shared" si="129"/>
        <v/>
      </c>
      <c r="BP257" s="59"/>
      <c r="BQ257" s="58" t="str">
        <f t="shared" si="130"/>
        <v/>
      </c>
      <c r="BR257" s="59"/>
      <c r="BS257" s="58" t="str">
        <f t="shared" si="131"/>
        <v/>
      </c>
      <c r="BT257" s="59"/>
      <c r="BU257" s="58" t="str">
        <f t="shared" si="132"/>
        <v/>
      </c>
      <c r="BV257" s="59"/>
    </row>
    <row r="258" spans="1:74" ht="14.5">
      <c r="A258" s="51" t="s">
        <v>58</v>
      </c>
      <c r="B258" s="52">
        <v>340</v>
      </c>
      <c r="C258" s="52" t="s">
        <v>188</v>
      </c>
      <c r="D258" s="41">
        <f t="shared" si="102"/>
        <v>4</v>
      </c>
      <c r="E258" s="52" t="s">
        <v>193</v>
      </c>
      <c r="F258" s="52" t="s">
        <v>246</v>
      </c>
      <c r="G258" s="52" t="s">
        <v>162</v>
      </c>
      <c r="H258" s="52" t="s">
        <v>434</v>
      </c>
      <c r="I258" s="53">
        <v>45678</v>
      </c>
      <c r="J258" s="108">
        <v>2235</v>
      </c>
      <c r="K258" s="101"/>
      <c r="L258" s="101"/>
      <c r="M258" s="101">
        <f t="shared" si="103"/>
        <v>2235</v>
      </c>
      <c r="N258" s="54">
        <f t="shared" si="104"/>
        <v>2235</v>
      </c>
      <c r="O258" s="101" t="s">
        <v>178</v>
      </c>
      <c r="P258" s="102">
        <f t="shared" si="105"/>
        <v>6.3857142857142861</v>
      </c>
      <c r="Q258" s="102">
        <v>1</v>
      </c>
      <c r="R258" s="99">
        <v>350</v>
      </c>
      <c r="S258" s="55">
        <f t="shared" si="134"/>
        <v>45650</v>
      </c>
      <c r="T258" s="55">
        <v>45620</v>
      </c>
      <c r="U258" s="56">
        <f t="shared" ca="1" si="106"/>
        <v>30</v>
      </c>
      <c r="V258" s="55">
        <f t="shared" si="107"/>
        <v>45666</v>
      </c>
      <c r="W258" s="55"/>
      <c r="X258" s="56">
        <f t="shared" ca="1" si="108"/>
        <v>-174</v>
      </c>
      <c r="Y258" s="55"/>
      <c r="Z258" s="57"/>
      <c r="AA258" s="58" t="str">
        <f t="shared" si="109"/>
        <v>-</v>
      </c>
      <c r="AB258" s="59"/>
      <c r="AC258" s="58" t="str">
        <f t="shared" si="110"/>
        <v/>
      </c>
      <c r="AD258" s="59"/>
      <c r="AE258" s="58" t="str">
        <f t="shared" si="111"/>
        <v/>
      </c>
      <c r="AF258" s="59"/>
      <c r="AG258" s="58" t="str">
        <f t="shared" si="112"/>
        <v/>
      </c>
      <c r="AH258" s="59"/>
      <c r="AI258" s="58" t="str">
        <f t="shared" si="113"/>
        <v/>
      </c>
      <c r="AJ258" s="59"/>
      <c r="AK258" s="58" t="str">
        <f t="shared" si="114"/>
        <v/>
      </c>
      <c r="AL258" s="59"/>
      <c r="AM258" s="58" t="str">
        <f t="shared" si="115"/>
        <v/>
      </c>
      <c r="AN258" s="59"/>
      <c r="AO258" s="58" t="str">
        <f t="shared" si="116"/>
        <v/>
      </c>
      <c r="AP258" s="59"/>
      <c r="AQ258" s="58" t="str">
        <f t="shared" si="117"/>
        <v/>
      </c>
      <c r="AR258" s="59"/>
      <c r="AS258" s="58" t="str">
        <f t="shared" si="118"/>
        <v/>
      </c>
      <c r="AT258" s="59"/>
      <c r="AU258" s="58" t="str">
        <f t="shared" si="119"/>
        <v/>
      </c>
      <c r="AV258" s="59"/>
      <c r="AW258" s="58">
        <f t="shared" si="120"/>
        <v>2235</v>
      </c>
      <c r="AX258" s="59"/>
      <c r="AY258" s="58" t="str">
        <f t="shared" si="121"/>
        <v/>
      </c>
      <c r="AZ258" s="59"/>
      <c r="BA258" s="58" t="str">
        <f t="shared" si="122"/>
        <v/>
      </c>
      <c r="BB258" s="59"/>
      <c r="BC258" s="58" t="str">
        <f t="shared" si="123"/>
        <v/>
      </c>
      <c r="BD258" s="59"/>
      <c r="BE258" s="58" t="str">
        <f t="shared" si="124"/>
        <v/>
      </c>
      <c r="BF258" s="59"/>
      <c r="BG258" s="58" t="str">
        <f t="shared" si="125"/>
        <v/>
      </c>
      <c r="BH258" s="59"/>
      <c r="BI258" s="58" t="str">
        <f t="shared" si="126"/>
        <v/>
      </c>
      <c r="BJ258" s="59"/>
      <c r="BK258" s="58" t="str">
        <f t="shared" si="127"/>
        <v/>
      </c>
      <c r="BL258" s="59"/>
      <c r="BM258" s="58" t="str">
        <f t="shared" si="128"/>
        <v/>
      </c>
      <c r="BN258" s="59"/>
      <c r="BO258" s="58" t="str">
        <f t="shared" si="129"/>
        <v/>
      </c>
      <c r="BP258" s="59"/>
      <c r="BQ258" s="58" t="str">
        <f t="shared" si="130"/>
        <v/>
      </c>
      <c r="BR258" s="59"/>
      <c r="BS258" s="58" t="str">
        <f t="shared" si="131"/>
        <v/>
      </c>
      <c r="BT258" s="59"/>
      <c r="BU258" s="58" t="str">
        <f t="shared" si="132"/>
        <v/>
      </c>
      <c r="BV258" s="59"/>
    </row>
    <row r="259" spans="1:74" ht="14.5">
      <c r="A259" s="51" t="s">
        <v>58</v>
      </c>
      <c r="B259" s="52">
        <v>340</v>
      </c>
      <c r="C259" s="52" t="s">
        <v>188</v>
      </c>
      <c r="D259" s="41">
        <f t="shared" si="102"/>
        <v>4</v>
      </c>
      <c r="E259" s="52" t="s">
        <v>136</v>
      </c>
      <c r="F259" s="52" t="s">
        <v>247</v>
      </c>
      <c r="G259" s="52" t="s">
        <v>162</v>
      </c>
      <c r="H259" s="52" t="s">
        <v>442</v>
      </c>
      <c r="I259" s="53">
        <v>45678</v>
      </c>
      <c r="J259" s="108">
        <v>1488</v>
      </c>
      <c r="K259" s="101"/>
      <c r="L259" s="101"/>
      <c r="M259" s="101">
        <f t="shared" si="103"/>
        <v>1488</v>
      </c>
      <c r="N259" s="54">
        <f t="shared" si="104"/>
        <v>1488</v>
      </c>
      <c r="O259" s="101" t="s">
        <v>443</v>
      </c>
      <c r="P259" s="102">
        <f t="shared" si="105"/>
        <v>0.85028571428571431</v>
      </c>
      <c r="Q259" s="102">
        <v>5</v>
      </c>
      <c r="R259" s="99">
        <v>350</v>
      </c>
      <c r="S259" s="55">
        <f t="shared" si="134"/>
        <v>45650</v>
      </c>
      <c r="T259" s="55">
        <v>45620</v>
      </c>
      <c r="U259" s="56">
        <f t="shared" ca="1" si="106"/>
        <v>30</v>
      </c>
      <c r="V259" s="55">
        <f t="shared" si="107"/>
        <v>45666</v>
      </c>
      <c r="W259" s="55"/>
      <c r="X259" s="56">
        <f t="shared" ca="1" si="108"/>
        <v>-174</v>
      </c>
      <c r="Y259" s="55"/>
      <c r="Z259" s="57"/>
      <c r="AA259" s="58" t="str">
        <f t="shared" si="109"/>
        <v>-</v>
      </c>
      <c r="AB259" s="59"/>
      <c r="AC259" s="58" t="str">
        <f t="shared" si="110"/>
        <v/>
      </c>
      <c r="AD259" s="59"/>
      <c r="AE259" s="58" t="str">
        <f t="shared" si="111"/>
        <v/>
      </c>
      <c r="AF259" s="59"/>
      <c r="AG259" s="58" t="str">
        <f t="shared" si="112"/>
        <v/>
      </c>
      <c r="AH259" s="59"/>
      <c r="AI259" s="58" t="str">
        <f t="shared" si="113"/>
        <v/>
      </c>
      <c r="AJ259" s="59"/>
      <c r="AK259" s="58" t="str">
        <f t="shared" si="114"/>
        <v/>
      </c>
      <c r="AL259" s="59"/>
      <c r="AM259" s="58" t="str">
        <f t="shared" si="115"/>
        <v/>
      </c>
      <c r="AN259" s="59"/>
      <c r="AO259" s="58" t="str">
        <f t="shared" si="116"/>
        <v/>
      </c>
      <c r="AP259" s="59"/>
      <c r="AQ259" s="58" t="str">
        <f t="shared" si="117"/>
        <v/>
      </c>
      <c r="AR259" s="59"/>
      <c r="AS259" s="58" t="str">
        <f t="shared" si="118"/>
        <v/>
      </c>
      <c r="AT259" s="59"/>
      <c r="AU259" s="58" t="str">
        <f t="shared" si="119"/>
        <v/>
      </c>
      <c r="AV259" s="59"/>
      <c r="AW259" s="58">
        <f t="shared" si="120"/>
        <v>1488</v>
      </c>
      <c r="AX259" s="59"/>
      <c r="AY259" s="58" t="str">
        <f t="shared" si="121"/>
        <v/>
      </c>
      <c r="AZ259" s="59"/>
      <c r="BA259" s="58" t="str">
        <f t="shared" si="122"/>
        <v/>
      </c>
      <c r="BB259" s="59"/>
      <c r="BC259" s="58" t="str">
        <f t="shared" si="123"/>
        <v/>
      </c>
      <c r="BD259" s="59"/>
      <c r="BE259" s="58" t="str">
        <f t="shared" si="124"/>
        <v/>
      </c>
      <c r="BF259" s="59"/>
      <c r="BG259" s="58" t="str">
        <f t="shared" si="125"/>
        <v/>
      </c>
      <c r="BH259" s="59"/>
      <c r="BI259" s="58" t="str">
        <f t="shared" si="126"/>
        <v/>
      </c>
      <c r="BJ259" s="59"/>
      <c r="BK259" s="58" t="str">
        <f t="shared" si="127"/>
        <v/>
      </c>
      <c r="BL259" s="59"/>
      <c r="BM259" s="58" t="str">
        <f t="shared" si="128"/>
        <v/>
      </c>
      <c r="BN259" s="59"/>
      <c r="BO259" s="58" t="str">
        <f t="shared" si="129"/>
        <v/>
      </c>
      <c r="BP259" s="59"/>
      <c r="BQ259" s="58" t="str">
        <f t="shared" si="130"/>
        <v/>
      </c>
      <c r="BR259" s="59"/>
      <c r="BS259" s="58" t="str">
        <f t="shared" si="131"/>
        <v/>
      </c>
      <c r="BT259" s="59"/>
      <c r="BU259" s="58" t="str">
        <f t="shared" si="132"/>
        <v/>
      </c>
      <c r="BV259" s="59"/>
    </row>
    <row r="260" spans="1:74" ht="14.5">
      <c r="A260" s="51" t="s">
        <v>58</v>
      </c>
      <c r="B260" s="52">
        <v>340</v>
      </c>
      <c r="C260" s="52" t="s">
        <v>188</v>
      </c>
      <c r="D260" s="41">
        <f t="shared" si="102"/>
        <v>4</v>
      </c>
      <c r="E260" s="52" t="s">
        <v>136</v>
      </c>
      <c r="F260" s="52" t="s">
        <v>247</v>
      </c>
      <c r="G260" s="52" t="s">
        <v>163</v>
      </c>
      <c r="H260" s="52" t="s">
        <v>442</v>
      </c>
      <c r="I260" s="53">
        <v>45678</v>
      </c>
      <c r="J260" s="108">
        <v>1488</v>
      </c>
      <c r="K260" s="101"/>
      <c r="L260" s="101"/>
      <c r="M260" s="101">
        <f t="shared" si="103"/>
        <v>1488</v>
      </c>
      <c r="N260" s="54">
        <f t="shared" si="104"/>
        <v>1488</v>
      </c>
      <c r="O260" s="101" t="s">
        <v>443</v>
      </c>
      <c r="P260" s="102">
        <f t="shared" si="105"/>
        <v>0.85028571428571431</v>
      </c>
      <c r="Q260" s="102">
        <v>5</v>
      </c>
      <c r="R260" s="99">
        <v>350</v>
      </c>
      <c r="S260" s="55">
        <f t="shared" si="134"/>
        <v>45650</v>
      </c>
      <c r="T260" s="55">
        <v>45620</v>
      </c>
      <c r="U260" s="56">
        <f t="shared" ca="1" si="106"/>
        <v>30</v>
      </c>
      <c r="V260" s="55">
        <f t="shared" si="107"/>
        <v>45666</v>
      </c>
      <c r="W260" s="55"/>
      <c r="X260" s="56">
        <f t="shared" ca="1" si="108"/>
        <v>-174</v>
      </c>
      <c r="Y260" s="55"/>
      <c r="Z260" s="57"/>
      <c r="AA260" s="58" t="str">
        <f t="shared" si="109"/>
        <v>-</v>
      </c>
      <c r="AB260" s="59"/>
      <c r="AC260" s="58" t="str">
        <f t="shared" si="110"/>
        <v/>
      </c>
      <c r="AD260" s="59"/>
      <c r="AE260" s="58" t="str">
        <f t="shared" si="111"/>
        <v/>
      </c>
      <c r="AF260" s="59"/>
      <c r="AG260" s="58" t="str">
        <f t="shared" si="112"/>
        <v/>
      </c>
      <c r="AH260" s="59"/>
      <c r="AI260" s="58" t="str">
        <f t="shared" si="113"/>
        <v/>
      </c>
      <c r="AJ260" s="59"/>
      <c r="AK260" s="58" t="str">
        <f t="shared" si="114"/>
        <v/>
      </c>
      <c r="AL260" s="59"/>
      <c r="AM260" s="58" t="str">
        <f t="shared" si="115"/>
        <v/>
      </c>
      <c r="AN260" s="59"/>
      <c r="AO260" s="58" t="str">
        <f t="shared" si="116"/>
        <v/>
      </c>
      <c r="AP260" s="59"/>
      <c r="AQ260" s="58" t="str">
        <f t="shared" si="117"/>
        <v/>
      </c>
      <c r="AR260" s="59"/>
      <c r="AS260" s="58" t="str">
        <f t="shared" si="118"/>
        <v/>
      </c>
      <c r="AT260" s="59"/>
      <c r="AU260" s="58" t="str">
        <f t="shared" si="119"/>
        <v/>
      </c>
      <c r="AV260" s="59"/>
      <c r="AW260" s="58">
        <f t="shared" si="120"/>
        <v>1488</v>
      </c>
      <c r="AX260" s="59"/>
      <c r="AY260" s="58" t="str">
        <f t="shared" si="121"/>
        <v/>
      </c>
      <c r="AZ260" s="59"/>
      <c r="BA260" s="58" t="str">
        <f t="shared" si="122"/>
        <v/>
      </c>
      <c r="BB260" s="59"/>
      <c r="BC260" s="58" t="str">
        <f t="shared" si="123"/>
        <v/>
      </c>
      <c r="BD260" s="59"/>
      <c r="BE260" s="58" t="str">
        <f t="shared" si="124"/>
        <v/>
      </c>
      <c r="BF260" s="59"/>
      <c r="BG260" s="58" t="str">
        <f t="shared" si="125"/>
        <v/>
      </c>
      <c r="BH260" s="59"/>
      <c r="BI260" s="58" t="str">
        <f t="shared" si="126"/>
        <v/>
      </c>
      <c r="BJ260" s="59"/>
      <c r="BK260" s="58" t="str">
        <f t="shared" si="127"/>
        <v/>
      </c>
      <c r="BL260" s="59"/>
      <c r="BM260" s="58" t="str">
        <f t="shared" si="128"/>
        <v/>
      </c>
      <c r="BN260" s="59"/>
      <c r="BO260" s="58" t="str">
        <f t="shared" si="129"/>
        <v/>
      </c>
      <c r="BP260" s="59"/>
      <c r="BQ260" s="58" t="str">
        <f t="shared" si="130"/>
        <v/>
      </c>
      <c r="BR260" s="59"/>
      <c r="BS260" s="58" t="str">
        <f t="shared" si="131"/>
        <v/>
      </c>
      <c r="BT260" s="59"/>
      <c r="BU260" s="58" t="str">
        <f t="shared" si="132"/>
        <v/>
      </c>
      <c r="BV260" s="59"/>
    </row>
    <row r="261" spans="1:74" ht="14.5">
      <c r="A261" s="51" t="s">
        <v>58</v>
      </c>
      <c r="B261" s="52">
        <v>340</v>
      </c>
      <c r="C261" s="52" t="s">
        <v>188</v>
      </c>
      <c r="D261" s="41">
        <f t="shared" si="102"/>
        <v>4</v>
      </c>
      <c r="E261" s="52" t="s">
        <v>136</v>
      </c>
      <c r="F261" s="52" t="s">
        <v>247</v>
      </c>
      <c r="G261" s="52" t="s">
        <v>164</v>
      </c>
      <c r="H261" s="52" t="s">
        <v>442</v>
      </c>
      <c r="I261" s="53">
        <v>45678</v>
      </c>
      <c r="J261" s="108">
        <v>1488</v>
      </c>
      <c r="K261" s="101"/>
      <c r="L261" s="101"/>
      <c r="M261" s="101">
        <f t="shared" si="103"/>
        <v>1488</v>
      </c>
      <c r="N261" s="54">
        <f t="shared" si="104"/>
        <v>1488</v>
      </c>
      <c r="O261" s="101" t="s">
        <v>443</v>
      </c>
      <c r="P261" s="102">
        <f t="shared" si="105"/>
        <v>0.85028571428571431</v>
      </c>
      <c r="Q261" s="102">
        <v>5</v>
      </c>
      <c r="R261" s="99">
        <v>350</v>
      </c>
      <c r="S261" s="55">
        <f t="shared" si="134"/>
        <v>45650</v>
      </c>
      <c r="T261" s="55">
        <v>45620</v>
      </c>
      <c r="U261" s="56">
        <f t="shared" ca="1" si="106"/>
        <v>30</v>
      </c>
      <c r="V261" s="55">
        <f t="shared" si="107"/>
        <v>45666</v>
      </c>
      <c r="W261" s="55"/>
      <c r="X261" s="56">
        <f t="shared" ca="1" si="108"/>
        <v>-174</v>
      </c>
      <c r="Y261" s="55"/>
      <c r="Z261" s="57"/>
      <c r="AA261" s="58" t="str">
        <f t="shared" si="109"/>
        <v>-</v>
      </c>
      <c r="AB261" s="59"/>
      <c r="AC261" s="58" t="str">
        <f t="shared" si="110"/>
        <v/>
      </c>
      <c r="AD261" s="59"/>
      <c r="AE261" s="58" t="str">
        <f t="shared" si="111"/>
        <v/>
      </c>
      <c r="AF261" s="59"/>
      <c r="AG261" s="58" t="str">
        <f t="shared" si="112"/>
        <v/>
      </c>
      <c r="AH261" s="59"/>
      <c r="AI261" s="58" t="str">
        <f t="shared" si="113"/>
        <v/>
      </c>
      <c r="AJ261" s="59"/>
      <c r="AK261" s="58" t="str">
        <f t="shared" si="114"/>
        <v/>
      </c>
      <c r="AL261" s="59"/>
      <c r="AM261" s="58" t="str">
        <f t="shared" si="115"/>
        <v/>
      </c>
      <c r="AN261" s="59"/>
      <c r="AO261" s="58" t="str">
        <f t="shared" si="116"/>
        <v/>
      </c>
      <c r="AP261" s="59"/>
      <c r="AQ261" s="58" t="str">
        <f t="shared" si="117"/>
        <v/>
      </c>
      <c r="AR261" s="59"/>
      <c r="AS261" s="58" t="str">
        <f t="shared" si="118"/>
        <v/>
      </c>
      <c r="AT261" s="59"/>
      <c r="AU261" s="58" t="str">
        <f t="shared" si="119"/>
        <v/>
      </c>
      <c r="AV261" s="59"/>
      <c r="AW261" s="58">
        <f t="shared" si="120"/>
        <v>1488</v>
      </c>
      <c r="AX261" s="59"/>
      <c r="AY261" s="58" t="str">
        <f t="shared" si="121"/>
        <v/>
      </c>
      <c r="AZ261" s="59"/>
      <c r="BA261" s="58" t="str">
        <f t="shared" si="122"/>
        <v/>
      </c>
      <c r="BB261" s="59"/>
      <c r="BC261" s="58" t="str">
        <f t="shared" si="123"/>
        <v/>
      </c>
      <c r="BD261" s="59"/>
      <c r="BE261" s="58" t="str">
        <f t="shared" si="124"/>
        <v/>
      </c>
      <c r="BF261" s="59"/>
      <c r="BG261" s="58" t="str">
        <f t="shared" si="125"/>
        <v/>
      </c>
      <c r="BH261" s="59"/>
      <c r="BI261" s="58" t="str">
        <f t="shared" si="126"/>
        <v/>
      </c>
      <c r="BJ261" s="59"/>
      <c r="BK261" s="58" t="str">
        <f t="shared" si="127"/>
        <v/>
      </c>
      <c r="BL261" s="59"/>
      <c r="BM261" s="58" t="str">
        <f t="shared" si="128"/>
        <v/>
      </c>
      <c r="BN261" s="59"/>
      <c r="BO261" s="58" t="str">
        <f t="shared" si="129"/>
        <v/>
      </c>
      <c r="BP261" s="59"/>
      <c r="BQ261" s="58" t="str">
        <f t="shared" si="130"/>
        <v/>
      </c>
      <c r="BR261" s="59"/>
      <c r="BS261" s="58" t="str">
        <f t="shared" si="131"/>
        <v/>
      </c>
      <c r="BT261" s="59"/>
      <c r="BU261" s="58" t="str">
        <f t="shared" si="132"/>
        <v/>
      </c>
      <c r="BV261" s="59"/>
    </row>
    <row r="262" spans="1:74" ht="14.5">
      <c r="A262" s="51" t="s">
        <v>58</v>
      </c>
      <c r="B262" s="52">
        <v>340</v>
      </c>
      <c r="C262" s="52" t="s">
        <v>188</v>
      </c>
      <c r="D262" s="41">
        <f t="shared" si="102"/>
        <v>4</v>
      </c>
      <c r="E262" s="52" t="s">
        <v>81</v>
      </c>
      <c r="F262" s="52" t="s">
        <v>290</v>
      </c>
      <c r="G262" s="52" t="s">
        <v>291</v>
      </c>
      <c r="H262" s="52" t="s">
        <v>435</v>
      </c>
      <c r="I262" s="53">
        <v>45678</v>
      </c>
      <c r="J262" s="108">
        <v>1488</v>
      </c>
      <c r="K262" s="101"/>
      <c r="L262" s="101"/>
      <c r="M262" s="101">
        <f t="shared" si="103"/>
        <v>1488</v>
      </c>
      <c r="N262" s="54">
        <f t="shared" si="104"/>
        <v>1488</v>
      </c>
      <c r="O262" s="101" t="s">
        <v>436</v>
      </c>
      <c r="P262" s="102">
        <f t="shared" si="105"/>
        <v>0.16666666666666666</v>
      </c>
      <c r="Q262" s="102">
        <v>6</v>
      </c>
      <c r="R262" s="99">
        <v>1488</v>
      </c>
      <c r="S262" s="55">
        <f t="shared" si="134"/>
        <v>45650</v>
      </c>
      <c r="T262" s="55"/>
      <c r="U262" s="56">
        <f t="shared" ca="1" si="106"/>
        <v>-190</v>
      </c>
      <c r="V262" s="55">
        <f t="shared" si="107"/>
        <v>45666</v>
      </c>
      <c r="W262" s="55"/>
      <c r="X262" s="56">
        <f t="shared" ca="1" si="108"/>
        <v>-174</v>
      </c>
      <c r="Y262" s="55"/>
      <c r="Z262" s="57"/>
      <c r="AA262" s="58" t="str">
        <f t="shared" si="109"/>
        <v>-</v>
      </c>
      <c r="AB262" s="59"/>
      <c r="AC262" s="58" t="str">
        <f t="shared" si="110"/>
        <v/>
      </c>
      <c r="AD262" s="59"/>
      <c r="AE262" s="58" t="str">
        <f t="shared" si="111"/>
        <v/>
      </c>
      <c r="AF262" s="59"/>
      <c r="AG262" s="58" t="str">
        <f t="shared" si="112"/>
        <v/>
      </c>
      <c r="AH262" s="59"/>
      <c r="AI262" s="58" t="str">
        <f t="shared" si="113"/>
        <v/>
      </c>
      <c r="AJ262" s="59"/>
      <c r="AK262" s="58" t="str">
        <f t="shared" si="114"/>
        <v/>
      </c>
      <c r="AL262" s="59"/>
      <c r="AM262" s="58" t="str">
        <f t="shared" si="115"/>
        <v/>
      </c>
      <c r="AN262" s="59"/>
      <c r="AO262" s="58" t="str">
        <f t="shared" si="116"/>
        <v/>
      </c>
      <c r="AP262" s="59"/>
      <c r="AQ262" s="58" t="str">
        <f t="shared" si="117"/>
        <v/>
      </c>
      <c r="AR262" s="59"/>
      <c r="AS262" s="58" t="str">
        <f t="shared" si="118"/>
        <v/>
      </c>
      <c r="AT262" s="59"/>
      <c r="AU262" s="58" t="str">
        <f t="shared" si="119"/>
        <v/>
      </c>
      <c r="AV262" s="59"/>
      <c r="AW262" s="58">
        <f t="shared" si="120"/>
        <v>1488</v>
      </c>
      <c r="AX262" s="59"/>
      <c r="AY262" s="58" t="str">
        <f t="shared" si="121"/>
        <v/>
      </c>
      <c r="AZ262" s="59"/>
      <c r="BA262" s="58" t="str">
        <f t="shared" si="122"/>
        <v/>
      </c>
      <c r="BB262" s="59"/>
      <c r="BC262" s="58" t="str">
        <f t="shared" si="123"/>
        <v/>
      </c>
      <c r="BD262" s="59"/>
      <c r="BE262" s="58" t="str">
        <f t="shared" si="124"/>
        <v/>
      </c>
      <c r="BF262" s="59"/>
      <c r="BG262" s="58" t="str">
        <f t="shared" si="125"/>
        <v/>
      </c>
      <c r="BH262" s="59"/>
      <c r="BI262" s="58" t="str">
        <f t="shared" si="126"/>
        <v/>
      </c>
      <c r="BJ262" s="59"/>
      <c r="BK262" s="58" t="str">
        <f t="shared" si="127"/>
        <v/>
      </c>
      <c r="BL262" s="59"/>
      <c r="BM262" s="58" t="str">
        <f t="shared" si="128"/>
        <v/>
      </c>
      <c r="BN262" s="59"/>
      <c r="BO262" s="58" t="str">
        <f t="shared" si="129"/>
        <v/>
      </c>
      <c r="BP262" s="59"/>
      <c r="BQ262" s="58" t="str">
        <f t="shared" si="130"/>
        <v/>
      </c>
      <c r="BR262" s="59"/>
      <c r="BS262" s="58" t="str">
        <f t="shared" si="131"/>
        <v/>
      </c>
      <c r="BT262" s="59"/>
      <c r="BU262" s="58" t="str">
        <f t="shared" si="132"/>
        <v/>
      </c>
      <c r="BV262" s="59"/>
    </row>
    <row r="263" spans="1:74" ht="14.5">
      <c r="A263" s="51" t="s">
        <v>58</v>
      </c>
      <c r="B263" s="52">
        <v>340</v>
      </c>
      <c r="C263" s="52" t="s">
        <v>188</v>
      </c>
      <c r="D263" s="41">
        <f t="shared" ref="D263:D326" si="135">+WEEKNUM(I263)</f>
        <v>4</v>
      </c>
      <c r="E263" s="52" t="s">
        <v>81</v>
      </c>
      <c r="F263" s="52" t="s">
        <v>290</v>
      </c>
      <c r="G263" s="52" t="s">
        <v>293</v>
      </c>
      <c r="H263" s="52" t="s">
        <v>435</v>
      </c>
      <c r="I263" s="53">
        <v>45678</v>
      </c>
      <c r="J263" s="108">
        <v>1488</v>
      </c>
      <c r="K263" s="101"/>
      <c r="L263" s="101"/>
      <c r="M263" s="101">
        <f t="shared" ref="M263:M326" si="136">+J263-L263</f>
        <v>1488</v>
      </c>
      <c r="N263" s="54">
        <f t="shared" ref="N263:N326" si="137">+J263-K263</f>
        <v>1488</v>
      </c>
      <c r="O263" s="101" t="s">
        <v>436</v>
      </c>
      <c r="P263" s="102">
        <f t="shared" ref="P263:P326" si="138">J263/(R263*Q263)</f>
        <v>0.16666666666666666</v>
      </c>
      <c r="Q263" s="102">
        <v>6</v>
      </c>
      <c r="R263" s="99">
        <v>1488</v>
      </c>
      <c r="S263" s="55">
        <f t="shared" si="134"/>
        <v>45650</v>
      </c>
      <c r="T263" s="55"/>
      <c r="U263" s="56">
        <f t="shared" ref="U263:U303" ca="1" si="139">+IF(T263="",S263-TODAY(),S263-T263)</f>
        <v>-190</v>
      </c>
      <c r="V263" s="55">
        <f t="shared" ref="V263:V303" si="140">+S263+16</f>
        <v>45666</v>
      </c>
      <c r="W263" s="55"/>
      <c r="X263" s="56">
        <f t="shared" ref="X263:X303" ca="1" si="141">+IF(W263="",V263-TODAY(),V263-W263)</f>
        <v>-174</v>
      </c>
      <c r="Y263" s="55"/>
      <c r="Z263" s="57"/>
      <c r="AA263" s="58" t="str">
        <f t="shared" ref="AA263:AA326" si="142">+IF($AA$4=WEEKNUM(S263),J263,"-")</f>
        <v>-</v>
      </c>
      <c r="AB263" s="59"/>
      <c r="AC263" s="58" t="str">
        <f t="shared" ref="AC263:AC326" si="143">+IF($AC$4=WEEKNUM(S263),J263,"")</f>
        <v/>
      </c>
      <c r="AD263" s="59"/>
      <c r="AE263" s="58" t="str">
        <f t="shared" ref="AE263:AE326" si="144">+IF($AE$4=WEEKNUM(S263),J263,"")</f>
        <v/>
      </c>
      <c r="AF263" s="59"/>
      <c r="AG263" s="58" t="str">
        <f t="shared" ref="AG263:AG326" si="145">+IF($AG$4=WEEKNUM(S263),J263,"")</f>
        <v/>
      </c>
      <c r="AH263" s="59"/>
      <c r="AI263" s="58" t="str">
        <f t="shared" ref="AI263:AI326" si="146">+IF($AI$4=WEEKNUM(S263),J263,"")</f>
        <v/>
      </c>
      <c r="AJ263" s="59"/>
      <c r="AK263" s="58" t="str">
        <f t="shared" ref="AK263:AK326" si="147">+IF($AK$4=WEEKNUM(S263),J263,"")</f>
        <v/>
      </c>
      <c r="AL263" s="59"/>
      <c r="AM263" s="58" t="str">
        <f t="shared" ref="AM263:AM326" si="148">+IF($AM$4=WEEKNUM(S263),J263,"")</f>
        <v/>
      </c>
      <c r="AN263" s="59"/>
      <c r="AO263" s="58" t="str">
        <f t="shared" ref="AO263:AO326" si="149">+IF($AO$4=WEEKNUM(S263),J263,"")</f>
        <v/>
      </c>
      <c r="AP263" s="59"/>
      <c r="AQ263" s="58" t="str">
        <f t="shared" ref="AQ263:AQ326" si="150">+IF($AQ$4=WEEKNUM(S263),J263,"")</f>
        <v/>
      </c>
      <c r="AR263" s="59"/>
      <c r="AS263" s="58" t="str">
        <f t="shared" ref="AS263:AS326" si="151">+IF($AS$4=WEEKNUM(S263),J263,"")</f>
        <v/>
      </c>
      <c r="AT263" s="59"/>
      <c r="AU263" s="58" t="str">
        <f t="shared" ref="AU263:AU326" si="152">+IF($AU$4=WEEKNUM(S263),J263,"")</f>
        <v/>
      </c>
      <c r="AV263" s="59"/>
      <c r="AW263" s="58">
        <f t="shared" ref="AW263:AW326" si="153">+IF($AW$4=WEEKNUM(S263),J263,"")</f>
        <v>1488</v>
      </c>
      <c r="AX263" s="59"/>
      <c r="AY263" s="58" t="str">
        <f t="shared" ref="AY263:AY326" si="154">+IF($AY$4=WEEKNUM(S263),J263,"")</f>
        <v/>
      </c>
      <c r="AZ263" s="59"/>
      <c r="BA263" s="58" t="str">
        <f t="shared" ref="BA263:BA326" si="155">+IF($BA$4=WEEKNUM(S263),J263,"")</f>
        <v/>
      </c>
      <c r="BB263" s="59"/>
      <c r="BC263" s="58" t="str">
        <f t="shared" ref="BC263:BC326" si="156">+IF($BC$4=WEEKNUM(S263),J263,"")</f>
        <v/>
      </c>
      <c r="BD263" s="59"/>
      <c r="BE263" s="58" t="str">
        <f t="shared" ref="BE263:BE326" si="157">+IF($BE$4=WEEKNUM(S263),J263,"")</f>
        <v/>
      </c>
      <c r="BF263" s="59"/>
      <c r="BG263" s="58" t="str">
        <f t="shared" ref="BG263:BG326" si="158">+IF($BG$4=WEEKNUM(S263),J263,"")</f>
        <v/>
      </c>
      <c r="BH263" s="59"/>
      <c r="BI263" s="58" t="str">
        <f t="shared" ref="BI263:BI326" si="159">+IF($BI$4=WEEKNUM(S263),J263,"")</f>
        <v/>
      </c>
      <c r="BJ263" s="59"/>
      <c r="BK263" s="58" t="str">
        <f t="shared" ref="BK263:BK326" si="160">+IF($BK$4=WEEKNUM(S263),J263,"")</f>
        <v/>
      </c>
      <c r="BL263" s="59"/>
      <c r="BM263" s="58" t="str">
        <f t="shared" ref="BM263:BM326" si="161">+IF($BM$4=WEEKNUM(S263),J263,"")</f>
        <v/>
      </c>
      <c r="BN263" s="59"/>
      <c r="BO263" s="58" t="str">
        <f t="shared" ref="BO263:BO326" si="162">+IF($BO$4=WEEKNUM(S263),J263,"")</f>
        <v/>
      </c>
      <c r="BP263" s="59"/>
      <c r="BQ263" s="58" t="str">
        <f t="shared" ref="BQ263:BQ326" si="163">+IF($BQ$4=WEEKNUM(S263),J263,"")</f>
        <v/>
      </c>
      <c r="BR263" s="59"/>
      <c r="BS263" s="58" t="str">
        <f t="shared" ref="BS263:BS326" si="164">+IF($BS$4=WEEKNUM(S263),J263,"")</f>
        <v/>
      </c>
      <c r="BT263" s="59"/>
      <c r="BU263" s="58" t="str">
        <f t="shared" ref="BU263:BU326" si="165">+IF($BU$4=WEEKNUM(S263),J263,"")</f>
        <v/>
      </c>
      <c r="BV263" s="59"/>
    </row>
    <row r="264" spans="1:74" ht="14.5">
      <c r="A264" s="51" t="s">
        <v>58</v>
      </c>
      <c r="B264" s="52">
        <v>340</v>
      </c>
      <c r="C264" s="52" t="s">
        <v>188</v>
      </c>
      <c r="D264" s="41">
        <f t="shared" si="135"/>
        <v>4</v>
      </c>
      <c r="E264" s="52" t="s">
        <v>81</v>
      </c>
      <c r="F264" s="52" t="s">
        <v>290</v>
      </c>
      <c r="G264" s="52" t="s">
        <v>294</v>
      </c>
      <c r="H264" s="52" t="s">
        <v>435</v>
      </c>
      <c r="I264" s="53">
        <v>45678</v>
      </c>
      <c r="J264" s="108">
        <v>1488</v>
      </c>
      <c r="K264" s="101"/>
      <c r="L264" s="101"/>
      <c r="M264" s="101">
        <f t="shared" si="136"/>
        <v>1488</v>
      </c>
      <c r="N264" s="54">
        <f t="shared" si="137"/>
        <v>1488</v>
      </c>
      <c r="O264" s="101" t="s">
        <v>436</v>
      </c>
      <c r="P264" s="102">
        <f t="shared" si="138"/>
        <v>0.16666666666666666</v>
      </c>
      <c r="Q264" s="102">
        <v>6</v>
      </c>
      <c r="R264" s="99">
        <v>1488</v>
      </c>
      <c r="S264" s="55">
        <f t="shared" si="134"/>
        <v>45650</v>
      </c>
      <c r="T264" s="55"/>
      <c r="U264" s="56">
        <f t="shared" ca="1" si="139"/>
        <v>-190</v>
      </c>
      <c r="V264" s="55">
        <f t="shared" si="140"/>
        <v>45666</v>
      </c>
      <c r="W264" s="55"/>
      <c r="X264" s="56">
        <f t="shared" ca="1" si="141"/>
        <v>-174</v>
      </c>
      <c r="Y264" s="55"/>
      <c r="Z264" s="57"/>
      <c r="AA264" s="58" t="str">
        <f t="shared" si="142"/>
        <v>-</v>
      </c>
      <c r="AB264" s="59"/>
      <c r="AC264" s="58" t="str">
        <f t="shared" si="143"/>
        <v/>
      </c>
      <c r="AD264" s="59"/>
      <c r="AE264" s="58" t="str">
        <f t="shared" si="144"/>
        <v/>
      </c>
      <c r="AF264" s="59"/>
      <c r="AG264" s="58" t="str">
        <f t="shared" si="145"/>
        <v/>
      </c>
      <c r="AH264" s="59"/>
      <c r="AI264" s="58" t="str">
        <f t="shared" si="146"/>
        <v/>
      </c>
      <c r="AJ264" s="59"/>
      <c r="AK264" s="58" t="str">
        <f t="shared" si="147"/>
        <v/>
      </c>
      <c r="AL264" s="59"/>
      <c r="AM264" s="58" t="str">
        <f t="shared" si="148"/>
        <v/>
      </c>
      <c r="AN264" s="59"/>
      <c r="AO264" s="58" t="str">
        <f t="shared" si="149"/>
        <v/>
      </c>
      <c r="AP264" s="59"/>
      <c r="AQ264" s="58" t="str">
        <f t="shared" si="150"/>
        <v/>
      </c>
      <c r="AR264" s="59"/>
      <c r="AS264" s="58" t="str">
        <f t="shared" si="151"/>
        <v/>
      </c>
      <c r="AT264" s="59"/>
      <c r="AU264" s="58" t="str">
        <f t="shared" si="152"/>
        <v/>
      </c>
      <c r="AV264" s="59"/>
      <c r="AW264" s="58">
        <f t="shared" si="153"/>
        <v>1488</v>
      </c>
      <c r="AX264" s="59"/>
      <c r="AY264" s="58" t="str">
        <f t="shared" si="154"/>
        <v/>
      </c>
      <c r="AZ264" s="59"/>
      <c r="BA264" s="58" t="str">
        <f t="shared" si="155"/>
        <v/>
      </c>
      <c r="BB264" s="59"/>
      <c r="BC264" s="58" t="str">
        <f t="shared" si="156"/>
        <v/>
      </c>
      <c r="BD264" s="59"/>
      <c r="BE264" s="58" t="str">
        <f t="shared" si="157"/>
        <v/>
      </c>
      <c r="BF264" s="59"/>
      <c r="BG264" s="58" t="str">
        <f t="shared" si="158"/>
        <v/>
      </c>
      <c r="BH264" s="59"/>
      <c r="BI264" s="58" t="str">
        <f t="shared" si="159"/>
        <v/>
      </c>
      <c r="BJ264" s="59"/>
      <c r="BK264" s="58" t="str">
        <f t="shared" si="160"/>
        <v/>
      </c>
      <c r="BL264" s="59"/>
      <c r="BM264" s="58" t="str">
        <f t="shared" si="161"/>
        <v/>
      </c>
      <c r="BN264" s="59"/>
      <c r="BO264" s="58" t="str">
        <f t="shared" si="162"/>
        <v/>
      </c>
      <c r="BP264" s="59"/>
      <c r="BQ264" s="58" t="str">
        <f t="shared" si="163"/>
        <v/>
      </c>
      <c r="BR264" s="59"/>
      <c r="BS264" s="58" t="str">
        <f t="shared" si="164"/>
        <v/>
      </c>
      <c r="BT264" s="59"/>
      <c r="BU264" s="58" t="str">
        <f t="shared" si="165"/>
        <v/>
      </c>
      <c r="BV264" s="59"/>
    </row>
    <row r="265" spans="1:74" ht="14.5">
      <c r="A265" s="51" t="s">
        <v>58</v>
      </c>
      <c r="B265" s="52">
        <v>340</v>
      </c>
      <c r="C265" s="52" t="s">
        <v>188</v>
      </c>
      <c r="D265" s="41">
        <f t="shared" si="135"/>
        <v>4</v>
      </c>
      <c r="E265" s="52" t="s">
        <v>502</v>
      </c>
      <c r="F265" s="52" t="s">
        <v>289</v>
      </c>
      <c r="G265" s="52" t="s">
        <v>155</v>
      </c>
      <c r="H265" s="52" t="s">
        <v>503</v>
      </c>
      <c r="I265" s="53">
        <v>45678</v>
      </c>
      <c r="J265" s="108">
        <v>1488</v>
      </c>
      <c r="K265" s="101"/>
      <c r="L265" s="101"/>
      <c r="M265" s="101">
        <f t="shared" si="136"/>
        <v>1488</v>
      </c>
      <c r="N265" s="54">
        <f t="shared" si="137"/>
        <v>1488</v>
      </c>
      <c r="O265" s="101" t="s">
        <v>504</v>
      </c>
      <c r="P265" s="102">
        <f t="shared" si="138"/>
        <v>7.75</v>
      </c>
      <c r="Q265" s="102">
        <v>6</v>
      </c>
      <c r="R265" s="99">
        <f>480/15</f>
        <v>32</v>
      </c>
      <c r="S265" s="55">
        <f t="shared" si="134"/>
        <v>45650</v>
      </c>
      <c r="T265" s="55"/>
      <c r="U265" s="56">
        <f t="shared" ca="1" si="139"/>
        <v>-190</v>
      </c>
      <c r="V265" s="55">
        <f t="shared" si="140"/>
        <v>45666</v>
      </c>
      <c r="W265" s="55"/>
      <c r="X265" s="56">
        <f t="shared" ca="1" si="141"/>
        <v>-174</v>
      </c>
      <c r="Y265" s="55"/>
      <c r="Z265" s="57"/>
      <c r="AA265" s="58" t="str">
        <f t="shared" si="142"/>
        <v>-</v>
      </c>
      <c r="AB265" s="59"/>
      <c r="AC265" s="58" t="str">
        <f t="shared" si="143"/>
        <v/>
      </c>
      <c r="AD265" s="59"/>
      <c r="AE265" s="58" t="str">
        <f t="shared" si="144"/>
        <v/>
      </c>
      <c r="AF265" s="59"/>
      <c r="AG265" s="58" t="str">
        <f t="shared" si="145"/>
        <v/>
      </c>
      <c r="AH265" s="59"/>
      <c r="AI265" s="58" t="str">
        <f t="shared" si="146"/>
        <v/>
      </c>
      <c r="AJ265" s="59"/>
      <c r="AK265" s="58" t="str">
        <f t="shared" si="147"/>
        <v/>
      </c>
      <c r="AL265" s="59"/>
      <c r="AM265" s="58" t="str">
        <f t="shared" si="148"/>
        <v/>
      </c>
      <c r="AN265" s="59"/>
      <c r="AO265" s="58" t="str">
        <f t="shared" si="149"/>
        <v/>
      </c>
      <c r="AP265" s="59"/>
      <c r="AQ265" s="58" t="str">
        <f t="shared" si="150"/>
        <v/>
      </c>
      <c r="AR265" s="59"/>
      <c r="AS265" s="58" t="str">
        <f t="shared" si="151"/>
        <v/>
      </c>
      <c r="AT265" s="59"/>
      <c r="AU265" s="58" t="str">
        <f t="shared" si="152"/>
        <v/>
      </c>
      <c r="AV265" s="59"/>
      <c r="AW265" s="58">
        <f t="shared" si="153"/>
        <v>1488</v>
      </c>
      <c r="AX265" s="59"/>
      <c r="AY265" s="58" t="str">
        <f t="shared" si="154"/>
        <v/>
      </c>
      <c r="AZ265" s="59"/>
      <c r="BA265" s="58" t="str">
        <f t="shared" si="155"/>
        <v/>
      </c>
      <c r="BB265" s="59"/>
      <c r="BC265" s="58" t="str">
        <f t="shared" si="156"/>
        <v/>
      </c>
      <c r="BD265" s="59"/>
      <c r="BE265" s="58" t="str">
        <f t="shared" si="157"/>
        <v/>
      </c>
      <c r="BF265" s="59"/>
      <c r="BG265" s="58" t="str">
        <f t="shared" si="158"/>
        <v/>
      </c>
      <c r="BH265" s="59"/>
      <c r="BI265" s="58" t="str">
        <f t="shared" si="159"/>
        <v/>
      </c>
      <c r="BJ265" s="59"/>
      <c r="BK265" s="58" t="str">
        <f t="shared" si="160"/>
        <v/>
      </c>
      <c r="BL265" s="59"/>
      <c r="BM265" s="58" t="str">
        <f t="shared" si="161"/>
        <v/>
      </c>
      <c r="BN265" s="59"/>
      <c r="BO265" s="58" t="str">
        <f t="shared" si="162"/>
        <v/>
      </c>
      <c r="BP265" s="59"/>
      <c r="BQ265" s="58" t="str">
        <f t="shared" si="163"/>
        <v/>
      </c>
      <c r="BR265" s="59"/>
      <c r="BS265" s="58" t="str">
        <f t="shared" si="164"/>
        <v/>
      </c>
      <c r="BT265" s="59"/>
      <c r="BU265" s="58" t="str">
        <f t="shared" si="165"/>
        <v/>
      </c>
      <c r="BV265" s="59"/>
    </row>
    <row r="266" spans="1:74" ht="14.5">
      <c r="A266" s="51" t="s">
        <v>58</v>
      </c>
      <c r="B266" s="52">
        <v>340</v>
      </c>
      <c r="C266" s="52" t="s">
        <v>188</v>
      </c>
      <c r="D266" s="41">
        <f t="shared" si="135"/>
        <v>4</v>
      </c>
      <c r="E266" s="52" t="s">
        <v>502</v>
      </c>
      <c r="F266" s="52" t="s">
        <v>289</v>
      </c>
      <c r="G266" s="52" t="s">
        <v>154</v>
      </c>
      <c r="H266" s="52" t="s">
        <v>503</v>
      </c>
      <c r="I266" s="53">
        <v>45678</v>
      </c>
      <c r="J266" s="108">
        <v>1240</v>
      </c>
      <c r="K266" s="101"/>
      <c r="L266" s="101"/>
      <c r="M266" s="101">
        <f t="shared" si="136"/>
        <v>1240</v>
      </c>
      <c r="N266" s="54">
        <f t="shared" si="137"/>
        <v>1240</v>
      </c>
      <c r="O266" s="101" t="s">
        <v>505</v>
      </c>
      <c r="P266" s="102">
        <f t="shared" si="138"/>
        <v>6.458333333333333</v>
      </c>
      <c r="Q266" s="102">
        <v>6</v>
      </c>
      <c r="R266" s="99">
        <f>480/15</f>
        <v>32</v>
      </c>
      <c r="S266" s="55">
        <f t="shared" si="134"/>
        <v>45650</v>
      </c>
      <c r="T266" s="55"/>
      <c r="U266" s="56">
        <f t="shared" ca="1" si="139"/>
        <v>-190</v>
      </c>
      <c r="V266" s="55">
        <f t="shared" si="140"/>
        <v>45666</v>
      </c>
      <c r="W266" s="55"/>
      <c r="X266" s="56">
        <f t="shared" ca="1" si="141"/>
        <v>-174</v>
      </c>
      <c r="Y266" s="55"/>
      <c r="Z266" s="57"/>
      <c r="AA266" s="58" t="str">
        <f t="shared" si="142"/>
        <v>-</v>
      </c>
      <c r="AB266" s="59"/>
      <c r="AC266" s="58" t="str">
        <f t="shared" si="143"/>
        <v/>
      </c>
      <c r="AD266" s="59"/>
      <c r="AE266" s="58" t="str">
        <f t="shared" si="144"/>
        <v/>
      </c>
      <c r="AF266" s="59"/>
      <c r="AG266" s="58" t="str">
        <f t="shared" si="145"/>
        <v/>
      </c>
      <c r="AH266" s="59"/>
      <c r="AI266" s="58" t="str">
        <f t="shared" si="146"/>
        <v/>
      </c>
      <c r="AJ266" s="59"/>
      <c r="AK266" s="58" t="str">
        <f t="shared" si="147"/>
        <v/>
      </c>
      <c r="AL266" s="59"/>
      <c r="AM266" s="58" t="str">
        <f t="shared" si="148"/>
        <v/>
      </c>
      <c r="AN266" s="59"/>
      <c r="AO266" s="58" t="str">
        <f t="shared" si="149"/>
        <v/>
      </c>
      <c r="AP266" s="59"/>
      <c r="AQ266" s="58" t="str">
        <f t="shared" si="150"/>
        <v/>
      </c>
      <c r="AR266" s="59"/>
      <c r="AS266" s="58" t="str">
        <f t="shared" si="151"/>
        <v/>
      </c>
      <c r="AT266" s="59"/>
      <c r="AU266" s="58" t="str">
        <f t="shared" si="152"/>
        <v/>
      </c>
      <c r="AV266" s="59"/>
      <c r="AW266" s="58">
        <f t="shared" si="153"/>
        <v>1240</v>
      </c>
      <c r="AX266" s="59"/>
      <c r="AY266" s="58" t="str">
        <f t="shared" si="154"/>
        <v/>
      </c>
      <c r="AZ266" s="59"/>
      <c r="BA266" s="58" t="str">
        <f t="shared" si="155"/>
        <v/>
      </c>
      <c r="BB266" s="59"/>
      <c r="BC266" s="58" t="str">
        <f t="shared" si="156"/>
        <v/>
      </c>
      <c r="BD266" s="59"/>
      <c r="BE266" s="58" t="str">
        <f t="shared" si="157"/>
        <v/>
      </c>
      <c r="BF266" s="59"/>
      <c r="BG266" s="58" t="str">
        <f t="shared" si="158"/>
        <v/>
      </c>
      <c r="BH266" s="59"/>
      <c r="BI266" s="58" t="str">
        <f t="shared" si="159"/>
        <v/>
      </c>
      <c r="BJ266" s="59"/>
      <c r="BK266" s="58" t="str">
        <f t="shared" si="160"/>
        <v/>
      </c>
      <c r="BL266" s="59"/>
      <c r="BM266" s="58" t="str">
        <f t="shared" si="161"/>
        <v/>
      </c>
      <c r="BN266" s="59"/>
      <c r="BO266" s="58" t="str">
        <f t="shared" si="162"/>
        <v/>
      </c>
      <c r="BP266" s="59"/>
      <c r="BQ266" s="58" t="str">
        <f t="shared" si="163"/>
        <v/>
      </c>
      <c r="BR266" s="59"/>
      <c r="BS266" s="58" t="str">
        <f t="shared" si="164"/>
        <v/>
      </c>
      <c r="BT266" s="59"/>
      <c r="BU266" s="58" t="str">
        <f t="shared" si="165"/>
        <v/>
      </c>
      <c r="BV266" s="59"/>
    </row>
    <row r="267" spans="1:74" ht="14.5">
      <c r="A267" s="51" t="s">
        <v>58</v>
      </c>
      <c r="B267" s="52">
        <v>340</v>
      </c>
      <c r="C267" s="52" t="s">
        <v>188</v>
      </c>
      <c r="D267" s="41">
        <f t="shared" si="135"/>
        <v>4</v>
      </c>
      <c r="E267" s="52" t="s">
        <v>502</v>
      </c>
      <c r="F267" s="52" t="s">
        <v>289</v>
      </c>
      <c r="G267" s="52" t="s">
        <v>156</v>
      </c>
      <c r="H267" s="52" t="s">
        <v>503</v>
      </c>
      <c r="I267" s="53">
        <v>45678</v>
      </c>
      <c r="J267" s="108">
        <v>992</v>
      </c>
      <c r="K267" s="101"/>
      <c r="L267" s="101"/>
      <c r="M267" s="101">
        <f t="shared" si="136"/>
        <v>992</v>
      </c>
      <c r="N267" s="54">
        <f t="shared" si="137"/>
        <v>992</v>
      </c>
      <c r="O267" s="101" t="s">
        <v>506</v>
      </c>
      <c r="P267" s="102">
        <f t="shared" si="138"/>
        <v>5.166666666666667</v>
      </c>
      <c r="Q267" s="102">
        <v>6</v>
      </c>
      <c r="R267" s="99">
        <f>480/15</f>
        <v>32</v>
      </c>
      <c r="S267" s="55">
        <f t="shared" si="134"/>
        <v>45650</v>
      </c>
      <c r="T267" s="55"/>
      <c r="U267" s="56">
        <f t="shared" ca="1" si="139"/>
        <v>-190</v>
      </c>
      <c r="V267" s="55">
        <f t="shared" si="140"/>
        <v>45666</v>
      </c>
      <c r="W267" s="55"/>
      <c r="X267" s="56">
        <f t="shared" ca="1" si="141"/>
        <v>-174</v>
      </c>
      <c r="Y267" s="55"/>
      <c r="Z267" s="57"/>
      <c r="AA267" s="58" t="str">
        <f t="shared" si="142"/>
        <v>-</v>
      </c>
      <c r="AB267" s="59"/>
      <c r="AC267" s="58" t="str">
        <f t="shared" si="143"/>
        <v/>
      </c>
      <c r="AD267" s="59"/>
      <c r="AE267" s="58" t="str">
        <f t="shared" si="144"/>
        <v/>
      </c>
      <c r="AF267" s="59"/>
      <c r="AG267" s="58" t="str">
        <f t="shared" si="145"/>
        <v/>
      </c>
      <c r="AH267" s="59"/>
      <c r="AI267" s="58" t="str">
        <f t="shared" si="146"/>
        <v/>
      </c>
      <c r="AJ267" s="59"/>
      <c r="AK267" s="58" t="str">
        <f t="shared" si="147"/>
        <v/>
      </c>
      <c r="AL267" s="59"/>
      <c r="AM267" s="58" t="str">
        <f t="shared" si="148"/>
        <v/>
      </c>
      <c r="AN267" s="59"/>
      <c r="AO267" s="58" t="str">
        <f t="shared" si="149"/>
        <v/>
      </c>
      <c r="AP267" s="59"/>
      <c r="AQ267" s="58" t="str">
        <f t="shared" si="150"/>
        <v/>
      </c>
      <c r="AR267" s="59"/>
      <c r="AS267" s="58" t="str">
        <f t="shared" si="151"/>
        <v/>
      </c>
      <c r="AT267" s="59"/>
      <c r="AU267" s="58" t="str">
        <f t="shared" si="152"/>
        <v/>
      </c>
      <c r="AV267" s="59"/>
      <c r="AW267" s="58">
        <f t="shared" si="153"/>
        <v>992</v>
      </c>
      <c r="AX267" s="59"/>
      <c r="AY267" s="58" t="str">
        <f t="shared" si="154"/>
        <v/>
      </c>
      <c r="AZ267" s="59"/>
      <c r="BA267" s="58" t="str">
        <f t="shared" si="155"/>
        <v/>
      </c>
      <c r="BB267" s="59"/>
      <c r="BC267" s="58" t="str">
        <f t="shared" si="156"/>
        <v/>
      </c>
      <c r="BD267" s="59"/>
      <c r="BE267" s="58" t="str">
        <f t="shared" si="157"/>
        <v/>
      </c>
      <c r="BF267" s="59"/>
      <c r="BG267" s="58" t="str">
        <f t="shared" si="158"/>
        <v/>
      </c>
      <c r="BH267" s="59"/>
      <c r="BI267" s="58" t="str">
        <f t="shared" si="159"/>
        <v/>
      </c>
      <c r="BJ267" s="59"/>
      <c r="BK267" s="58" t="str">
        <f t="shared" si="160"/>
        <v/>
      </c>
      <c r="BL267" s="59"/>
      <c r="BM267" s="58" t="str">
        <f t="shared" si="161"/>
        <v/>
      </c>
      <c r="BN267" s="59"/>
      <c r="BO267" s="58" t="str">
        <f t="shared" si="162"/>
        <v/>
      </c>
      <c r="BP267" s="59"/>
      <c r="BQ267" s="58" t="str">
        <f t="shared" si="163"/>
        <v/>
      </c>
      <c r="BR267" s="59"/>
      <c r="BS267" s="58" t="str">
        <f t="shared" si="164"/>
        <v/>
      </c>
      <c r="BT267" s="59"/>
      <c r="BU267" s="58" t="str">
        <f t="shared" si="165"/>
        <v/>
      </c>
      <c r="BV267" s="59"/>
    </row>
    <row r="268" spans="1:74" ht="14.5">
      <c r="A268" s="51" t="s">
        <v>58</v>
      </c>
      <c r="B268" s="52">
        <v>340</v>
      </c>
      <c r="C268" s="52" t="s">
        <v>188</v>
      </c>
      <c r="D268" s="41">
        <f t="shared" si="135"/>
        <v>4</v>
      </c>
      <c r="E268" s="52" t="s">
        <v>157</v>
      </c>
      <c r="F268" s="52" t="s">
        <v>243</v>
      </c>
      <c r="G268" s="52" t="s">
        <v>162</v>
      </c>
      <c r="H268" s="52" t="s">
        <v>428</v>
      </c>
      <c r="I268" s="53">
        <v>45678</v>
      </c>
      <c r="J268" s="108">
        <v>3708</v>
      </c>
      <c r="K268" s="101"/>
      <c r="L268" s="101"/>
      <c r="M268" s="101">
        <f t="shared" si="136"/>
        <v>3708</v>
      </c>
      <c r="N268" s="54">
        <f t="shared" si="137"/>
        <v>3708</v>
      </c>
      <c r="O268" s="101" t="s">
        <v>429</v>
      </c>
      <c r="P268" s="102">
        <f t="shared" si="138"/>
        <v>0.61799999999999999</v>
      </c>
      <c r="Q268" s="102">
        <v>6</v>
      </c>
      <c r="R268" s="99">
        <v>1000</v>
      </c>
      <c r="S268" s="55">
        <f t="shared" si="134"/>
        <v>45650</v>
      </c>
      <c r="T268" s="55">
        <v>45620</v>
      </c>
      <c r="U268" s="56">
        <f t="shared" ca="1" si="139"/>
        <v>30</v>
      </c>
      <c r="V268" s="55">
        <f t="shared" si="140"/>
        <v>45666</v>
      </c>
      <c r="W268" s="55"/>
      <c r="X268" s="56">
        <f t="shared" ca="1" si="141"/>
        <v>-174</v>
      </c>
      <c r="Y268" s="55"/>
      <c r="Z268" s="57"/>
      <c r="AA268" s="58" t="str">
        <f t="shared" si="142"/>
        <v>-</v>
      </c>
      <c r="AB268" s="59"/>
      <c r="AC268" s="58" t="str">
        <f t="shared" si="143"/>
        <v/>
      </c>
      <c r="AD268" s="59"/>
      <c r="AE268" s="58" t="str">
        <f t="shared" si="144"/>
        <v/>
      </c>
      <c r="AF268" s="59"/>
      <c r="AG268" s="58" t="str">
        <f t="shared" si="145"/>
        <v/>
      </c>
      <c r="AH268" s="59"/>
      <c r="AI268" s="58" t="str">
        <f t="shared" si="146"/>
        <v/>
      </c>
      <c r="AJ268" s="59"/>
      <c r="AK268" s="58" t="str">
        <f t="shared" si="147"/>
        <v/>
      </c>
      <c r="AL268" s="59"/>
      <c r="AM268" s="58" t="str">
        <f t="shared" si="148"/>
        <v/>
      </c>
      <c r="AN268" s="59"/>
      <c r="AO268" s="58" t="str">
        <f t="shared" si="149"/>
        <v/>
      </c>
      <c r="AP268" s="59"/>
      <c r="AQ268" s="58" t="str">
        <f t="shared" si="150"/>
        <v/>
      </c>
      <c r="AR268" s="59"/>
      <c r="AS268" s="58" t="str">
        <f t="shared" si="151"/>
        <v/>
      </c>
      <c r="AT268" s="59"/>
      <c r="AU268" s="58" t="str">
        <f t="shared" si="152"/>
        <v/>
      </c>
      <c r="AV268" s="59"/>
      <c r="AW268" s="58">
        <f t="shared" si="153"/>
        <v>3708</v>
      </c>
      <c r="AX268" s="59"/>
      <c r="AY268" s="58" t="str">
        <f t="shared" si="154"/>
        <v/>
      </c>
      <c r="AZ268" s="59"/>
      <c r="BA268" s="58" t="str">
        <f t="shared" si="155"/>
        <v/>
      </c>
      <c r="BB268" s="59"/>
      <c r="BC268" s="58" t="str">
        <f t="shared" si="156"/>
        <v/>
      </c>
      <c r="BD268" s="59"/>
      <c r="BE268" s="58" t="str">
        <f t="shared" si="157"/>
        <v/>
      </c>
      <c r="BF268" s="59"/>
      <c r="BG268" s="58" t="str">
        <f t="shared" si="158"/>
        <v/>
      </c>
      <c r="BH268" s="59"/>
      <c r="BI268" s="58" t="str">
        <f t="shared" si="159"/>
        <v/>
      </c>
      <c r="BJ268" s="59"/>
      <c r="BK268" s="58" t="str">
        <f t="shared" si="160"/>
        <v/>
      </c>
      <c r="BL268" s="59"/>
      <c r="BM268" s="58" t="str">
        <f t="shared" si="161"/>
        <v/>
      </c>
      <c r="BN268" s="59"/>
      <c r="BO268" s="58" t="str">
        <f t="shared" si="162"/>
        <v/>
      </c>
      <c r="BP268" s="59"/>
      <c r="BQ268" s="58" t="str">
        <f t="shared" si="163"/>
        <v/>
      </c>
      <c r="BR268" s="59"/>
      <c r="BS268" s="58" t="str">
        <f t="shared" si="164"/>
        <v/>
      </c>
      <c r="BT268" s="59"/>
      <c r="BU268" s="58" t="str">
        <f t="shared" si="165"/>
        <v/>
      </c>
      <c r="BV268" s="59"/>
    </row>
    <row r="269" spans="1:74" ht="14.5">
      <c r="A269" s="51" t="s">
        <v>58</v>
      </c>
      <c r="B269" s="52">
        <v>340</v>
      </c>
      <c r="C269" s="52" t="s">
        <v>188</v>
      </c>
      <c r="D269" s="41">
        <f t="shared" si="135"/>
        <v>4</v>
      </c>
      <c r="E269" s="52" t="s">
        <v>158</v>
      </c>
      <c r="F269" s="52" t="s">
        <v>242</v>
      </c>
      <c r="G269" s="52" t="s">
        <v>155</v>
      </c>
      <c r="H269" s="52" t="s">
        <v>432</v>
      </c>
      <c r="I269" s="53">
        <v>45678</v>
      </c>
      <c r="J269" s="108">
        <v>152</v>
      </c>
      <c r="K269" s="101"/>
      <c r="L269" s="101"/>
      <c r="M269" s="101">
        <f t="shared" si="136"/>
        <v>152</v>
      </c>
      <c r="N269" s="54">
        <f t="shared" si="137"/>
        <v>152</v>
      </c>
      <c r="O269" s="101" t="s">
        <v>439</v>
      </c>
      <c r="P269" s="102">
        <f t="shared" si="138"/>
        <v>0.21111111111111111</v>
      </c>
      <c r="Q269" s="102">
        <v>6</v>
      </c>
      <c r="R269" s="99">
        <v>120</v>
      </c>
      <c r="S269" s="55">
        <f t="shared" si="134"/>
        <v>45650</v>
      </c>
      <c r="T269" s="55">
        <v>45620</v>
      </c>
      <c r="U269" s="56">
        <f t="shared" ca="1" si="139"/>
        <v>30</v>
      </c>
      <c r="V269" s="55">
        <f t="shared" si="140"/>
        <v>45666</v>
      </c>
      <c r="W269" s="55"/>
      <c r="X269" s="56">
        <f t="shared" ca="1" si="141"/>
        <v>-174</v>
      </c>
      <c r="Y269" s="55"/>
      <c r="Z269" s="57"/>
      <c r="AA269" s="58" t="str">
        <f t="shared" si="142"/>
        <v>-</v>
      </c>
      <c r="AB269" s="59"/>
      <c r="AC269" s="58" t="str">
        <f t="shared" si="143"/>
        <v/>
      </c>
      <c r="AD269" s="59"/>
      <c r="AE269" s="58" t="str">
        <f t="shared" si="144"/>
        <v/>
      </c>
      <c r="AF269" s="59"/>
      <c r="AG269" s="58" t="str">
        <f t="shared" si="145"/>
        <v/>
      </c>
      <c r="AH269" s="59"/>
      <c r="AI269" s="58" t="str">
        <f t="shared" si="146"/>
        <v/>
      </c>
      <c r="AJ269" s="59"/>
      <c r="AK269" s="58" t="str">
        <f t="shared" si="147"/>
        <v/>
      </c>
      <c r="AL269" s="59"/>
      <c r="AM269" s="58" t="str">
        <f t="shared" si="148"/>
        <v/>
      </c>
      <c r="AN269" s="59"/>
      <c r="AO269" s="58" t="str">
        <f t="shared" si="149"/>
        <v/>
      </c>
      <c r="AP269" s="59"/>
      <c r="AQ269" s="58" t="str">
        <f t="shared" si="150"/>
        <v/>
      </c>
      <c r="AR269" s="59"/>
      <c r="AS269" s="58" t="str">
        <f t="shared" si="151"/>
        <v/>
      </c>
      <c r="AT269" s="59"/>
      <c r="AU269" s="58" t="str">
        <f t="shared" si="152"/>
        <v/>
      </c>
      <c r="AV269" s="59"/>
      <c r="AW269" s="58">
        <f t="shared" si="153"/>
        <v>152</v>
      </c>
      <c r="AX269" s="59"/>
      <c r="AY269" s="58" t="str">
        <f t="shared" si="154"/>
        <v/>
      </c>
      <c r="AZ269" s="59"/>
      <c r="BA269" s="58" t="str">
        <f t="shared" si="155"/>
        <v/>
      </c>
      <c r="BB269" s="59"/>
      <c r="BC269" s="58" t="str">
        <f t="shared" si="156"/>
        <v/>
      </c>
      <c r="BD269" s="59"/>
      <c r="BE269" s="58" t="str">
        <f t="shared" si="157"/>
        <v/>
      </c>
      <c r="BF269" s="59"/>
      <c r="BG269" s="58" t="str">
        <f t="shared" si="158"/>
        <v/>
      </c>
      <c r="BH269" s="59"/>
      <c r="BI269" s="58" t="str">
        <f t="shared" si="159"/>
        <v/>
      </c>
      <c r="BJ269" s="59"/>
      <c r="BK269" s="58" t="str">
        <f t="shared" si="160"/>
        <v/>
      </c>
      <c r="BL269" s="59"/>
      <c r="BM269" s="58" t="str">
        <f t="shared" si="161"/>
        <v/>
      </c>
      <c r="BN269" s="59"/>
      <c r="BO269" s="58" t="str">
        <f t="shared" si="162"/>
        <v/>
      </c>
      <c r="BP269" s="59"/>
      <c r="BQ269" s="58" t="str">
        <f t="shared" si="163"/>
        <v/>
      </c>
      <c r="BR269" s="59"/>
      <c r="BS269" s="58" t="str">
        <f t="shared" si="164"/>
        <v/>
      </c>
      <c r="BT269" s="59"/>
      <c r="BU269" s="58" t="str">
        <f t="shared" si="165"/>
        <v/>
      </c>
      <c r="BV269" s="59"/>
    </row>
    <row r="270" spans="1:74" ht="14.5">
      <c r="A270" s="51" t="s">
        <v>58</v>
      </c>
      <c r="B270" s="52">
        <v>340</v>
      </c>
      <c r="C270" s="52" t="s">
        <v>188</v>
      </c>
      <c r="D270" s="41">
        <f t="shared" si="135"/>
        <v>4</v>
      </c>
      <c r="E270" s="52" t="s">
        <v>195</v>
      </c>
      <c r="F270" s="52" t="s">
        <v>286</v>
      </c>
      <c r="G270" s="52" t="s">
        <v>162</v>
      </c>
      <c r="H270" s="52" t="s">
        <v>434</v>
      </c>
      <c r="I270" s="53">
        <v>45678</v>
      </c>
      <c r="J270" s="108">
        <v>1494</v>
      </c>
      <c r="K270" s="101"/>
      <c r="L270" s="101"/>
      <c r="M270" s="101">
        <f t="shared" si="136"/>
        <v>1494</v>
      </c>
      <c r="N270" s="54">
        <f t="shared" si="137"/>
        <v>1494</v>
      </c>
      <c r="O270" s="101" t="s">
        <v>431</v>
      </c>
      <c r="P270" s="102">
        <f t="shared" si="138"/>
        <v>2.0750000000000002</v>
      </c>
      <c r="Q270" s="102">
        <v>6</v>
      </c>
      <c r="R270" s="99">
        <v>120</v>
      </c>
      <c r="S270" s="55">
        <f t="shared" si="134"/>
        <v>45650</v>
      </c>
      <c r="T270" s="55">
        <v>45620</v>
      </c>
      <c r="U270" s="56">
        <f t="shared" ca="1" si="139"/>
        <v>30</v>
      </c>
      <c r="V270" s="55">
        <f t="shared" si="140"/>
        <v>45666</v>
      </c>
      <c r="W270" s="55"/>
      <c r="X270" s="56">
        <f t="shared" ca="1" si="141"/>
        <v>-174</v>
      </c>
      <c r="Y270" s="55"/>
      <c r="Z270" s="57"/>
      <c r="AA270" s="58" t="str">
        <f t="shared" si="142"/>
        <v>-</v>
      </c>
      <c r="AB270" s="59"/>
      <c r="AC270" s="58" t="str">
        <f t="shared" si="143"/>
        <v/>
      </c>
      <c r="AD270" s="59"/>
      <c r="AE270" s="58" t="str">
        <f t="shared" si="144"/>
        <v/>
      </c>
      <c r="AF270" s="59"/>
      <c r="AG270" s="58" t="str">
        <f t="shared" si="145"/>
        <v/>
      </c>
      <c r="AH270" s="59"/>
      <c r="AI270" s="58" t="str">
        <f t="shared" si="146"/>
        <v/>
      </c>
      <c r="AJ270" s="59"/>
      <c r="AK270" s="58" t="str">
        <f t="shared" si="147"/>
        <v/>
      </c>
      <c r="AL270" s="59"/>
      <c r="AM270" s="58" t="str">
        <f t="shared" si="148"/>
        <v/>
      </c>
      <c r="AN270" s="59"/>
      <c r="AO270" s="58" t="str">
        <f t="shared" si="149"/>
        <v/>
      </c>
      <c r="AP270" s="59"/>
      <c r="AQ270" s="58" t="str">
        <f t="shared" si="150"/>
        <v/>
      </c>
      <c r="AR270" s="59"/>
      <c r="AS270" s="58" t="str">
        <f t="shared" si="151"/>
        <v/>
      </c>
      <c r="AT270" s="59"/>
      <c r="AU270" s="58" t="str">
        <f t="shared" si="152"/>
        <v/>
      </c>
      <c r="AV270" s="59"/>
      <c r="AW270" s="58">
        <f t="shared" si="153"/>
        <v>1494</v>
      </c>
      <c r="AX270" s="59"/>
      <c r="AY270" s="58" t="str">
        <f t="shared" si="154"/>
        <v/>
      </c>
      <c r="AZ270" s="59"/>
      <c r="BA270" s="58" t="str">
        <f t="shared" si="155"/>
        <v/>
      </c>
      <c r="BB270" s="59"/>
      <c r="BC270" s="58" t="str">
        <f t="shared" si="156"/>
        <v/>
      </c>
      <c r="BD270" s="59"/>
      <c r="BE270" s="58" t="str">
        <f t="shared" si="157"/>
        <v/>
      </c>
      <c r="BF270" s="59"/>
      <c r="BG270" s="58" t="str">
        <f t="shared" si="158"/>
        <v/>
      </c>
      <c r="BH270" s="59"/>
      <c r="BI270" s="58" t="str">
        <f t="shared" si="159"/>
        <v/>
      </c>
      <c r="BJ270" s="59"/>
      <c r="BK270" s="58" t="str">
        <f t="shared" si="160"/>
        <v/>
      </c>
      <c r="BL270" s="59"/>
      <c r="BM270" s="58" t="str">
        <f t="shared" si="161"/>
        <v/>
      </c>
      <c r="BN270" s="59"/>
      <c r="BO270" s="58" t="str">
        <f t="shared" si="162"/>
        <v/>
      </c>
      <c r="BP270" s="59"/>
      <c r="BQ270" s="58" t="str">
        <f t="shared" si="163"/>
        <v/>
      </c>
      <c r="BR270" s="59"/>
      <c r="BS270" s="58" t="str">
        <f t="shared" si="164"/>
        <v/>
      </c>
      <c r="BT270" s="59"/>
      <c r="BU270" s="58" t="str">
        <f t="shared" si="165"/>
        <v/>
      </c>
      <c r="BV270" s="59"/>
    </row>
    <row r="271" spans="1:74" ht="14.5">
      <c r="A271" s="51" t="s">
        <v>58</v>
      </c>
      <c r="B271" s="52">
        <v>340</v>
      </c>
      <c r="C271" s="52" t="s">
        <v>188</v>
      </c>
      <c r="D271" s="41">
        <f t="shared" si="135"/>
        <v>4</v>
      </c>
      <c r="E271" s="52" t="s">
        <v>189</v>
      </c>
      <c r="F271" s="52" t="s">
        <v>242</v>
      </c>
      <c r="G271" s="52" t="s">
        <v>162</v>
      </c>
      <c r="H271" s="52" t="s">
        <v>432</v>
      </c>
      <c r="I271" s="53">
        <v>45678</v>
      </c>
      <c r="J271" s="108">
        <v>1264</v>
      </c>
      <c r="K271" s="101"/>
      <c r="L271" s="101"/>
      <c r="M271" s="101">
        <f t="shared" si="136"/>
        <v>1264</v>
      </c>
      <c r="N271" s="54">
        <f t="shared" si="137"/>
        <v>1264</v>
      </c>
      <c r="O271" s="101" t="s">
        <v>178</v>
      </c>
      <c r="P271" s="102">
        <f t="shared" si="138"/>
        <v>1.7555555555555555</v>
      </c>
      <c r="Q271" s="102">
        <v>6</v>
      </c>
      <c r="R271" s="99">
        <v>120</v>
      </c>
      <c r="S271" s="55">
        <f t="shared" si="134"/>
        <v>45650</v>
      </c>
      <c r="T271" s="55">
        <v>45620</v>
      </c>
      <c r="U271" s="56">
        <f t="shared" ca="1" si="139"/>
        <v>30</v>
      </c>
      <c r="V271" s="55">
        <f t="shared" si="140"/>
        <v>45666</v>
      </c>
      <c r="W271" s="55"/>
      <c r="X271" s="56">
        <f t="shared" ca="1" si="141"/>
        <v>-174</v>
      </c>
      <c r="Y271" s="55"/>
      <c r="Z271" s="57"/>
      <c r="AA271" s="58" t="str">
        <f t="shared" si="142"/>
        <v>-</v>
      </c>
      <c r="AB271" s="59"/>
      <c r="AC271" s="58" t="str">
        <f t="shared" si="143"/>
        <v/>
      </c>
      <c r="AD271" s="59"/>
      <c r="AE271" s="58" t="str">
        <f t="shared" si="144"/>
        <v/>
      </c>
      <c r="AF271" s="59"/>
      <c r="AG271" s="58" t="str">
        <f t="shared" si="145"/>
        <v/>
      </c>
      <c r="AH271" s="59"/>
      <c r="AI271" s="58" t="str">
        <f t="shared" si="146"/>
        <v/>
      </c>
      <c r="AJ271" s="59"/>
      <c r="AK271" s="58" t="str">
        <f t="shared" si="147"/>
        <v/>
      </c>
      <c r="AL271" s="59"/>
      <c r="AM271" s="58" t="str">
        <f t="shared" si="148"/>
        <v/>
      </c>
      <c r="AN271" s="59"/>
      <c r="AO271" s="58" t="str">
        <f t="shared" si="149"/>
        <v/>
      </c>
      <c r="AP271" s="59"/>
      <c r="AQ271" s="58" t="str">
        <f t="shared" si="150"/>
        <v/>
      </c>
      <c r="AR271" s="59"/>
      <c r="AS271" s="58" t="str">
        <f t="shared" si="151"/>
        <v/>
      </c>
      <c r="AT271" s="59"/>
      <c r="AU271" s="58" t="str">
        <f t="shared" si="152"/>
        <v/>
      </c>
      <c r="AV271" s="59"/>
      <c r="AW271" s="58">
        <f t="shared" si="153"/>
        <v>1264</v>
      </c>
      <c r="AX271" s="59"/>
      <c r="AY271" s="58" t="str">
        <f t="shared" si="154"/>
        <v/>
      </c>
      <c r="AZ271" s="59"/>
      <c r="BA271" s="58" t="str">
        <f t="shared" si="155"/>
        <v/>
      </c>
      <c r="BB271" s="59"/>
      <c r="BC271" s="58" t="str">
        <f t="shared" si="156"/>
        <v/>
      </c>
      <c r="BD271" s="59"/>
      <c r="BE271" s="58" t="str">
        <f t="shared" si="157"/>
        <v/>
      </c>
      <c r="BF271" s="59"/>
      <c r="BG271" s="58" t="str">
        <f t="shared" si="158"/>
        <v/>
      </c>
      <c r="BH271" s="59"/>
      <c r="BI271" s="58" t="str">
        <f t="shared" si="159"/>
        <v/>
      </c>
      <c r="BJ271" s="59"/>
      <c r="BK271" s="58" t="str">
        <f t="shared" si="160"/>
        <v/>
      </c>
      <c r="BL271" s="59"/>
      <c r="BM271" s="58" t="str">
        <f t="shared" si="161"/>
        <v/>
      </c>
      <c r="BN271" s="59"/>
      <c r="BO271" s="58" t="str">
        <f t="shared" si="162"/>
        <v/>
      </c>
      <c r="BP271" s="59"/>
      <c r="BQ271" s="58" t="str">
        <f t="shared" si="163"/>
        <v/>
      </c>
      <c r="BR271" s="59"/>
      <c r="BS271" s="58" t="str">
        <f t="shared" si="164"/>
        <v/>
      </c>
      <c r="BT271" s="59"/>
      <c r="BU271" s="58" t="str">
        <f t="shared" si="165"/>
        <v/>
      </c>
      <c r="BV271" s="59"/>
    </row>
    <row r="272" spans="1:74" ht="14.5">
      <c r="A272" s="51" t="s">
        <v>58</v>
      </c>
      <c r="B272" s="52">
        <v>340</v>
      </c>
      <c r="C272" s="52" t="s">
        <v>188</v>
      </c>
      <c r="D272" s="41">
        <f t="shared" si="135"/>
        <v>4</v>
      </c>
      <c r="E272" s="52" t="s">
        <v>158</v>
      </c>
      <c r="F272" s="52" t="s">
        <v>242</v>
      </c>
      <c r="G272" s="52" t="s">
        <v>255</v>
      </c>
      <c r="H272" s="52" t="s">
        <v>432</v>
      </c>
      <c r="I272" s="53">
        <v>45678</v>
      </c>
      <c r="J272" s="108">
        <v>512</v>
      </c>
      <c r="K272" s="101"/>
      <c r="L272" s="101"/>
      <c r="M272" s="101">
        <f t="shared" si="136"/>
        <v>512</v>
      </c>
      <c r="N272" s="54">
        <f t="shared" si="137"/>
        <v>512</v>
      </c>
      <c r="O272" s="101" t="s">
        <v>437</v>
      </c>
      <c r="P272" s="102">
        <f t="shared" si="138"/>
        <v>0.71111111111111114</v>
      </c>
      <c r="Q272" s="102">
        <v>6</v>
      </c>
      <c r="R272" s="99">
        <v>120</v>
      </c>
      <c r="S272" s="55">
        <f t="shared" si="134"/>
        <v>45650</v>
      </c>
      <c r="T272" s="55">
        <v>45620</v>
      </c>
      <c r="U272" s="56">
        <f t="shared" ca="1" si="139"/>
        <v>30</v>
      </c>
      <c r="V272" s="55">
        <f t="shared" si="140"/>
        <v>45666</v>
      </c>
      <c r="W272" s="55"/>
      <c r="X272" s="56">
        <f t="shared" ca="1" si="141"/>
        <v>-174</v>
      </c>
      <c r="Y272" s="55"/>
      <c r="Z272" s="57"/>
      <c r="AA272" s="58" t="str">
        <f t="shared" si="142"/>
        <v>-</v>
      </c>
      <c r="AB272" s="59"/>
      <c r="AC272" s="58" t="str">
        <f t="shared" si="143"/>
        <v/>
      </c>
      <c r="AD272" s="59"/>
      <c r="AE272" s="58" t="str">
        <f t="shared" si="144"/>
        <v/>
      </c>
      <c r="AF272" s="59"/>
      <c r="AG272" s="58" t="str">
        <f t="shared" si="145"/>
        <v/>
      </c>
      <c r="AH272" s="59"/>
      <c r="AI272" s="58" t="str">
        <f t="shared" si="146"/>
        <v/>
      </c>
      <c r="AJ272" s="59"/>
      <c r="AK272" s="58" t="str">
        <f t="shared" si="147"/>
        <v/>
      </c>
      <c r="AL272" s="59"/>
      <c r="AM272" s="58" t="str">
        <f t="shared" si="148"/>
        <v/>
      </c>
      <c r="AN272" s="59"/>
      <c r="AO272" s="58" t="str">
        <f t="shared" si="149"/>
        <v/>
      </c>
      <c r="AP272" s="59"/>
      <c r="AQ272" s="58" t="str">
        <f t="shared" si="150"/>
        <v/>
      </c>
      <c r="AR272" s="59"/>
      <c r="AS272" s="58" t="str">
        <f t="shared" si="151"/>
        <v/>
      </c>
      <c r="AT272" s="59"/>
      <c r="AU272" s="58" t="str">
        <f t="shared" si="152"/>
        <v/>
      </c>
      <c r="AV272" s="59"/>
      <c r="AW272" s="58">
        <f t="shared" si="153"/>
        <v>512</v>
      </c>
      <c r="AX272" s="59"/>
      <c r="AY272" s="58" t="str">
        <f t="shared" si="154"/>
        <v/>
      </c>
      <c r="AZ272" s="59"/>
      <c r="BA272" s="58" t="str">
        <f t="shared" si="155"/>
        <v/>
      </c>
      <c r="BB272" s="59"/>
      <c r="BC272" s="58" t="str">
        <f t="shared" si="156"/>
        <v/>
      </c>
      <c r="BD272" s="59"/>
      <c r="BE272" s="58" t="str">
        <f t="shared" si="157"/>
        <v/>
      </c>
      <c r="BF272" s="59"/>
      <c r="BG272" s="58" t="str">
        <f t="shared" si="158"/>
        <v/>
      </c>
      <c r="BH272" s="59"/>
      <c r="BI272" s="58" t="str">
        <f t="shared" si="159"/>
        <v/>
      </c>
      <c r="BJ272" s="59"/>
      <c r="BK272" s="58" t="str">
        <f t="shared" si="160"/>
        <v/>
      </c>
      <c r="BL272" s="59"/>
      <c r="BM272" s="58" t="str">
        <f t="shared" si="161"/>
        <v/>
      </c>
      <c r="BN272" s="59"/>
      <c r="BO272" s="58" t="str">
        <f t="shared" si="162"/>
        <v/>
      </c>
      <c r="BP272" s="59"/>
      <c r="BQ272" s="58" t="str">
        <f t="shared" si="163"/>
        <v/>
      </c>
      <c r="BR272" s="59"/>
      <c r="BS272" s="58" t="str">
        <f t="shared" si="164"/>
        <v/>
      </c>
      <c r="BT272" s="59"/>
      <c r="BU272" s="58" t="str">
        <f t="shared" si="165"/>
        <v/>
      </c>
      <c r="BV272" s="59"/>
    </row>
    <row r="273" spans="1:74" ht="14.5">
      <c r="A273" s="51" t="s">
        <v>58</v>
      </c>
      <c r="B273" s="52">
        <v>376</v>
      </c>
      <c r="C273" s="52" t="s">
        <v>188</v>
      </c>
      <c r="D273" s="41">
        <f t="shared" si="135"/>
        <v>4</v>
      </c>
      <c r="E273" s="52" t="s">
        <v>193</v>
      </c>
      <c r="F273" s="52" t="s">
        <v>246</v>
      </c>
      <c r="G273" s="52" t="s">
        <v>162</v>
      </c>
      <c r="H273" s="52" t="s">
        <v>434</v>
      </c>
      <c r="I273" s="53">
        <v>45678</v>
      </c>
      <c r="J273" s="108">
        <v>2295</v>
      </c>
      <c r="K273" s="101"/>
      <c r="L273" s="101"/>
      <c r="M273" s="101">
        <f t="shared" si="136"/>
        <v>2295</v>
      </c>
      <c r="N273" s="54">
        <f t="shared" si="137"/>
        <v>2295</v>
      </c>
      <c r="O273" s="101" t="s">
        <v>178</v>
      </c>
      <c r="P273" s="102">
        <f t="shared" si="138"/>
        <v>6.5571428571428569</v>
      </c>
      <c r="Q273" s="102">
        <v>1</v>
      </c>
      <c r="R273" s="99">
        <v>350</v>
      </c>
      <c r="S273" s="55">
        <f t="shared" si="134"/>
        <v>45650</v>
      </c>
      <c r="T273" s="55">
        <v>45627</v>
      </c>
      <c r="U273" s="56">
        <f t="shared" ca="1" si="139"/>
        <v>23</v>
      </c>
      <c r="V273" s="55">
        <f t="shared" si="140"/>
        <v>45666</v>
      </c>
      <c r="W273" s="55"/>
      <c r="X273" s="56">
        <f t="shared" ca="1" si="141"/>
        <v>-174</v>
      </c>
      <c r="Y273" s="55"/>
      <c r="Z273" s="57"/>
      <c r="AA273" s="58" t="str">
        <f t="shared" si="142"/>
        <v>-</v>
      </c>
      <c r="AB273" s="59"/>
      <c r="AC273" s="58" t="str">
        <f t="shared" si="143"/>
        <v/>
      </c>
      <c r="AD273" s="59"/>
      <c r="AE273" s="58" t="str">
        <f t="shared" si="144"/>
        <v/>
      </c>
      <c r="AF273" s="59"/>
      <c r="AG273" s="58" t="str">
        <f t="shared" si="145"/>
        <v/>
      </c>
      <c r="AH273" s="59"/>
      <c r="AI273" s="58" t="str">
        <f t="shared" si="146"/>
        <v/>
      </c>
      <c r="AJ273" s="59"/>
      <c r="AK273" s="58" t="str">
        <f t="shared" si="147"/>
        <v/>
      </c>
      <c r="AL273" s="59"/>
      <c r="AM273" s="58" t="str">
        <f t="shared" si="148"/>
        <v/>
      </c>
      <c r="AN273" s="59"/>
      <c r="AO273" s="58" t="str">
        <f t="shared" si="149"/>
        <v/>
      </c>
      <c r="AP273" s="59"/>
      <c r="AQ273" s="58" t="str">
        <f t="shared" si="150"/>
        <v/>
      </c>
      <c r="AR273" s="59"/>
      <c r="AS273" s="58" t="str">
        <f t="shared" si="151"/>
        <v/>
      </c>
      <c r="AT273" s="59"/>
      <c r="AU273" s="58" t="str">
        <f t="shared" si="152"/>
        <v/>
      </c>
      <c r="AV273" s="59"/>
      <c r="AW273" s="58">
        <f t="shared" si="153"/>
        <v>2295</v>
      </c>
      <c r="AX273" s="59"/>
      <c r="AY273" s="58" t="str">
        <f t="shared" si="154"/>
        <v/>
      </c>
      <c r="AZ273" s="59"/>
      <c r="BA273" s="58" t="str">
        <f t="shared" si="155"/>
        <v/>
      </c>
      <c r="BB273" s="59"/>
      <c r="BC273" s="58" t="str">
        <f t="shared" si="156"/>
        <v/>
      </c>
      <c r="BD273" s="59"/>
      <c r="BE273" s="58" t="str">
        <f t="shared" si="157"/>
        <v/>
      </c>
      <c r="BF273" s="59"/>
      <c r="BG273" s="58" t="str">
        <f t="shared" si="158"/>
        <v/>
      </c>
      <c r="BH273" s="59"/>
      <c r="BI273" s="58" t="str">
        <f t="shared" si="159"/>
        <v/>
      </c>
      <c r="BJ273" s="59"/>
      <c r="BK273" s="58" t="str">
        <f t="shared" si="160"/>
        <v/>
      </c>
      <c r="BL273" s="59"/>
      <c r="BM273" s="58" t="str">
        <f t="shared" si="161"/>
        <v/>
      </c>
      <c r="BN273" s="59"/>
      <c r="BO273" s="58" t="str">
        <f t="shared" si="162"/>
        <v/>
      </c>
      <c r="BP273" s="59"/>
      <c r="BQ273" s="58" t="str">
        <f t="shared" si="163"/>
        <v/>
      </c>
      <c r="BR273" s="59"/>
      <c r="BS273" s="58" t="str">
        <f t="shared" si="164"/>
        <v/>
      </c>
      <c r="BT273" s="59"/>
      <c r="BU273" s="58" t="str">
        <f t="shared" si="165"/>
        <v/>
      </c>
      <c r="BV273" s="59"/>
    </row>
    <row r="274" spans="1:74" ht="14.5">
      <c r="A274" s="51" t="s">
        <v>58</v>
      </c>
      <c r="B274" s="52">
        <v>376</v>
      </c>
      <c r="C274" s="52" t="s">
        <v>188</v>
      </c>
      <c r="D274" s="41">
        <f t="shared" si="135"/>
        <v>4</v>
      </c>
      <c r="E274" s="52" t="s">
        <v>502</v>
      </c>
      <c r="F274" s="52" t="s">
        <v>289</v>
      </c>
      <c r="G274" s="52" t="s">
        <v>155</v>
      </c>
      <c r="H274" s="52" t="s">
        <v>503</v>
      </c>
      <c r="I274" s="53">
        <v>45678</v>
      </c>
      <c r="J274" s="108">
        <v>2124</v>
      </c>
      <c r="K274" s="101"/>
      <c r="L274" s="101"/>
      <c r="M274" s="101">
        <f t="shared" si="136"/>
        <v>2124</v>
      </c>
      <c r="N274" s="54">
        <f t="shared" si="137"/>
        <v>2124</v>
      </c>
      <c r="O274" s="101" t="s">
        <v>504</v>
      </c>
      <c r="P274" s="102">
        <f t="shared" si="138"/>
        <v>11.0625</v>
      </c>
      <c r="Q274" s="102">
        <v>6</v>
      </c>
      <c r="R274" s="99">
        <f>480/15</f>
        <v>32</v>
      </c>
      <c r="S274" s="55">
        <f t="shared" ref="S274:S305" si="166">+I274-(28)</f>
        <v>45650</v>
      </c>
      <c r="T274" s="55"/>
      <c r="U274" s="56">
        <f t="shared" ca="1" si="139"/>
        <v>-190</v>
      </c>
      <c r="V274" s="55">
        <f t="shared" si="140"/>
        <v>45666</v>
      </c>
      <c r="W274" s="55"/>
      <c r="X274" s="56">
        <f t="shared" ca="1" si="141"/>
        <v>-174</v>
      </c>
      <c r="Y274" s="55"/>
      <c r="Z274" s="57"/>
      <c r="AA274" s="58" t="str">
        <f t="shared" si="142"/>
        <v>-</v>
      </c>
      <c r="AB274" s="59"/>
      <c r="AC274" s="58" t="str">
        <f t="shared" si="143"/>
        <v/>
      </c>
      <c r="AD274" s="59"/>
      <c r="AE274" s="58" t="str">
        <f t="shared" si="144"/>
        <v/>
      </c>
      <c r="AF274" s="59"/>
      <c r="AG274" s="58" t="str">
        <f t="shared" si="145"/>
        <v/>
      </c>
      <c r="AH274" s="59"/>
      <c r="AI274" s="58" t="str">
        <f t="shared" si="146"/>
        <v/>
      </c>
      <c r="AJ274" s="59"/>
      <c r="AK274" s="58" t="str">
        <f t="shared" si="147"/>
        <v/>
      </c>
      <c r="AL274" s="59"/>
      <c r="AM274" s="58" t="str">
        <f t="shared" si="148"/>
        <v/>
      </c>
      <c r="AN274" s="59"/>
      <c r="AO274" s="58" t="str">
        <f t="shared" si="149"/>
        <v/>
      </c>
      <c r="AP274" s="59"/>
      <c r="AQ274" s="58" t="str">
        <f t="shared" si="150"/>
        <v/>
      </c>
      <c r="AR274" s="59"/>
      <c r="AS274" s="58" t="str">
        <f t="shared" si="151"/>
        <v/>
      </c>
      <c r="AT274" s="59"/>
      <c r="AU274" s="58" t="str">
        <f t="shared" si="152"/>
        <v/>
      </c>
      <c r="AV274" s="59"/>
      <c r="AW274" s="58">
        <f t="shared" si="153"/>
        <v>2124</v>
      </c>
      <c r="AX274" s="59"/>
      <c r="AY274" s="58" t="str">
        <f t="shared" si="154"/>
        <v/>
      </c>
      <c r="AZ274" s="59"/>
      <c r="BA274" s="58" t="str">
        <f t="shared" si="155"/>
        <v/>
      </c>
      <c r="BB274" s="59"/>
      <c r="BC274" s="58" t="str">
        <f t="shared" si="156"/>
        <v/>
      </c>
      <c r="BD274" s="59"/>
      <c r="BE274" s="58" t="str">
        <f t="shared" si="157"/>
        <v/>
      </c>
      <c r="BF274" s="59"/>
      <c r="BG274" s="58" t="str">
        <f t="shared" si="158"/>
        <v/>
      </c>
      <c r="BH274" s="59"/>
      <c r="BI274" s="58" t="str">
        <f t="shared" si="159"/>
        <v/>
      </c>
      <c r="BJ274" s="59"/>
      <c r="BK274" s="58" t="str">
        <f t="shared" si="160"/>
        <v/>
      </c>
      <c r="BL274" s="59"/>
      <c r="BM274" s="58" t="str">
        <f t="shared" si="161"/>
        <v/>
      </c>
      <c r="BN274" s="59"/>
      <c r="BO274" s="58" t="str">
        <f t="shared" si="162"/>
        <v/>
      </c>
      <c r="BP274" s="59"/>
      <c r="BQ274" s="58" t="str">
        <f t="shared" si="163"/>
        <v/>
      </c>
      <c r="BR274" s="59"/>
      <c r="BS274" s="58" t="str">
        <f t="shared" si="164"/>
        <v/>
      </c>
      <c r="BT274" s="59"/>
      <c r="BU274" s="58" t="str">
        <f t="shared" si="165"/>
        <v/>
      </c>
      <c r="BV274" s="59"/>
    </row>
    <row r="275" spans="1:74" ht="14.5">
      <c r="A275" s="51" t="s">
        <v>58</v>
      </c>
      <c r="B275" s="52">
        <v>376</v>
      </c>
      <c r="C275" s="52" t="s">
        <v>188</v>
      </c>
      <c r="D275" s="41">
        <f t="shared" si="135"/>
        <v>4</v>
      </c>
      <c r="E275" s="52" t="s">
        <v>502</v>
      </c>
      <c r="F275" s="52" t="s">
        <v>289</v>
      </c>
      <c r="G275" s="52" t="s">
        <v>154</v>
      </c>
      <c r="H275" s="52" t="s">
        <v>503</v>
      </c>
      <c r="I275" s="53">
        <v>45678</v>
      </c>
      <c r="J275" s="108">
        <v>1770</v>
      </c>
      <c r="K275" s="101"/>
      <c r="L275" s="101"/>
      <c r="M275" s="101">
        <f t="shared" si="136"/>
        <v>1770</v>
      </c>
      <c r="N275" s="54">
        <f t="shared" si="137"/>
        <v>1770</v>
      </c>
      <c r="O275" s="101" t="s">
        <v>505</v>
      </c>
      <c r="P275" s="102">
        <f t="shared" si="138"/>
        <v>9.21875</v>
      </c>
      <c r="Q275" s="102">
        <v>6</v>
      </c>
      <c r="R275" s="99">
        <f>480/15</f>
        <v>32</v>
      </c>
      <c r="S275" s="55">
        <f t="shared" si="166"/>
        <v>45650</v>
      </c>
      <c r="T275" s="55"/>
      <c r="U275" s="56">
        <f t="shared" ca="1" si="139"/>
        <v>-190</v>
      </c>
      <c r="V275" s="55">
        <f t="shared" si="140"/>
        <v>45666</v>
      </c>
      <c r="W275" s="55"/>
      <c r="X275" s="56">
        <f t="shared" ca="1" si="141"/>
        <v>-174</v>
      </c>
      <c r="Y275" s="55"/>
      <c r="Z275" s="57"/>
      <c r="AA275" s="58" t="str">
        <f t="shared" si="142"/>
        <v>-</v>
      </c>
      <c r="AB275" s="59"/>
      <c r="AC275" s="58" t="str">
        <f t="shared" si="143"/>
        <v/>
      </c>
      <c r="AD275" s="59"/>
      <c r="AE275" s="58" t="str">
        <f t="shared" si="144"/>
        <v/>
      </c>
      <c r="AF275" s="59"/>
      <c r="AG275" s="58" t="str">
        <f t="shared" si="145"/>
        <v/>
      </c>
      <c r="AH275" s="59"/>
      <c r="AI275" s="58" t="str">
        <f t="shared" si="146"/>
        <v/>
      </c>
      <c r="AJ275" s="59"/>
      <c r="AK275" s="58" t="str">
        <f t="shared" si="147"/>
        <v/>
      </c>
      <c r="AL275" s="59"/>
      <c r="AM275" s="58" t="str">
        <f t="shared" si="148"/>
        <v/>
      </c>
      <c r="AN275" s="59"/>
      <c r="AO275" s="58" t="str">
        <f t="shared" si="149"/>
        <v/>
      </c>
      <c r="AP275" s="59"/>
      <c r="AQ275" s="58" t="str">
        <f t="shared" si="150"/>
        <v/>
      </c>
      <c r="AR275" s="59"/>
      <c r="AS275" s="58" t="str">
        <f t="shared" si="151"/>
        <v/>
      </c>
      <c r="AT275" s="59"/>
      <c r="AU275" s="58" t="str">
        <f t="shared" si="152"/>
        <v/>
      </c>
      <c r="AV275" s="59"/>
      <c r="AW275" s="58">
        <f t="shared" si="153"/>
        <v>1770</v>
      </c>
      <c r="AX275" s="59"/>
      <c r="AY275" s="58" t="str">
        <f t="shared" si="154"/>
        <v/>
      </c>
      <c r="AZ275" s="59"/>
      <c r="BA275" s="58" t="str">
        <f t="shared" si="155"/>
        <v/>
      </c>
      <c r="BB275" s="59"/>
      <c r="BC275" s="58" t="str">
        <f t="shared" si="156"/>
        <v/>
      </c>
      <c r="BD275" s="59"/>
      <c r="BE275" s="58" t="str">
        <f t="shared" si="157"/>
        <v/>
      </c>
      <c r="BF275" s="59"/>
      <c r="BG275" s="58" t="str">
        <f t="shared" si="158"/>
        <v/>
      </c>
      <c r="BH275" s="59"/>
      <c r="BI275" s="58" t="str">
        <f t="shared" si="159"/>
        <v/>
      </c>
      <c r="BJ275" s="59"/>
      <c r="BK275" s="58" t="str">
        <f t="shared" si="160"/>
        <v/>
      </c>
      <c r="BL275" s="59"/>
      <c r="BM275" s="58" t="str">
        <f t="shared" si="161"/>
        <v/>
      </c>
      <c r="BN275" s="59"/>
      <c r="BO275" s="58" t="str">
        <f t="shared" si="162"/>
        <v/>
      </c>
      <c r="BP275" s="59"/>
      <c r="BQ275" s="58" t="str">
        <f t="shared" si="163"/>
        <v/>
      </c>
      <c r="BR275" s="59"/>
      <c r="BS275" s="58" t="str">
        <f t="shared" si="164"/>
        <v/>
      </c>
      <c r="BT275" s="59"/>
      <c r="BU275" s="58" t="str">
        <f t="shared" si="165"/>
        <v/>
      </c>
      <c r="BV275" s="59"/>
    </row>
    <row r="276" spans="1:74" ht="14.5">
      <c r="A276" s="51" t="s">
        <v>58</v>
      </c>
      <c r="B276" s="52">
        <v>376</v>
      </c>
      <c r="C276" s="52" t="s">
        <v>188</v>
      </c>
      <c r="D276" s="41">
        <f t="shared" si="135"/>
        <v>4</v>
      </c>
      <c r="E276" s="52" t="s">
        <v>502</v>
      </c>
      <c r="F276" s="52" t="s">
        <v>289</v>
      </c>
      <c r="G276" s="52" t="s">
        <v>156</v>
      </c>
      <c r="H276" s="52" t="s">
        <v>503</v>
      </c>
      <c r="I276" s="53">
        <v>45678</v>
      </c>
      <c r="J276" s="108">
        <v>1416</v>
      </c>
      <c r="K276" s="101"/>
      <c r="L276" s="101"/>
      <c r="M276" s="101">
        <f t="shared" si="136"/>
        <v>1416</v>
      </c>
      <c r="N276" s="54">
        <f t="shared" si="137"/>
        <v>1416</v>
      </c>
      <c r="O276" s="101" t="s">
        <v>506</v>
      </c>
      <c r="P276" s="102">
        <f t="shared" si="138"/>
        <v>7.375</v>
      </c>
      <c r="Q276" s="102">
        <v>6</v>
      </c>
      <c r="R276" s="99">
        <f>480/15</f>
        <v>32</v>
      </c>
      <c r="S276" s="55">
        <f t="shared" si="166"/>
        <v>45650</v>
      </c>
      <c r="T276" s="55"/>
      <c r="U276" s="56">
        <f t="shared" ca="1" si="139"/>
        <v>-190</v>
      </c>
      <c r="V276" s="55">
        <f t="shared" si="140"/>
        <v>45666</v>
      </c>
      <c r="W276" s="55"/>
      <c r="X276" s="56">
        <f t="shared" ca="1" si="141"/>
        <v>-174</v>
      </c>
      <c r="Y276" s="55"/>
      <c r="Z276" s="57"/>
      <c r="AA276" s="58" t="str">
        <f t="shared" si="142"/>
        <v>-</v>
      </c>
      <c r="AB276" s="59"/>
      <c r="AC276" s="58" t="str">
        <f t="shared" si="143"/>
        <v/>
      </c>
      <c r="AD276" s="59"/>
      <c r="AE276" s="58" t="str">
        <f t="shared" si="144"/>
        <v/>
      </c>
      <c r="AF276" s="59"/>
      <c r="AG276" s="58" t="str">
        <f t="shared" si="145"/>
        <v/>
      </c>
      <c r="AH276" s="59"/>
      <c r="AI276" s="58" t="str">
        <f t="shared" si="146"/>
        <v/>
      </c>
      <c r="AJ276" s="59"/>
      <c r="AK276" s="58" t="str">
        <f t="shared" si="147"/>
        <v/>
      </c>
      <c r="AL276" s="59"/>
      <c r="AM276" s="58" t="str">
        <f t="shared" si="148"/>
        <v/>
      </c>
      <c r="AN276" s="59"/>
      <c r="AO276" s="58" t="str">
        <f t="shared" si="149"/>
        <v/>
      </c>
      <c r="AP276" s="59"/>
      <c r="AQ276" s="58" t="str">
        <f t="shared" si="150"/>
        <v/>
      </c>
      <c r="AR276" s="59"/>
      <c r="AS276" s="58" t="str">
        <f t="shared" si="151"/>
        <v/>
      </c>
      <c r="AT276" s="59"/>
      <c r="AU276" s="58" t="str">
        <f t="shared" si="152"/>
        <v/>
      </c>
      <c r="AV276" s="59"/>
      <c r="AW276" s="58">
        <f t="shared" si="153"/>
        <v>1416</v>
      </c>
      <c r="AX276" s="59"/>
      <c r="AY276" s="58" t="str">
        <f t="shared" si="154"/>
        <v/>
      </c>
      <c r="AZ276" s="59"/>
      <c r="BA276" s="58" t="str">
        <f t="shared" si="155"/>
        <v/>
      </c>
      <c r="BB276" s="59"/>
      <c r="BC276" s="58" t="str">
        <f t="shared" si="156"/>
        <v/>
      </c>
      <c r="BD276" s="59"/>
      <c r="BE276" s="58" t="str">
        <f t="shared" si="157"/>
        <v/>
      </c>
      <c r="BF276" s="59"/>
      <c r="BG276" s="58" t="str">
        <f t="shared" si="158"/>
        <v/>
      </c>
      <c r="BH276" s="59"/>
      <c r="BI276" s="58" t="str">
        <f t="shared" si="159"/>
        <v/>
      </c>
      <c r="BJ276" s="59"/>
      <c r="BK276" s="58" t="str">
        <f t="shared" si="160"/>
        <v/>
      </c>
      <c r="BL276" s="59"/>
      <c r="BM276" s="58" t="str">
        <f t="shared" si="161"/>
        <v/>
      </c>
      <c r="BN276" s="59"/>
      <c r="BO276" s="58" t="str">
        <f t="shared" si="162"/>
        <v/>
      </c>
      <c r="BP276" s="59"/>
      <c r="BQ276" s="58" t="str">
        <f t="shared" si="163"/>
        <v/>
      </c>
      <c r="BR276" s="59"/>
      <c r="BS276" s="58" t="str">
        <f t="shared" si="164"/>
        <v/>
      </c>
      <c r="BT276" s="59"/>
      <c r="BU276" s="58" t="str">
        <f t="shared" si="165"/>
        <v/>
      </c>
      <c r="BV276" s="59"/>
    </row>
    <row r="277" spans="1:74" ht="14.5">
      <c r="A277" s="51" t="s">
        <v>58</v>
      </c>
      <c r="B277" s="52">
        <v>376</v>
      </c>
      <c r="C277" s="52" t="s">
        <v>188</v>
      </c>
      <c r="D277" s="41">
        <f t="shared" si="135"/>
        <v>4</v>
      </c>
      <c r="E277" s="52" t="s">
        <v>157</v>
      </c>
      <c r="F277" s="52" t="s">
        <v>243</v>
      </c>
      <c r="G277" s="52" t="s">
        <v>535</v>
      </c>
      <c r="H277" s="52" t="s">
        <v>428</v>
      </c>
      <c r="I277" s="53">
        <v>45678</v>
      </c>
      <c r="J277" s="108">
        <v>2226</v>
      </c>
      <c r="K277" s="101"/>
      <c r="L277" s="101"/>
      <c r="M277" s="101">
        <f t="shared" si="136"/>
        <v>2226</v>
      </c>
      <c r="N277" s="54">
        <f t="shared" si="137"/>
        <v>2226</v>
      </c>
      <c r="O277" s="101" t="s">
        <v>429</v>
      </c>
      <c r="P277" s="102">
        <f t="shared" si="138"/>
        <v>0.371</v>
      </c>
      <c r="Q277" s="102">
        <v>6</v>
      </c>
      <c r="R277" s="99">
        <v>1000</v>
      </c>
      <c r="S277" s="55">
        <f t="shared" si="166"/>
        <v>45650</v>
      </c>
      <c r="T277" s="55">
        <v>45627</v>
      </c>
      <c r="U277" s="56">
        <f t="shared" ca="1" si="139"/>
        <v>23</v>
      </c>
      <c r="V277" s="55">
        <f t="shared" si="140"/>
        <v>45666</v>
      </c>
      <c r="W277" s="55"/>
      <c r="X277" s="56">
        <f t="shared" ca="1" si="141"/>
        <v>-174</v>
      </c>
      <c r="Y277" s="55"/>
      <c r="Z277" s="57"/>
      <c r="AA277" s="58" t="str">
        <f t="shared" si="142"/>
        <v>-</v>
      </c>
      <c r="AB277" s="59"/>
      <c r="AC277" s="58" t="str">
        <f t="shared" si="143"/>
        <v/>
      </c>
      <c r="AD277" s="59"/>
      <c r="AE277" s="58" t="str">
        <f t="shared" si="144"/>
        <v/>
      </c>
      <c r="AF277" s="59"/>
      <c r="AG277" s="58" t="str">
        <f t="shared" si="145"/>
        <v/>
      </c>
      <c r="AH277" s="59"/>
      <c r="AI277" s="58" t="str">
        <f t="shared" si="146"/>
        <v/>
      </c>
      <c r="AJ277" s="59"/>
      <c r="AK277" s="58" t="str">
        <f t="shared" si="147"/>
        <v/>
      </c>
      <c r="AL277" s="59"/>
      <c r="AM277" s="58" t="str">
        <f t="shared" si="148"/>
        <v/>
      </c>
      <c r="AN277" s="59"/>
      <c r="AO277" s="58" t="str">
        <f t="shared" si="149"/>
        <v/>
      </c>
      <c r="AP277" s="59"/>
      <c r="AQ277" s="58" t="str">
        <f t="shared" si="150"/>
        <v/>
      </c>
      <c r="AR277" s="59"/>
      <c r="AS277" s="58" t="str">
        <f t="shared" si="151"/>
        <v/>
      </c>
      <c r="AT277" s="59"/>
      <c r="AU277" s="58" t="str">
        <f t="shared" si="152"/>
        <v/>
      </c>
      <c r="AV277" s="59"/>
      <c r="AW277" s="58">
        <f t="shared" si="153"/>
        <v>2226</v>
      </c>
      <c r="AX277" s="59"/>
      <c r="AY277" s="58" t="str">
        <f t="shared" si="154"/>
        <v/>
      </c>
      <c r="AZ277" s="59"/>
      <c r="BA277" s="58" t="str">
        <f t="shared" si="155"/>
        <v/>
      </c>
      <c r="BB277" s="59"/>
      <c r="BC277" s="58" t="str">
        <f t="shared" si="156"/>
        <v/>
      </c>
      <c r="BD277" s="59"/>
      <c r="BE277" s="58" t="str">
        <f t="shared" si="157"/>
        <v/>
      </c>
      <c r="BF277" s="59"/>
      <c r="BG277" s="58" t="str">
        <f t="shared" si="158"/>
        <v/>
      </c>
      <c r="BH277" s="59"/>
      <c r="BI277" s="58" t="str">
        <f t="shared" si="159"/>
        <v/>
      </c>
      <c r="BJ277" s="59"/>
      <c r="BK277" s="58" t="str">
        <f t="shared" si="160"/>
        <v/>
      </c>
      <c r="BL277" s="59"/>
      <c r="BM277" s="58" t="str">
        <f t="shared" si="161"/>
        <v/>
      </c>
      <c r="BN277" s="59"/>
      <c r="BO277" s="58" t="str">
        <f t="shared" si="162"/>
        <v/>
      </c>
      <c r="BP277" s="59"/>
      <c r="BQ277" s="58" t="str">
        <f t="shared" si="163"/>
        <v/>
      </c>
      <c r="BR277" s="59"/>
      <c r="BS277" s="58" t="str">
        <f t="shared" si="164"/>
        <v/>
      </c>
      <c r="BT277" s="59"/>
      <c r="BU277" s="58" t="str">
        <f t="shared" si="165"/>
        <v/>
      </c>
      <c r="BV277" s="59"/>
    </row>
    <row r="278" spans="1:74" ht="14.5">
      <c r="A278" s="51" t="s">
        <v>58</v>
      </c>
      <c r="B278" s="52">
        <v>376</v>
      </c>
      <c r="C278" s="52" t="s">
        <v>188</v>
      </c>
      <c r="D278" s="41">
        <f t="shared" si="135"/>
        <v>4</v>
      </c>
      <c r="E278" s="52" t="s">
        <v>189</v>
      </c>
      <c r="F278" s="52" t="s">
        <v>242</v>
      </c>
      <c r="G278" s="52" t="s">
        <v>162</v>
      </c>
      <c r="H278" s="52" t="s">
        <v>432</v>
      </c>
      <c r="I278" s="53">
        <v>45678</v>
      </c>
      <c r="J278" s="108">
        <v>1412</v>
      </c>
      <c r="K278" s="101"/>
      <c r="L278" s="101"/>
      <c r="M278" s="101">
        <f t="shared" si="136"/>
        <v>1412</v>
      </c>
      <c r="N278" s="54">
        <f t="shared" si="137"/>
        <v>1412</v>
      </c>
      <c r="O278" s="101" t="s">
        <v>178</v>
      </c>
      <c r="P278" s="102">
        <f t="shared" si="138"/>
        <v>1.961111111111111</v>
      </c>
      <c r="Q278" s="102">
        <v>6</v>
      </c>
      <c r="R278" s="99">
        <v>120</v>
      </c>
      <c r="S278" s="55">
        <f t="shared" si="166"/>
        <v>45650</v>
      </c>
      <c r="T278" s="55">
        <v>45627</v>
      </c>
      <c r="U278" s="56">
        <f t="shared" ca="1" si="139"/>
        <v>23</v>
      </c>
      <c r="V278" s="55">
        <f t="shared" si="140"/>
        <v>45666</v>
      </c>
      <c r="W278" s="55"/>
      <c r="X278" s="56">
        <f t="shared" ca="1" si="141"/>
        <v>-174</v>
      </c>
      <c r="Y278" s="55"/>
      <c r="Z278" s="57"/>
      <c r="AA278" s="58" t="str">
        <f t="shared" si="142"/>
        <v>-</v>
      </c>
      <c r="AB278" s="59"/>
      <c r="AC278" s="58" t="str">
        <f t="shared" si="143"/>
        <v/>
      </c>
      <c r="AD278" s="59"/>
      <c r="AE278" s="58" t="str">
        <f t="shared" si="144"/>
        <v/>
      </c>
      <c r="AF278" s="59"/>
      <c r="AG278" s="58" t="str">
        <f t="shared" si="145"/>
        <v/>
      </c>
      <c r="AH278" s="59"/>
      <c r="AI278" s="58" t="str">
        <f t="shared" si="146"/>
        <v/>
      </c>
      <c r="AJ278" s="59"/>
      <c r="AK278" s="58" t="str">
        <f t="shared" si="147"/>
        <v/>
      </c>
      <c r="AL278" s="59"/>
      <c r="AM278" s="58" t="str">
        <f t="shared" si="148"/>
        <v/>
      </c>
      <c r="AN278" s="59"/>
      <c r="AO278" s="58" t="str">
        <f t="shared" si="149"/>
        <v/>
      </c>
      <c r="AP278" s="59"/>
      <c r="AQ278" s="58" t="str">
        <f t="shared" si="150"/>
        <v/>
      </c>
      <c r="AR278" s="59"/>
      <c r="AS278" s="58" t="str">
        <f t="shared" si="151"/>
        <v/>
      </c>
      <c r="AT278" s="59"/>
      <c r="AU278" s="58" t="str">
        <f t="shared" si="152"/>
        <v/>
      </c>
      <c r="AV278" s="59"/>
      <c r="AW278" s="58">
        <f t="shared" si="153"/>
        <v>1412</v>
      </c>
      <c r="AX278" s="59"/>
      <c r="AY278" s="58" t="str">
        <f t="shared" si="154"/>
        <v/>
      </c>
      <c r="AZ278" s="59"/>
      <c r="BA278" s="58" t="str">
        <f t="shared" si="155"/>
        <v/>
      </c>
      <c r="BB278" s="59"/>
      <c r="BC278" s="58" t="str">
        <f t="shared" si="156"/>
        <v/>
      </c>
      <c r="BD278" s="59"/>
      <c r="BE278" s="58" t="str">
        <f t="shared" si="157"/>
        <v/>
      </c>
      <c r="BF278" s="59"/>
      <c r="BG278" s="58" t="str">
        <f t="shared" si="158"/>
        <v/>
      </c>
      <c r="BH278" s="59"/>
      <c r="BI278" s="58" t="str">
        <f t="shared" si="159"/>
        <v/>
      </c>
      <c r="BJ278" s="59"/>
      <c r="BK278" s="58" t="str">
        <f t="shared" si="160"/>
        <v/>
      </c>
      <c r="BL278" s="59"/>
      <c r="BM278" s="58" t="str">
        <f t="shared" si="161"/>
        <v/>
      </c>
      <c r="BN278" s="59"/>
      <c r="BO278" s="58" t="str">
        <f t="shared" si="162"/>
        <v/>
      </c>
      <c r="BP278" s="59"/>
      <c r="BQ278" s="58" t="str">
        <f t="shared" si="163"/>
        <v/>
      </c>
      <c r="BR278" s="59"/>
      <c r="BS278" s="58" t="str">
        <f t="shared" si="164"/>
        <v/>
      </c>
      <c r="BT278" s="59"/>
      <c r="BU278" s="58" t="str">
        <f t="shared" si="165"/>
        <v/>
      </c>
      <c r="BV278" s="59"/>
    </row>
    <row r="279" spans="1:74" ht="14.5">
      <c r="A279" s="51" t="s">
        <v>58</v>
      </c>
      <c r="B279" s="52">
        <v>376</v>
      </c>
      <c r="C279" s="52" t="s">
        <v>188</v>
      </c>
      <c r="D279" s="41">
        <f t="shared" si="135"/>
        <v>4</v>
      </c>
      <c r="E279" s="52" t="s">
        <v>158</v>
      </c>
      <c r="F279" s="52" t="s">
        <v>242</v>
      </c>
      <c r="G279" s="52" t="s">
        <v>156</v>
      </c>
      <c r="H279" s="52" t="s">
        <v>432</v>
      </c>
      <c r="I279" s="53">
        <v>45678</v>
      </c>
      <c r="J279" s="108">
        <v>1156</v>
      </c>
      <c r="K279" s="101"/>
      <c r="L279" s="101"/>
      <c r="M279" s="101">
        <f t="shared" si="136"/>
        <v>1156</v>
      </c>
      <c r="N279" s="54">
        <f t="shared" si="137"/>
        <v>1156</v>
      </c>
      <c r="O279" s="101" t="s">
        <v>439</v>
      </c>
      <c r="P279" s="102">
        <f t="shared" si="138"/>
        <v>1.6055555555555556</v>
      </c>
      <c r="Q279" s="102">
        <v>6</v>
      </c>
      <c r="R279" s="99">
        <v>120</v>
      </c>
      <c r="S279" s="55">
        <f t="shared" si="166"/>
        <v>45650</v>
      </c>
      <c r="T279" s="55">
        <v>45627</v>
      </c>
      <c r="U279" s="56">
        <f t="shared" ca="1" si="139"/>
        <v>23</v>
      </c>
      <c r="V279" s="55">
        <f t="shared" si="140"/>
        <v>45666</v>
      </c>
      <c r="W279" s="55"/>
      <c r="X279" s="56">
        <f t="shared" ca="1" si="141"/>
        <v>-174</v>
      </c>
      <c r="Y279" s="55"/>
      <c r="Z279" s="57"/>
      <c r="AA279" s="58" t="str">
        <f t="shared" si="142"/>
        <v>-</v>
      </c>
      <c r="AB279" s="59"/>
      <c r="AC279" s="58" t="str">
        <f t="shared" si="143"/>
        <v/>
      </c>
      <c r="AD279" s="59"/>
      <c r="AE279" s="58" t="str">
        <f t="shared" si="144"/>
        <v/>
      </c>
      <c r="AF279" s="59"/>
      <c r="AG279" s="58" t="str">
        <f t="shared" si="145"/>
        <v/>
      </c>
      <c r="AH279" s="59"/>
      <c r="AI279" s="58" t="str">
        <f t="shared" si="146"/>
        <v/>
      </c>
      <c r="AJ279" s="59"/>
      <c r="AK279" s="58" t="str">
        <f t="shared" si="147"/>
        <v/>
      </c>
      <c r="AL279" s="59"/>
      <c r="AM279" s="58" t="str">
        <f t="shared" si="148"/>
        <v/>
      </c>
      <c r="AN279" s="59"/>
      <c r="AO279" s="58" t="str">
        <f t="shared" si="149"/>
        <v/>
      </c>
      <c r="AP279" s="59"/>
      <c r="AQ279" s="58" t="str">
        <f t="shared" si="150"/>
        <v/>
      </c>
      <c r="AR279" s="59"/>
      <c r="AS279" s="58" t="str">
        <f t="shared" si="151"/>
        <v/>
      </c>
      <c r="AT279" s="59"/>
      <c r="AU279" s="58" t="str">
        <f t="shared" si="152"/>
        <v/>
      </c>
      <c r="AV279" s="59"/>
      <c r="AW279" s="58">
        <f t="shared" si="153"/>
        <v>1156</v>
      </c>
      <c r="AX279" s="59"/>
      <c r="AY279" s="58" t="str">
        <f t="shared" si="154"/>
        <v/>
      </c>
      <c r="AZ279" s="59"/>
      <c r="BA279" s="58" t="str">
        <f t="shared" si="155"/>
        <v/>
      </c>
      <c r="BB279" s="59"/>
      <c r="BC279" s="58" t="str">
        <f t="shared" si="156"/>
        <v/>
      </c>
      <c r="BD279" s="59"/>
      <c r="BE279" s="58" t="str">
        <f t="shared" si="157"/>
        <v/>
      </c>
      <c r="BF279" s="59"/>
      <c r="BG279" s="58" t="str">
        <f t="shared" si="158"/>
        <v/>
      </c>
      <c r="BH279" s="59"/>
      <c r="BI279" s="58" t="str">
        <f t="shared" si="159"/>
        <v/>
      </c>
      <c r="BJ279" s="59"/>
      <c r="BK279" s="58" t="str">
        <f t="shared" si="160"/>
        <v/>
      </c>
      <c r="BL279" s="59"/>
      <c r="BM279" s="58" t="str">
        <f t="shared" si="161"/>
        <v/>
      </c>
      <c r="BN279" s="59"/>
      <c r="BO279" s="58" t="str">
        <f t="shared" si="162"/>
        <v/>
      </c>
      <c r="BP279" s="59"/>
      <c r="BQ279" s="58" t="str">
        <f t="shared" si="163"/>
        <v/>
      </c>
      <c r="BR279" s="59"/>
      <c r="BS279" s="58" t="str">
        <f t="shared" si="164"/>
        <v/>
      </c>
      <c r="BT279" s="59"/>
      <c r="BU279" s="58" t="str">
        <f t="shared" si="165"/>
        <v/>
      </c>
      <c r="BV279" s="59"/>
    </row>
    <row r="280" spans="1:74" ht="14.5">
      <c r="A280" s="51" t="s">
        <v>58</v>
      </c>
      <c r="B280" s="52">
        <v>361</v>
      </c>
      <c r="C280" s="52" t="s">
        <v>188</v>
      </c>
      <c r="D280" s="41">
        <f t="shared" si="135"/>
        <v>4</v>
      </c>
      <c r="E280" s="52" t="s">
        <v>157</v>
      </c>
      <c r="F280" s="52" t="s">
        <v>243</v>
      </c>
      <c r="G280" s="52" t="s">
        <v>155</v>
      </c>
      <c r="H280" s="52" t="s">
        <v>428</v>
      </c>
      <c r="I280" s="53">
        <v>45678</v>
      </c>
      <c r="J280" s="108">
        <v>1236</v>
      </c>
      <c r="K280" s="101"/>
      <c r="L280" s="101"/>
      <c r="M280" s="101">
        <f t="shared" si="136"/>
        <v>1236</v>
      </c>
      <c r="N280" s="54">
        <f t="shared" si="137"/>
        <v>1236</v>
      </c>
      <c r="O280" s="101" t="s">
        <v>429</v>
      </c>
      <c r="P280" s="102">
        <f t="shared" si="138"/>
        <v>0.20599999999999999</v>
      </c>
      <c r="Q280" s="102">
        <v>6</v>
      </c>
      <c r="R280" s="99">
        <v>1000</v>
      </c>
      <c r="S280" s="55">
        <f t="shared" si="166"/>
        <v>45650</v>
      </c>
      <c r="T280" s="55"/>
      <c r="U280" s="56">
        <f t="shared" ca="1" si="139"/>
        <v>-190</v>
      </c>
      <c r="V280" s="55">
        <f t="shared" si="140"/>
        <v>45666</v>
      </c>
      <c r="W280" s="55"/>
      <c r="X280" s="56">
        <f t="shared" ca="1" si="141"/>
        <v>-174</v>
      </c>
      <c r="Y280" s="55"/>
      <c r="Z280" s="57"/>
      <c r="AA280" s="58" t="str">
        <f t="shared" si="142"/>
        <v>-</v>
      </c>
      <c r="AB280" s="59"/>
      <c r="AC280" s="58" t="str">
        <f t="shared" si="143"/>
        <v/>
      </c>
      <c r="AD280" s="59"/>
      <c r="AE280" s="58" t="str">
        <f t="shared" si="144"/>
        <v/>
      </c>
      <c r="AF280" s="59"/>
      <c r="AG280" s="58" t="str">
        <f t="shared" si="145"/>
        <v/>
      </c>
      <c r="AH280" s="59"/>
      <c r="AI280" s="58" t="str">
        <f t="shared" si="146"/>
        <v/>
      </c>
      <c r="AJ280" s="59"/>
      <c r="AK280" s="58" t="str">
        <f t="shared" si="147"/>
        <v/>
      </c>
      <c r="AL280" s="59"/>
      <c r="AM280" s="58" t="str">
        <f t="shared" si="148"/>
        <v/>
      </c>
      <c r="AN280" s="59"/>
      <c r="AO280" s="58" t="str">
        <f t="shared" si="149"/>
        <v/>
      </c>
      <c r="AP280" s="59"/>
      <c r="AQ280" s="58" t="str">
        <f t="shared" si="150"/>
        <v/>
      </c>
      <c r="AR280" s="59"/>
      <c r="AS280" s="58" t="str">
        <f t="shared" si="151"/>
        <v/>
      </c>
      <c r="AT280" s="59"/>
      <c r="AU280" s="58" t="str">
        <f t="shared" si="152"/>
        <v/>
      </c>
      <c r="AV280" s="59"/>
      <c r="AW280" s="58">
        <f t="shared" si="153"/>
        <v>1236</v>
      </c>
      <c r="AX280" s="59"/>
      <c r="AY280" s="58" t="str">
        <f t="shared" si="154"/>
        <v/>
      </c>
      <c r="AZ280" s="59"/>
      <c r="BA280" s="58" t="str">
        <f t="shared" si="155"/>
        <v/>
      </c>
      <c r="BB280" s="59"/>
      <c r="BC280" s="58" t="str">
        <f t="shared" si="156"/>
        <v/>
      </c>
      <c r="BD280" s="59"/>
      <c r="BE280" s="58" t="str">
        <f t="shared" si="157"/>
        <v/>
      </c>
      <c r="BF280" s="59"/>
      <c r="BG280" s="58" t="str">
        <f t="shared" si="158"/>
        <v/>
      </c>
      <c r="BH280" s="59"/>
      <c r="BI280" s="58" t="str">
        <f t="shared" si="159"/>
        <v/>
      </c>
      <c r="BJ280" s="59"/>
      <c r="BK280" s="58" t="str">
        <f t="shared" si="160"/>
        <v/>
      </c>
      <c r="BL280" s="59"/>
      <c r="BM280" s="58" t="str">
        <f t="shared" si="161"/>
        <v/>
      </c>
      <c r="BN280" s="59"/>
      <c r="BO280" s="58" t="str">
        <f t="shared" si="162"/>
        <v/>
      </c>
      <c r="BP280" s="59"/>
      <c r="BQ280" s="58" t="str">
        <f t="shared" si="163"/>
        <v/>
      </c>
      <c r="BR280" s="59"/>
      <c r="BS280" s="58" t="str">
        <f t="shared" si="164"/>
        <v/>
      </c>
      <c r="BT280" s="59"/>
      <c r="BU280" s="58" t="str">
        <f t="shared" si="165"/>
        <v/>
      </c>
      <c r="BV280" s="59"/>
    </row>
    <row r="281" spans="1:74" ht="14.5">
      <c r="A281" s="51" t="s">
        <v>58</v>
      </c>
      <c r="B281" s="52">
        <v>361</v>
      </c>
      <c r="C281" s="52" t="s">
        <v>188</v>
      </c>
      <c r="D281" s="41">
        <f t="shared" si="135"/>
        <v>4</v>
      </c>
      <c r="E281" s="52" t="s">
        <v>189</v>
      </c>
      <c r="F281" s="52" t="s">
        <v>242</v>
      </c>
      <c r="G281" s="52" t="s">
        <v>162</v>
      </c>
      <c r="H281" s="52" t="s">
        <v>432</v>
      </c>
      <c r="I281" s="53">
        <v>45678</v>
      </c>
      <c r="J281" s="108">
        <v>224</v>
      </c>
      <c r="K281" s="101"/>
      <c r="L281" s="101"/>
      <c r="M281" s="101">
        <f t="shared" si="136"/>
        <v>224</v>
      </c>
      <c r="N281" s="54">
        <f t="shared" si="137"/>
        <v>224</v>
      </c>
      <c r="O281" s="101" t="s">
        <v>178</v>
      </c>
      <c r="P281" s="102">
        <f t="shared" si="138"/>
        <v>0.31111111111111112</v>
      </c>
      <c r="Q281" s="102">
        <v>6</v>
      </c>
      <c r="R281" s="99">
        <v>120</v>
      </c>
      <c r="S281" s="55">
        <f t="shared" si="166"/>
        <v>45650</v>
      </c>
      <c r="T281" s="55"/>
      <c r="U281" s="56">
        <f t="shared" ca="1" si="139"/>
        <v>-190</v>
      </c>
      <c r="V281" s="55">
        <f t="shared" si="140"/>
        <v>45666</v>
      </c>
      <c r="W281" s="55"/>
      <c r="X281" s="56">
        <f t="shared" ca="1" si="141"/>
        <v>-174</v>
      </c>
      <c r="Y281" s="55"/>
      <c r="Z281" s="57"/>
      <c r="AA281" s="58" t="str">
        <f t="shared" si="142"/>
        <v>-</v>
      </c>
      <c r="AB281" s="59"/>
      <c r="AC281" s="58" t="str">
        <f t="shared" si="143"/>
        <v/>
      </c>
      <c r="AD281" s="59"/>
      <c r="AE281" s="58" t="str">
        <f t="shared" si="144"/>
        <v/>
      </c>
      <c r="AF281" s="59"/>
      <c r="AG281" s="58" t="str">
        <f t="shared" si="145"/>
        <v/>
      </c>
      <c r="AH281" s="59"/>
      <c r="AI281" s="58" t="str">
        <f t="shared" si="146"/>
        <v/>
      </c>
      <c r="AJ281" s="59"/>
      <c r="AK281" s="58" t="str">
        <f t="shared" si="147"/>
        <v/>
      </c>
      <c r="AL281" s="59"/>
      <c r="AM281" s="58" t="str">
        <f t="shared" si="148"/>
        <v/>
      </c>
      <c r="AN281" s="59"/>
      <c r="AO281" s="58" t="str">
        <f t="shared" si="149"/>
        <v/>
      </c>
      <c r="AP281" s="59"/>
      <c r="AQ281" s="58" t="str">
        <f t="shared" si="150"/>
        <v/>
      </c>
      <c r="AR281" s="59"/>
      <c r="AS281" s="58" t="str">
        <f t="shared" si="151"/>
        <v/>
      </c>
      <c r="AT281" s="59"/>
      <c r="AU281" s="58" t="str">
        <f t="shared" si="152"/>
        <v/>
      </c>
      <c r="AV281" s="59"/>
      <c r="AW281" s="58">
        <f t="shared" si="153"/>
        <v>224</v>
      </c>
      <c r="AX281" s="59"/>
      <c r="AY281" s="58" t="str">
        <f t="shared" si="154"/>
        <v/>
      </c>
      <c r="AZ281" s="59"/>
      <c r="BA281" s="58" t="str">
        <f t="shared" si="155"/>
        <v/>
      </c>
      <c r="BB281" s="59"/>
      <c r="BC281" s="58" t="str">
        <f t="shared" si="156"/>
        <v/>
      </c>
      <c r="BD281" s="59"/>
      <c r="BE281" s="58" t="str">
        <f t="shared" si="157"/>
        <v/>
      </c>
      <c r="BF281" s="59"/>
      <c r="BG281" s="58" t="str">
        <f t="shared" si="158"/>
        <v/>
      </c>
      <c r="BH281" s="59"/>
      <c r="BI281" s="58" t="str">
        <f t="shared" si="159"/>
        <v/>
      </c>
      <c r="BJ281" s="59"/>
      <c r="BK281" s="58" t="str">
        <f t="shared" si="160"/>
        <v/>
      </c>
      <c r="BL281" s="59"/>
      <c r="BM281" s="58" t="str">
        <f t="shared" si="161"/>
        <v/>
      </c>
      <c r="BN281" s="59"/>
      <c r="BO281" s="58" t="str">
        <f t="shared" si="162"/>
        <v/>
      </c>
      <c r="BP281" s="59"/>
      <c r="BQ281" s="58" t="str">
        <f t="shared" si="163"/>
        <v/>
      </c>
      <c r="BR281" s="59"/>
      <c r="BS281" s="58" t="str">
        <f t="shared" si="164"/>
        <v/>
      </c>
      <c r="BT281" s="59"/>
      <c r="BU281" s="58" t="str">
        <f t="shared" si="165"/>
        <v/>
      </c>
      <c r="BV281" s="59"/>
    </row>
    <row r="282" spans="1:74" ht="14.5">
      <c r="A282" s="51" t="s">
        <v>58</v>
      </c>
      <c r="B282" s="52">
        <v>361</v>
      </c>
      <c r="C282" s="52" t="s">
        <v>188</v>
      </c>
      <c r="D282" s="41">
        <f t="shared" si="135"/>
        <v>4</v>
      </c>
      <c r="E282" s="52" t="s">
        <v>391</v>
      </c>
      <c r="F282" s="52" t="s">
        <v>392</v>
      </c>
      <c r="G282" s="52" t="s">
        <v>393</v>
      </c>
      <c r="H282" s="52" t="s">
        <v>433</v>
      </c>
      <c r="I282" s="53">
        <v>45678</v>
      </c>
      <c r="J282" s="108">
        <v>1488</v>
      </c>
      <c r="K282" s="101"/>
      <c r="L282" s="101"/>
      <c r="M282" s="101">
        <f t="shared" si="136"/>
        <v>1488</v>
      </c>
      <c r="N282" s="54">
        <f t="shared" si="137"/>
        <v>1488</v>
      </c>
      <c r="O282" s="101" t="s">
        <v>178</v>
      </c>
      <c r="P282" s="102">
        <f t="shared" si="138"/>
        <v>3.1</v>
      </c>
      <c r="Q282" s="102">
        <v>6</v>
      </c>
      <c r="R282" s="99">
        <v>80</v>
      </c>
      <c r="S282" s="55">
        <f t="shared" si="166"/>
        <v>45650</v>
      </c>
      <c r="T282" s="55"/>
      <c r="U282" s="56">
        <f t="shared" ca="1" si="139"/>
        <v>-190</v>
      </c>
      <c r="V282" s="55">
        <f t="shared" si="140"/>
        <v>45666</v>
      </c>
      <c r="W282" s="55"/>
      <c r="X282" s="56">
        <f t="shared" ca="1" si="141"/>
        <v>-174</v>
      </c>
      <c r="Y282" s="55"/>
      <c r="Z282" s="57"/>
      <c r="AA282" s="58" t="str">
        <f t="shared" si="142"/>
        <v>-</v>
      </c>
      <c r="AB282" s="59"/>
      <c r="AC282" s="58" t="str">
        <f t="shared" si="143"/>
        <v/>
      </c>
      <c r="AD282" s="59"/>
      <c r="AE282" s="58" t="str">
        <f t="shared" si="144"/>
        <v/>
      </c>
      <c r="AF282" s="59"/>
      <c r="AG282" s="58" t="str">
        <f t="shared" si="145"/>
        <v/>
      </c>
      <c r="AH282" s="59"/>
      <c r="AI282" s="58" t="str">
        <f t="shared" si="146"/>
        <v/>
      </c>
      <c r="AJ282" s="59"/>
      <c r="AK282" s="58" t="str">
        <f t="shared" si="147"/>
        <v/>
      </c>
      <c r="AL282" s="59"/>
      <c r="AM282" s="58" t="str">
        <f t="shared" si="148"/>
        <v/>
      </c>
      <c r="AN282" s="59"/>
      <c r="AO282" s="58" t="str">
        <f t="shared" si="149"/>
        <v/>
      </c>
      <c r="AP282" s="59"/>
      <c r="AQ282" s="58" t="str">
        <f t="shared" si="150"/>
        <v/>
      </c>
      <c r="AR282" s="59"/>
      <c r="AS282" s="58" t="str">
        <f t="shared" si="151"/>
        <v/>
      </c>
      <c r="AT282" s="59"/>
      <c r="AU282" s="58" t="str">
        <f t="shared" si="152"/>
        <v/>
      </c>
      <c r="AV282" s="59"/>
      <c r="AW282" s="58">
        <f t="shared" si="153"/>
        <v>1488</v>
      </c>
      <c r="AX282" s="59"/>
      <c r="AY282" s="58" t="str">
        <f t="shared" si="154"/>
        <v/>
      </c>
      <c r="AZ282" s="59"/>
      <c r="BA282" s="58" t="str">
        <f t="shared" si="155"/>
        <v/>
      </c>
      <c r="BB282" s="59"/>
      <c r="BC282" s="58" t="str">
        <f t="shared" si="156"/>
        <v/>
      </c>
      <c r="BD282" s="59"/>
      <c r="BE282" s="58" t="str">
        <f t="shared" si="157"/>
        <v/>
      </c>
      <c r="BF282" s="59"/>
      <c r="BG282" s="58" t="str">
        <f t="shared" si="158"/>
        <v/>
      </c>
      <c r="BH282" s="59"/>
      <c r="BI282" s="58" t="str">
        <f t="shared" si="159"/>
        <v/>
      </c>
      <c r="BJ282" s="59"/>
      <c r="BK282" s="58" t="str">
        <f t="shared" si="160"/>
        <v/>
      </c>
      <c r="BL282" s="59"/>
      <c r="BM282" s="58" t="str">
        <f t="shared" si="161"/>
        <v/>
      </c>
      <c r="BN282" s="59"/>
      <c r="BO282" s="58" t="str">
        <f t="shared" si="162"/>
        <v/>
      </c>
      <c r="BP282" s="59"/>
      <c r="BQ282" s="58" t="str">
        <f t="shared" si="163"/>
        <v/>
      </c>
      <c r="BR282" s="59"/>
      <c r="BS282" s="58" t="str">
        <f t="shared" si="164"/>
        <v/>
      </c>
      <c r="BT282" s="59"/>
      <c r="BU282" s="58" t="str">
        <f t="shared" si="165"/>
        <v/>
      </c>
      <c r="BV282" s="59"/>
    </row>
    <row r="283" spans="1:74" ht="14.5">
      <c r="A283" s="51" t="s">
        <v>58</v>
      </c>
      <c r="B283" s="52">
        <v>361</v>
      </c>
      <c r="C283" s="52" t="s">
        <v>188</v>
      </c>
      <c r="D283" s="41">
        <f t="shared" si="135"/>
        <v>4</v>
      </c>
      <c r="E283" s="52" t="s">
        <v>158</v>
      </c>
      <c r="F283" s="52" t="s">
        <v>242</v>
      </c>
      <c r="G283" s="52" t="s">
        <v>255</v>
      </c>
      <c r="H283" s="52" t="s">
        <v>445</v>
      </c>
      <c r="I283" s="53">
        <v>45678</v>
      </c>
      <c r="J283" s="108">
        <v>816</v>
      </c>
      <c r="K283" s="101"/>
      <c r="L283" s="101"/>
      <c r="M283" s="101">
        <f t="shared" si="136"/>
        <v>816</v>
      </c>
      <c r="N283" s="54">
        <f t="shared" si="137"/>
        <v>816</v>
      </c>
      <c r="O283" s="101" t="s">
        <v>439</v>
      </c>
      <c r="P283" s="102">
        <f t="shared" si="138"/>
        <v>1.1333333333333333</v>
      </c>
      <c r="Q283" s="102">
        <v>6</v>
      </c>
      <c r="R283" s="99">
        <v>120</v>
      </c>
      <c r="S283" s="55">
        <f t="shared" si="166"/>
        <v>45650</v>
      </c>
      <c r="T283" s="55"/>
      <c r="U283" s="56">
        <f t="shared" ca="1" si="139"/>
        <v>-190</v>
      </c>
      <c r="V283" s="55">
        <f t="shared" si="140"/>
        <v>45666</v>
      </c>
      <c r="W283" s="55"/>
      <c r="X283" s="56">
        <f t="shared" ca="1" si="141"/>
        <v>-174</v>
      </c>
      <c r="Y283" s="55"/>
      <c r="Z283" s="57"/>
      <c r="AA283" s="58" t="str">
        <f t="shared" si="142"/>
        <v>-</v>
      </c>
      <c r="AB283" s="59"/>
      <c r="AC283" s="58" t="str">
        <f t="shared" si="143"/>
        <v/>
      </c>
      <c r="AD283" s="59"/>
      <c r="AE283" s="58" t="str">
        <f t="shared" si="144"/>
        <v/>
      </c>
      <c r="AF283" s="59"/>
      <c r="AG283" s="58" t="str">
        <f t="shared" si="145"/>
        <v/>
      </c>
      <c r="AH283" s="59"/>
      <c r="AI283" s="58" t="str">
        <f t="shared" si="146"/>
        <v/>
      </c>
      <c r="AJ283" s="59"/>
      <c r="AK283" s="58" t="str">
        <f t="shared" si="147"/>
        <v/>
      </c>
      <c r="AL283" s="59"/>
      <c r="AM283" s="58" t="str">
        <f t="shared" si="148"/>
        <v/>
      </c>
      <c r="AN283" s="59"/>
      <c r="AO283" s="58" t="str">
        <f t="shared" si="149"/>
        <v/>
      </c>
      <c r="AP283" s="59"/>
      <c r="AQ283" s="58" t="str">
        <f t="shared" si="150"/>
        <v/>
      </c>
      <c r="AR283" s="59"/>
      <c r="AS283" s="58" t="str">
        <f t="shared" si="151"/>
        <v/>
      </c>
      <c r="AT283" s="59"/>
      <c r="AU283" s="58" t="str">
        <f t="shared" si="152"/>
        <v/>
      </c>
      <c r="AV283" s="59"/>
      <c r="AW283" s="58">
        <f t="shared" si="153"/>
        <v>816</v>
      </c>
      <c r="AX283" s="59"/>
      <c r="AY283" s="58" t="str">
        <f t="shared" si="154"/>
        <v/>
      </c>
      <c r="AZ283" s="59"/>
      <c r="BA283" s="58" t="str">
        <f t="shared" si="155"/>
        <v/>
      </c>
      <c r="BB283" s="59"/>
      <c r="BC283" s="58" t="str">
        <f t="shared" si="156"/>
        <v/>
      </c>
      <c r="BD283" s="59"/>
      <c r="BE283" s="58" t="str">
        <f t="shared" si="157"/>
        <v/>
      </c>
      <c r="BF283" s="59"/>
      <c r="BG283" s="58" t="str">
        <f t="shared" si="158"/>
        <v/>
      </c>
      <c r="BH283" s="59"/>
      <c r="BI283" s="58" t="str">
        <f t="shared" si="159"/>
        <v/>
      </c>
      <c r="BJ283" s="59"/>
      <c r="BK283" s="58" t="str">
        <f t="shared" si="160"/>
        <v/>
      </c>
      <c r="BL283" s="59"/>
      <c r="BM283" s="58" t="str">
        <f t="shared" si="161"/>
        <v/>
      </c>
      <c r="BN283" s="59"/>
      <c r="BO283" s="58" t="str">
        <f t="shared" si="162"/>
        <v/>
      </c>
      <c r="BP283" s="59"/>
      <c r="BQ283" s="58" t="str">
        <f t="shared" si="163"/>
        <v/>
      </c>
      <c r="BR283" s="59"/>
      <c r="BS283" s="58" t="str">
        <f t="shared" si="164"/>
        <v/>
      </c>
      <c r="BT283" s="59"/>
      <c r="BU283" s="58" t="str">
        <f t="shared" si="165"/>
        <v/>
      </c>
      <c r="BV283" s="59"/>
    </row>
    <row r="284" spans="1:74" ht="14.5">
      <c r="A284" s="51" t="s">
        <v>58</v>
      </c>
      <c r="B284" s="52">
        <v>361</v>
      </c>
      <c r="C284" s="52" t="s">
        <v>188</v>
      </c>
      <c r="D284" s="41">
        <f t="shared" si="135"/>
        <v>4</v>
      </c>
      <c r="E284" s="52" t="s">
        <v>190</v>
      </c>
      <c r="F284" s="52" t="s">
        <v>242</v>
      </c>
      <c r="G284" s="52" t="s">
        <v>244</v>
      </c>
      <c r="H284" s="52" t="s">
        <v>513</v>
      </c>
      <c r="I284" s="53">
        <v>45678</v>
      </c>
      <c r="J284" s="108">
        <v>1524</v>
      </c>
      <c r="K284" s="101"/>
      <c r="L284" s="101"/>
      <c r="M284" s="101">
        <f t="shared" si="136"/>
        <v>1524</v>
      </c>
      <c r="N284" s="54">
        <f t="shared" si="137"/>
        <v>1524</v>
      </c>
      <c r="O284" s="101" t="s">
        <v>439</v>
      </c>
      <c r="P284" s="102">
        <f t="shared" si="138"/>
        <v>2.1166666666666667</v>
      </c>
      <c r="Q284" s="102">
        <v>6</v>
      </c>
      <c r="R284" s="99">
        <v>120</v>
      </c>
      <c r="S284" s="55">
        <f t="shared" si="166"/>
        <v>45650</v>
      </c>
      <c r="T284" s="55"/>
      <c r="U284" s="56">
        <f t="shared" ca="1" si="139"/>
        <v>-190</v>
      </c>
      <c r="V284" s="55">
        <f t="shared" si="140"/>
        <v>45666</v>
      </c>
      <c r="W284" s="55"/>
      <c r="X284" s="56">
        <f t="shared" ca="1" si="141"/>
        <v>-174</v>
      </c>
      <c r="Y284" s="55"/>
      <c r="Z284" s="57"/>
      <c r="AA284" s="58" t="str">
        <f t="shared" si="142"/>
        <v>-</v>
      </c>
      <c r="AB284" s="59"/>
      <c r="AC284" s="58" t="str">
        <f t="shared" si="143"/>
        <v/>
      </c>
      <c r="AD284" s="59"/>
      <c r="AE284" s="58" t="str">
        <f t="shared" si="144"/>
        <v/>
      </c>
      <c r="AF284" s="59"/>
      <c r="AG284" s="58" t="str">
        <f t="shared" si="145"/>
        <v/>
      </c>
      <c r="AH284" s="59"/>
      <c r="AI284" s="58" t="str">
        <f t="shared" si="146"/>
        <v/>
      </c>
      <c r="AJ284" s="59"/>
      <c r="AK284" s="58" t="str">
        <f t="shared" si="147"/>
        <v/>
      </c>
      <c r="AL284" s="59"/>
      <c r="AM284" s="58" t="str">
        <f t="shared" si="148"/>
        <v/>
      </c>
      <c r="AN284" s="59"/>
      <c r="AO284" s="58" t="str">
        <f t="shared" si="149"/>
        <v/>
      </c>
      <c r="AP284" s="59"/>
      <c r="AQ284" s="58" t="str">
        <f t="shared" si="150"/>
        <v/>
      </c>
      <c r="AR284" s="59"/>
      <c r="AS284" s="58" t="str">
        <f t="shared" si="151"/>
        <v/>
      </c>
      <c r="AT284" s="59"/>
      <c r="AU284" s="58" t="str">
        <f t="shared" si="152"/>
        <v/>
      </c>
      <c r="AV284" s="59"/>
      <c r="AW284" s="58">
        <f t="shared" si="153"/>
        <v>1524</v>
      </c>
      <c r="AX284" s="59"/>
      <c r="AY284" s="58" t="str">
        <f t="shared" si="154"/>
        <v/>
      </c>
      <c r="AZ284" s="59"/>
      <c r="BA284" s="58" t="str">
        <f t="shared" si="155"/>
        <v/>
      </c>
      <c r="BB284" s="59"/>
      <c r="BC284" s="58" t="str">
        <f t="shared" si="156"/>
        <v/>
      </c>
      <c r="BD284" s="59"/>
      <c r="BE284" s="58" t="str">
        <f t="shared" si="157"/>
        <v/>
      </c>
      <c r="BF284" s="59"/>
      <c r="BG284" s="58" t="str">
        <f t="shared" si="158"/>
        <v/>
      </c>
      <c r="BH284" s="59"/>
      <c r="BI284" s="58" t="str">
        <f t="shared" si="159"/>
        <v/>
      </c>
      <c r="BJ284" s="59"/>
      <c r="BK284" s="58" t="str">
        <f t="shared" si="160"/>
        <v/>
      </c>
      <c r="BL284" s="59"/>
      <c r="BM284" s="58" t="str">
        <f t="shared" si="161"/>
        <v/>
      </c>
      <c r="BN284" s="59"/>
      <c r="BO284" s="58" t="str">
        <f t="shared" si="162"/>
        <v/>
      </c>
      <c r="BP284" s="59"/>
      <c r="BQ284" s="58" t="str">
        <f t="shared" si="163"/>
        <v/>
      </c>
      <c r="BR284" s="59"/>
      <c r="BS284" s="58" t="str">
        <f t="shared" si="164"/>
        <v/>
      </c>
      <c r="BT284" s="59"/>
      <c r="BU284" s="58" t="str">
        <f t="shared" si="165"/>
        <v/>
      </c>
      <c r="BV284" s="59"/>
    </row>
    <row r="285" spans="1:74" ht="14.5">
      <c r="A285" s="51" t="s">
        <v>58</v>
      </c>
      <c r="B285" s="52">
        <v>362</v>
      </c>
      <c r="C285" s="52" t="s">
        <v>188</v>
      </c>
      <c r="D285" s="41">
        <f t="shared" si="135"/>
        <v>4</v>
      </c>
      <c r="E285" s="52" t="s">
        <v>157</v>
      </c>
      <c r="F285" s="52" t="s">
        <v>243</v>
      </c>
      <c r="G285" s="52" t="s">
        <v>162</v>
      </c>
      <c r="H285" s="52" t="s">
        <v>428</v>
      </c>
      <c r="I285" s="53">
        <v>45678</v>
      </c>
      <c r="J285" s="108">
        <v>3708</v>
      </c>
      <c r="K285" s="101"/>
      <c r="L285" s="101"/>
      <c r="M285" s="101">
        <f t="shared" si="136"/>
        <v>3708</v>
      </c>
      <c r="N285" s="54">
        <f t="shared" si="137"/>
        <v>3708</v>
      </c>
      <c r="O285" s="101" t="s">
        <v>429</v>
      </c>
      <c r="P285" s="102">
        <f t="shared" si="138"/>
        <v>0.61799999999999999</v>
      </c>
      <c r="Q285" s="102">
        <v>6</v>
      </c>
      <c r="R285" s="99">
        <v>1000</v>
      </c>
      <c r="S285" s="55">
        <f t="shared" si="166"/>
        <v>45650</v>
      </c>
      <c r="T285" s="55"/>
      <c r="U285" s="56">
        <f t="shared" ca="1" si="139"/>
        <v>-190</v>
      </c>
      <c r="V285" s="55">
        <f t="shared" si="140"/>
        <v>45666</v>
      </c>
      <c r="W285" s="55"/>
      <c r="X285" s="56">
        <f t="shared" ca="1" si="141"/>
        <v>-174</v>
      </c>
      <c r="Y285" s="55"/>
      <c r="Z285" s="57"/>
      <c r="AA285" s="58" t="str">
        <f t="shared" si="142"/>
        <v>-</v>
      </c>
      <c r="AB285" s="59"/>
      <c r="AC285" s="58" t="str">
        <f t="shared" si="143"/>
        <v/>
      </c>
      <c r="AD285" s="59"/>
      <c r="AE285" s="58" t="str">
        <f t="shared" si="144"/>
        <v/>
      </c>
      <c r="AF285" s="59"/>
      <c r="AG285" s="58" t="str">
        <f t="shared" si="145"/>
        <v/>
      </c>
      <c r="AH285" s="59"/>
      <c r="AI285" s="58" t="str">
        <f t="shared" si="146"/>
        <v/>
      </c>
      <c r="AJ285" s="59"/>
      <c r="AK285" s="58" t="str">
        <f t="shared" si="147"/>
        <v/>
      </c>
      <c r="AL285" s="59"/>
      <c r="AM285" s="58" t="str">
        <f t="shared" si="148"/>
        <v/>
      </c>
      <c r="AN285" s="59"/>
      <c r="AO285" s="58" t="str">
        <f t="shared" si="149"/>
        <v/>
      </c>
      <c r="AP285" s="59"/>
      <c r="AQ285" s="58" t="str">
        <f t="shared" si="150"/>
        <v/>
      </c>
      <c r="AR285" s="59"/>
      <c r="AS285" s="58" t="str">
        <f t="shared" si="151"/>
        <v/>
      </c>
      <c r="AT285" s="59"/>
      <c r="AU285" s="58" t="str">
        <f t="shared" si="152"/>
        <v/>
      </c>
      <c r="AV285" s="59"/>
      <c r="AW285" s="58">
        <f t="shared" si="153"/>
        <v>3708</v>
      </c>
      <c r="AX285" s="59"/>
      <c r="AY285" s="58" t="str">
        <f t="shared" si="154"/>
        <v/>
      </c>
      <c r="AZ285" s="59"/>
      <c r="BA285" s="58" t="str">
        <f t="shared" si="155"/>
        <v/>
      </c>
      <c r="BB285" s="59"/>
      <c r="BC285" s="58" t="str">
        <f t="shared" si="156"/>
        <v/>
      </c>
      <c r="BD285" s="59"/>
      <c r="BE285" s="58" t="str">
        <f t="shared" si="157"/>
        <v/>
      </c>
      <c r="BF285" s="59"/>
      <c r="BG285" s="58" t="str">
        <f t="shared" si="158"/>
        <v/>
      </c>
      <c r="BH285" s="59"/>
      <c r="BI285" s="58" t="str">
        <f t="shared" si="159"/>
        <v/>
      </c>
      <c r="BJ285" s="59"/>
      <c r="BK285" s="58" t="str">
        <f t="shared" si="160"/>
        <v/>
      </c>
      <c r="BL285" s="59"/>
      <c r="BM285" s="58" t="str">
        <f t="shared" si="161"/>
        <v/>
      </c>
      <c r="BN285" s="59"/>
      <c r="BO285" s="58" t="str">
        <f t="shared" si="162"/>
        <v/>
      </c>
      <c r="BP285" s="59"/>
      <c r="BQ285" s="58" t="str">
        <f t="shared" si="163"/>
        <v/>
      </c>
      <c r="BR285" s="59"/>
      <c r="BS285" s="58" t="str">
        <f t="shared" si="164"/>
        <v/>
      </c>
      <c r="BT285" s="59"/>
      <c r="BU285" s="58" t="str">
        <f t="shared" si="165"/>
        <v/>
      </c>
      <c r="BV285" s="59"/>
    </row>
    <row r="286" spans="1:74" ht="14.5">
      <c r="A286" s="51" t="s">
        <v>58</v>
      </c>
      <c r="B286" s="52">
        <v>362</v>
      </c>
      <c r="C286" s="52" t="s">
        <v>188</v>
      </c>
      <c r="D286" s="41">
        <f t="shared" si="135"/>
        <v>4</v>
      </c>
      <c r="E286" s="52" t="s">
        <v>245</v>
      </c>
      <c r="F286" s="52" t="s">
        <v>242</v>
      </c>
      <c r="G286" s="52" t="s">
        <v>244</v>
      </c>
      <c r="H286" s="52" t="s">
        <v>432</v>
      </c>
      <c r="I286" s="53">
        <v>45678</v>
      </c>
      <c r="J286" s="108">
        <v>380</v>
      </c>
      <c r="K286" s="101"/>
      <c r="L286" s="101"/>
      <c r="M286" s="101">
        <f t="shared" si="136"/>
        <v>380</v>
      </c>
      <c r="N286" s="54">
        <f t="shared" si="137"/>
        <v>380</v>
      </c>
      <c r="O286" s="101" t="s">
        <v>431</v>
      </c>
      <c r="P286" s="102">
        <f t="shared" si="138"/>
        <v>0.52777777777777779</v>
      </c>
      <c r="Q286" s="102">
        <v>6</v>
      </c>
      <c r="R286" s="99">
        <v>120</v>
      </c>
      <c r="S286" s="55">
        <f t="shared" si="166"/>
        <v>45650</v>
      </c>
      <c r="T286" s="55"/>
      <c r="U286" s="56">
        <f t="shared" ca="1" si="139"/>
        <v>-190</v>
      </c>
      <c r="V286" s="55">
        <f t="shared" si="140"/>
        <v>45666</v>
      </c>
      <c r="W286" s="55"/>
      <c r="X286" s="56">
        <f t="shared" ca="1" si="141"/>
        <v>-174</v>
      </c>
      <c r="Y286" s="55"/>
      <c r="Z286" s="57"/>
      <c r="AA286" s="58" t="str">
        <f t="shared" si="142"/>
        <v>-</v>
      </c>
      <c r="AB286" s="59"/>
      <c r="AC286" s="58" t="str">
        <f t="shared" si="143"/>
        <v/>
      </c>
      <c r="AD286" s="59"/>
      <c r="AE286" s="58" t="str">
        <f t="shared" si="144"/>
        <v/>
      </c>
      <c r="AF286" s="59"/>
      <c r="AG286" s="58" t="str">
        <f t="shared" si="145"/>
        <v/>
      </c>
      <c r="AH286" s="59"/>
      <c r="AI286" s="58" t="str">
        <f t="shared" si="146"/>
        <v/>
      </c>
      <c r="AJ286" s="59"/>
      <c r="AK286" s="58" t="str">
        <f t="shared" si="147"/>
        <v/>
      </c>
      <c r="AL286" s="59"/>
      <c r="AM286" s="58" t="str">
        <f t="shared" si="148"/>
        <v/>
      </c>
      <c r="AN286" s="59"/>
      <c r="AO286" s="58" t="str">
        <f t="shared" si="149"/>
        <v/>
      </c>
      <c r="AP286" s="59"/>
      <c r="AQ286" s="58" t="str">
        <f t="shared" si="150"/>
        <v/>
      </c>
      <c r="AR286" s="59"/>
      <c r="AS286" s="58" t="str">
        <f t="shared" si="151"/>
        <v/>
      </c>
      <c r="AT286" s="59"/>
      <c r="AU286" s="58" t="str">
        <f t="shared" si="152"/>
        <v/>
      </c>
      <c r="AV286" s="59"/>
      <c r="AW286" s="58">
        <f t="shared" si="153"/>
        <v>380</v>
      </c>
      <c r="AX286" s="59"/>
      <c r="AY286" s="58" t="str">
        <f t="shared" si="154"/>
        <v/>
      </c>
      <c r="AZ286" s="59"/>
      <c r="BA286" s="58" t="str">
        <f t="shared" si="155"/>
        <v/>
      </c>
      <c r="BB286" s="59"/>
      <c r="BC286" s="58" t="str">
        <f t="shared" si="156"/>
        <v/>
      </c>
      <c r="BD286" s="59"/>
      <c r="BE286" s="58" t="str">
        <f t="shared" si="157"/>
        <v/>
      </c>
      <c r="BF286" s="59"/>
      <c r="BG286" s="58" t="str">
        <f t="shared" si="158"/>
        <v/>
      </c>
      <c r="BH286" s="59"/>
      <c r="BI286" s="58" t="str">
        <f t="shared" si="159"/>
        <v/>
      </c>
      <c r="BJ286" s="59"/>
      <c r="BK286" s="58" t="str">
        <f t="shared" si="160"/>
        <v/>
      </c>
      <c r="BL286" s="59"/>
      <c r="BM286" s="58" t="str">
        <f t="shared" si="161"/>
        <v/>
      </c>
      <c r="BN286" s="59"/>
      <c r="BO286" s="58" t="str">
        <f t="shared" si="162"/>
        <v/>
      </c>
      <c r="BP286" s="59"/>
      <c r="BQ286" s="58" t="str">
        <f t="shared" si="163"/>
        <v/>
      </c>
      <c r="BR286" s="59"/>
      <c r="BS286" s="58" t="str">
        <f t="shared" si="164"/>
        <v/>
      </c>
      <c r="BT286" s="59"/>
      <c r="BU286" s="58" t="str">
        <f t="shared" si="165"/>
        <v/>
      </c>
      <c r="BV286" s="59"/>
    </row>
    <row r="287" spans="1:74" ht="14.5">
      <c r="A287" s="51" t="s">
        <v>58</v>
      </c>
      <c r="B287" s="52">
        <v>362</v>
      </c>
      <c r="C287" s="52" t="s">
        <v>188</v>
      </c>
      <c r="D287" s="41">
        <f t="shared" si="135"/>
        <v>4</v>
      </c>
      <c r="E287" s="52" t="s">
        <v>189</v>
      </c>
      <c r="F287" s="52" t="s">
        <v>242</v>
      </c>
      <c r="G287" s="52" t="s">
        <v>162</v>
      </c>
      <c r="H287" s="52" t="s">
        <v>432</v>
      </c>
      <c r="I287" s="53">
        <v>45678</v>
      </c>
      <c r="J287" s="108">
        <v>668</v>
      </c>
      <c r="K287" s="101"/>
      <c r="L287" s="101"/>
      <c r="M287" s="101">
        <f t="shared" si="136"/>
        <v>668</v>
      </c>
      <c r="N287" s="54">
        <f t="shared" si="137"/>
        <v>668</v>
      </c>
      <c r="O287" s="101" t="s">
        <v>178</v>
      </c>
      <c r="P287" s="102">
        <f t="shared" si="138"/>
        <v>0.92777777777777781</v>
      </c>
      <c r="Q287" s="102">
        <v>6</v>
      </c>
      <c r="R287" s="99">
        <v>120</v>
      </c>
      <c r="S287" s="55">
        <f t="shared" si="166"/>
        <v>45650</v>
      </c>
      <c r="T287" s="55"/>
      <c r="U287" s="56">
        <f t="shared" ca="1" si="139"/>
        <v>-190</v>
      </c>
      <c r="V287" s="55">
        <f t="shared" si="140"/>
        <v>45666</v>
      </c>
      <c r="W287" s="55"/>
      <c r="X287" s="56">
        <f t="shared" ca="1" si="141"/>
        <v>-174</v>
      </c>
      <c r="Y287" s="55"/>
      <c r="Z287" s="57"/>
      <c r="AA287" s="58" t="str">
        <f t="shared" si="142"/>
        <v>-</v>
      </c>
      <c r="AB287" s="59"/>
      <c r="AC287" s="58" t="str">
        <f t="shared" si="143"/>
        <v/>
      </c>
      <c r="AD287" s="59"/>
      <c r="AE287" s="58" t="str">
        <f t="shared" si="144"/>
        <v/>
      </c>
      <c r="AF287" s="59"/>
      <c r="AG287" s="58" t="str">
        <f t="shared" si="145"/>
        <v/>
      </c>
      <c r="AH287" s="59"/>
      <c r="AI287" s="58" t="str">
        <f t="shared" si="146"/>
        <v/>
      </c>
      <c r="AJ287" s="59"/>
      <c r="AK287" s="58" t="str">
        <f t="shared" si="147"/>
        <v/>
      </c>
      <c r="AL287" s="59"/>
      <c r="AM287" s="58" t="str">
        <f t="shared" si="148"/>
        <v/>
      </c>
      <c r="AN287" s="59"/>
      <c r="AO287" s="58" t="str">
        <f t="shared" si="149"/>
        <v/>
      </c>
      <c r="AP287" s="59"/>
      <c r="AQ287" s="58" t="str">
        <f t="shared" si="150"/>
        <v/>
      </c>
      <c r="AR287" s="59"/>
      <c r="AS287" s="58" t="str">
        <f t="shared" si="151"/>
        <v/>
      </c>
      <c r="AT287" s="59"/>
      <c r="AU287" s="58" t="str">
        <f t="shared" si="152"/>
        <v/>
      </c>
      <c r="AV287" s="59"/>
      <c r="AW287" s="58">
        <f t="shared" si="153"/>
        <v>668</v>
      </c>
      <c r="AX287" s="59"/>
      <c r="AY287" s="58" t="str">
        <f t="shared" si="154"/>
        <v/>
      </c>
      <c r="AZ287" s="59"/>
      <c r="BA287" s="58" t="str">
        <f t="shared" si="155"/>
        <v/>
      </c>
      <c r="BB287" s="59"/>
      <c r="BC287" s="58" t="str">
        <f t="shared" si="156"/>
        <v/>
      </c>
      <c r="BD287" s="59"/>
      <c r="BE287" s="58" t="str">
        <f t="shared" si="157"/>
        <v/>
      </c>
      <c r="BF287" s="59"/>
      <c r="BG287" s="58" t="str">
        <f t="shared" si="158"/>
        <v/>
      </c>
      <c r="BH287" s="59"/>
      <c r="BI287" s="58" t="str">
        <f t="shared" si="159"/>
        <v/>
      </c>
      <c r="BJ287" s="59"/>
      <c r="BK287" s="58" t="str">
        <f t="shared" si="160"/>
        <v/>
      </c>
      <c r="BL287" s="59"/>
      <c r="BM287" s="58" t="str">
        <f t="shared" si="161"/>
        <v/>
      </c>
      <c r="BN287" s="59"/>
      <c r="BO287" s="58" t="str">
        <f t="shared" si="162"/>
        <v/>
      </c>
      <c r="BP287" s="59"/>
      <c r="BQ287" s="58" t="str">
        <f t="shared" si="163"/>
        <v/>
      </c>
      <c r="BR287" s="59"/>
      <c r="BS287" s="58" t="str">
        <f t="shared" si="164"/>
        <v/>
      </c>
      <c r="BT287" s="59"/>
      <c r="BU287" s="58" t="str">
        <f t="shared" si="165"/>
        <v/>
      </c>
      <c r="BV287" s="59"/>
    </row>
    <row r="288" spans="1:74" ht="14.5">
      <c r="A288" s="51" t="s">
        <v>58</v>
      </c>
      <c r="B288" s="52">
        <v>362</v>
      </c>
      <c r="C288" s="52" t="s">
        <v>188</v>
      </c>
      <c r="D288" s="41">
        <f t="shared" si="135"/>
        <v>4</v>
      </c>
      <c r="E288" s="52" t="s">
        <v>158</v>
      </c>
      <c r="F288" s="52" t="s">
        <v>242</v>
      </c>
      <c r="G288" s="52" t="s">
        <v>255</v>
      </c>
      <c r="H288" s="52" t="s">
        <v>432</v>
      </c>
      <c r="I288" s="53">
        <v>45678</v>
      </c>
      <c r="J288" s="108">
        <v>1336</v>
      </c>
      <c r="K288" s="101"/>
      <c r="L288" s="101"/>
      <c r="M288" s="101">
        <f t="shared" si="136"/>
        <v>1336</v>
      </c>
      <c r="N288" s="54">
        <f t="shared" si="137"/>
        <v>1336</v>
      </c>
      <c r="O288" s="101" t="s">
        <v>439</v>
      </c>
      <c r="P288" s="102">
        <f t="shared" si="138"/>
        <v>1.8555555555555556</v>
      </c>
      <c r="Q288" s="102">
        <v>6</v>
      </c>
      <c r="R288" s="99">
        <v>120</v>
      </c>
      <c r="S288" s="55">
        <f t="shared" si="166"/>
        <v>45650</v>
      </c>
      <c r="T288" s="55"/>
      <c r="U288" s="56">
        <f t="shared" ca="1" si="139"/>
        <v>-190</v>
      </c>
      <c r="V288" s="55">
        <f t="shared" si="140"/>
        <v>45666</v>
      </c>
      <c r="W288" s="55"/>
      <c r="X288" s="56">
        <f t="shared" ca="1" si="141"/>
        <v>-174</v>
      </c>
      <c r="Y288" s="55"/>
      <c r="Z288" s="57"/>
      <c r="AA288" s="58" t="str">
        <f t="shared" si="142"/>
        <v>-</v>
      </c>
      <c r="AB288" s="59"/>
      <c r="AC288" s="58" t="str">
        <f t="shared" si="143"/>
        <v/>
      </c>
      <c r="AD288" s="59"/>
      <c r="AE288" s="58" t="str">
        <f t="shared" si="144"/>
        <v/>
      </c>
      <c r="AF288" s="59"/>
      <c r="AG288" s="58" t="str">
        <f t="shared" si="145"/>
        <v/>
      </c>
      <c r="AH288" s="59"/>
      <c r="AI288" s="58" t="str">
        <f t="shared" si="146"/>
        <v/>
      </c>
      <c r="AJ288" s="59"/>
      <c r="AK288" s="58" t="str">
        <f t="shared" si="147"/>
        <v/>
      </c>
      <c r="AL288" s="59"/>
      <c r="AM288" s="58" t="str">
        <f t="shared" si="148"/>
        <v/>
      </c>
      <c r="AN288" s="59"/>
      <c r="AO288" s="58" t="str">
        <f t="shared" si="149"/>
        <v/>
      </c>
      <c r="AP288" s="59"/>
      <c r="AQ288" s="58" t="str">
        <f t="shared" si="150"/>
        <v/>
      </c>
      <c r="AR288" s="59"/>
      <c r="AS288" s="58" t="str">
        <f t="shared" si="151"/>
        <v/>
      </c>
      <c r="AT288" s="59"/>
      <c r="AU288" s="58" t="str">
        <f t="shared" si="152"/>
        <v/>
      </c>
      <c r="AV288" s="59"/>
      <c r="AW288" s="58">
        <f t="shared" si="153"/>
        <v>1336</v>
      </c>
      <c r="AX288" s="59"/>
      <c r="AY288" s="58" t="str">
        <f t="shared" si="154"/>
        <v/>
      </c>
      <c r="AZ288" s="59"/>
      <c r="BA288" s="58" t="str">
        <f t="shared" si="155"/>
        <v/>
      </c>
      <c r="BB288" s="59"/>
      <c r="BC288" s="58" t="str">
        <f t="shared" si="156"/>
        <v/>
      </c>
      <c r="BD288" s="59"/>
      <c r="BE288" s="58" t="str">
        <f t="shared" si="157"/>
        <v/>
      </c>
      <c r="BF288" s="59"/>
      <c r="BG288" s="58" t="str">
        <f t="shared" si="158"/>
        <v/>
      </c>
      <c r="BH288" s="59"/>
      <c r="BI288" s="58" t="str">
        <f t="shared" si="159"/>
        <v/>
      </c>
      <c r="BJ288" s="59"/>
      <c r="BK288" s="58" t="str">
        <f t="shared" si="160"/>
        <v/>
      </c>
      <c r="BL288" s="59"/>
      <c r="BM288" s="58" t="str">
        <f t="shared" si="161"/>
        <v/>
      </c>
      <c r="BN288" s="59"/>
      <c r="BO288" s="58" t="str">
        <f t="shared" si="162"/>
        <v/>
      </c>
      <c r="BP288" s="59"/>
      <c r="BQ288" s="58" t="str">
        <f t="shared" si="163"/>
        <v/>
      </c>
      <c r="BR288" s="59"/>
      <c r="BS288" s="58" t="str">
        <f t="shared" si="164"/>
        <v/>
      </c>
      <c r="BT288" s="59"/>
      <c r="BU288" s="58" t="str">
        <f t="shared" si="165"/>
        <v/>
      </c>
      <c r="BV288" s="59"/>
    </row>
    <row r="289" spans="1:74" ht="14.5">
      <c r="A289" s="51" t="s">
        <v>58</v>
      </c>
      <c r="B289" s="52">
        <v>363</v>
      </c>
      <c r="C289" s="52" t="s">
        <v>188</v>
      </c>
      <c r="D289" s="41">
        <f t="shared" si="135"/>
        <v>4</v>
      </c>
      <c r="E289" s="52" t="s">
        <v>193</v>
      </c>
      <c r="F289" s="52" t="s">
        <v>246</v>
      </c>
      <c r="G289" s="52" t="s">
        <v>162</v>
      </c>
      <c r="H289" s="52" t="s">
        <v>536</v>
      </c>
      <c r="I289" s="53">
        <v>45678</v>
      </c>
      <c r="J289" s="108">
        <f>2235*2</f>
        <v>4470</v>
      </c>
      <c r="K289" s="101"/>
      <c r="L289" s="101"/>
      <c r="M289" s="101">
        <f t="shared" si="136"/>
        <v>4470</v>
      </c>
      <c r="N289" s="54">
        <f t="shared" si="137"/>
        <v>4470</v>
      </c>
      <c r="O289" s="101" t="s">
        <v>443</v>
      </c>
      <c r="P289" s="102">
        <f t="shared" si="138"/>
        <v>12.771428571428572</v>
      </c>
      <c r="Q289" s="102">
        <v>1</v>
      </c>
      <c r="R289" s="99">
        <v>350</v>
      </c>
      <c r="S289" s="55">
        <f t="shared" si="166"/>
        <v>45650</v>
      </c>
      <c r="T289" s="55"/>
      <c r="U289" s="56">
        <f t="shared" ca="1" si="139"/>
        <v>-190</v>
      </c>
      <c r="V289" s="55">
        <f t="shared" si="140"/>
        <v>45666</v>
      </c>
      <c r="W289" s="55"/>
      <c r="X289" s="56">
        <f t="shared" ca="1" si="141"/>
        <v>-174</v>
      </c>
      <c r="Y289" s="55"/>
      <c r="Z289" s="57"/>
      <c r="AA289" s="58" t="str">
        <f t="shared" si="142"/>
        <v>-</v>
      </c>
      <c r="AB289" s="59"/>
      <c r="AC289" s="58" t="str">
        <f t="shared" si="143"/>
        <v/>
      </c>
      <c r="AD289" s="59"/>
      <c r="AE289" s="58" t="str">
        <f t="shared" si="144"/>
        <v/>
      </c>
      <c r="AF289" s="59"/>
      <c r="AG289" s="58" t="str">
        <f t="shared" si="145"/>
        <v/>
      </c>
      <c r="AH289" s="59"/>
      <c r="AI289" s="58" t="str">
        <f t="shared" si="146"/>
        <v/>
      </c>
      <c r="AJ289" s="59"/>
      <c r="AK289" s="58" t="str">
        <f t="shared" si="147"/>
        <v/>
      </c>
      <c r="AL289" s="59"/>
      <c r="AM289" s="58" t="str">
        <f t="shared" si="148"/>
        <v/>
      </c>
      <c r="AN289" s="59"/>
      <c r="AO289" s="58" t="str">
        <f t="shared" si="149"/>
        <v/>
      </c>
      <c r="AP289" s="59"/>
      <c r="AQ289" s="58" t="str">
        <f t="shared" si="150"/>
        <v/>
      </c>
      <c r="AR289" s="59"/>
      <c r="AS289" s="58" t="str">
        <f t="shared" si="151"/>
        <v/>
      </c>
      <c r="AT289" s="59"/>
      <c r="AU289" s="58" t="str">
        <f t="shared" si="152"/>
        <v/>
      </c>
      <c r="AV289" s="59"/>
      <c r="AW289" s="58">
        <f t="shared" si="153"/>
        <v>4470</v>
      </c>
      <c r="AX289" s="59"/>
      <c r="AY289" s="58" t="str">
        <f t="shared" si="154"/>
        <v/>
      </c>
      <c r="AZ289" s="59"/>
      <c r="BA289" s="58" t="str">
        <f t="shared" si="155"/>
        <v/>
      </c>
      <c r="BB289" s="59"/>
      <c r="BC289" s="58" t="str">
        <f t="shared" si="156"/>
        <v/>
      </c>
      <c r="BD289" s="59"/>
      <c r="BE289" s="58" t="str">
        <f t="shared" si="157"/>
        <v/>
      </c>
      <c r="BF289" s="59"/>
      <c r="BG289" s="58" t="str">
        <f t="shared" si="158"/>
        <v/>
      </c>
      <c r="BH289" s="59"/>
      <c r="BI289" s="58" t="str">
        <f t="shared" si="159"/>
        <v/>
      </c>
      <c r="BJ289" s="59"/>
      <c r="BK289" s="58" t="str">
        <f t="shared" si="160"/>
        <v/>
      </c>
      <c r="BL289" s="59"/>
      <c r="BM289" s="58" t="str">
        <f t="shared" si="161"/>
        <v/>
      </c>
      <c r="BN289" s="59"/>
      <c r="BO289" s="58" t="str">
        <f t="shared" si="162"/>
        <v/>
      </c>
      <c r="BP289" s="59"/>
      <c r="BQ289" s="58" t="str">
        <f t="shared" si="163"/>
        <v/>
      </c>
      <c r="BR289" s="59"/>
      <c r="BS289" s="58" t="str">
        <f t="shared" si="164"/>
        <v/>
      </c>
      <c r="BT289" s="59"/>
      <c r="BU289" s="58" t="str">
        <f t="shared" si="165"/>
        <v/>
      </c>
      <c r="BV289" s="59"/>
    </row>
    <row r="290" spans="1:74" ht="14.5">
      <c r="A290" s="51" t="s">
        <v>58</v>
      </c>
      <c r="B290" s="52">
        <v>363</v>
      </c>
      <c r="C290" s="52" t="s">
        <v>188</v>
      </c>
      <c r="D290" s="41">
        <f t="shared" si="135"/>
        <v>4</v>
      </c>
      <c r="E290" s="52" t="s">
        <v>157</v>
      </c>
      <c r="F290" s="52" t="s">
        <v>243</v>
      </c>
      <c r="G290" s="52" t="s">
        <v>155</v>
      </c>
      <c r="H290" s="52" t="s">
        <v>537</v>
      </c>
      <c r="I290" s="53">
        <v>45678</v>
      </c>
      <c r="J290" s="108">
        <v>3708</v>
      </c>
      <c r="K290" s="101"/>
      <c r="L290" s="101"/>
      <c r="M290" s="101">
        <f t="shared" si="136"/>
        <v>3708</v>
      </c>
      <c r="N290" s="54">
        <f t="shared" si="137"/>
        <v>3708</v>
      </c>
      <c r="O290" s="101" t="s">
        <v>429</v>
      </c>
      <c r="P290" s="102">
        <f t="shared" si="138"/>
        <v>0.61799999999999999</v>
      </c>
      <c r="Q290" s="102">
        <v>6</v>
      </c>
      <c r="R290" s="99">
        <v>1000</v>
      </c>
      <c r="S290" s="55">
        <f t="shared" si="166"/>
        <v>45650</v>
      </c>
      <c r="T290" s="55"/>
      <c r="U290" s="56">
        <f t="shared" ca="1" si="139"/>
        <v>-190</v>
      </c>
      <c r="V290" s="55">
        <f t="shared" si="140"/>
        <v>45666</v>
      </c>
      <c r="W290" s="55"/>
      <c r="X290" s="56">
        <f t="shared" ca="1" si="141"/>
        <v>-174</v>
      </c>
      <c r="Y290" s="55"/>
      <c r="Z290" s="57"/>
      <c r="AA290" s="58" t="str">
        <f t="shared" si="142"/>
        <v>-</v>
      </c>
      <c r="AB290" s="59"/>
      <c r="AC290" s="58" t="str">
        <f t="shared" si="143"/>
        <v/>
      </c>
      <c r="AD290" s="59"/>
      <c r="AE290" s="58" t="str">
        <f t="shared" si="144"/>
        <v/>
      </c>
      <c r="AF290" s="59"/>
      <c r="AG290" s="58" t="str">
        <f t="shared" si="145"/>
        <v/>
      </c>
      <c r="AH290" s="59"/>
      <c r="AI290" s="58" t="str">
        <f t="shared" si="146"/>
        <v/>
      </c>
      <c r="AJ290" s="59"/>
      <c r="AK290" s="58" t="str">
        <f t="shared" si="147"/>
        <v/>
      </c>
      <c r="AL290" s="59"/>
      <c r="AM290" s="58" t="str">
        <f t="shared" si="148"/>
        <v/>
      </c>
      <c r="AN290" s="59"/>
      <c r="AO290" s="58" t="str">
        <f t="shared" si="149"/>
        <v/>
      </c>
      <c r="AP290" s="59"/>
      <c r="AQ290" s="58" t="str">
        <f t="shared" si="150"/>
        <v/>
      </c>
      <c r="AR290" s="59"/>
      <c r="AS290" s="58" t="str">
        <f t="shared" si="151"/>
        <v/>
      </c>
      <c r="AT290" s="59"/>
      <c r="AU290" s="58" t="str">
        <f t="shared" si="152"/>
        <v/>
      </c>
      <c r="AV290" s="59"/>
      <c r="AW290" s="58">
        <f t="shared" si="153"/>
        <v>3708</v>
      </c>
      <c r="AX290" s="59"/>
      <c r="AY290" s="58" t="str">
        <f t="shared" si="154"/>
        <v/>
      </c>
      <c r="AZ290" s="59"/>
      <c r="BA290" s="58" t="str">
        <f t="shared" si="155"/>
        <v/>
      </c>
      <c r="BB290" s="59"/>
      <c r="BC290" s="58" t="str">
        <f t="shared" si="156"/>
        <v/>
      </c>
      <c r="BD290" s="59"/>
      <c r="BE290" s="58" t="str">
        <f t="shared" si="157"/>
        <v/>
      </c>
      <c r="BF290" s="59"/>
      <c r="BG290" s="58" t="str">
        <f t="shared" si="158"/>
        <v/>
      </c>
      <c r="BH290" s="59"/>
      <c r="BI290" s="58" t="str">
        <f t="shared" si="159"/>
        <v/>
      </c>
      <c r="BJ290" s="59"/>
      <c r="BK290" s="58" t="str">
        <f t="shared" si="160"/>
        <v/>
      </c>
      <c r="BL290" s="59"/>
      <c r="BM290" s="58" t="str">
        <f t="shared" si="161"/>
        <v/>
      </c>
      <c r="BN290" s="59"/>
      <c r="BO290" s="58" t="str">
        <f t="shared" si="162"/>
        <v/>
      </c>
      <c r="BP290" s="59"/>
      <c r="BQ290" s="58" t="str">
        <f t="shared" si="163"/>
        <v/>
      </c>
      <c r="BR290" s="59"/>
      <c r="BS290" s="58" t="str">
        <f t="shared" si="164"/>
        <v/>
      </c>
      <c r="BT290" s="59"/>
      <c r="BU290" s="58" t="str">
        <f t="shared" si="165"/>
        <v/>
      </c>
      <c r="BV290" s="59"/>
    </row>
    <row r="291" spans="1:74" ht="14.5">
      <c r="A291" s="51" t="s">
        <v>58</v>
      </c>
      <c r="B291" s="52">
        <v>363</v>
      </c>
      <c r="C291" s="52" t="s">
        <v>188</v>
      </c>
      <c r="D291" s="41">
        <f t="shared" si="135"/>
        <v>4</v>
      </c>
      <c r="E291" s="52" t="s">
        <v>390</v>
      </c>
      <c r="F291" s="52" t="s">
        <v>242</v>
      </c>
      <c r="G291" s="52" t="s">
        <v>162</v>
      </c>
      <c r="H291" s="52" t="s">
        <v>497</v>
      </c>
      <c r="I291" s="53">
        <v>45678</v>
      </c>
      <c r="J291" s="108">
        <v>240</v>
      </c>
      <c r="K291" s="101"/>
      <c r="L291" s="101"/>
      <c r="M291" s="101">
        <f t="shared" si="136"/>
        <v>240</v>
      </c>
      <c r="N291" s="54">
        <f t="shared" si="137"/>
        <v>240</v>
      </c>
      <c r="O291" s="101" t="s">
        <v>431</v>
      </c>
      <c r="P291" s="102">
        <f t="shared" si="138"/>
        <v>0.33333333333333331</v>
      </c>
      <c r="Q291" s="102">
        <v>6</v>
      </c>
      <c r="R291" s="99">
        <v>120</v>
      </c>
      <c r="S291" s="55">
        <f t="shared" si="166"/>
        <v>45650</v>
      </c>
      <c r="T291" s="55"/>
      <c r="U291" s="56">
        <f t="shared" ca="1" si="139"/>
        <v>-190</v>
      </c>
      <c r="V291" s="55">
        <f t="shared" si="140"/>
        <v>45666</v>
      </c>
      <c r="W291" s="55"/>
      <c r="X291" s="56">
        <f t="shared" ca="1" si="141"/>
        <v>-174</v>
      </c>
      <c r="Y291" s="55"/>
      <c r="Z291" s="57"/>
      <c r="AA291" s="58" t="str">
        <f t="shared" si="142"/>
        <v>-</v>
      </c>
      <c r="AB291" s="59"/>
      <c r="AC291" s="58" t="str">
        <f t="shared" si="143"/>
        <v/>
      </c>
      <c r="AD291" s="59"/>
      <c r="AE291" s="58" t="str">
        <f t="shared" si="144"/>
        <v/>
      </c>
      <c r="AF291" s="59"/>
      <c r="AG291" s="58" t="str">
        <f t="shared" si="145"/>
        <v/>
      </c>
      <c r="AH291" s="59"/>
      <c r="AI291" s="58" t="str">
        <f t="shared" si="146"/>
        <v/>
      </c>
      <c r="AJ291" s="59"/>
      <c r="AK291" s="58" t="str">
        <f t="shared" si="147"/>
        <v/>
      </c>
      <c r="AL291" s="59"/>
      <c r="AM291" s="58" t="str">
        <f t="shared" si="148"/>
        <v/>
      </c>
      <c r="AN291" s="59"/>
      <c r="AO291" s="58" t="str">
        <f t="shared" si="149"/>
        <v/>
      </c>
      <c r="AP291" s="59"/>
      <c r="AQ291" s="58" t="str">
        <f t="shared" si="150"/>
        <v/>
      </c>
      <c r="AR291" s="59"/>
      <c r="AS291" s="58" t="str">
        <f t="shared" si="151"/>
        <v/>
      </c>
      <c r="AT291" s="59"/>
      <c r="AU291" s="58" t="str">
        <f t="shared" si="152"/>
        <v/>
      </c>
      <c r="AV291" s="59"/>
      <c r="AW291" s="58">
        <f t="shared" si="153"/>
        <v>240</v>
      </c>
      <c r="AX291" s="59"/>
      <c r="AY291" s="58" t="str">
        <f t="shared" si="154"/>
        <v/>
      </c>
      <c r="AZ291" s="59"/>
      <c r="BA291" s="58" t="str">
        <f t="shared" si="155"/>
        <v/>
      </c>
      <c r="BB291" s="59"/>
      <c r="BC291" s="58" t="str">
        <f t="shared" si="156"/>
        <v/>
      </c>
      <c r="BD291" s="59"/>
      <c r="BE291" s="58" t="str">
        <f t="shared" si="157"/>
        <v/>
      </c>
      <c r="BF291" s="59"/>
      <c r="BG291" s="58" t="str">
        <f t="shared" si="158"/>
        <v/>
      </c>
      <c r="BH291" s="59"/>
      <c r="BI291" s="58" t="str">
        <f t="shared" si="159"/>
        <v/>
      </c>
      <c r="BJ291" s="59"/>
      <c r="BK291" s="58" t="str">
        <f t="shared" si="160"/>
        <v/>
      </c>
      <c r="BL291" s="59"/>
      <c r="BM291" s="58" t="str">
        <f t="shared" si="161"/>
        <v/>
      </c>
      <c r="BN291" s="59"/>
      <c r="BO291" s="58" t="str">
        <f t="shared" si="162"/>
        <v/>
      </c>
      <c r="BP291" s="59"/>
      <c r="BQ291" s="58" t="str">
        <f t="shared" si="163"/>
        <v/>
      </c>
      <c r="BR291" s="59"/>
      <c r="BS291" s="58" t="str">
        <f t="shared" si="164"/>
        <v/>
      </c>
      <c r="BT291" s="59"/>
      <c r="BU291" s="58" t="str">
        <f t="shared" si="165"/>
        <v/>
      </c>
      <c r="BV291" s="59"/>
    </row>
    <row r="292" spans="1:74" ht="14.5">
      <c r="A292" s="51" t="s">
        <v>58</v>
      </c>
      <c r="B292" s="52">
        <v>363</v>
      </c>
      <c r="C292" s="52" t="s">
        <v>188</v>
      </c>
      <c r="D292" s="41">
        <f t="shared" si="135"/>
        <v>4</v>
      </c>
      <c r="E292" s="52" t="s">
        <v>245</v>
      </c>
      <c r="F292" s="52" t="s">
        <v>242</v>
      </c>
      <c r="G292" s="52" t="s">
        <v>244</v>
      </c>
      <c r="H292" s="52" t="s">
        <v>498</v>
      </c>
      <c r="I292" s="53">
        <v>45678</v>
      </c>
      <c r="J292" s="108">
        <v>1040</v>
      </c>
      <c r="K292" s="101"/>
      <c r="L292" s="101"/>
      <c r="M292" s="101">
        <f t="shared" si="136"/>
        <v>1040</v>
      </c>
      <c r="N292" s="54">
        <f t="shared" si="137"/>
        <v>1040</v>
      </c>
      <c r="O292" s="101" t="s">
        <v>431</v>
      </c>
      <c r="P292" s="102">
        <f t="shared" si="138"/>
        <v>1.4444444444444444</v>
      </c>
      <c r="Q292" s="102">
        <v>6</v>
      </c>
      <c r="R292" s="99">
        <v>120</v>
      </c>
      <c r="S292" s="55">
        <f t="shared" si="166"/>
        <v>45650</v>
      </c>
      <c r="T292" s="55"/>
      <c r="U292" s="56">
        <f t="shared" ca="1" si="139"/>
        <v>-190</v>
      </c>
      <c r="V292" s="55">
        <f t="shared" si="140"/>
        <v>45666</v>
      </c>
      <c r="W292" s="55"/>
      <c r="X292" s="56">
        <f t="shared" ca="1" si="141"/>
        <v>-174</v>
      </c>
      <c r="Y292" s="55"/>
      <c r="Z292" s="57"/>
      <c r="AA292" s="58" t="str">
        <f t="shared" si="142"/>
        <v>-</v>
      </c>
      <c r="AB292" s="59"/>
      <c r="AC292" s="58" t="str">
        <f t="shared" si="143"/>
        <v/>
      </c>
      <c r="AD292" s="59"/>
      <c r="AE292" s="58" t="str">
        <f t="shared" si="144"/>
        <v/>
      </c>
      <c r="AF292" s="59"/>
      <c r="AG292" s="58" t="str">
        <f t="shared" si="145"/>
        <v/>
      </c>
      <c r="AH292" s="59"/>
      <c r="AI292" s="58" t="str">
        <f t="shared" si="146"/>
        <v/>
      </c>
      <c r="AJ292" s="59"/>
      <c r="AK292" s="58" t="str">
        <f t="shared" si="147"/>
        <v/>
      </c>
      <c r="AL292" s="59"/>
      <c r="AM292" s="58" t="str">
        <f t="shared" si="148"/>
        <v/>
      </c>
      <c r="AN292" s="59"/>
      <c r="AO292" s="58" t="str">
        <f t="shared" si="149"/>
        <v/>
      </c>
      <c r="AP292" s="59"/>
      <c r="AQ292" s="58" t="str">
        <f t="shared" si="150"/>
        <v/>
      </c>
      <c r="AR292" s="59"/>
      <c r="AS292" s="58" t="str">
        <f t="shared" si="151"/>
        <v/>
      </c>
      <c r="AT292" s="59"/>
      <c r="AU292" s="58" t="str">
        <f t="shared" si="152"/>
        <v/>
      </c>
      <c r="AV292" s="59"/>
      <c r="AW292" s="58">
        <f t="shared" si="153"/>
        <v>1040</v>
      </c>
      <c r="AX292" s="59"/>
      <c r="AY292" s="58" t="str">
        <f t="shared" si="154"/>
        <v/>
      </c>
      <c r="AZ292" s="59"/>
      <c r="BA292" s="58" t="str">
        <f t="shared" si="155"/>
        <v/>
      </c>
      <c r="BB292" s="59"/>
      <c r="BC292" s="58" t="str">
        <f t="shared" si="156"/>
        <v/>
      </c>
      <c r="BD292" s="59"/>
      <c r="BE292" s="58" t="str">
        <f t="shared" si="157"/>
        <v/>
      </c>
      <c r="BF292" s="59"/>
      <c r="BG292" s="58" t="str">
        <f t="shared" si="158"/>
        <v/>
      </c>
      <c r="BH292" s="59"/>
      <c r="BI292" s="58" t="str">
        <f t="shared" si="159"/>
        <v/>
      </c>
      <c r="BJ292" s="59"/>
      <c r="BK292" s="58" t="str">
        <f t="shared" si="160"/>
        <v/>
      </c>
      <c r="BL292" s="59"/>
      <c r="BM292" s="58" t="str">
        <f t="shared" si="161"/>
        <v/>
      </c>
      <c r="BN292" s="59"/>
      <c r="BO292" s="58" t="str">
        <f t="shared" si="162"/>
        <v/>
      </c>
      <c r="BP292" s="59"/>
      <c r="BQ292" s="58" t="str">
        <f t="shared" si="163"/>
        <v/>
      </c>
      <c r="BR292" s="59"/>
      <c r="BS292" s="58" t="str">
        <f t="shared" si="164"/>
        <v/>
      </c>
      <c r="BT292" s="59"/>
      <c r="BU292" s="58" t="str">
        <f t="shared" si="165"/>
        <v/>
      </c>
      <c r="BV292" s="59"/>
    </row>
    <row r="293" spans="1:74" ht="14.5">
      <c r="A293" s="51" t="s">
        <v>58</v>
      </c>
      <c r="B293" s="52">
        <v>363</v>
      </c>
      <c r="C293" s="52" t="s">
        <v>188</v>
      </c>
      <c r="D293" s="41">
        <f t="shared" si="135"/>
        <v>4</v>
      </c>
      <c r="E293" s="52" t="s">
        <v>190</v>
      </c>
      <c r="F293" s="52" t="s">
        <v>242</v>
      </c>
      <c r="G293" s="52" t="s">
        <v>244</v>
      </c>
      <c r="H293" s="52" t="s">
        <v>453</v>
      </c>
      <c r="I293" s="53">
        <v>45678</v>
      </c>
      <c r="J293" s="108">
        <v>1136</v>
      </c>
      <c r="K293" s="101"/>
      <c r="L293" s="101"/>
      <c r="M293" s="101">
        <f t="shared" si="136"/>
        <v>1136</v>
      </c>
      <c r="N293" s="54">
        <f t="shared" si="137"/>
        <v>1136</v>
      </c>
      <c r="O293" s="101" t="s">
        <v>439</v>
      </c>
      <c r="P293" s="102">
        <f t="shared" si="138"/>
        <v>1.5777777777777777</v>
      </c>
      <c r="Q293" s="102">
        <v>6</v>
      </c>
      <c r="R293" s="99">
        <v>120</v>
      </c>
      <c r="S293" s="55">
        <f t="shared" si="166"/>
        <v>45650</v>
      </c>
      <c r="T293" s="55"/>
      <c r="U293" s="56">
        <f t="shared" ca="1" si="139"/>
        <v>-190</v>
      </c>
      <c r="V293" s="55">
        <f t="shared" si="140"/>
        <v>45666</v>
      </c>
      <c r="W293" s="55"/>
      <c r="X293" s="56">
        <f t="shared" ca="1" si="141"/>
        <v>-174</v>
      </c>
      <c r="Y293" s="55"/>
      <c r="Z293" s="57"/>
      <c r="AA293" s="58" t="str">
        <f t="shared" si="142"/>
        <v>-</v>
      </c>
      <c r="AB293" s="59"/>
      <c r="AC293" s="58" t="str">
        <f t="shared" si="143"/>
        <v/>
      </c>
      <c r="AD293" s="59"/>
      <c r="AE293" s="58" t="str">
        <f t="shared" si="144"/>
        <v/>
      </c>
      <c r="AF293" s="59"/>
      <c r="AG293" s="58" t="str">
        <f t="shared" si="145"/>
        <v/>
      </c>
      <c r="AH293" s="59"/>
      <c r="AI293" s="58" t="str">
        <f t="shared" si="146"/>
        <v/>
      </c>
      <c r="AJ293" s="59"/>
      <c r="AK293" s="58" t="str">
        <f t="shared" si="147"/>
        <v/>
      </c>
      <c r="AL293" s="59"/>
      <c r="AM293" s="58" t="str">
        <f t="shared" si="148"/>
        <v/>
      </c>
      <c r="AN293" s="59"/>
      <c r="AO293" s="58" t="str">
        <f t="shared" si="149"/>
        <v/>
      </c>
      <c r="AP293" s="59"/>
      <c r="AQ293" s="58" t="str">
        <f t="shared" si="150"/>
        <v/>
      </c>
      <c r="AR293" s="59"/>
      <c r="AS293" s="58" t="str">
        <f t="shared" si="151"/>
        <v/>
      </c>
      <c r="AT293" s="59"/>
      <c r="AU293" s="58" t="str">
        <f t="shared" si="152"/>
        <v/>
      </c>
      <c r="AV293" s="59"/>
      <c r="AW293" s="58">
        <f t="shared" si="153"/>
        <v>1136</v>
      </c>
      <c r="AX293" s="59"/>
      <c r="AY293" s="58" t="str">
        <f t="shared" si="154"/>
        <v/>
      </c>
      <c r="AZ293" s="59"/>
      <c r="BA293" s="58" t="str">
        <f t="shared" si="155"/>
        <v/>
      </c>
      <c r="BB293" s="59"/>
      <c r="BC293" s="58" t="str">
        <f t="shared" si="156"/>
        <v/>
      </c>
      <c r="BD293" s="59"/>
      <c r="BE293" s="58" t="str">
        <f t="shared" si="157"/>
        <v/>
      </c>
      <c r="BF293" s="59"/>
      <c r="BG293" s="58" t="str">
        <f t="shared" si="158"/>
        <v/>
      </c>
      <c r="BH293" s="59"/>
      <c r="BI293" s="58" t="str">
        <f t="shared" si="159"/>
        <v/>
      </c>
      <c r="BJ293" s="59"/>
      <c r="BK293" s="58" t="str">
        <f t="shared" si="160"/>
        <v/>
      </c>
      <c r="BL293" s="59"/>
      <c r="BM293" s="58" t="str">
        <f t="shared" si="161"/>
        <v/>
      </c>
      <c r="BN293" s="59"/>
      <c r="BO293" s="58" t="str">
        <f t="shared" si="162"/>
        <v/>
      </c>
      <c r="BP293" s="59"/>
      <c r="BQ293" s="58" t="str">
        <f t="shared" si="163"/>
        <v/>
      </c>
      <c r="BR293" s="59"/>
      <c r="BS293" s="58" t="str">
        <f t="shared" si="164"/>
        <v/>
      </c>
      <c r="BT293" s="59"/>
      <c r="BU293" s="58" t="str">
        <f t="shared" si="165"/>
        <v/>
      </c>
      <c r="BV293" s="59"/>
    </row>
    <row r="294" spans="1:74" ht="14.5">
      <c r="A294" s="51" t="s">
        <v>58</v>
      </c>
      <c r="B294" s="52">
        <v>369</v>
      </c>
      <c r="C294" s="52" t="s">
        <v>188</v>
      </c>
      <c r="D294" s="41">
        <f t="shared" si="135"/>
        <v>4</v>
      </c>
      <c r="E294" s="52" t="s">
        <v>245</v>
      </c>
      <c r="F294" s="52" t="s">
        <v>242</v>
      </c>
      <c r="G294" s="52" t="s">
        <v>244</v>
      </c>
      <c r="H294" s="52" t="s">
        <v>432</v>
      </c>
      <c r="I294" s="53">
        <v>45678</v>
      </c>
      <c r="J294" s="108">
        <v>1952</v>
      </c>
      <c r="K294" s="101"/>
      <c r="L294" s="101"/>
      <c r="M294" s="101">
        <f t="shared" si="136"/>
        <v>1952</v>
      </c>
      <c r="N294" s="54">
        <f t="shared" si="137"/>
        <v>1952</v>
      </c>
      <c r="O294" s="101" t="s">
        <v>431</v>
      </c>
      <c r="P294" s="102">
        <f t="shared" si="138"/>
        <v>2.7111111111111112</v>
      </c>
      <c r="Q294" s="102">
        <v>6</v>
      </c>
      <c r="R294" s="99">
        <v>120</v>
      </c>
      <c r="S294" s="55">
        <f t="shared" si="166"/>
        <v>45650</v>
      </c>
      <c r="T294" s="55"/>
      <c r="U294" s="56">
        <f t="shared" ca="1" si="139"/>
        <v>-190</v>
      </c>
      <c r="V294" s="55">
        <f t="shared" si="140"/>
        <v>45666</v>
      </c>
      <c r="W294" s="55"/>
      <c r="X294" s="56">
        <f t="shared" ca="1" si="141"/>
        <v>-174</v>
      </c>
      <c r="Y294" s="55"/>
      <c r="Z294" s="57"/>
      <c r="AA294" s="58" t="str">
        <f t="shared" si="142"/>
        <v>-</v>
      </c>
      <c r="AB294" s="59"/>
      <c r="AC294" s="58" t="str">
        <f t="shared" si="143"/>
        <v/>
      </c>
      <c r="AD294" s="59"/>
      <c r="AE294" s="58" t="str">
        <f t="shared" si="144"/>
        <v/>
      </c>
      <c r="AF294" s="59"/>
      <c r="AG294" s="58" t="str">
        <f t="shared" si="145"/>
        <v/>
      </c>
      <c r="AH294" s="59"/>
      <c r="AI294" s="58" t="str">
        <f t="shared" si="146"/>
        <v/>
      </c>
      <c r="AJ294" s="59"/>
      <c r="AK294" s="58" t="str">
        <f t="shared" si="147"/>
        <v/>
      </c>
      <c r="AL294" s="59"/>
      <c r="AM294" s="58" t="str">
        <f t="shared" si="148"/>
        <v/>
      </c>
      <c r="AN294" s="59"/>
      <c r="AO294" s="58" t="str">
        <f t="shared" si="149"/>
        <v/>
      </c>
      <c r="AP294" s="59"/>
      <c r="AQ294" s="58" t="str">
        <f t="shared" si="150"/>
        <v/>
      </c>
      <c r="AR294" s="59"/>
      <c r="AS294" s="58" t="str">
        <f t="shared" si="151"/>
        <v/>
      </c>
      <c r="AT294" s="59"/>
      <c r="AU294" s="58" t="str">
        <f t="shared" si="152"/>
        <v/>
      </c>
      <c r="AV294" s="59"/>
      <c r="AW294" s="58">
        <f t="shared" si="153"/>
        <v>1952</v>
      </c>
      <c r="AX294" s="59"/>
      <c r="AY294" s="58" t="str">
        <f t="shared" si="154"/>
        <v/>
      </c>
      <c r="AZ294" s="59"/>
      <c r="BA294" s="58" t="str">
        <f t="shared" si="155"/>
        <v/>
      </c>
      <c r="BB294" s="59"/>
      <c r="BC294" s="58" t="str">
        <f t="shared" si="156"/>
        <v/>
      </c>
      <c r="BD294" s="59"/>
      <c r="BE294" s="58" t="str">
        <f t="shared" si="157"/>
        <v/>
      </c>
      <c r="BF294" s="59"/>
      <c r="BG294" s="58" t="str">
        <f t="shared" si="158"/>
        <v/>
      </c>
      <c r="BH294" s="59"/>
      <c r="BI294" s="58" t="str">
        <f t="shared" si="159"/>
        <v/>
      </c>
      <c r="BJ294" s="59"/>
      <c r="BK294" s="58" t="str">
        <f t="shared" si="160"/>
        <v/>
      </c>
      <c r="BL294" s="59"/>
      <c r="BM294" s="58" t="str">
        <f t="shared" si="161"/>
        <v/>
      </c>
      <c r="BN294" s="59"/>
      <c r="BO294" s="58" t="str">
        <f t="shared" si="162"/>
        <v/>
      </c>
      <c r="BP294" s="59"/>
      <c r="BQ294" s="58" t="str">
        <f t="shared" si="163"/>
        <v/>
      </c>
      <c r="BR294" s="59"/>
      <c r="BS294" s="58" t="str">
        <f t="shared" si="164"/>
        <v/>
      </c>
      <c r="BT294" s="59"/>
      <c r="BU294" s="58" t="str">
        <f t="shared" si="165"/>
        <v/>
      </c>
      <c r="BV294" s="59"/>
    </row>
    <row r="295" spans="1:74" ht="14.5">
      <c r="A295" s="51" t="s">
        <v>58</v>
      </c>
      <c r="B295" s="52">
        <v>369</v>
      </c>
      <c r="C295" s="52" t="s">
        <v>188</v>
      </c>
      <c r="D295" s="41">
        <f t="shared" si="135"/>
        <v>4</v>
      </c>
      <c r="E295" s="52" t="s">
        <v>158</v>
      </c>
      <c r="F295" s="52" t="s">
        <v>242</v>
      </c>
      <c r="G295" s="52" t="s">
        <v>154</v>
      </c>
      <c r="H295" s="52" t="s">
        <v>432</v>
      </c>
      <c r="I295" s="53">
        <v>45678</v>
      </c>
      <c r="J295" s="108">
        <v>1504</v>
      </c>
      <c r="K295" s="101"/>
      <c r="L295" s="101"/>
      <c r="M295" s="101">
        <f t="shared" si="136"/>
        <v>1504</v>
      </c>
      <c r="N295" s="54">
        <f t="shared" si="137"/>
        <v>1504</v>
      </c>
      <c r="O295" s="101" t="s">
        <v>439</v>
      </c>
      <c r="P295" s="102">
        <f t="shared" si="138"/>
        <v>2.088888888888889</v>
      </c>
      <c r="Q295" s="102">
        <v>6</v>
      </c>
      <c r="R295" s="99">
        <v>120</v>
      </c>
      <c r="S295" s="55">
        <f t="shared" si="166"/>
        <v>45650</v>
      </c>
      <c r="T295" s="55"/>
      <c r="U295" s="56">
        <f t="shared" ca="1" si="139"/>
        <v>-190</v>
      </c>
      <c r="V295" s="55">
        <f t="shared" si="140"/>
        <v>45666</v>
      </c>
      <c r="W295" s="55"/>
      <c r="X295" s="56">
        <f t="shared" ca="1" si="141"/>
        <v>-174</v>
      </c>
      <c r="Y295" s="55"/>
      <c r="Z295" s="57"/>
      <c r="AA295" s="58" t="str">
        <f t="shared" si="142"/>
        <v>-</v>
      </c>
      <c r="AB295" s="59"/>
      <c r="AC295" s="58" t="str">
        <f t="shared" si="143"/>
        <v/>
      </c>
      <c r="AD295" s="59"/>
      <c r="AE295" s="58" t="str">
        <f t="shared" si="144"/>
        <v/>
      </c>
      <c r="AF295" s="59"/>
      <c r="AG295" s="58" t="str">
        <f t="shared" si="145"/>
        <v/>
      </c>
      <c r="AH295" s="59"/>
      <c r="AI295" s="58" t="str">
        <f t="shared" si="146"/>
        <v/>
      </c>
      <c r="AJ295" s="59"/>
      <c r="AK295" s="58" t="str">
        <f t="shared" si="147"/>
        <v/>
      </c>
      <c r="AL295" s="59"/>
      <c r="AM295" s="58" t="str">
        <f t="shared" si="148"/>
        <v/>
      </c>
      <c r="AN295" s="59"/>
      <c r="AO295" s="58" t="str">
        <f t="shared" si="149"/>
        <v/>
      </c>
      <c r="AP295" s="59"/>
      <c r="AQ295" s="58" t="str">
        <f t="shared" si="150"/>
        <v/>
      </c>
      <c r="AR295" s="59"/>
      <c r="AS295" s="58" t="str">
        <f t="shared" si="151"/>
        <v/>
      </c>
      <c r="AT295" s="59"/>
      <c r="AU295" s="58" t="str">
        <f t="shared" si="152"/>
        <v/>
      </c>
      <c r="AV295" s="59"/>
      <c r="AW295" s="58">
        <f t="shared" si="153"/>
        <v>1504</v>
      </c>
      <c r="AX295" s="59"/>
      <c r="AY295" s="58" t="str">
        <f t="shared" si="154"/>
        <v/>
      </c>
      <c r="AZ295" s="59"/>
      <c r="BA295" s="58" t="str">
        <f t="shared" si="155"/>
        <v/>
      </c>
      <c r="BB295" s="59"/>
      <c r="BC295" s="58" t="str">
        <f t="shared" si="156"/>
        <v/>
      </c>
      <c r="BD295" s="59"/>
      <c r="BE295" s="58" t="str">
        <f t="shared" si="157"/>
        <v/>
      </c>
      <c r="BF295" s="59"/>
      <c r="BG295" s="58" t="str">
        <f t="shared" si="158"/>
        <v/>
      </c>
      <c r="BH295" s="59"/>
      <c r="BI295" s="58" t="str">
        <f t="shared" si="159"/>
        <v/>
      </c>
      <c r="BJ295" s="59"/>
      <c r="BK295" s="58" t="str">
        <f t="shared" si="160"/>
        <v/>
      </c>
      <c r="BL295" s="59"/>
      <c r="BM295" s="58" t="str">
        <f t="shared" si="161"/>
        <v/>
      </c>
      <c r="BN295" s="59"/>
      <c r="BO295" s="58" t="str">
        <f t="shared" si="162"/>
        <v/>
      </c>
      <c r="BP295" s="59"/>
      <c r="BQ295" s="58" t="str">
        <f t="shared" si="163"/>
        <v/>
      </c>
      <c r="BR295" s="59"/>
      <c r="BS295" s="58" t="str">
        <f t="shared" si="164"/>
        <v/>
      </c>
      <c r="BT295" s="59"/>
      <c r="BU295" s="58" t="str">
        <f t="shared" si="165"/>
        <v/>
      </c>
      <c r="BV295" s="59"/>
    </row>
    <row r="296" spans="1:74" ht="14.5">
      <c r="A296" s="51" t="s">
        <v>58</v>
      </c>
      <c r="B296" s="52">
        <v>369</v>
      </c>
      <c r="C296" s="52" t="s">
        <v>188</v>
      </c>
      <c r="D296" s="41">
        <f t="shared" si="135"/>
        <v>4</v>
      </c>
      <c r="E296" s="52" t="s">
        <v>391</v>
      </c>
      <c r="F296" s="52" t="s">
        <v>392</v>
      </c>
      <c r="G296" s="52" t="s">
        <v>393</v>
      </c>
      <c r="H296" s="52" t="s">
        <v>433</v>
      </c>
      <c r="I296" s="53">
        <v>45678</v>
      </c>
      <c r="J296" s="108">
        <v>600</v>
      </c>
      <c r="K296" s="101"/>
      <c r="L296" s="101"/>
      <c r="M296" s="101">
        <f t="shared" si="136"/>
        <v>600</v>
      </c>
      <c r="N296" s="54">
        <f t="shared" si="137"/>
        <v>600</v>
      </c>
      <c r="O296" s="101" t="s">
        <v>178</v>
      </c>
      <c r="P296" s="102">
        <f t="shared" si="138"/>
        <v>1.25</v>
      </c>
      <c r="Q296" s="102">
        <v>6</v>
      </c>
      <c r="R296" s="99">
        <v>80</v>
      </c>
      <c r="S296" s="55">
        <f t="shared" si="166"/>
        <v>45650</v>
      </c>
      <c r="T296" s="55"/>
      <c r="U296" s="56">
        <f t="shared" ca="1" si="139"/>
        <v>-190</v>
      </c>
      <c r="V296" s="55">
        <f t="shared" si="140"/>
        <v>45666</v>
      </c>
      <c r="W296" s="55"/>
      <c r="X296" s="56">
        <f t="shared" ca="1" si="141"/>
        <v>-174</v>
      </c>
      <c r="Y296" s="55"/>
      <c r="Z296" s="57"/>
      <c r="AA296" s="58" t="str">
        <f t="shared" si="142"/>
        <v>-</v>
      </c>
      <c r="AB296" s="59"/>
      <c r="AC296" s="58" t="str">
        <f t="shared" si="143"/>
        <v/>
      </c>
      <c r="AD296" s="59"/>
      <c r="AE296" s="58" t="str">
        <f t="shared" si="144"/>
        <v/>
      </c>
      <c r="AF296" s="59"/>
      <c r="AG296" s="58" t="str">
        <f t="shared" si="145"/>
        <v/>
      </c>
      <c r="AH296" s="59"/>
      <c r="AI296" s="58" t="str">
        <f t="shared" si="146"/>
        <v/>
      </c>
      <c r="AJ296" s="59"/>
      <c r="AK296" s="58" t="str">
        <f t="shared" si="147"/>
        <v/>
      </c>
      <c r="AL296" s="59"/>
      <c r="AM296" s="58" t="str">
        <f t="shared" si="148"/>
        <v/>
      </c>
      <c r="AN296" s="59"/>
      <c r="AO296" s="58" t="str">
        <f t="shared" si="149"/>
        <v/>
      </c>
      <c r="AP296" s="59"/>
      <c r="AQ296" s="58" t="str">
        <f t="shared" si="150"/>
        <v/>
      </c>
      <c r="AR296" s="59"/>
      <c r="AS296" s="58" t="str">
        <f t="shared" si="151"/>
        <v/>
      </c>
      <c r="AT296" s="59"/>
      <c r="AU296" s="58" t="str">
        <f t="shared" si="152"/>
        <v/>
      </c>
      <c r="AV296" s="59"/>
      <c r="AW296" s="58">
        <f t="shared" si="153"/>
        <v>600</v>
      </c>
      <c r="AX296" s="59"/>
      <c r="AY296" s="58" t="str">
        <f t="shared" si="154"/>
        <v/>
      </c>
      <c r="AZ296" s="59"/>
      <c r="BA296" s="58" t="str">
        <f t="shared" si="155"/>
        <v/>
      </c>
      <c r="BB296" s="59"/>
      <c r="BC296" s="58" t="str">
        <f t="shared" si="156"/>
        <v/>
      </c>
      <c r="BD296" s="59"/>
      <c r="BE296" s="58" t="str">
        <f t="shared" si="157"/>
        <v/>
      </c>
      <c r="BF296" s="59"/>
      <c r="BG296" s="58" t="str">
        <f t="shared" si="158"/>
        <v/>
      </c>
      <c r="BH296" s="59"/>
      <c r="BI296" s="58" t="str">
        <f t="shared" si="159"/>
        <v/>
      </c>
      <c r="BJ296" s="59"/>
      <c r="BK296" s="58" t="str">
        <f t="shared" si="160"/>
        <v/>
      </c>
      <c r="BL296" s="59"/>
      <c r="BM296" s="58" t="str">
        <f t="shared" si="161"/>
        <v/>
      </c>
      <c r="BN296" s="59"/>
      <c r="BO296" s="58" t="str">
        <f t="shared" si="162"/>
        <v/>
      </c>
      <c r="BP296" s="59"/>
      <c r="BQ296" s="58" t="str">
        <f t="shared" si="163"/>
        <v/>
      </c>
      <c r="BR296" s="59"/>
      <c r="BS296" s="58" t="str">
        <f t="shared" si="164"/>
        <v/>
      </c>
      <c r="BT296" s="59"/>
      <c r="BU296" s="58" t="str">
        <f t="shared" si="165"/>
        <v/>
      </c>
      <c r="BV296" s="59"/>
    </row>
    <row r="297" spans="1:74" ht="14.5">
      <c r="A297" s="51" t="s">
        <v>58</v>
      </c>
      <c r="B297" s="52">
        <v>370</v>
      </c>
      <c r="C297" s="52" t="s">
        <v>188</v>
      </c>
      <c r="D297" s="41">
        <f t="shared" si="135"/>
        <v>4</v>
      </c>
      <c r="E297" s="52" t="s">
        <v>193</v>
      </c>
      <c r="F297" s="52" t="s">
        <v>300</v>
      </c>
      <c r="G297" s="52" t="s">
        <v>162</v>
      </c>
      <c r="H297" s="52" t="s">
        <v>440</v>
      </c>
      <c r="I297" s="53">
        <v>45678</v>
      </c>
      <c r="J297" s="108">
        <v>1000</v>
      </c>
      <c r="K297" s="101"/>
      <c r="L297" s="101"/>
      <c r="M297" s="101">
        <f t="shared" si="136"/>
        <v>1000</v>
      </c>
      <c r="N297" s="54">
        <f t="shared" si="137"/>
        <v>1000</v>
      </c>
      <c r="O297" s="101" t="s">
        <v>178</v>
      </c>
      <c r="P297" s="102">
        <f t="shared" si="138"/>
        <v>1.3888888888888888</v>
      </c>
      <c r="Q297" s="102">
        <v>6</v>
      </c>
      <c r="R297" s="99">
        <v>120</v>
      </c>
      <c r="S297" s="55">
        <f t="shared" si="166"/>
        <v>45650</v>
      </c>
      <c r="T297" s="55"/>
      <c r="U297" s="56">
        <f t="shared" ca="1" si="139"/>
        <v>-190</v>
      </c>
      <c r="V297" s="55">
        <f t="shared" si="140"/>
        <v>45666</v>
      </c>
      <c r="W297" s="55"/>
      <c r="X297" s="56">
        <f t="shared" ca="1" si="141"/>
        <v>-174</v>
      </c>
      <c r="Y297" s="55"/>
      <c r="Z297" s="57"/>
      <c r="AA297" s="58" t="str">
        <f t="shared" si="142"/>
        <v>-</v>
      </c>
      <c r="AB297" s="59"/>
      <c r="AC297" s="58" t="str">
        <f t="shared" si="143"/>
        <v/>
      </c>
      <c r="AD297" s="59"/>
      <c r="AE297" s="58" t="str">
        <f t="shared" si="144"/>
        <v/>
      </c>
      <c r="AF297" s="59"/>
      <c r="AG297" s="58" t="str">
        <f t="shared" si="145"/>
        <v/>
      </c>
      <c r="AH297" s="59"/>
      <c r="AI297" s="58" t="str">
        <f t="shared" si="146"/>
        <v/>
      </c>
      <c r="AJ297" s="59"/>
      <c r="AK297" s="58" t="str">
        <f t="shared" si="147"/>
        <v/>
      </c>
      <c r="AL297" s="59"/>
      <c r="AM297" s="58" t="str">
        <f t="shared" si="148"/>
        <v/>
      </c>
      <c r="AN297" s="59"/>
      <c r="AO297" s="58" t="str">
        <f t="shared" si="149"/>
        <v/>
      </c>
      <c r="AP297" s="59"/>
      <c r="AQ297" s="58" t="str">
        <f t="shared" si="150"/>
        <v/>
      </c>
      <c r="AR297" s="59"/>
      <c r="AS297" s="58" t="str">
        <f t="shared" si="151"/>
        <v/>
      </c>
      <c r="AT297" s="59"/>
      <c r="AU297" s="58" t="str">
        <f t="shared" si="152"/>
        <v/>
      </c>
      <c r="AV297" s="59"/>
      <c r="AW297" s="58">
        <f t="shared" si="153"/>
        <v>1000</v>
      </c>
      <c r="AX297" s="59"/>
      <c r="AY297" s="58" t="str">
        <f t="shared" si="154"/>
        <v/>
      </c>
      <c r="AZ297" s="59"/>
      <c r="BA297" s="58" t="str">
        <f t="shared" si="155"/>
        <v/>
      </c>
      <c r="BB297" s="59"/>
      <c r="BC297" s="58" t="str">
        <f t="shared" si="156"/>
        <v/>
      </c>
      <c r="BD297" s="59"/>
      <c r="BE297" s="58" t="str">
        <f t="shared" si="157"/>
        <v/>
      </c>
      <c r="BF297" s="59"/>
      <c r="BG297" s="58" t="str">
        <f t="shared" si="158"/>
        <v/>
      </c>
      <c r="BH297" s="59"/>
      <c r="BI297" s="58" t="str">
        <f t="shared" si="159"/>
        <v/>
      </c>
      <c r="BJ297" s="59"/>
      <c r="BK297" s="58" t="str">
        <f t="shared" si="160"/>
        <v/>
      </c>
      <c r="BL297" s="59"/>
      <c r="BM297" s="58" t="str">
        <f t="shared" si="161"/>
        <v/>
      </c>
      <c r="BN297" s="59"/>
      <c r="BO297" s="58" t="str">
        <f t="shared" si="162"/>
        <v/>
      </c>
      <c r="BP297" s="59"/>
      <c r="BQ297" s="58" t="str">
        <f t="shared" si="163"/>
        <v/>
      </c>
      <c r="BR297" s="59"/>
      <c r="BS297" s="58" t="str">
        <f t="shared" si="164"/>
        <v/>
      </c>
      <c r="BT297" s="59"/>
      <c r="BU297" s="58" t="str">
        <f t="shared" si="165"/>
        <v/>
      </c>
      <c r="BV297" s="59"/>
    </row>
    <row r="298" spans="1:74" ht="14.5">
      <c r="A298" s="51" t="s">
        <v>58</v>
      </c>
      <c r="B298" s="52">
        <v>370</v>
      </c>
      <c r="C298" s="52" t="s">
        <v>188</v>
      </c>
      <c r="D298" s="41">
        <f t="shared" si="135"/>
        <v>4</v>
      </c>
      <c r="E298" s="52" t="s">
        <v>136</v>
      </c>
      <c r="F298" s="52" t="s">
        <v>247</v>
      </c>
      <c r="G298" s="52" t="s">
        <v>162</v>
      </c>
      <c r="H298" s="52" t="s">
        <v>500</v>
      </c>
      <c r="I298" s="53">
        <v>45678</v>
      </c>
      <c r="J298" s="108">
        <v>1488</v>
      </c>
      <c r="K298" s="101"/>
      <c r="L298" s="101"/>
      <c r="M298" s="101">
        <f t="shared" si="136"/>
        <v>1488</v>
      </c>
      <c r="N298" s="54">
        <f t="shared" si="137"/>
        <v>1488</v>
      </c>
      <c r="O298" s="101" t="s">
        <v>443</v>
      </c>
      <c r="P298" s="102">
        <f t="shared" si="138"/>
        <v>0.85028571428571431</v>
      </c>
      <c r="Q298" s="102">
        <v>5</v>
      </c>
      <c r="R298" s="99">
        <v>350</v>
      </c>
      <c r="S298" s="55">
        <f t="shared" si="166"/>
        <v>45650</v>
      </c>
      <c r="T298" s="55"/>
      <c r="U298" s="56">
        <f t="shared" ca="1" si="139"/>
        <v>-190</v>
      </c>
      <c r="V298" s="55">
        <f t="shared" si="140"/>
        <v>45666</v>
      </c>
      <c r="W298" s="55"/>
      <c r="X298" s="56">
        <f t="shared" ca="1" si="141"/>
        <v>-174</v>
      </c>
      <c r="Y298" s="55"/>
      <c r="Z298" s="57"/>
      <c r="AA298" s="58" t="str">
        <f t="shared" si="142"/>
        <v>-</v>
      </c>
      <c r="AB298" s="59"/>
      <c r="AC298" s="58" t="str">
        <f t="shared" si="143"/>
        <v/>
      </c>
      <c r="AD298" s="59"/>
      <c r="AE298" s="58" t="str">
        <f t="shared" si="144"/>
        <v/>
      </c>
      <c r="AF298" s="59"/>
      <c r="AG298" s="58" t="str">
        <f t="shared" si="145"/>
        <v/>
      </c>
      <c r="AH298" s="59"/>
      <c r="AI298" s="58" t="str">
        <f t="shared" si="146"/>
        <v/>
      </c>
      <c r="AJ298" s="59"/>
      <c r="AK298" s="58" t="str">
        <f t="shared" si="147"/>
        <v/>
      </c>
      <c r="AL298" s="59"/>
      <c r="AM298" s="58" t="str">
        <f t="shared" si="148"/>
        <v/>
      </c>
      <c r="AN298" s="59"/>
      <c r="AO298" s="58" t="str">
        <f t="shared" si="149"/>
        <v/>
      </c>
      <c r="AP298" s="59"/>
      <c r="AQ298" s="58" t="str">
        <f t="shared" si="150"/>
        <v/>
      </c>
      <c r="AR298" s="59"/>
      <c r="AS298" s="58" t="str">
        <f t="shared" si="151"/>
        <v/>
      </c>
      <c r="AT298" s="59"/>
      <c r="AU298" s="58" t="str">
        <f t="shared" si="152"/>
        <v/>
      </c>
      <c r="AV298" s="59"/>
      <c r="AW298" s="58">
        <f t="shared" si="153"/>
        <v>1488</v>
      </c>
      <c r="AX298" s="59"/>
      <c r="AY298" s="58" t="str">
        <f t="shared" si="154"/>
        <v/>
      </c>
      <c r="AZ298" s="59"/>
      <c r="BA298" s="58" t="str">
        <f t="shared" si="155"/>
        <v/>
      </c>
      <c r="BB298" s="59"/>
      <c r="BC298" s="58" t="str">
        <f t="shared" si="156"/>
        <v/>
      </c>
      <c r="BD298" s="59"/>
      <c r="BE298" s="58" t="str">
        <f t="shared" si="157"/>
        <v/>
      </c>
      <c r="BF298" s="59"/>
      <c r="BG298" s="58" t="str">
        <f t="shared" si="158"/>
        <v/>
      </c>
      <c r="BH298" s="59"/>
      <c r="BI298" s="58" t="str">
        <f t="shared" si="159"/>
        <v/>
      </c>
      <c r="BJ298" s="59"/>
      <c r="BK298" s="58" t="str">
        <f t="shared" si="160"/>
        <v/>
      </c>
      <c r="BL298" s="59"/>
      <c r="BM298" s="58" t="str">
        <f t="shared" si="161"/>
        <v/>
      </c>
      <c r="BN298" s="59"/>
      <c r="BO298" s="58" t="str">
        <f t="shared" si="162"/>
        <v/>
      </c>
      <c r="BP298" s="59"/>
      <c r="BQ298" s="58" t="str">
        <f t="shared" si="163"/>
        <v/>
      </c>
      <c r="BR298" s="59"/>
      <c r="BS298" s="58" t="str">
        <f t="shared" si="164"/>
        <v/>
      </c>
      <c r="BT298" s="59"/>
      <c r="BU298" s="58" t="str">
        <f t="shared" si="165"/>
        <v/>
      </c>
      <c r="BV298" s="59"/>
    </row>
    <row r="299" spans="1:74" ht="14.5">
      <c r="A299" s="51" t="s">
        <v>58</v>
      </c>
      <c r="B299" s="52">
        <v>370</v>
      </c>
      <c r="C299" s="52" t="s">
        <v>188</v>
      </c>
      <c r="D299" s="41">
        <f t="shared" si="135"/>
        <v>4</v>
      </c>
      <c r="E299" s="52" t="s">
        <v>136</v>
      </c>
      <c r="F299" s="52" t="s">
        <v>247</v>
      </c>
      <c r="G299" s="52" t="s">
        <v>163</v>
      </c>
      <c r="H299" s="52" t="s">
        <v>500</v>
      </c>
      <c r="I299" s="53">
        <v>45678</v>
      </c>
      <c r="J299" s="108">
        <v>1488</v>
      </c>
      <c r="K299" s="101"/>
      <c r="L299" s="101"/>
      <c r="M299" s="101">
        <f t="shared" si="136"/>
        <v>1488</v>
      </c>
      <c r="N299" s="54">
        <f t="shared" si="137"/>
        <v>1488</v>
      </c>
      <c r="O299" s="101" t="s">
        <v>443</v>
      </c>
      <c r="P299" s="102">
        <f t="shared" si="138"/>
        <v>0.85028571428571431</v>
      </c>
      <c r="Q299" s="102">
        <v>5</v>
      </c>
      <c r="R299" s="99">
        <v>350</v>
      </c>
      <c r="S299" s="55">
        <f t="shared" si="166"/>
        <v>45650</v>
      </c>
      <c r="T299" s="55"/>
      <c r="U299" s="56">
        <f t="shared" ca="1" si="139"/>
        <v>-190</v>
      </c>
      <c r="V299" s="55">
        <f t="shared" si="140"/>
        <v>45666</v>
      </c>
      <c r="W299" s="55"/>
      <c r="X299" s="56">
        <f t="shared" ca="1" si="141"/>
        <v>-174</v>
      </c>
      <c r="Y299" s="55"/>
      <c r="Z299" s="57"/>
      <c r="AA299" s="58" t="str">
        <f t="shared" si="142"/>
        <v>-</v>
      </c>
      <c r="AB299" s="59"/>
      <c r="AC299" s="58" t="str">
        <f t="shared" si="143"/>
        <v/>
      </c>
      <c r="AD299" s="59"/>
      <c r="AE299" s="58" t="str">
        <f t="shared" si="144"/>
        <v/>
      </c>
      <c r="AF299" s="59"/>
      <c r="AG299" s="58" t="str">
        <f t="shared" si="145"/>
        <v/>
      </c>
      <c r="AH299" s="59"/>
      <c r="AI299" s="58" t="str">
        <f t="shared" si="146"/>
        <v/>
      </c>
      <c r="AJ299" s="59"/>
      <c r="AK299" s="58" t="str">
        <f t="shared" si="147"/>
        <v/>
      </c>
      <c r="AL299" s="59"/>
      <c r="AM299" s="58" t="str">
        <f t="shared" si="148"/>
        <v/>
      </c>
      <c r="AN299" s="59"/>
      <c r="AO299" s="58" t="str">
        <f t="shared" si="149"/>
        <v/>
      </c>
      <c r="AP299" s="59"/>
      <c r="AQ299" s="58" t="str">
        <f t="shared" si="150"/>
        <v/>
      </c>
      <c r="AR299" s="59"/>
      <c r="AS299" s="58" t="str">
        <f t="shared" si="151"/>
        <v/>
      </c>
      <c r="AT299" s="59"/>
      <c r="AU299" s="58" t="str">
        <f t="shared" si="152"/>
        <v/>
      </c>
      <c r="AV299" s="59"/>
      <c r="AW299" s="58">
        <f t="shared" si="153"/>
        <v>1488</v>
      </c>
      <c r="AX299" s="59"/>
      <c r="AY299" s="58" t="str">
        <f t="shared" si="154"/>
        <v/>
      </c>
      <c r="AZ299" s="59"/>
      <c r="BA299" s="58" t="str">
        <f t="shared" si="155"/>
        <v/>
      </c>
      <c r="BB299" s="59"/>
      <c r="BC299" s="58" t="str">
        <f t="shared" si="156"/>
        <v/>
      </c>
      <c r="BD299" s="59"/>
      <c r="BE299" s="58" t="str">
        <f t="shared" si="157"/>
        <v/>
      </c>
      <c r="BF299" s="59"/>
      <c r="BG299" s="58" t="str">
        <f t="shared" si="158"/>
        <v/>
      </c>
      <c r="BH299" s="59"/>
      <c r="BI299" s="58" t="str">
        <f t="shared" si="159"/>
        <v/>
      </c>
      <c r="BJ299" s="59"/>
      <c r="BK299" s="58" t="str">
        <f t="shared" si="160"/>
        <v/>
      </c>
      <c r="BL299" s="59"/>
      <c r="BM299" s="58" t="str">
        <f t="shared" si="161"/>
        <v/>
      </c>
      <c r="BN299" s="59"/>
      <c r="BO299" s="58" t="str">
        <f t="shared" si="162"/>
        <v/>
      </c>
      <c r="BP299" s="59"/>
      <c r="BQ299" s="58" t="str">
        <f t="shared" si="163"/>
        <v/>
      </c>
      <c r="BR299" s="59"/>
      <c r="BS299" s="58" t="str">
        <f t="shared" si="164"/>
        <v/>
      </c>
      <c r="BT299" s="59"/>
      <c r="BU299" s="58" t="str">
        <f t="shared" si="165"/>
        <v/>
      </c>
      <c r="BV299" s="59"/>
    </row>
    <row r="300" spans="1:74" ht="14.5">
      <c r="A300" s="51" t="s">
        <v>58</v>
      </c>
      <c r="B300" s="52">
        <v>370</v>
      </c>
      <c r="C300" s="52" t="s">
        <v>188</v>
      </c>
      <c r="D300" s="41">
        <f t="shared" si="135"/>
        <v>4</v>
      </c>
      <c r="E300" s="52" t="s">
        <v>136</v>
      </c>
      <c r="F300" s="52" t="s">
        <v>247</v>
      </c>
      <c r="G300" s="52" t="s">
        <v>501</v>
      </c>
      <c r="H300" s="52" t="s">
        <v>500</v>
      </c>
      <c r="I300" s="53">
        <v>45678</v>
      </c>
      <c r="J300" s="108">
        <v>1488</v>
      </c>
      <c r="K300" s="101"/>
      <c r="L300" s="101"/>
      <c r="M300" s="101">
        <f t="shared" si="136"/>
        <v>1488</v>
      </c>
      <c r="N300" s="54">
        <f t="shared" si="137"/>
        <v>1488</v>
      </c>
      <c r="O300" s="101" t="s">
        <v>443</v>
      </c>
      <c r="P300" s="102">
        <f t="shared" si="138"/>
        <v>0.85028571428571431</v>
      </c>
      <c r="Q300" s="102">
        <v>5</v>
      </c>
      <c r="R300" s="99">
        <v>350</v>
      </c>
      <c r="S300" s="55">
        <f t="shared" si="166"/>
        <v>45650</v>
      </c>
      <c r="T300" s="55"/>
      <c r="U300" s="56">
        <f t="shared" ca="1" si="139"/>
        <v>-190</v>
      </c>
      <c r="V300" s="55">
        <f t="shared" si="140"/>
        <v>45666</v>
      </c>
      <c r="W300" s="55"/>
      <c r="X300" s="56">
        <f t="shared" ca="1" si="141"/>
        <v>-174</v>
      </c>
      <c r="Y300" s="55"/>
      <c r="Z300" s="57"/>
      <c r="AA300" s="58" t="str">
        <f t="shared" si="142"/>
        <v>-</v>
      </c>
      <c r="AB300" s="59"/>
      <c r="AC300" s="58" t="str">
        <f t="shared" si="143"/>
        <v/>
      </c>
      <c r="AD300" s="59"/>
      <c r="AE300" s="58" t="str">
        <f t="shared" si="144"/>
        <v/>
      </c>
      <c r="AF300" s="59"/>
      <c r="AG300" s="58" t="str">
        <f t="shared" si="145"/>
        <v/>
      </c>
      <c r="AH300" s="59"/>
      <c r="AI300" s="58" t="str">
        <f t="shared" si="146"/>
        <v/>
      </c>
      <c r="AJ300" s="59"/>
      <c r="AK300" s="58" t="str">
        <f t="shared" si="147"/>
        <v/>
      </c>
      <c r="AL300" s="59"/>
      <c r="AM300" s="58" t="str">
        <f t="shared" si="148"/>
        <v/>
      </c>
      <c r="AN300" s="59"/>
      <c r="AO300" s="58" t="str">
        <f t="shared" si="149"/>
        <v/>
      </c>
      <c r="AP300" s="59"/>
      <c r="AQ300" s="58" t="str">
        <f t="shared" si="150"/>
        <v/>
      </c>
      <c r="AR300" s="59"/>
      <c r="AS300" s="58" t="str">
        <f t="shared" si="151"/>
        <v/>
      </c>
      <c r="AT300" s="59"/>
      <c r="AU300" s="58" t="str">
        <f t="shared" si="152"/>
        <v/>
      </c>
      <c r="AV300" s="59"/>
      <c r="AW300" s="58">
        <f t="shared" si="153"/>
        <v>1488</v>
      </c>
      <c r="AX300" s="59"/>
      <c r="AY300" s="58" t="str">
        <f t="shared" si="154"/>
        <v/>
      </c>
      <c r="AZ300" s="59"/>
      <c r="BA300" s="58" t="str">
        <f t="shared" si="155"/>
        <v/>
      </c>
      <c r="BB300" s="59"/>
      <c r="BC300" s="58" t="str">
        <f t="shared" si="156"/>
        <v/>
      </c>
      <c r="BD300" s="59"/>
      <c r="BE300" s="58" t="str">
        <f t="shared" si="157"/>
        <v/>
      </c>
      <c r="BF300" s="59"/>
      <c r="BG300" s="58" t="str">
        <f t="shared" si="158"/>
        <v/>
      </c>
      <c r="BH300" s="59"/>
      <c r="BI300" s="58" t="str">
        <f t="shared" si="159"/>
        <v/>
      </c>
      <c r="BJ300" s="59"/>
      <c r="BK300" s="58" t="str">
        <f t="shared" si="160"/>
        <v/>
      </c>
      <c r="BL300" s="59"/>
      <c r="BM300" s="58" t="str">
        <f t="shared" si="161"/>
        <v/>
      </c>
      <c r="BN300" s="59"/>
      <c r="BO300" s="58" t="str">
        <f t="shared" si="162"/>
        <v/>
      </c>
      <c r="BP300" s="59"/>
      <c r="BQ300" s="58" t="str">
        <f t="shared" si="163"/>
        <v/>
      </c>
      <c r="BR300" s="59"/>
      <c r="BS300" s="58" t="str">
        <f t="shared" si="164"/>
        <v/>
      </c>
      <c r="BT300" s="59"/>
      <c r="BU300" s="58" t="str">
        <f t="shared" si="165"/>
        <v/>
      </c>
      <c r="BV300" s="59"/>
    </row>
    <row r="301" spans="1:74" ht="14.5">
      <c r="A301" s="51" t="s">
        <v>58</v>
      </c>
      <c r="B301" s="52">
        <v>370</v>
      </c>
      <c r="C301" s="52" t="s">
        <v>188</v>
      </c>
      <c r="D301" s="41">
        <f t="shared" si="135"/>
        <v>4</v>
      </c>
      <c r="E301" s="52" t="s">
        <v>157</v>
      </c>
      <c r="F301" s="52" t="s">
        <v>538</v>
      </c>
      <c r="G301" s="52" t="s">
        <v>155</v>
      </c>
      <c r="H301" s="52" t="s">
        <v>428</v>
      </c>
      <c r="I301" s="53">
        <v>45678</v>
      </c>
      <c r="J301" s="108">
        <v>2262</v>
      </c>
      <c r="K301" s="101"/>
      <c r="L301" s="101"/>
      <c r="M301" s="101">
        <f t="shared" si="136"/>
        <v>2262</v>
      </c>
      <c r="N301" s="54">
        <f t="shared" si="137"/>
        <v>2262</v>
      </c>
      <c r="O301" s="101" t="s">
        <v>178</v>
      </c>
      <c r="P301" s="102">
        <f t="shared" si="138"/>
        <v>0.377</v>
      </c>
      <c r="Q301" s="102">
        <v>6</v>
      </c>
      <c r="R301" s="99">
        <v>1000</v>
      </c>
      <c r="S301" s="55">
        <f t="shared" si="166"/>
        <v>45650</v>
      </c>
      <c r="T301" s="55"/>
      <c r="U301" s="56">
        <f t="shared" ca="1" si="139"/>
        <v>-190</v>
      </c>
      <c r="V301" s="55">
        <f t="shared" si="140"/>
        <v>45666</v>
      </c>
      <c r="W301" s="55"/>
      <c r="X301" s="56">
        <f t="shared" ca="1" si="141"/>
        <v>-174</v>
      </c>
      <c r="Y301" s="55"/>
      <c r="Z301" s="57"/>
      <c r="AA301" s="58" t="str">
        <f t="shared" si="142"/>
        <v>-</v>
      </c>
      <c r="AB301" s="59"/>
      <c r="AC301" s="58" t="str">
        <f t="shared" si="143"/>
        <v/>
      </c>
      <c r="AD301" s="59"/>
      <c r="AE301" s="58" t="str">
        <f t="shared" si="144"/>
        <v/>
      </c>
      <c r="AF301" s="59"/>
      <c r="AG301" s="58" t="str">
        <f t="shared" si="145"/>
        <v/>
      </c>
      <c r="AH301" s="59"/>
      <c r="AI301" s="58" t="str">
        <f t="shared" si="146"/>
        <v/>
      </c>
      <c r="AJ301" s="59"/>
      <c r="AK301" s="58" t="str">
        <f t="shared" si="147"/>
        <v/>
      </c>
      <c r="AL301" s="59"/>
      <c r="AM301" s="58" t="str">
        <f t="shared" si="148"/>
        <v/>
      </c>
      <c r="AN301" s="59"/>
      <c r="AO301" s="58" t="str">
        <f t="shared" si="149"/>
        <v/>
      </c>
      <c r="AP301" s="59"/>
      <c r="AQ301" s="58" t="str">
        <f t="shared" si="150"/>
        <v/>
      </c>
      <c r="AR301" s="59"/>
      <c r="AS301" s="58" t="str">
        <f t="shared" si="151"/>
        <v/>
      </c>
      <c r="AT301" s="59"/>
      <c r="AU301" s="58" t="str">
        <f t="shared" si="152"/>
        <v/>
      </c>
      <c r="AV301" s="59"/>
      <c r="AW301" s="58">
        <f t="shared" si="153"/>
        <v>2262</v>
      </c>
      <c r="AX301" s="59"/>
      <c r="AY301" s="58" t="str">
        <f t="shared" si="154"/>
        <v/>
      </c>
      <c r="AZ301" s="59"/>
      <c r="BA301" s="58" t="str">
        <f t="shared" si="155"/>
        <v/>
      </c>
      <c r="BB301" s="59"/>
      <c r="BC301" s="58" t="str">
        <f t="shared" si="156"/>
        <v/>
      </c>
      <c r="BD301" s="59"/>
      <c r="BE301" s="58" t="str">
        <f t="shared" si="157"/>
        <v/>
      </c>
      <c r="BF301" s="59"/>
      <c r="BG301" s="58" t="str">
        <f t="shared" si="158"/>
        <v/>
      </c>
      <c r="BH301" s="59"/>
      <c r="BI301" s="58" t="str">
        <f t="shared" si="159"/>
        <v/>
      </c>
      <c r="BJ301" s="59"/>
      <c r="BK301" s="58" t="str">
        <f t="shared" si="160"/>
        <v/>
      </c>
      <c r="BL301" s="59"/>
      <c r="BM301" s="58" t="str">
        <f t="shared" si="161"/>
        <v/>
      </c>
      <c r="BN301" s="59"/>
      <c r="BO301" s="58" t="str">
        <f t="shared" si="162"/>
        <v/>
      </c>
      <c r="BP301" s="59"/>
      <c r="BQ301" s="58" t="str">
        <f t="shared" si="163"/>
        <v/>
      </c>
      <c r="BR301" s="59"/>
      <c r="BS301" s="58" t="str">
        <f t="shared" si="164"/>
        <v/>
      </c>
      <c r="BT301" s="59"/>
      <c r="BU301" s="58" t="str">
        <f t="shared" si="165"/>
        <v/>
      </c>
      <c r="BV301" s="59"/>
    </row>
    <row r="302" spans="1:74" ht="14.5">
      <c r="A302" s="51" t="s">
        <v>58</v>
      </c>
      <c r="B302" s="52">
        <v>370</v>
      </c>
      <c r="C302" s="52" t="s">
        <v>188</v>
      </c>
      <c r="D302" s="41">
        <f t="shared" si="135"/>
        <v>4</v>
      </c>
      <c r="E302" s="52" t="s">
        <v>189</v>
      </c>
      <c r="F302" s="52" t="s">
        <v>242</v>
      </c>
      <c r="G302" s="52" t="s">
        <v>162</v>
      </c>
      <c r="H302" s="52" t="s">
        <v>432</v>
      </c>
      <c r="I302" s="53">
        <v>45678</v>
      </c>
      <c r="J302" s="108">
        <v>1420</v>
      </c>
      <c r="K302" s="101"/>
      <c r="L302" s="101"/>
      <c r="M302" s="101">
        <f t="shared" si="136"/>
        <v>1420</v>
      </c>
      <c r="N302" s="54">
        <f t="shared" si="137"/>
        <v>1420</v>
      </c>
      <c r="O302" s="101" t="s">
        <v>178</v>
      </c>
      <c r="P302" s="102">
        <f t="shared" si="138"/>
        <v>1.9722222222222223</v>
      </c>
      <c r="Q302" s="102">
        <v>6</v>
      </c>
      <c r="R302" s="99">
        <v>120</v>
      </c>
      <c r="S302" s="55">
        <f t="shared" si="166"/>
        <v>45650</v>
      </c>
      <c r="T302" s="55"/>
      <c r="U302" s="56">
        <f t="shared" ca="1" si="139"/>
        <v>-190</v>
      </c>
      <c r="V302" s="55">
        <f t="shared" si="140"/>
        <v>45666</v>
      </c>
      <c r="W302" s="55"/>
      <c r="X302" s="56">
        <f t="shared" ca="1" si="141"/>
        <v>-174</v>
      </c>
      <c r="Y302" s="55"/>
      <c r="Z302" s="57"/>
      <c r="AA302" s="58" t="str">
        <f t="shared" si="142"/>
        <v>-</v>
      </c>
      <c r="AB302" s="59"/>
      <c r="AC302" s="58" t="str">
        <f t="shared" si="143"/>
        <v/>
      </c>
      <c r="AD302" s="59"/>
      <c r="AE302" s="58" t="str">
        <f t="shared" si="144"/>
        <v/>
      </c>
      <c r="AF302" s="59"/>
      <c r="AG302" s="58" t="str">
        <f t="shared" si="145"/>
        <v/>
      </c>
      <c r="AH302" s="59"/>
      <c r="AI302" s="58" t="str">
        <f t="shared" si="146"/>
        <v/>
      </c>
      <c r="AJ302" s="59"/>
      <c r="AK302" s="58" t="str">
        <f t="shared" si="147"/>
        <v/>
      </c>
      <c r="AL302" s="59"/>
      <c r="AM302" s="58" t="str">
        <f t="shared" si="148"/>
        <v/>
      </c>
      <c r="AN302" s="59"/>
      <c r="AO302" s="58" t="str">
        <f t="shared" si="149"/>
        <v/>
      </c>
      <c r="AP302" s="59"/>
      <c r="AQ302" s="58" t="str">
        <f t="shared" si="150"/>
        <v/>
      </c>
      <c r="AR302" s="59"/>
      <c r="AS302" s="58" t="str">
        <f t="shared" si="151"/>
        <v/>
      </c>
      <c r="AT302" s="59"/>
      <c r="AU302" s="58" t="str">
        <f t="shared" si="152"/>
        <v/>
      </c>
      <c r="AV302" s="59"/>
      <c r="AW302" s="58">
        <f t="shared" si="153"/>
        <v>1420</v>
      </c>
      <c r="AX302" s="59"/>
      <c r="AY302" s="58" t="str">
        <f t="shared" si="154"/>
        <v/>
      </c>
      <c r="AZ302" s="59"/>
      <c r="BA302" s="58" t="str">
        <f t="shared" si="155"/>
        <v/>
      </c>
      <c r="BB302" s="59"/>
      <c r="BC302" s="58" t="str">
        <f t="shared" si="156"/>
        <v/>
      </c>
      <c r="BD302" s="59"/>
      <c r="BE302" s="58" t="str">
        <f t="shared" si="157"/>
        <v/>
      </c>
      <c r="BF302" s="59"/>
      <c r="BG302" s="58" t="str">
        <f t="shared" si="158"/>
        <v/>
      </c>
      <c r="BH302" s="59"/>
      <c r="BI302" s="58" t="str">
        <f t="shared" si="159"/>
        <v/>
      </c>
      <c r="BJ302" s="59"/>
      <c r="BK302" s="58" t="str">
        <f t="shared" si="160"/>
        <v/>
      </c>
      <c r="BL302" s="59"/>
      <c r="BM302" s="58" t="str">
        <f t="shared" si="161"/>
        <v/>
      </c>
      <c r="BN302" s="59"/>
      <c r="BO302" s="58" t="str">
        <f t="shared" si="162"/>
        <v/>
      </c>
      <c r="BP302" s="59"/>
      <c r="BQ302" s="58" t="str">
        <f t="shared" si="163"/>
        <v/>
      </c>
      <c r="BR302" s="59"/>
      <c r="BS302" s="58" t="str">
        <f t="shared" si="164"/>
        <v/>
      </c>
      <c r="BT302" s="59"/>
      <c r="BU302" s="58" t="str">
        <f t="shared" si="165"/>
        <v/>
      </c>
      <c r="BV302" s="59"/>
    </row>
    <row r="303" spans="1:74" ht="14.5">
      <c r="A303" s="51" t="s">
        <v>58</v>
      </c>
      <c r="B303" s="52">
        <v>370</v>
      </c>
      <c r="C303" s="52" t="s">
        <v>188</v>
      </c>
      <c r="D303" s="41">
        <f t="shared" si="135"/>
        <v>4</v>
      </c>
      <c r="E303" s="52" t="s">
        <v>391</v>
      </c>
      <c r="F303" s="52" t="s">
        <v>392</v>
      </c>
      <c r="G303" s="52" t="s">
        <v>393</v>
      </c>
      <c r="H303" s="52" t="s">
        <v>433</v>
      </c>
      <c r="I303" s="53">
        <v>45678</v>
      </c>
      <c r="J303" s="108">
        <v>2082</v>
      </c>
      <c r="K303" s="101"/>
      <c r="L303" s="101"/>
      <c r="M303" s="101">
        <f t="shared" si="136"/>
        <v>2082</v>
      </c>
      <c r="N303" s="54">
        <f t="shared" si="137"/>
        <v>2082</v>
      </c>
      <c r="O303" s="101" t="s">
        <v>178</v>
      </c>
      <c r="P303" s="102">
        <f t="shared" si="138"/>
        <v>4.3375000000000004</v>
      </c>
      <c r="Q303" s="102">
        <v>6</v>
      </c>
      <c r="R303" s="99">
        <v>80</v>
      </c>
      <c r="S303" s="55">
        <f t="shared" si="166"/>
        <v>45650</v>
      </c>
      <c r="T303" s="55"/>
      <c r="U303" s="56">
        <f t="shared" ca="1" si="139"/>
        <v>-190</v>
      </c>
      <c r="V303" s="55">
        <f t="shared" si="140"/>
        <v>45666</v>
      </c>
      <c r="W303" s="55"/>
      <c r="X303" s="56">
        <f t="shared" ca="1" si="141"/>
        <v>-174</v>
      </c>
      <c r="Y303" s="55"/>
      <c r="Z303" s="57"/>
      <c r="AA303" s="58" t="str">
        <f t="shared" si="142"/>
        <v>-</v>
      </c>
      <c r="AB303" s="59"/>
      <c r="AC303" s="58" t="str">
        <f t="shared" si="143"/>
        <v/>
      </c>
      <c r="AD303" s="59"/>
      <c r="AE303" s="58" t="str">
        <f t="shared" si="144"/>
        <v/>
      </c>
      <c r="AF303" s="59"/>
      <c r="AG303" s="58" t="str">
        <f t="shared" si="145"/>
        <v/>
      </c>
      <c r="AH303" s="59"/>
      <c r="AI303" s="58" t="str">
        <f t="shared" si="146"/>
        <v/>
      </c>
      <c r="AJ303" s="59"/>
      <c r="AK303" s="58" t="str">
        <f t="shared" si="147"/>
        <v/>
      </c>
      <c r="AL303" s="59"/>
      <c r="AM303" s="58" t="str">
        <f t="shared" si="148"/>
        <v/>
      </c>
      <c r="AN303" s="59"/>
      <c r="AO303" s="58" t="str">
        <f t="shared" si="149"/>
        <v/>
      </c>
      <c r="AP303" s="59"/>
      <c r="AQ303" s="58" t="str">
        <f t="shared" si="150"/>
        <v/>
      </c>
      <c r="AR303" s="59"/>
      <c r="AS303" s="58" t="str">
        <f t="shared" si="151"/>
        <v/>
      </c>
      <c r="AT303" s="59"/>
      <c r="AU303" s="58" t="str">
        <f t="shared" si="152"/>
        <v/>
      </c>
      <c r="AV303" s="59"/>
      <c r="AW303" s="58">
        <f t="shared" si="153"/>
        <v>2082</v>
      </c>
      <c r="AX303" s="59"/>
      <c r="AY303" s="58" t="str">
        <f t="shared" si="154"/>
        <v/>
      </c>
      <c r="AZ303" s="59"/>
      <c r="BA303" s="58" t="str">
        <f t="shared" si="155"/>
        <v/>
      </c>
      <c r="BB303" s="59"/>
      <c r="BC303" s="58" t="str">
        <f t="shared" si="156"/>
        <v/>
      </c>
      <c r="BD303" s="59"/>
      <c r="BE303" s="58" t="str">
        <f t="shared" si="157"/>
        <v/>
      </c>
      <c r="BF303" s="59"/>
      <c r="BG303" s="58" t="str">
        <f t="shared" si="158"/>
        <v/>
      </c>
      <c r="BH303" s="59"/>
      <c r="BI303" s="58" t="str">
        <f t="shared" si="159"/>
        <v/>
      </c>
      <c r="BJ303" s="59"/>
      <c r="BK303" s="58" t="str">
        <f t="shared" si="160"/>
        <v/>
      </c>
      <c r="BL303" s="59"/>
      <c r="BM303" s="58" t="str">
        <f t="shared" si="161"/>
        <v/>
      </c>
      <c r="BN303" s="59"/>
      <c r="BO303" s="58" t="str">
        <f t="shared" si="162"/>
        <v/>
      </c>
      <c r="BP303" s="59"/>
      <c r="BQ303" s="58" t="str">
        <f t="shared" si="163"/>
        <v/>
      </c>
      <c r="BR303" s="59"/>
      <c r="BS303" s="58" t="str">
        <f t="shared" si="164"/>
        <v/>
      </c>
      <c r="BT303" s="59"/>
      <c r="BU303" s="58" t="str">
        <f t="shared" si="165"/>
        <v/>
      </c>
      <c r="BV303" s="59"/>
    </row>
    <row r="304" spans="1:74" ht="14.5">
      <c r="A304" s="51" t="s">
        <v>466</v>
      </c>
      <c r="B304" s="52">
        <v>429</v>
      </c>
      <c r="C304" s="52" t="s">
        <v>55</v>
      </c>
      <c r="D304" s="41">
        <f t="shared" si="135"/>
        <v>4</v>
      </c>
      <c r="E304" s="52" t="s">
        <v>539</v>
      </c>
      <c r="F304" s="52" t="s">
        <v>540</v>
      </c>
      <c r="G304" s="52" t="s">
        <v>162</v>
      </c>
      <c r="H304" s="52" t="s">
        <v>541</v>
      </c>
      <c r="I304" s="53">
        <v>45678</v>
      </c>
      <c r="J304" s="108">
        <v>10200</v>
      </c>
      <c r="K304" s="101"/>
      <c r="L304" s="101"/>
      <c r="M304" s="101">
        <f t="shared" si="136"/>
        <v>10200</v>
      </c>
      <c r="N304" s="54">
        <f t="shared" si="137"/>
        <v>10200</v>
      </c>
      <c r="O304" s="101" t="s">
        <v>178</v>
      </c>
      <c r="P304" s="102">
        <f t="shared" si="138"/>
        <v>21.25</v>
      </c>
      <c r="Q304" s="102">
        <v>6</v>
      </c>
      <c r="R304" s="99">
        <v>80</v>
      </c>
      <c r="S304" s="55">
        <f t="shared" si="166"/>
        <v>45650</v>
      </c>
      <c r="T304" s="55"/>
      <c r="U304" s="56"/>
      <c r="V304" s="55" t="s">
        <v>542</v>
      </c>
      <c r="W304" s="55"/>
      <c r="X304" s="56"/>
      <c r="Y304" s="55"/>
      <c r="Z304" s="57"/>
      <c r="AA304" s="58" t="str">
        <f t="shared" si="142"/>
        <v>-</v>
      </c>
      <c r="AB304" s="59"/>
      <c r="AC304" s="58" t="str">
        <f t="shared" si="143"/>
        <v/>
      </c>
      <c r="AD304" s="59"/>
      <c r="AE304" s="58" t="str">
        <f t="shared" si="144"/>
        <v/>
      </c>
      <c r="AF304" s="59"/>
      <c r="AG304" s="58" t="str">
        <f t="shared" si="145"/>
        <v/>
      </c>
      <c r="AH304" s="59"/>
      <c r="AI304" s="58" t="str">
        <f t="shared" si="146"/>
        <v/>
      </c>
      <c r="AJ304" s="59"/>
      <c r="AK304" s="58" t="str">
        <f t="shared" si="147"/>
        <v/>
      </c>
      <c r="AL304" s="59"/>
      <c r="AM304" s="58" t="str">
        <f t="shared" si="148"/>
        <v/>
      </c>
      <c r="AN304" s="59"/>
      <c r="AO304" s="58" t="str">
        <f t="shared" si="149"/>
        <v/>
      </c>
      <c r="AP304" s="59"/>
      <c r="AQ304" s="58" t="str">
        <f t="shared" si="150"/>
        <v/>
      </c>
      <c r="AR304" s="59"/>
      <c r="AS304" s="58" t="str">
        <f t="shared" si="151"/>
        <v/>
      </c>
      <c r="AT304" s="59"/>
      <c r="AU304" s="58" t="str">
        <f t="shared" si="152"/>
        <v/>
      </c>
      <c r="AV304" s="59"/>
      <c r="AW304" s="58">
        <f t="shared" si="153"/>
        <v>10200</v>
      </c>
      <c r="AX304" s="59"/>
      <c r="AY304" s="58" t="str">
        <f t="shared" si="154"/>
        <v/>
      </c>
      <c r="AZ304" s="59"/>
      <c r="BA304" s="58" t="str">
        <f t="shared" si="155"/>
        <v/>
      </c>
      <c r="BB304" s="59"/>
      <c r="BC304" s="58" t="str">
        <f t="shared" si="156"/>
        <v/>
      </c>
      <c r="BD304" s="59"/>
      <c r="BE304" s="58" t="str">
        <f t="shared" si="157"/>
        <v/>
      </c>
      <c r="BF304" s="59"/>
      <c r="BG304" s="58" t="str">
        <f t="shared" si="158"/>
        <v/>
      </c>
      <c r="BH304" s="59"/>
      <c r="BI304" s="58" t="str">
        <f t="shared" si="159"/>
        <v/>
      </c>
      <c r="BJ304" s="59"/>
      <c r="BK304" s="58" t="str">
        <f t="shared" si="160"/>
        <v/>
      </c>
      <c r="BL304" s="59"/>
      <c r="BM304" s="58" t="str">
        <f t="shared" si="161"/>
        <v/>
      </c>
      <c r="BN304" s="59"/>
      <c r="BO304" s="58" t="str">
        <f t="shared" si="162"/>
        <v/>
      </c>
      <c r="BP304" s="59"/>
      <c r="BQ304" s="58" t="str">
        <f t="shared" si="163"/>
        <v/>
      </c>
      <c r="BR304" s="59"/>
      <c r="BS304" s="58" t="str">
        <f t="shared" si="164"/>
        <v/>
      </c>
      <c r="BT304" s="59"/>
      <c r="BU304" s="58" t="str">
        <f t="shared" si="165"/>
        <v/>
      </c>
      <c r="BV304" s="59"/>
    </row>
    <row r="305" spans="1:74" ht="14.5">
      <c r="A305" s="51" t="s">
        <v>466</v>
      </c>
      <c r="B305" s="52">
        <v>429</v>
      </c>
      <c r="C305" s="52" t="s">
        <v>55</v>
      </c>
      <c r="D305" s="41">
        <f t="shared" si="135"/>
        <v>4</v>
      </c>
      <c r="E305" s="52" t="s">
        <v>539</v>
      </c>
      <c r="F305" s="52" t="s">
        <v>540</v>
      </c>
      <c r="G305" s="52" t="s">
        <v>155</v>
      </c>
      <c r="H305" s="52" t="s">
        <v>541</v>
      </c>
      <c r="I305" s="53">
        <v>45678</v>
      </c>
      <c r="J305" s="108">
        <v>10200</v>
      </c>
      <c r="K305" s="101"/>
      <c r="L305" s="101"/>
      <c r="M305" s="101">
        <f t="shared" si="136"/>
        <v>10200</v>
      </c>
      <c r="N305" s="54">
        <f t="shared" si="137"/>
        <v>10200</v>
      </c>
      <c r="O305" s="101" t="s">
        <v>178</v>
      </c>
      <c r="P305" s="102">
        <f t="shared" si="138"/>
        <v>21.25</v>
      </c>
      <c r="Q305" s="102">
        <v>6</v>
      </c>
      <c r="R305" s="99">
        <v>80</v>
      </c>
      <c r="S305" s="55">
        <f t="shared" si="166"/>
        <v>45650</v>
      </c>
      <c r="T305" s="55"/>
      <c r="U305" s="56"/>
      <c r="V305" s="55" t="s">
        <v>542</v>
      </c>
      <c r="W305" s="55"/>
      <c r="X305" s="56"/>
      <c r="Y305" s="55"/>
      <c r="Z305" s="57"/>
      <c r="AA305" s="58" t="str">
        <f t="shared" si="142"/>
        <v>-</v>
      </c>
      <c r="AB305" s="59"/>
      <c r="AC305" s="58" t="str">
        <f t="shared" si="143"/>
        <v/>
      </c>
      <c r="AD305" s="59"/>
      <c r="AE305" s="58" t="str">
        <f t="shared" si="144"/>
        <v/>
      </c>
      <c r="AF305" s="59"/>
      <c r="AG305" s="58" t="str">
        <f t="shared" si="145"/>
        <v/>
      </c>
      <c r="AH305" s="59"/>
      <c r="AI305" s="58" t="str">
        <f t="shared" si="146"/>
        <v/>
      </c>
      <c r="AJ305" s="59"/>
      <c r="AK305" s="58" t="str">
        <f t="shared" si="147"/>
        <v/>
      </c>
      <c r="AL305" s="59"/>
      <c r="AM305" s="58" t="str">
        <f t="shared" si="148"/>
        <v/>
      </c>
      <c r="AN305" s="59"/>
      <c r="AO305" s="58" t="str">
        <f t="shared" si="149"/>
        <v/>
      </c>
      <c r="AP305" s="59"/>
      <c r="AQ305" s="58" t="str">
        <f t="shared" si="150"/>
        <v/>
      </c>
      <c r="AR305" s="59"/>
      <c r="AS305" s="58" t="str">
        <f t="shared" si="151"/>
        <v/>
      </c>
      <c r="AT305" s="59"/>
      <c r="AU305" s="58" t="str">
        <f t="shared" si="152"/>
        <v/>
      </c>
      <c r="AV305" s="59"/>
      <c r="AW305" s="58">
        <f t="shared" si="153"/>
        <v>10200</v>
      </c>
      <c r="AX305" s="59"/>
      <c r="AY305" s="58" t="str">
        <f t="shared" si="154"/>
        <v/>
      </c>
      <c r="AZ305" s="59"/>
      <c r="BA305" s="58" t="str">
        <f t="shared" si="155"/>
        <v/>
      </c>
      <c r="BB305" s="59"/>
      <c r="BC305" s="58" t="str">
        <f t="shared" si="156"/>
        <v/>
      </c>
      <c r="BD305" s="59"/>
      <c r="BE305" s="58" t="str">
        <f t="shared" si="157"/>
        <v/>
      </c>
      <c r="BF305" s="59"/>
      <c r="BG305" s="58" t="str">
        <f t="shared" si="158"/>
        <v/>
      </c>
      <c r="BH305" s="59"/>
      <c r="BI305" s="58" t="str">
        <f t="shared" si="159"/>
        <v/>
      </c>
      <c r="BJ305" s="59"/>
      <c r="BK305" s="58" t="str">
        <f t="shared" si="160"/>
        <v/>
      </c>
      <c r="BL305" s="59"/>
      <c r="BM305" s="58" t="str">
        <f t="shared" si="161"/>
        <v/>
      </c>
      <c r="BN305" s="59"/>
      <c r="BO305" s="58" t="str">
        <f t="shared" si="162"/>
        <v/>
      </c>
      <c r="BP305" s="59"/>
      <c r="BQ305" s="58" t="str">
        <f t="shared" si="163"/>
        <v/>
      </c>
      <c r="BR305" s="59"/>
      <c r="BS305" s="58" t="str">
        <f t="shared" si="164"/>
        <v/>
      </c>
      <c r="BT305" s="59"/>
      <c r="BU305" s="58" t="str">
        <f t="shared" si="165"/>
        <v/>
      </c>
      <c r="BV305" s="59"/>
    </row>
    <row r="306" spans="1:74" ht="14.5">
      <c r="A306" s="51" t="s">
        <v>58</v>
      </c>
      <c r="B306" s="52">
        <v>364</v>
      </c>
      <c r="C306" s="52" t="s">
        <v>188</v>
      </c>
      <c r="D306" s="41">
        <f t="shared" si="135"/>
        <v>4</v>
      </c>
      <c r="E306" s="52" t="s">
        <v>157</v>
      </c>
      <c r="F306" s="52" t="s">
        <v>243</v>
      </c>
      <c r="G306" s="52" t="s">
        <v>162</v>
      </c>
      <c r="H306" s="52" t="s">
        <v>428</v>
      </c>
      <c r="I306" s="53">
        <v>45681</v>
      </c>
      <c r="J306" s="108">
        <v>3708</v>
      </c>
      <c r="K306" s="101"/>
      <c r="L306" s="101"/>
      <c r="M306" s="101">
        <f t="shared" si="136"/>
        <v>3708</v>
      </c>
      <c r="N306" s="54">
        <f t="shared" si="137"/>
        <v>3708</v>
      </c>
      <c r="O306" s="101" t="s">
        <v>429</v>
      </c>
      <c r="P306" s="102">
        <f t="shared" si="138"/>
        <v>0.61799999999999999</v>
      </c>
      <c r="Q306" s="102">
        <v>6</v>
      </c>
      <c r="R306" s="99">
        <v>1000</v>
      </c>
      <c r="S306" s="55">
        <f t="shared" ref="S306:S331" si="167">+I306-(28)</f>
        <v>45653</v>
      </c>
      <c r="T306" s="55"/>
      <c r="U306" s="56">
        <f t="shared" ref="U306:U369" ca="1" si="168">+IF(T306="",S306-TODAY(),S306-T306)</f>
        <v>-187</v>
      </c>
      <c r="V306" s="55">
        <f t="shared" ref="V306:V337" si="169">+S306+16</f>
        <v>45669</v>
      </c>
      <c r="W306" s="55"/>
      <c r="X306" s="56">
        <f t="shared" ref="X306:X369" ca="1" si="170">+IF(W306="",V306-TODAY(),V306-W306)</f>
        <v>-171</v>
      </c>
      <c r="Y306" s="55"/>
      <c r="Z306" s="57"/>
      <c r="AA306" s="58" t="str">
        <f t="shared" si="142"/>
        <v>-</v>
      </c>
      <c r="AB306" s="59"/>
      <c r="AC306" s="58" t="str">
        <f t="shared" si="143"/>
        <v/>
      </c>
      <c r="AD306" s="59"/>
      <c r="AE306" s="58" t="str">
        <f t="shared" si="144"/>
        <v/>
      </c>
      <c r="AF306" s="59"/>
      <c r="AG306" s="58" t="str">
        <f t="shared" si="145"/>
        <v/>
      </c>
      <c r="AH306" s="59"/>
      <c r="AI306" s="58" t="str">
        <f t="shared" si="146"/>
        <v/>
      </c>
      <c r="AJ306" s="59"/>
      <c r="AK306" s="58" t="str">
        <f t="shared" si="147"/>
        <v/>
      </c>
      <c r="AL306" s="59"/>
      <c r="AM306" s="58" t="str">
        <f t="shared" si="148"/>
        <v/>
      </c>
      <c r="AN306" s="59"/>
      <c r="AO306" s="58" t="str">
        <f t="shared" si="149"/>
        <v/>
      </c>
      <c r="AP306" s="59"/>
      <c r="AQ306" s="58" t="str">
        <f t="shared" si="150"/>
        <v/>
      </c>
      <c r="AR306" s="59"/>
      <c r="AS306" s="58" t="str">
        <f t="shared" si="151"/>
        <v/>
      </c>
      <c r="AT306" s="59"/>
      <c r="AU306" s="58" t="str">
        <f t="shared" si="152"/>
        <v/>
      </c>
      <c r="AV306" s="59"/>
      <c r="AW306" s="58">
        <f t="shared" si="153"/>
        <v>3708</v>
      </c>
      <c r="AX306" s="59"/>
      <c r="AY306" s="58" t="str">
        <f t="shared" si="154"/>
        <v/>
      </c>
      <c r="AZ306" s="59"/>
      <c r="BA306" s="58" t="str">
        <f t="shared" si="155"/>
        <v/>
      </c>
      <c r="BB306" s="59"/>
      <c r="BC306" s="58" t="str">
        <f t="shared" si="156"/>
        <v/>
      </c>
      <c r="BD306" s="59"/>
      <c r="BE306" s="58" t="str">
        <f t="shared" si="157"/>
        <v/>
      </c>
      <c r="BF306" s="59"/>
      <c r="BG306" s="58" t="str">
        <f t="shared" si="158"/>
        <v/>
      </c>
      <c r="BH306" s="59"/>
      <c r="BI306" s="58" t="str">
        <f t="shared" si="159"/>
        <v/>
      </c>
      <c r="BJ306" s="59"/>
      <c r="BK306" s="58" t="str">
        <f t="shared" si="160"/>
        <v/>
      </c>
      <c r="BL306" s="59"/>
      <c r="BM306" s="58" t="str">
        <f t="shared" si="161"/>
        <v/>
      </c>
      <c r="BN306" s="59"/>
      <c r="BO306" s="58" t="str">
        <f t="shared" si="162"/>
        <v/>
      </c>
      <c r="BP306" s="59"/>
      <c r="BQ306" s="58" t="str">
        <f t="shared" si="163"/>
        <v/>
      </c>
      <c r="BR306" s="59"/>
      <c r="BS306" s="58" t="str">
        <f t="shared" si="164"/>
        <v/>
      </c>
      <c r="BT306" s="59"/>
      <c r="BU306" s="58" t="str">
        <f t="shared" si="165"/>
        <v/>
      </c>
      <c r="BV306" s="59"/>
    </row>
    <row r="307" spans="1:74" ht="14.5">
      <c r="A307" s="51" t="s">
        <v>58</v>
      </c>
      <c r="B307" s="52">
        <v>364</v>
      </c>
      <c r="C307" s="52" t="s">
        <v>188</v>
      </c>
      <c r="D307" s="41">
        <f t="shared" si="135"/>
        <v>4</v>
      </c>
      <c r="E307" s="52" t="s">
        <v>157</v>
      </c>
      <c r="F307" s="52" t="s">
        <v>243</v>
      </c>
      <c r="G307" s="52" t="s">
        <v>155</v>
      </c>
      <c r="H307" s="52" t="s">
        <v>428</v>
      </c>
      <c r="I307" s="53">
        <v>45681</v>
      </c>
      <c r="J307" s="108">
        <v>420</v>
      </c>
      <c r="K307" s="101"/>
      <c r="L307" s="101"/>
      <c r="M307" s="101">
        <f t="shared" si="136"/>
        <v>420</v>
      </c>
      <c r="N307" s="54">
        <f t="shared" si="137"/>
        <v>420</v>
      </c>
      <c r="O307" s="101" t="s">
        <v>429</v>
      </c>
      <c r="P307" s="102">
        <f t="shared" si="138"/>
        <v>7.0000000000000007E-2</v>
      </c>
      <c r="Q307" s="102">
        <v>6</v>
      </c>
      <c r="R307" s="99">
        <v>1000</v>
      </c>
      <c r="S307" s="55">
        <f t="shared" si="167"/>
        <v>45653</v>
      </c>
      <c r="T307" s="55"/>
      <c r="U307" s="56">
        <f t="shared" ca="1" si="168"/>
        <v>-187</v>
      </c>
      <c r="V307" s="55">
        <f t="shared" si="169"/>
        <v>45669</v>
      </c>
      <c r="W307" s="55"/>
      <c r="X307" s="56">
        <f t="shared" ca="1" si="170"/>
        <v>-171</v>
      </c>
      <c r="Y307" s="55"/>
      <c r="Z307" s="57"/>
      <c r="AA307" s="58" t="str">
        <f t="shared" si="142"/>
        <v>-</v>
      </c>
      <c r="AB307" s="59"/>
      <c r="AC307" s="58" t="str">
        <f t="shared" si="143"/>
        <v/>
      </c>
      <c r="AD307" s="59"/>
      <c r="AE307" s="58" t="str">
        <f t="shared" si="144"/>
        <v/>
      </c>
      <c r="AF307" s="59"/>
      <c r="AG307" s="58" t="str">
        <f t="shared" si="145"/>
        <v/>
      </c>
      <c r="AH307" s="59"/>
      <c r="AI307" s="58" t="str">
        <f t="shared" si="146"/>
        <v/>
      </c>
      <c r="AJ307" s="59"/>
      <c r="AK307" s="58" t="str">
        <f t="shared" si="147"/>
        <v/>
      </c>
      <c r="AL307" s="59"/>
      <c r="AM307" s="58" t="str">
        <f t="shared" si="148"/>
        <v/>
      </c>
      <c r="AN307" s="59"/>
      <c r="AO307" s="58" t="str">
        <f t="shared" si="149"/>
        <v/>
      </c>
      <c r="AP307" s="59"/>
      <c r="AQ307" s="58" t="str">
        <f t="shared" si="150"/>
        <v/>
      </c>
      <c r="AR307" s="59"/>
      <c r="AS307" s="58" t="str">
        <f t="shared" si="151"/>
        <v/>
      </c>
      <c r="AT307" s="59"/>
      <c r="AU307" s="58" t="str">
        <f t="shared" si="152"/>
        <v/>
      </c>
      <c r="AV307" s="59"/>
      <c r="AW307" s="58">
        <f t="shared" si="153"/>
        <v>420</v>
      </c>
      <c r="AX307" s="59"/>
      <c r="AY307" s="58" t="str">
        <f t="shared" si="154"/>
        <v/>
      </c>
      <c r="AZ307" s="59"/>
      <c r="BA307" s="58" t="str">
        <f t="shared" si="155"/>
        <v/>
      </c>
      <c r="BB307" s="59"/>
      <c r="BC307" s="58" t="str">
        <f t="shared" si="156"/>
        <v/>
      </c>
      <c r="BD307" s="59"/>
      <c r="BE307" s="58" t="str">
        <f t="shared" si="157"/>
        <v/>
      </c>
      <c r="BF307" s="59"/>
      <c r="BG307" s="58" t="str">
        <f t="shared" si="158"/>
        <v/>
      </c>
      <c r="BH307" s="59"/>
      <c r="BI307" s="58" t="str">
        <f t="shared" si="159"/>
        <v/>
      </c>
      <c r="BJ307" s="59"/>
      <c r="BK307" s="58" t="str">
        <f t="shared" si="160"/>
        <v/>
      </c>
      <c r="BL307" s="59"/>
      <c r="BM307" s="58" t="str">
        <f t="shared" si="161"/>
        <v/>
      </c>
      <c r="BN307" s="59"/>
      <c r="BO307" s="58" t="str">
        <f t="shared" si="162"/>
        <v/>
      </c>
      <c r="BP307" s="59"/>
      <c r="BQ307" s="58" t="str">
        <f t="shared" si="163"/>
        <v/>
      </c>
      <c r="BR307" s="59"/>
      <c r="BS307" s="58" t="str">
        <f t="shared" si="164"/>
        <v/>
      </c>
      <c r="BT307" s="59"/>
      <c r="BU307" s="58" t="str">
        <f t="shared" si="165"/>
        <v/>
      </c>
      <c r="BV307" s="59"/>
    </row>
    <row r="308" spans="1:74" ht="14.5">
      <c r="A308" s="51" t="s">
        <v>58</v>
      </c>
      <c r="B308" s="52">
        <v>364</v>
      </c>
      <c r="C308" s="52" t="s">
        <v>188</v>
      </c>
      <c r="D308" s="41">
        <f t="shared" si="135"/>
        <v>4</v>
      </c>
      <c r="E308" s="52" t="s">
        <v>390</v>
      </c>
      <c r="F308" s="52" t="s">
        <v>242</v>
      </c>
      <c r="G308" s="52" t="s">
        <v>162</v>
      </c>
      <c r="H308" s="52" t="s">
        <v>497</v>
      </c>
      <c r="I308" s="53">
        <v>45681</v>
      </c>
      <c r="J308" s="108">
        <v>1488</v>
      </c>
      <c r="K308" s="101"/>
      <c r="L308" s="101"/>
      <c r="M308" s="101">
        <f t="shared" si="136"/>
        <v>1488</v>
      </c>
      <c r="N308" s="54">
        <f t="shared" si="137"/>
        <v>1488</v>
      </c>
      <c r="O308" s="101" t="s">
        <v>431</v>
      </c>
      <c r="P308" s="102">
        <f t="shared" si="138"/>
        <v>2.0666666666666669</v>
      </c>
      <c r="Q308" s="102">
        <v>6</v>
      </c>
      <c r="R308" s="99">
        <v>120</v>
      </c>
      <c r="S308" s="55">
        <f t="shared" si="167"/>
        <v>45653</v>
      </c>
      <c r="T308" s="55"/>
      <c r="U308" s="56">
        <f t="shared" ca="1" si="168"/>
        <v>-187</v>
      </c>
      <c r="V308" s="55">
        <f t="shared" si="169"/>
        <v>45669</v>
      </c>
      <c r="W308" s="55"/>
      <c r="X308" s="56">
        <f t="shared" ca="1" si="170"/>
        <v>-171</v>
      </c>
      <c r="Y308" s="55"/>
      <c r="Z308" s="57"/>
      <c r="AA308" s="58" t="str">
        <f t="shared" si="142"/>
        <v>-</v>
      </c>
      <c r="AB308" s="59"/>
      <c r="AC308" s="58" t="str">
        <f t="shared" si="143"/>
        <v/>
      </c>
      <c r="AD308" s="59"/>
      <c r="AE308" s="58" t="str">
        <f t="shared" si="144"/>
        <v/>
      </c>
      <c r="AF308" s="59"/>
      <c r="AG308" s="58" t="str">
        <f t="shared" si="145"/>
        <v/>
      </c>
      <c r="AH308" s="59"/>
      <c r="AI308" s="58" t="str">
        <f t="shared" si="146"/>
        <v/>
      </c>
      <c r="AJ308" s="59"/>
      <c r="AK308" s="58" t="str">
        <f t="shared" si="147"/>
        <v/>
      </c>
      <c r="AL308" s="59"/>
      <c r="AM308" s="58" t="str">
        <f t="shared" si="148"/>
        <v/>
      </c>
      <c r="AN308" s="59"/>
      <c r="AO308" s="58" t="str">
        <f t="shared" si="149"/>
        <v/>
      </c>
      <c r="AP308" s="59"/>
      <c r="AQ308" s="58" t="str">
        <f t="shared" si="150"/>
        <v/>
      </c>
      <c r="AR308" s="59"/>
      <c r="AS308" s="58" t="str">
        <f t="shared" si="151"/>
        <v/>
      </c>
      <c r="AT308" s="59"/>
      <c r="AU308" s="58" t="str">
        <f t="shared" si="152"/>
        <v/>
      </c>
      <c r="AV308" s="59"/>
      <c r="AW308" s="58">
        <f t="shared" si="153"/>
        <v>1488</v>
      </c>
      <c r="AX308" s="59"/>
      <c r="AY308" s="58" t="str">
        <f t="shared" si="154"/>
        <v/>
      </c>
      <c r="AZ308" s="59"/>
      <c r="BA308" s="58" t="str">
        <f t="shared" si="155"/>
        <v/>
      </c>
      <c r="BB308" s="59"/>
      <c r="BC308" s="58" t="str">
        <f t="shared" si="156"/>
        <v/>
      </c>
      <c r="BD308" s="59"/>
      <c r="BE308" s="58" t="str">
        <f t="shared" si="157"/>
        <v/>
      </c>
      <c r="BF308" s="59"/>
      <c r="BG308" s="58" t="str">
        <f t="shared" si="158"/>
        <v/>
      </c>
      <c r="BH308" s="59"/>
      <c r="BI308" s="58" t="str">
        <f t="shared" si="159"/>
        <v/>
      </c>
      <c r="BJ308" s="59"/>
      <c r="BK308" s="58" t="str">
        <f t="shared" si="160"/>
        <v/>
      </c>
      <c r="BL308" s="59"/>
      <c r="BM308" s="58" t="str">
        <f t="shared" si="161"/>
        <v/>
      </c>
      <c r="BN308" s="59"/>
      <c r="BO308" s="58" t="str">
        <f t="shared" si="162"/>
        <v/>
      </c>
      <c r="BP308" s="59"/>
      <c r="BQ308" s="58" t="str">
        <f t="shared" si="163"/>
        <v/>
      </c>
      <c r="BR308" s="59"/>
      <c r="BS308" s="58" t="str">
        <f t="shared" si="164"/>
        <v/>
      </c>
      <c r="BT308" s="59"/>
      <c r="BU308" s="58" t="str">
        <f t="shared" si="165"/>
        <v/>
      </c>
      <c r="BV308" s="59"/>
    </row>
    <row r="309" spans="1:74" ht="14.5">
      <c r="A309" s="51" t="s">
        <v>58</v>
      </c>
      <c r="B309" s="52">
        <v>364</v>
      </c>
      <c r="C309" s="52" t="s">
        <v>188</v>
      </c>
      <c r="D309" s="41">
        <f t="shared" si="135"/>
        <v>4</v>
      </c>
      <c r="E309" s="52" t="s">
        <v>189</v>
      </c>
      <c r="F309" s="52" t="s">
        <v>242</v>
      </c>
      <c r="G309" s="52" t="s">
        <v>162</v>
      </c>
      <c r="H309" s="52" t="s">
        <v>497</v>
      </c>
      <c r="I309" s="53">
        <v>45681</v>
      </c>
      <c r="J309" s="108">
        <v>336</v>
      </c>
      <c r="K309" s="101"/>
      <c r="L309" s="101"/>
      <c r="M309" s="101">
        <f t="shared" si="136"/>
        <v>336</v>
      </c>
      <c r="N309" s="54">
        <f t="shared" si="137"/>
        <v>336</v>
      </c>
      <c r="O309" s="101" t="s">
        <v>178</v>
      </c>
      <c r="P309" s="102">
        <f t="shared" si="138"/>
        <v>0.46666666666666667</v>
      </c>
      <c r="Q309" s="102">
        <v>6</v>
      </c>
      <c r="R309" s="99">
        <v>120</v>
      </c>
      <c r="S309" s="55">
        <f t="shared" si="167"/>
        <v>45653</v>
      </c>
      <c r="T309" s="55"/>
      <c r="U309" s="56">
        <f t="shared" ca="1" si="168"/>
        <v>-187</v>
      </c>
      <c r="V309" s="55">
        <f t="shared" si="169"/>
        <v>45669</v>
      </c>
      <c r="W309" s="55"/>
      <c r="X309" s="56">
        <f t="shared" ca="1" si="170"/>
        <v>-171</v>
      </c>
      <c r="Y309" s="55"/>
      <c r="Z309" s="57"/>
      <c r="AA309" s="58" t="str">
        <f t="shared" si="142"/>
        <v>-</v>
      </c>
      <c r="AB309" s="59"/>
      <c r="AC309" s="58" t="str">
        <f t="shared" si="143"/>
        <v/>
      </c>
      <c r="AD309" s="59"/>
      <c r="AE309" s="58" t="str">
        <f t="shared" si="144"/>
        <v/>
      </c>
      <c r="AF309" s="59"/>
      <c r="AG309" s="58" t="str">
        <f t="shared" si="145"/>
        <v/>
      </c>
      <c r="AH309" s="59"/>
      <c r="AI309" s="58" t="str">
        <f t="shared" si="146"/>
        <v/>
      </c>
      <c r="AJ309" s="59"/>
      <c r="AK309" s="58" t="str">
        <f t="shared" si="147"/>
        <v/>
      </c>
      <c r="AL309" s="59"/>
      <c r="AM309" s="58" t="str">
        <f t="shared" si="148"/>
        <v/>
      </c>
      <c r="AN309" s="59"/>
      <c r="AO309" s="58" t="str">
        <f t="shared" si="149"/>
        <v/>
      </c>
      <c r="AP309" s="59"/>
      <c r="AQ309" s="58" t="str">
        <f t="shared" si="150"/>
        <v/>
      </c>
      <c r="AR309" s="59"/>
      <c r="AS309" s="58" t="str">
        <f t="shared" si="151"/>
        <v/>
      </c>
      <c r="AT309" s="59"/>
      <c r="AU309" s="58" t="str">
        <f t="shared" si="152"/>
        <v/>
      </c>
      <c r="AV309" s="59"/>
      <c r="AW309" s="58">
        <f t="shared" si="153"/>
        <v>336</v>
      </c>
      <c r="AX309" s="59"/>
      <c r="AY309" s="58" t="str">
        <f t="shared" si="154"/>
        <v/>
      </c>
      <c r="AZ309" s="59"/>
      <c r="BA309" s="58" t="str">
        <f t="shared" si="155"/>
        <v/>
      </c>
      <c r="BB309" s="59"/>
      <c r="BC309" s="58" t="str">
        <f t="shared" si="156"/>
        <v/>
      </c>
      <c r="BD309" s="59"/>
      <c r="BE309" s="58" t="str">
        <f t="shared" si="157"/>
        <v/>
      </c>
      <c r="BF309" s="59"/>
      <c r="BG309" s="58" t="str">
        <f t="shared" si="158"/>
        <v/>
      </c>
      <c r="BH309" s="59"/>
      <c r="BI309" s="58" t="str">
        <f t="shared" si="159"/>
        <v/>
      </c>
      <c r="BJ309" s="59"/>
      <c r="BK309" s="58" t="str">
        <f t="shared" si="160"/>
        <v/>
      </c>
      <c r="BL309" s="59"/>
      <c r="BM309" s="58" t="str">
        <f t="shared" si="161"/>
        <v/>
      </c>
      <c r="BN309" s="59"/>
      <c r="BO309" s="58" t="str">
        <f t="shared" si="162"/>
        <v/>
      </c>
      <c r="BP309" s="59"/>
      <c r="BQ309" s="58" t="str">
        <f t="shared" si="163"/>
        <v/>
      </c>
      <c r="BR309" s="59"/>
      <c r="BS309" s="58" t="str">
        <f t="shared" si="164"/>
        <v/>
      </c>
      <c r="BT309" s="59"/>
      <c r="BU309" s="58" t="str">
        <f t="shared" si="165"/>
        <v/>
      </c>
      <c r="BV309" s="59"/>
    </row>
    <row r="310" spans="1:74" ht="14.5">
      <c r="A310" s="51" t="s">
        <v>58</v>
      </c>
      <c r="B310" s="52">
        <v>364</v>
      </c>
      <c r="C310" s="52" t="s">
        <v>188</v>
      </c>
      <c r="D310" s="41">
        <f t="shared" si="135"/>
        <v>4</v>
      </c>
      <c r="E310" s="52" t="s">
        <v>391</v>
      </c>
      <c r="F310" s="52" t="s">
        <v>392</v>
      </c>
      <c r="G310" s="52" t="s">
        <v>162</v>
      </c>
      <c r="H310" s="52" t="s">
        <v>537</v>
      </c>
      <c r="I310" s="53">
        <v>45681</v>
      </c>
      <c r="J310" s="108">
        <v>1488</v>
      </c>
      <c r="K310" s="101"/>
      <c r="L310" s="101"/>
      <c r="M310" s="101">
        <f t="shared" si="136"/>
        <v>1488</v>
      </c>
      <c r="N310" s="54">
        <f t="shared" si="137"/>
        <v>1488</v>
      </c>
      <c r="O310" s="101" t="s">
        <v>178</v>
      </c>
      <c r="P310" s="102">
        <f t="shared" si="138"/>
        <v>3.1</v>
      </c>
      <c r="Q310" s="102">
        <v>6</v>
      </c>
      <c r="R310" s="99">
        <v>80</v>
      </c>
      <c r="S310" s="55">
        <f t="shared" si="167"/>
        <v>45653</v>
      </c>
      <c r="T310" s="55"/>
      <c r="U310" s="56">
        <f t="shared" ca="1" si="168"/>
        <v>-187</v>
      </c>
      <c r="V310" s="55">
        <f t="shared" si="169"/>
        <v>45669</v>
      </c>
      <c r="W310" s="55"/>
      <c r="X310" s="56">
        <f t="shared" ca="1" si="170"/>
        <v>-171</v>
      </c>
      <c r="Y310" s="55"/>
      <c r="Z310" s="57"/>
      <c r="AA310" s="58" t="str">
        <f t="shared" si="142"/>
        <v>-</v>
      </c>
      <c r="AB310" s="59"/>
      <c r="AC310" s="58" t="str">
        <f t="shared" si="143"/>
        <v/>
      </c>
      <c r="AD310" s="59"/>
      <c r="AE310" s="58" t="str">
        <f t="shared" si="144"/>
        <v/>
      </c>
      <c r="AF310" s="59"/>
      <c r="AG310" s="58" t="str">
        <f t="shared" si="145"/>
        <v/>
      </c>
      <c r="AH310" s="59"/>
      <c r="AI310" s="58" t="str">
        <f t="shared" si="146"/>
        <v/>
      </c>
      <c r="AJ310" s="59"/>
      <c r="AK310" s="58" t="str">
        <f t="shared" si="147"/>
        <v/>
      </c>
      <c r="AL310" s="59"/>
      <c r="AM310" s="58" t="str">
        <f t="shared" si="148"/>
        <v/>
      </c>
      <c r="AN310" s="59"/>
      <c r="AO310" s="58" t="str">
        <f t="shared" si="149"/>
        <v/>
      </c>
      <c r="AP310" s="59"/>
      <c r="AQ310" s="58" t="str">
        <f t="shared" si="150"/>
        <v/>
      </c>
      <c r="AR310" s="59"/>
      <c r="AS310" s="58" t="str">
        <f t="shared" si="151"/>
        <v/>
      </c>
      <c r="AT310" s="59"/>
      <c r="AU310" s="58" t="str">
        <f t="shared" si="152"/>
        <v/>
      </c>
      <c r="AV310" s="59"/>
      <c r="AW310" s="58">
        <f t="shared" si="153"/>
        <v>1488</v>
      </c>
      <c r="AX310" s="59"/>
      <c r="AY310" s="58" t="str">
        <f t="shared" si="154"/>
        <v/>
      </c>
      <c r="AZ310" s="59"/>
      <c r="BA310" s="58" t="str">
        <f t="shared" si="155"/>
        <v/>
      </c>
      <c r="BB310" s="59"/>
      <c r="BC310" s="58" t="str">
        <f t="shared" si="156"/>
        <v/>
      </c>
      <c r="BD310" s="59"/>
      <c r="BE310" s="58" t="str">
        <f t="shared" si="157"/>
        <v/>
      </c>
      <c r="BF310" s="59"/>
      <c r="BG310" s="58" t="str">
        <f t="shared" si="158"/>
        <v/>
      </c>
      <c r="BH310" s="59"/>
      <c r="BI310" s="58" t="str">
        <f t="shared" si="159"/>
        <v/>
      </c>
      <c r="BJ310" s="59"/>
      <c r="BK310" s="58" t="str">
        <f t="shared" si="160"/>
        <v/>
      </c>
      <c r="BL310" s="59"/>
      <c r="BM310" s="58" t="str">
        <f t="shared" si="161"/>
        <v/>
      </c>
      <c r="BN310" s="59"/>
      <c r="BO310" s="58" t="str">
        <f t="shared" si="162"/>
        <v/>
      </c>
      <c r="BP310" s="59"/>
      <c r="BQ310" s="58" t="str">
        <f t="shared" si="163"/>
        <v/>
      </c>
      <c r="BR310" s="59"/>
      <c r="BS310" s="58" t="str">
        <f t="shared" si="164"/>
        <v/>
      </c>
      <c r="BT310" s="59"/>
      <c r="BU310" s="58" t="str">
        <f t="shared" si="165"/>
        <v/>
      </c>
      <c r="BV310" s="59"/>
    </row>
    <row r="311" spans="1:74" ht="14.5">
      <c r="A311" s="51" t="s">
        <v>58</v>
      </c>
      <c r="B311" s="52">
        <v>365</v>
      </c>
      <c r="C311" s="52" t="s">
        <v>188</v>
      </c>
      <c r="D311" s="41">
        <f t="shared" si="135"/>
        <v>4</v>
      </c>
      <c r="E311" s="52" t="s">
        <v>502</v>
      </c>
      <c r="F311" s="52" t="s">
        <v>289</v>
      </c>
      <c r="G311" s="52" t="s">
        <v>155</v>
      </c>
      <c r="H311" s="52" t="s">
        <v>503</v>
      </c>
      <c r="I311" s="53">
        <v>45681</v>
      </c>
      <c r="J311" s="108">
        <v>2088</v>
      </c>
      <c r="K311" s="101"/>
      <c r="L311" s="101"/>
      <c r="M311" s="101">
        <f t="shared" si="136"/>
        <v>2088</v>
      </c>
      <c r="N311" s="54">
        <f t="shared" si="137"/>
        <v>2088</v>
      </c>
      <c r="O311" s="101" t="s">
        <v>504</v>
      </c>
      <c r="P311" s="102">
        <f t="shared" si="138"/>
        <v>10.875</v>
      </c>
      <c r="Q311" s="102">
        <v>6</v>
      </c>
      <c r="R311" s="99">
        <f>480/15</f>
        <v>32</v>
      </c>
      <c r="S311" s="55">
        <f t="shared" si="167"/>
        <v>45653</v>
      </c>
      <c r="T311" s="55"/>
      <c r="U311" s="56">
        <f t="shared" ca="1" si="168"/>
        <v>-187</v>
      </c>
      <c r="V311" s="55">
        <f t="shared" si="169"/>
        <v>45669</v>
      </c>
      <c r="W311" s="55"/>
      <c r="X311" s="56">
        <f t="shared" ca="1" si="170"/>
        <v>-171</v>
      </c>
      <c r="Y311" s="55"/>
      <c r="Z311" s="57"/>
      <c r="AA311" s="58" t="str">
        <f t="shared" si="142"/>
        <v>-</v>
      </c>
      <c r="AB311" s="59"/>
      <c r="AC311" s="58" t="str">
        <f t="shared" si="143"/>
        <v/>
      </c>
      <c r="AD311" s="59"/>
      <c r="AE311" s="58" t="str">
        <f t="shared" si="144"/>
        <v/>
      </c>
      <c r="AF311" s="59"/>
      <c r="AG311" s="58" t="str">
        <f t="shared" si="145"/>
        <v/>
      </c>
      <c r="AH311" s="59"/>
      <c r="AI311" s="58" t="str">
        <f t="shared" si="146"/>
        <v/>
      </c>
      <c r="AJ311" s="59"/>
      <c r="AK311" s="58" t="str">
        <f t="shared" si="147"/>
        <v/>
      </c>
      <c r="AL311" s="59"/>
      <c r="AM311" s="58" t="str">
        <f t="shared" si="148"/>
        <v/>
      </c>
      <c r="AN311" s="59"/>
      <c r="AO311" s="58" t="str">
        <f t="shared" si="149"/>
        <v/>
      </c>
      <c r="AP311" s="59"/>
      <c r="AQ311" s="58" t="str">
        <f t="shared" si="150"/>
        <v/>
      </c>
      <c r="AR311" s="59"/>
      <c r="AS311" s="58" t="str">
        <f t="shared" si="151"/>
        <v/>
      </c>
      <c r="AT311" s="59"/>
      <c r="AU311" s="58" t="str">
        <f t="shared" si="152"/>
        <v/>
      </c>
      <c r="AV311" s="59"/>
      <c r="AW311" s="58">
        <f t="shared" si="153"/>
        <v>2088</v>
      </c>
      <c r="AX311" s="59"/>
      <c r="AY311" s="58" t="str">
        <f t="shared" si="154"/>
        <v/>
      </c>
      <c r="AZ311" s="59"/>
      <c r="BA311" s="58" t="str">
        <f t="shared" si="155"/>
        <v/>
      </c>
      <c r="BB311" s="59"/>
      <c r="BC311" s="58" t="str">
        <f t="shared" si="156"/>
        <v/>
      </c>
      <c r="BD311" s="59"/>
      <c r="BE311" s="58" t="str">
        <f t="shared" si="157"/>
        <v/>
      </c>
      <c r="BF311" s="59"/>
      <c r="BG311" s="58" t="str">
        <f t="shared" si="158"/>
        <v/>
      </c>
      <c r="BH311" s="59"/>
      <c r="BI311" s="58" t="str">
        <f t="shared" si="159"/>
        <v/>
      </c>
      <c r="BJ311" s="59"/>
      <c r="BK311" s="58" t="str">
        <f t="shared" si="160"/>
        <v/>
      </c>
      <c r="BL311" s="59"/>
      <c r="BM311" s="58" t="str">
        <f t="shared" si="161"/>
        <v/>
      </c>
      <c r="BN311" s="59"/>
      <c r="BO311" s="58" t="str">
        <f t="shared" si="162"/>
        <v/>
      </c>
      <c r="BP311" s="59"/>
      <c r="BQ311" s="58" t="str">
        <f t="shared" si="163"/>
        <v/>
      </c>
      <c r="BR311" s="59"/>
      <c r="BS311" s="58" t="str">
        <f t="shared" si="164"/>
        <v/>
      </c>
      <c r="BT311" s="59"/>
      <c r="BU311" s="58" t="str">
        <f t="shared" si="165"/>
        <v/>
      </c>
      <c r="BV311" s="59"/>
    </row>
    <row r="312" spans="1:74" ht="14.5">
      <c r="A312" s="51" t="s">
        <v>58</v>
      </c>
      <c r="B312" s="52">
        <v>365</v>
      </c>
      <c r="C312" s="52" t="s">
        <v>188</v>
      </c>
      <c r="D312" s="41">
        <f t="shared" si="135"/>
        <v>4</v>
      </c>
      <c r="E312" s="52" t="s">
        <v>502</v>
      </c>
      <c r="F312" s="52" t="s">
        <v>289</v>
      </c>
      <c r="G312" s="52" t="s">
        <v>154</v>
      </c>
      <c r="H312" s="52" t="s">
        <v>503</v>
      </c>
      <c r="I312" s="53">
        <v>45681</v>
      </c>
      <c r="J312" s="108">
        <v>1740</v>
      </c>
      <c r="K312" s="101"/>
      <c r="L312" s="101"/>
      <c r="M312" s="101">
        <f t="shared" si="136"/>
        <v>1740</v>
      </c>
      <c r="N312" s="54">
        <f t="shared" si="137"/>
        <v>1740</v>
      </c>
      <c r="O312" s="101" t="s">
        <v>505</v>
      </c>
      <c r="P312" s="102">
        <f t="shared" si="138"/>
        <v>9.0625</v>
      </c>
      <c r="Q312" s="102">
        <v>6</v>
      </c>
      <c r="R312" s="99">
        <f>480/15</f>
        <v>32</v>
      </c>
      <c r="S312" s="55">
        <f t="shared" si="167"/>
        <v>45653</v>
      </c>
      <c r="T312" s="55"/>
      <c r="U312" s="56">
        <f t="shared" ca="1" si="168"/>
        <v>-187</v>
      </c>
      <c r="V312" s="55">
        <f t="shared" si="169"/>
        <v>45669</v>
      </c>
      <c r="W312" s="55"/>
      <c r="X312" s="56">
        <f t="shared" ca="1" si="170"/>
        <v>-171</v>
      </c>
      <c r="Y312" s="55"/>
      <c r="Z312" s="57"/>
      <c r="AA312" s="58" t="str">
        <f t="shared" si="142"/>
        <v>-</v>
      </c>
      <c r="AB312" s="59"/>
      <c r="AC312" s="58" t="str">
        <f t="shared" si="143"/>
        <v/>
      </c>
      <c r="AD312" s="59"/>
      <c r="AE312" s="58" t="str">
        <f t="shared" si="144"/>
        <v/>
      </c>
      <c r="AF312" s="59"/>
      <c r="AG312" s="58" t="str">
        <f t="shared" si="145"/>
        <v/>
      </c>
      <c r="AH312" s="59"/>
      <c r="AI312" s="58" t="str">
        <f t="shared" si="146"/>
        <v/>
      </c>
      <c r="AJ312" s="59"/>
      <c r="AK312" s="58" t="str">
        <f t="shared" si="147"/>
        <v/>
      </c>
      <c r="AL312" s="59"/>
      <c r="AM312" s="58" t="str">
        <f t="shared" si="148"/>
        <v/>
      </c>
      <c r="AN312" s="59"/>
      <c r="AO312" s="58" t="str">
        <f t="shared" si="149"/>
        <v/>
      </c>
      <c r="AP312" s="59"/>
      <c r="AQ312" s="58" t="str">
        <f t="shared" si="150"/>
        <v/>
      </c>
      <c r="AR312" s="59"/>
      <c r="AS312" s="58" t="str">
        <f t="shared" si="151"/>
        <v/>
      </c>
      <c r="AT312" s="59"/>
      <c r="AU312" s="58" t="str">
        <f t="shared" si="152"/>
        <v/>
      </c>
      <c r="AV312" s="59"/>
      <c r="AW312" s="58">
        <f t="shared" si="153"/>
        <v>1740</v>
      </c>
      <c r="AX312" s="59"/>
      <c r="AY312" s="58" t="str">
        <f t="shared" si="154"/>
        <v/>
      </c>
      <c r="AZ312" s="59"/>
      <c r="BA312" s="58" t="str">
        <f t="shared" si="155"/>
        <v/>
      </c>
      <c r="BB312" s="59"/>
      <c r="BC312" s="58" t="str">
        <f t="shared" si="156"/>
        <v/>
      </c>
      <c r="BD312" s="59"/>
      <c r="BE312" s="58" t="str">
        <f t="shared" si="157"/>
        <v/>
      </c>
      <c r="BF312" s="59"/>
      <c r="BG312" s="58" t="str">
        <f t="shared" si="158"/>
        <v/>
      </c>
      <c r="BH312" s="59"/>
      <c r="BI312" s="58" t="str">
        <f t="shared" si="159"/>
        <v/>
      </c>
      <c r="BJ312" s="59"/>
      <c r="BK312" s="58" t="str">
        <f t="shared" si="160"/>
        <v/>
      </c>
      <c r="BL312" s="59"/>
      <c r="BM312" s="58" t="str">
        <f t="shared" si="161"/>
        <v/>
      </c>
      <c r="BN312" s="59"/>
      <c r="BO312" s="58" t="str">
        <f t="shared" si="162"/>
        <v/>
      </c>
      <c r="BP312" s="59"/>
      <c r="BQ312" s="58" t="str">
        <f t="shared" si="163"/>
        <v/>
      </c>
      <c r="BR312" s="59"/>
      <c r="BS312" s="58" t="str">
        <f t="shared" si="164"/>
        <v/>
      </c>
      <c r="BT312" s="59"/>
      <c r="BU312" s="58" t="str">
        <f t="shared" si="165"/>
        <v/>
      </c>
      <c r="BV312" s="59"/>
    </row>
    <row r="313" spans="1:74" ht="14.5">
      <c r="A313" s="51" t="s">
        <v>58</v>
      </c>
      <c r="B313" s="52">
        <v>365</v>
      </c>
      <c r="C313" s="52" t="s">
        <v>188</v>
      </c>
      <c r="D313" s="41">
        <f t="shared" si="135"/>
        <v>4</v>
      </c>
      <c r="E313" s="52" t="s">
        <v>502</v>
      </c>
      <c r="F313" s="52" t="s">
        <v>289</v>
      </c>
      <c r="G313" s="52" t="s">
        <v>156</v>
      </c>
      <c r="H313" s="52" t="s">
        <v>503</v>
      </c>
      <c r="I313" s="53">
        <v>45681</v>
      </c>
      <c r="J313" s="108">
        <v>1392</v>
      </c>
      <c r="K313" s="101"/>
      <c r="L313" s="101"/>
      <c r="M313" s="101">
        <f t="shared" si="136"/>
        <v>1392</v>
      </c>
      <c r="N313" s="54">
        <f t="shared" si="137"/>
        <v>1392</v>
      </c>
      <c r="O313" s="101" t="s">
        <v>506</v>
      </c>
      <c r="P313" s="102">
        <f t="shared" si="138"/>
        <v>7.25</v>
      </c>
      <c r="Q313" s="102">
        <v>6</v>
      </c>
      <c r="R313" s="99">
        <f>480/15</f>
        <v>32</v>
      </c>
      <c r="S313" s="55">
        <f t="shared" si="167"/>
        <v>45653</v>
      </c>
      <c r="T313" s="55"/>
      <c r="U313" s="56">
        <f t="shared" ca="1" si="168"/>
        <v>-187</v>
      </c>
      <c r="V313" s="55">
        <f t="shared" si="169"/>
        <v>45669</v>
      </c>
      <c r="W313" s="55"/>
      <c r="X313" s="56">
        <f t="shared" ca="1" si="170"/>
        <v>-171</v>
      </c>
      <c r="Y313" s="55"/>
      <c r="Z313" s="57"/>
      <c r="AA313" s="58" t="str">
        <f t="shared" si="142"/>
        <v>-</v>
      </c>
      <c r="AB313" s="59"/>
      <c r="AC313" s="58" t="str">
        <f t="shared" si="143"/>
        <v/>
      </c>
      <c r="AD313" s="59"/>
      <c r="AE313" s="58" t="str">
        <f t="shared" si="144"/>
        <v/>
      </c>
      <c r="AF313" s="59"/>
      <c r="AG313" s="58" t="str">
        <f t="shared" si="145"/>
        <v/>
      </c>
      <c r="AH313" s="59"/>
      <c r="AI313" s="58" t="str">
        <f t="shared" si="146"/>
        <v/>
      </c>
      <c r="AJ313" s="59"/>
      <c r="AK313" s="58" t="str">
        <f t="shared" si="147"/>
        <v/>
      </c>
      <c r="AL313" s="59"/>
      <c r="AM313" s="58" t="str">
        <f t="shared" si="148"/>
        <v/>
      </c>
      <c r="AN313" s="59"/>
      <c r="AO313" s="58" t="str">
        <f t="shared" si="149"/>
        <v/>
      </c>
      <c r="AP313" s="59"/>
      <c r="AQ313" s="58" t="str">
        <f t="shared" si="150"/>
        <v/>
      </c>
      <c r="AR313" s="59"/>
      <c r="AS313" s="58" t="str">
        <f t="shared" si="151"/>
        <v/>
      </c>
      <c r="AT313" s="59"/>
      <c r="AU313" s="58" t="str">
        <f t="shared" si="152"/>
        <v/>
      </c>
      <c r="AV313" s="59"/>
      <c r="AW313" s="58">
        <f t="shared" si="153"/>
        <v>1392</v>
      </c>
      <c r="AX313" s="59"/>
      <c r="AY313" s="58" t="str">
        <f t="shared" si="154"/>
        <v/>
      </c>
      <c r="AZ313" s="59"/>
      <c r="BA313" s="58" t="str">
        <f t="shared" si="155"/>
        <v/>
      </c>
      <c r="BB313" s="59"/>
      <c r="BC313" s="58" t="str">
        <f t="shared" si="156"/>
        <v/>
      </c>
      <c r="BD313" s="59"/>
      <c r="BE313" s="58" t="str">
        <f t="shared" si="157"/>
        <v/>
      </c>
      <c r="BF313" s="59"/>
      <c r="BG313" s="58" t="str">
        <f t="shared" si="158"/>
        <v/>
      </c>
      <c r="BH313" s="59"/>
      <c r="BI313" s="58" t="str">
        <f t="shared" si="159"/>
        <v/>
      </c>
      <c r="BJ313" s="59"/>
      <c r="BK313" s="58" t="str">
        <f t="shared" si="160"/>
        <v/>
      </c>
      <c r="BL313" s="59"/>
      <c r="BM313" s="58" t="str">
        <f t="shared" si="161"/>
        <v/>
      </c>
      <c r="BN313" s="59"/>
      <c r="BO313" s="58" t="str">
        <f t="shared" si="162"/>
        <v/>
      </c>
      <c r="BP313" s="59"/>
      <c r="BQ313" s="58" t="str">
        <f t="shared" si="163"/>
        <v/>
      </c>
      <c r="BR313" s="59"/>
      <c r="BS313" s="58" t="str">
        <f t="shared" si="164"/>
        <v/>
      </c>
      <c r="BT313" s="59"/>
      <c r="BU313" s="58" t="str">
        <f t="shared" si="165"/>
        <v/>
      </c>
      <c r="BV313" s="59"/>
    </row>
    <row r="314" spans="1:74" ht="14.5">
      <c r="A314" s="51" t="s">
        <v>58</v>
      </c>
      <c r="B314" s="52">
        <v>365</v>
      </c>
      <c r="C314" s="52" t="s">
        <v>188</v>
      </c>
      <c r="D314" s="41">
        <f t="shared" si="135"/>
        <v>4</v>
      </c>
      <c r="E314" s="52" t="s">
        <v>157</v>
      </c>
      <c r="F314" s="52" t="s">
        <v>243</v>
      </c>
      <c r="G314" s="52" t="s">
        <v>155</v>
      </c>
      <c r="H314" s="52" t="s">
        <v>428</v>
      </c>
      <c r="I314" s="53">
        <v>45681</v>
      </c>
      <c r="J314" s="108">
        <v>3540</v>
      </c>
      <c r="K314" s="101"/>
      <c r="L314" s="101"/>
      <c r="M314" s="101">
        <f t="shared" si="136"/>
        <v>3540</v>
      </c>
      <c r="N314" s="54">
        <f t="shared" si="137"/>
        <v>3540</v>
      </c>
      <c r="O314" s="101" t="s">
        <v>429</v>
      </c>
      <c r="P314" s="102">
        <f t="shared" si="138"/>
        <v>0.59</v>
      </c>
      <c r="Q314" s="102">
        <v>6</v>
      </c>
      <c r="R314" s="99">
        <v>1000</v>
      </c>
      <c r="S314" s="55">
        <f t="shared" si="167"/>
        <v>45653</v>
      </c>
      <c r="T314" s="55"/>
      <c r="U314" s="56">
        <f t="shared" ca="1" si="168"/>
        <v>-187</v>
      </c>
      <c r="V314" s="55">
        <f t="shared" si="169"/>
        <v>45669</v>
      </c>
      <c r="W314" s="55"/>
      <c r="X314" s="56">
        <f t="shared" ca="1" si="170"/>
        <v>-171</v>
      </c>
      <c r="Y314" s="55"/>
      <c r="Z314" s="57"/>
      <c r="AA314" s="58" t="str">
        <f t="shared" si="142"/>
        <v>-</v>
      </c>
      <c r="AB314" s="59"/>
      <c r="AC314" s="58" t="str">
        <f t="shared" si="143"/>
        <v/>
      </c>
      <c r="AD314" s="59"/>
      <c r="AE314" s="58" t="str">
        <f t="shared" si="144"/>
        <v/>
      </c>
      <c r="AF314" s="59"/>
      <c r="AG314" s="58" t="str">
        <f t="shared" si="145"/>
        <v/>
      </c>
      <c r="AH314" s="59"/>
      <c r="AI314" s="58" t="str">
        <f t="shared" si="146"/>
        <v/>
      </c>
      <c r="AJ314" s="59"/>
      <c r="AK314" s="58" t="str">
        <f t="shared" si="147"/>
        <v/>
      </c>
      <c r="AL314" s="59"/>
      <c r="AM314" s="58" t="str">
        <f t="shared" si="148"/>
        <v/>
      </c>
      <c r="AN314" s="59"/>
      <c r="AO314" s="58" t="str">
        <f t="shared" si="149"/>
        <v/>
      </c>
      <c r="AP314" s="59"/>
      <c r="AQ314" s="58" t="str">
        <f t="shared" si="150"/>
        <v/>
      </c>
      <c r="AR314" s="59"/>
      <c r="AS314" s="58" t="str">
        <f t="shared" si="151"/>
        <v/>
      </c>
      <c r="AT314" s="59"/>
      <c r="AU314" s="58" t="str">
        <f t="shared" si="152"/>
        <v/>
      </c>
      <c r="AV314" s="59"/>
      <c r="AW314" s="58">
        <f t="shared" si="153"/>
        <v>3540</v>
      </c>
      <c r="AX314" s="59"/>
      <c r="AY314" s="58" t="str">
        <f t="shared" si="154"/>
        <v/>
      </c>
      <c r="AZ314" s="59"/>
      <c r="BA314" s="58" t="str">
        <f t="shared" si="155"/>
        <v/>
      </c>
      <c r="BB314" s="59"/>
      <c r="BC314" s="58" t="str">
        <f t="shared" si="156"/>
        <v/>
      </c>
      <c r="BD314" s="59"/>
      <c r="BE314" s="58" t="str">
        <f t="shared" si="157"/>
        <v/>
      </c>
      <c r="BF314" s="59"/>
      <c r="BG314" s="58" t="str">
        <f t="shared" si="158"/>
        <v/>
      </c>
      <c r="BH314" s="59"/>
      <c r="BI314" s="58" t="str">
        <f t="shared" si="159"/>
        <v/>
      </c>
      <c r="BJ314" s="59"/>
      <c r="BK314" s="58" t="str">
        <f t="shared" si="160"/>
        <v/>
      </c>
      <c r="BL314" s="59"/>
      <c r="BM314" s="58" t="str">
        <f t="shared" si="161"/>
        <v/>
      </c>
      <c r="BN314" s="59"/>
      <c r="BO314" s="58" t="str">
        <f t="shared" si="162"/>
        <v/>
      </c>
      <c r="BP314" s="59"/>
      <c r="BQ314" s="58" t="str">
        <f t="shared" si="163"/>
        <v/>
      </c>
      <c r="BR314" s="59"/>
      <c r="BS314" s="58" t="str">
        <f t="shared" si="164"/>
        <v/>
      </c>
      <c r="BT314" s="59"/>
      <c r="BU314" s="58" t="str">
        <f t="shared" si="165"/>
        <v/>
      </c>
      <c r="BV314" s="59"/>
    </row>
    <row r="315" spans="1:74" ht="14.5">
      <c r="A315" s="51" t="s">
        <v>58</v>
      </c>
      <c r="B315" s="52">
        <v>365</v>
      </c>
      <c r="C315" s="52" t="s">
        <v>188</v>
      </c>
      <c r="D315" s="41">
        <f t="shared" si="135"/>
        <v>4</v>
      </c>
      <c r="E315" s="52" t="s">
        <v>158</v>
      </c>
      <c r="F315" s="52" t="s">
        <v>242</v>
      </c>
      <c r="G315" s="52" t="s">
        <v>154</v>
      </c>
      <c r="H315" s="52" t="s">
        <v>432</v>
      </c>
      <c r="I315" s="53">
        <v>45681</v>
      </c>
      <c r="J315" s="108">
        <v>1336</v>
      </c>
      <c r="K315" s="101"/>
      <c r="L315" s="101"/>
      <c r="M315" s="101">
        <f t="shared" si="136"/>
        <v>1336</v>
      </c>
      <c r="N315" s="54">
        <f t="shared" si="137"/>
        <v>1336</v>
      </c>
      <c r="O315" s="101" t="s">
        <v>437</v>
      </c>
      <c r="P315" s="102">
        <f t="shared" si="138"/>
        <v>1.8555555555555556</v>
      </c>
      <c r="Q315" s="102">
        <v>6</v>
      </c>
      <c r="R315" s="99">
        <v>120</v>
      </c>
      <c r="S315" s="55">
        <f t="shared" si="167"/>
        <v>45653</v>
      </c>
      <c r="T315" s="55"/>
      <c r="U315" s="56">
        <f t="shared" ca="1" si="168"/>
        <v>-187</v>
      </c>
      <c r="V315" s="55">
        <f t="shared" si="169"/>
        <v>45669</v>
      </c>
      <c r="W315" s="55"/>
      <c r="X315" s="56">
        <f t="shared" ca="1" si="170"/>
        <v>-171</v>
      </c>
      <c r="Y315" s="55"/>
      <c r="Z315" s="57"/>
      <c r="AA315" s="58" t="str">
        <f t="shared" si="142"/>
        <v>-</v>
      </c>
      <c r="AB315" s="59"/>
      <c r="AC315" s="58" t="str">
        <f t="shared" si="143"/>
        <v/>
      </c>
      <c r="AD315" s="59"/>
      <c r="AE315" s="58" t="str">
        <f t="shared" si="144"/>
        <v/>
      </c>
      <c r="AF315" s="59"/>
      <c r="AG315" s="58" t="str">
        <f t="shared" si="145"/>
        <v/>
      </c>
      <c r="AH315" s="59"/>
      <c r="AI315" s="58" t="str">
        <f t="shared" si="146"/>
        <v/>
      </c>
      <c r="AJ315" s="59"/>
      <c r="AK315" s="58" t="str">
        <f t="shared" si="147"/>
        <v/>
      </c>
      <c r="AL315" s="59"/>
      <c r="AM315" s="58" t="str">
        <f t="shared" si="148"/>
        <v/>
      </c>
      <c r="AN315" s="59"/>
      <c r="AO315" s="58" t="str">
        <f t="shared" si="149"/>
        <v/>
      </c>
      <c r="AP315" s="59"/>
      <c r="AQ315" s="58" t="str">
        <f t="shared" si="150"/>
        <v/>
      </c>
      <c r="AR315" s="59"/>
      <c r="AS315" s="58" t="str">
        <f t="shared" si="151"/>
        <v/>
      </c>
      <c r="AT315" s="59"/>
      <c r="AU315" s="58" t="str">
        <f t="shared" si="152"/>
        <v/>
      </c>
      <c r="AV315" s="59"/>
      <c r="AW315" s="58">
        <f t="shared" si="153"/>
        <v>1336</v>
      </c>
      <c r="AX315" s="59"/>
      <c r="AY315" s="58" t="str">
        <f t="shared" si="154"/>
        <v/>
      </c>
      <c r="AZ315" s="59"/>
      <c r="BA315" s="58" t="str">
        <f t="shared" si="155"/>
        <v/>
      </c>
      <c r="BB315" s="59"/>
      <c r="BC315" s="58" t="str">
        <f t="shared" si="156"/>
        <v/>
      </c>
      <c r="BD315" s="59"/>
      <c r="BE315" s="58" t="str">
        <f t="shared" si="157"/>
        <v/>
      </c>
      <c r="BF315" s="59"/>
      <c r="BG315" s="58" t="str">
        <f t="shared" si="158"/>
        <v/>
      </c>
      <c r="BH315" s="59"/>
      <c r="BI315" s="58" t="str">
        <f t="shared" si="159"/>
        <v/>
      </c>
      <c r="BJ315" s="59"/>
      <c r="BK315" s="58" t="str">
        <f t="shared" si="160"/>
        <v/>
      </c>
      <c r="BL315" s="59"/>
      <c r="BM315" s="58" t="str">
        <f t="shared" si="161"/>
        <v/>
      </c>
      <c r="BN315" s="59"/>
      <c r="BO315" s="58" t="str">
        <f t="shared" si="162"/>
        <v/>
      </c>
      <c r="BP315" s="59"/>
      <c r="BQ315" s="58" t="str">
        <f t="shared" si="163"/>
        <v/>
      </c>
      <c r="BR315" s="59"/>
      <c r="BS315" s="58" t="str">
        <f t="shared" si="164"/>
        <v/>
      </c>
      <c r="BT315" s="59"/>
      <c r="BU315" s="58" t="str">
        <f t="shared" si="165"/>
        <v/>
      </c>
      <c r="BV315" s="59"/>
    </row>
    <row r="316" spans="1:74" ht="14.5">
      <c r="A316" s="51" t="s">
        <v>58</v>
      </c>
      <c r="B316" s="52">
        <v>365</v>
      </c>
      <c r="C316" s="52" t="s">
        <v>188</v>
      </c>
      <c r="D316" s="41">
        <f t="shared" si="135"/>
        <v>4</v>
      </c>
      <c r="E316" s="52" t="s">
        <v>189</v>
      </c>
      <c r="F316" s="52" t="s">
        <v>242</v>
      </c>
      <c r="G316" s="52" t="s">
        <v>162</v>
      </c>
      <c r="H316" s="52" t="s">
        <v>432</v>
      </c>
      <c r="I316" s="53">
        <v>45681</v>
      </c>
      <c r="J316" s="108">
        <v>300</v>
      </c>
      <c r="K316" s="101"/>
      <c r="L316" s="101"/>
      <c r="M316" s="101">
        <f t="shared" si="136"/>
        <v>300</v>
      </c>
      <c r="N316" s="54">
        <f t="shared" si="137"/>
        <v>300</v>
      </c>
      <c r="O316" s="101" t="s">
        <v>178</v>
      </c>
      <c r="P316" s="102">
        <f t="shared" si="138"/>
        <v>0.41666666666666669</v>
      </c>
      <c r="Q316" s="102">
        <v>6</v>
      </c>
      <c r="R316" s="99">
        <v>120</v>
      </c>
      <c r="S316" s="55">
        <f t="shared" si="167"/>
        <v>45653</v>
      </c>
      <c r="T316" s="55"/>
      <c r="U316" s="56">
        <f t="shared" ca="1" si="168"/>
        <v>-187</v>
      </c>
      <c r="V316" s="55">
        <f t="shared" si="169"/>
        <v>45669</v>
      </c>
      <c r="W316" s="55"/>
      <c r="X316" s="56">
        <f t="shared" ca="1" si="170"/>
        <v>-171</v>
      </c>
      <c r="Y316" s="55"/>
      <c r="Z316" s="57"/>
      <c r="AA316" s="58" t="str">
        <f t="shared" si="142"/>
        <v>-</v>
      </c>
      <c r="AB316" s="59"/>
      <c r="AC316" s="58" t="str">
        <f t="shared" si="143"/>
        <v/>
      </c>
      <c r="AD316" s="59"/>
      <c r="AE316" s="58" t="str">
        <f t="shared" si="144"/>
        <v/>
      </c>
      <c r="AF316" s="59"/>
      <c r="AG316" s="58" t="str">
        <f t="shared" si="145"/>
        <v/>
      </c>
      <c r="AH316" s="59"/>
      <c r="AI316" s="58" t="str">
        <f t="shared" si="146"/>
        <v/>
      </c>
      <c r="AJ316" s="59"/>
      <c r="AK316" s="58" t="str">
        <f t="shared" si="147"/>
        <v/>
      </c>
      <c r="AL316" s="59"/>
      <c r="AM316" s="58" t="str">
        <f t="shared" si="148"/>
        <v/>
      </c>
      <c r="AN316" s="59"/>
      <c r="AO316" s="58" t="str">
        <f t="shared" si="149"/>
        <v/>
      </c>
      <c r="AP316" s="59"/>
      <c r="AQ316" s="58" t="str">
        <f t="shared" si="150"/>
        <v/>
      </c>
      <c r="AR316" s="59"/>
      <c r="AS316" s="58" t="str">
        <f t="shared" si="151"/>
        <v/>
      </c>
      <c r="AT316" s="59"/>
      <c r="AU316" s="58" t="str">
        <f t="shared" si="152"/>
        <v/>
      </c>
      <c r="AV316" s="59"/>
      <c r="AW316" s="58">
        <f t="shared" si="153"/>
        <v>300</v>
      </c>
      <c r="AX316" s="59"/>
      <c r="AY316" s="58" t="str">
        <f t="shared" si="154"/>
        <v/>
      </c>
      <c r="AZ316" s="59"/>
      <c r="BA316" s="58" t="str">
        <f t="shared" si="155"/>
        <v/>
      </c>
      <c r="BB316" s="59"/>
      <c r="BC316" s="58" t="str">
        <f t="shared" si="156"/>
        <v/>
      </c>
      <c r="BD316" s="59"/>
      <c r="BE316" s="58" t="str">
        <f t="shared" si="157"/>
        <v/>
      </c>
      <c r="BF316" s="59"/>
      <c r="BG316" s="58" t="str">
        <f t="shared" si="158"/>
        <v/>
      </c>
      <c r="BH316" s="59"/>
      <c r="BI316" s="58" t="str">
        <f t="shared" si="159"/>
        <v/>
      </c>
      <c r="BJ316" s="59"/>
      <c r="BK316" s="58" t="str">
        <f t="shared" si="160"/>
        <v/>
      </c>
      <c r="BL316" s="59"/>
      <c r="BM316" s="58" t="str">
        <f t="shared" si="161"/>
        <v/>
      </c>
      <c r="BN316" s="59"/>
      <c r="BO316" s="58" t="str">
        <f t="shared" si="162"/>
        <v/>
      </c>
      <c r="BP316" s="59"/>
      <c r="BQ316" s="58" t="str">
        <f t="shared" si="163"/>
        <v/>
      </c>
      <c r="BR316" s="59"/>
      <c r="BS316" s="58" t="str">
        <f t="shared" si="164"/>
        <v/>
      </c>
      <c r="BT316" s="59"/>
      <c r="BU316" s="58" t="str">
        <f t="shared" si="165"/>
        <v/>
      </c>
      <c r="BV316" s="59"/>
    </row>
    <row r="317" spans="1:74" ht="14.5">
      <c r="A317" s="51" t="s">
        <v>58</v>
      </c>
      <c r="B317" s="52">
        <v>365</v>
      </c>
      <c r="C317" s="52" t="s">
        <v>188</v>
      </c>
      <c r="D317" s="41">
        <f t="shared" si="135"/>
        <v>4</v>
      </c>
      <c r="E317" s="52" t="s">
        <v>190</v>
      </c>
      <c r="F317" s="52" t="s">
        <v>242</v>
      </c>
      <c r="G317" s="52" t="s">
        <v>543</v>
      </c>
      <c r="H317" s="52" t="s">
        <v>513</v>
      </c>
      <c r="I317" s="53">
        <v>45681</v>
      </c>
      <c r="J317" s="108">
        <v>604</v>
      </c>
      <c r="K317" s="101"/>
      <c r="L317" s="101"/>
      <c r="M317" s="101">
        <f t="shared" si="136"/>
        <v>604</v>
      </c>
      <c r="N317" s="54">
        <f t="shared" si="137"/>
        <v>604</v>
      </c>
      <c r="O317" s="101" t="s">
        <v>431</v>
      </c>
      <c r="P317" s="102">
        <f t="shared" si="138"/>
        <v>0.83888888888888891</v>
      </c>
      <c r="Q317" s="102">
        <v>6</v>
      </c>
      <c r="R317" s="99">
        <v>120</v>
      </c>
      <c r="S317" s="55">
        <f t="shared" si="167"/>
        <v>45653</v>
      </c>
      <c r="T317" s="55"/>
      <c r="U317" s="56">
        <f t="shared" ca="1" si="168"/>
        <v>-187</v>
      </c>
      <c r="V317" s="55">
        <f t="shared" si="169"/>
        <v>45669</v>
      </c>
      <c r="W317" s="55"/>
      <c r="X317" s="56">
        <f t="shared" ca="1" si="170"/>
        <v>-171</v>
      </c>
      <c r="Y317" s="55"/>
      <c r="Z317" s="57"/>
      <c r="AA317" s="58" t="str">
        <f t="shared" si="142"/>
        <v>-</v>
      </c>
      <c r="AB317" s="59"/>
      <c r="AC317" s="58" t="str">
        <f t="shared" si="143"/>
        <v/>
      </c>
      <c r="AD317" s="59"/>
      <c r="AE317" s="58" t="str">
        <f t="shared" si="144"/>
        <v/>
      </c>
      <c r="AF317" s="59"/>
      <c r="AG317" s="58" t="str">
        <f t="shared" si="145"/>
        <v/>
      </c>
      <c r="AH317" s="59"/>
      <c r="AI317" s="58" t="str">
        <f t="shared" si="146"/>
        <v/>
      </c>
      <c r="AJ317" s="59"/>
      <c r="AK317" s="58" t="str">
        <f t="shared" si="147"/>
        <v/>
      </c>
      <c r="AL317" s="59"/>
      <c r="AM317" s="58" t="str">
        <f t="shared" si="148"/>
        <v/>
      </c>
      <c r="AN317" s="59"/>
      <c r="AO317" s="58" t="str">
        <f t="shared" si="149"/>
        <v/>
      </c>
      <c r="AP317" s="59"/>
      <c r="AQ317" s="58" t="str">
        <f t="shared" si="150"/>
        <v/>
      </c>
      <c r="AR317" s="59"/>
      <c r="AS317" s="58" t="str">
        <f t="shared" si="151"/>
        <v/>
      </c>
      <c r="AT317" s="59"/>
      <c r="AU317" s="58" t="str">
        <f t="shared" si="152"/>
        <v/>
      </c>
      <c r="AV317" s="59"/>
      <c r="AW317" s="58">
        <f t="shared" si="153"/>
        <v>604</v>
      </c>
      <c r="AX317" s="59"/>
      <c r="AY317" s="58" t="str">
        <f t="shared" si="154"/>
        <v/>
      </c>
      <c r="AZ317" s="59"/>
      <c r="BA317" s="58" t="str">
        <f t="shared" si="155"/>
        <v/>
      </c>
      <c r="BB317" s="59"/>
      <c r="BC317" s="58" t="str">
        <f t="shared" si="156"/>
        <v/>
      </c>
      <c r="BD317" s="59"/>
      <c r="BE317" s="58" t="str">
        <f t="shared" si="157"/>
        <v/>
      </c>
      <c r="BF317" s="59"/>
      <c r="BG317" s="58" t="str">
        <f t="shared" si="158"/>
        <v/>
      </c>
      <c r="BH317" s="59"/>
      <c r="BI317" s="58" t="str">
        <f t="shared" si="159"/>
        <v/>
      </c>
      <c r="BJ317" s="59"/>
      <c r="BK317" s="58" t="str">
        <f t="shared" si="160"/>
        <v/>
      </c>
      <c r="BL317" s="59"/>
      <c r="BM317" s="58" t="str">
        <f t="shared" si="161"/>
        <v/>
      </c>
      <c r="BN317" s="59"/>
      <c r="BO317" s="58" t="str">
        <f t="shared" si="162"/>
        <v/>
      </c>
      <c r="BP317" s="59"/>
      <c r="BQ317" s="58" t="str">
        <f t="shared" si="163"/>
        <v/>
      </c>
      <c r="BR317" s="59"/>
      <c r="BS317" s="58" t="str">
        <f t="shared" si="164"/>
        <v/>
      </c>
      <c r="BT317" s="59"/>
      <c r="BU317" s="58" t="str">
        <f t="shared" si="165"/>
        <v/>
      </c>
      <c r="BV317" s="59"/>
    </row>
    <row r="318" spans="1:74" ht="14.5">
      <c r="A318" s="51" t="s">
        <v>58</v>
      </c>
      <c r="B318" s="52">
        <v>373</v>
      </c>
      <c r="C318" s="52" t="s">
        <v>188</v>
      </c>
      <c r="D318" s="41">
        <f t="shared" si="135"/>
        <v>4</v>
      </c>
      <c r="E318" s="52" t="s">
        <v>201</v>
      </c>
      <c r="F318" s="52" t="s">
        <v>247</v>
      </c>
      <c r="G318" s="52" t="s">
        <v>155</v>
      </c>
      <c r="H318" s="52" t="s">
        <v>442</v>
      </c>
      <c r="I318" s="53">
        <v>45681</v>
      </c>
      <c r="J318" s="108">
        <v>14256</v>
      </c>
      <c r="K318" s="101"/>
      <c r="L318" s="101"/>
      <c r="M318" s="101">
        <f t="shared" si="136"/>
        <v>14256</v>
      </c>
      <c r="N318" s="54">
        <f t="shared" si="137"/>
        <v>14256</v>
      </c>
      <c r="O318" s="101" t="s">
        <v>443</v>
      </c>
      <c r="P318" s="102">
        <f t="shared" si="138"/>
        <v>8.1462857142857139</v>
      </c>
      <c r="Q318" s="102">
        <v>5</v>
      </c>
      <c r="R318" s="99">
        <v>350</v>
      </c>
      <c r="S318" s="55">
        <f t="shared" si="167"/>
        <v>45653</v>
      </c>
      <c r="T318" s="55"/>
      <c r="U318" s="56">
        <f t="shared" ca="1" si="168"/>
        <v>-187</v>
      </c>
      <c r="V318" s="55">
        <f t="shared" si="169"/>
        <v>45669</v>
      </c>
      <c r="W318" s="55"/>
      <c r="X318" s="56">
        <f t="shared" ca="1" si="170"/>
        <v>-171</v>
      </c>
      <c r="Y318" s="55"/>
      <c r="Z318" s="57"/>
      <c r="AA318" s="58" t="str">
        <f t="shared" si="142"/>
        <v>-</v>
      </c>
      <c r="AB318" s="59"/>
      <c r="AC318" s="58" t="str">
        <f t="shared" si="143"/>
        <v/>
      </c>
      <c r="AD318" s="59"/>
      <c r="AE318" s="58" t="str">
        <f t="shared" si="144"/>
        <v/>
      </c>
      <c r="AF318" s="59"/>
      <c r="AG318" s="58" t="str">
        <f t="shared" si="145"/>
        <v/>
      </c>
      <c r="AH318" s="59"/>
      <c r="AI318" s="58" t="str">
        <f t="shared" si="146"/>
        <v/>
      </c>
      <c r="AJ318" s="59"/>
      <c r="AK318" s="58" t="str">
        <f t="shared" si="147"/>
        <v/>
      </c>
      <c r="AL318" s="59"/>
      <c r="AM318" s="58" t="str">
        <f t="shared" si="148"/>
        <v/>
      </c>
      <c r="AN318" s="59"/>
      <c r="AO318" s="58" t="str">
        <f t="shared" si="149"/>
        <v/>
      </c>
      <c r="AP318" s="59"/>
      <c r="AQ318" s="58" t="str">
        <f t="shared" si="150"/>
        <v/>
      </c>
      <c r="AR318" s="59"/>
      <c r="AS318" s="58" t="str">
        <f t="shared" si="151"/>
        <v/>
      </c>
      <c r="AT318" s="59"/>
      <c r="AU318" s="58" t="str">
        <f t="shared" si="152"/>
        <v/>
      </c>
      <c r="AV318" s="59"/>
      <c r="AW318" s="58">
        <f t="shared" si="153"/>
        <v>14256</v>
      </c>
      <c r="AX318" s="59"/>
      <c r="AY318" s="58" t="str">
        <f t="shared" si="154"/>
        <v/>
      </c>
      <c r="AZ318" s="59"/>
      <c r="BA318" s="58" t="str">
        <f t="shared" si="155"/>
        <v/>
      </c>
      <c r="BB318" s="59"/>
      <c r="BC318" s="58" t="str">
        <f t="shared" si="156"/>
        <v/>
      </c>
      <c r="BD318" s="59"/>
      <c r="BE318" s="58" t="str">
        <f t="shared" si="157"/>
        <v/>
      </c>
      <c r="BF318" s="59"/>
      <c r="BG318" s="58" t="str">
        <f t="shared" si="158"/>
        <v/>
      </c>
      <c r="BH318" s="59"/>
      <c r="BI318" s="58" t="str">
        <f t="shared" si="159"/>
        <v/>
      </c>
      <c r="BJ318" s="59"/>
      <c r="BK318" s="58" t="str">
        <f t="shared" si="160"/>
        <v/>
      </c>
      <c r="BL318" s="59"/>
      <c r="BM318" s="58" t="str">
        <f t="shared" si="161"/>
        <v/>
      </c>
      <c r="BN318" s="59"/>
      <c r="BO318" s="58" t="str">
        <f t="shared" si="162"/>
        <v/>
      </c>
      <c r="BP318" s="59"/>
      <c r="BQ318" s="58" t="str">
        <f t="shared" si="163"/>
        <v/>
      </c>
      <c r="BR318" s="59"/>
      <c r="BS318" s="58" t="str">
        <f t="shared" si="164"/>
        <v/>
      </c>
      <c r="BT318" s="59"/>
      <c r="BU318" s="58" t="str">
        <f t="shared" si="165"/>
        <v/>
      </c>
      <c r="BV318" s="59"/>
    </row>
    <row r="319" spans="1:74" ht="14.5">
      <c r="A319" s="51" t="s">
        <v>58</v>
      </c>
      <c r="B319" s="52">
        <v>373</v>
      </c>
      <c r="C319" s="52" t="s">
        <v>188</v>
      </c>
      <c r="D319" s="41">
        <f t="shared" si="135"/>
        <v>4</v>
      </c>
      <c r="E319" s="52" t="s">
        <v>390</v>
      </c>
      <c r="F319" s="52" t="s">
        <v>242</v>
      </c>
      <c r="G319" s="52" t="s">
        <v>162</v>
      </c>
      <c r="H319" s="52" t="s">
        <v>430</v>
      </c>
      <c r="I319" s="53">
        <v>45681</v>
      </c>
      <c r="J319" s="108">
        <v>1800</v>
      </c>
      <c r="K319" s="101"/>
      <c r="L319" s="101"/>
      <c r="M319" s="101">
        <f t="shared" si="136"/>
        <v>1800</v>
      </c>
      <c r="N319" s="54">
        <f t="shared" si="137"/>
        <v>1800</v>
      </c>
      <c r="O319" s="101" t="s">
        <v>431</v>
      </c>
      <c r="P319" s="102">
        <f t="shared" si="138"/>
        <v>2.5</v>
      </c>
      <c r="Q319" s="102">
        <v>6</v>
      </c>
      <c r="R319" s="99">
        <v>120</v>
      </c>
      <c r="S319" s="55">
        <f t="shared" si="167"/>
        <v>45653</v>
      </c>
      <c r="T319" s="55"/>
      <c r="U319" s="56">
        <f t="shared" ca="1" si="168"/>
        <v>-187</v>
      </c>
      <c r="V319" s="55">
        <f t="shared" si="169"/>
        <v>45669</v>
      </c>
      <c r="W319" s="55"/>
      <c r="X319" s="56">
        <f t="shared" ca="1" si="170"/>
        <v>-171</v>
      </c>
      <c r="Y319" s="55"/>
      <c r="Z319" s="57"/>
      <c r="AA319" s="58" t="str">
        <f t="shared" si="142"/>
        <v>-</v>
      </c>
      <c r="AB319" s="59"/>
      <c r="AC319" s="58" t="str">
        <f t="shared" si="143"/>
        <v/>
      </c>
      <c r="AD319" s="59"/>
      <c r="AE319" s="58" t="str">
        <f t="shared" si="144"/>
        <v/>
      </c>
      <c r="AF319" s="59"/>
      <c r="AG319" s="58" t="str">
        <f t="shared" si="145"/>
        <v/>
      </c>
      <c r="AH319" s="59"/>
      <c r="AI319" s="58" t="str">
        <f t="shared" si="146"/>
        <v/>
      </c>
      <c r="AJ319" s="59"/>
      <c r="AK319" s="58" t="str">
        <f t="shared" si="147"/>
        <v/>
      </c>
      <c r="AL319" s="59"/>
      <c r="AM319" s="58" t="str">
        <f t="shared" si="148"/>
        <v/>
      </c>
      <c r="AN319" s="59"/>
      <c r="AO319" s="58" t="str">
        <f t="shared" si="149"/>
        <v/>
      </c>
      <c r="AP319" s="59"/>
      <c r="AQ319" s="58" t="str">
        <f t="shared" si="150"/>
        <v/>
      </c>
      <c r="AR319" s="59"/>
      <c r="AS319" s="58" t="str">
        <f t="shared" si="151"/>
        <v/>
      </c>
      <c r="AT319" s="59"/>
      <c r="AU319" s="58" t="str">
        <f t="shared" si="152"/>
        <v/>
      </c>
      <c r="AV319" s="59"/>
      <c r="AW319" s="58">
        <f t="shared" si="153"/>
        <v>1800</v>
      </c>
      <c r="AX319" s="59"/>
      <c r="AY319" s="58" t="str">
        <f t="shared" si="154"/>
        <v/>
      </c>
      <c r="AZ319" s="59"/>
      <c r="BA319" s="58" t="str">
        <f t="shared" si="155"/>
        <v/>
      </c>
      <c r="BB319" s="59"/>
      <c r="BC319" s="58" t="str">
        <f t="shared" si="156"/>
        <v/>
      </c>
      <c r="BD319" s="59"/>
      <c r="BE319" s="58" t="str">
        <f t="shared" si="157"/>
        <v/>
      </c>
      <c r="BF319" s="59"/>
      <c r="BG319" s="58" t="str">
        <f t="shared" si="158"/>
        <v/>
      </c>
      <c r="BH319" s="59"/>
      <c r="BI319" s="58" t="str">
        <f t="shared" si="159"/>
        <v/>
      </c>
      <c r="BJ319" s="59"/>
      <c r="BK319" s="58" t="str">
        <f t="shared" si="160"/>
        <v/>
      </c>
      <c r="BL319" s="59"/>
      <c r="BM319" s="58" t="str">
        <f t="shared" si="161"/>
        <v/>
      </c>
      <c r="BN319" s="59"/>
      <c r="BO319" s="58" t="str">
        <f t="shared" si="162"/>
        <v/>
      </c>
      <c r="BP319" s="59"/>
      <c r="BQ319" s="58" t="str">
        <f t="shared" si="163"/>
        <v/>
      </c>
      <c r="BR319" s="59"/>
      <c r="BS319" s="58" t="str">
        <f t="shared" si="164"/>
        <v/>
      </c>
      <c r="BT319" s="59"/>
      <c r="BU319" s="58" t="str">
        <f t="shared" si="165"/>
        <v/>
      </c>
      <c r="BV319" s="59"/>
    </row>
    <row r="320" spans="1:74" ht="14.5">
      <c r="A320" s="51" t="s">
        <v>58</v>
      </c>
      <c r="B320" s="52">
        <v>373</v>
      </c>
      <c r="C320" s="52" t="s">
        <v>188</v>
      </c>
      <c r="D320" s="41">
        <f t="shared" si="135"/>
        <v>4</v>
      </c>
      <c r="E320" s="52" t="s">
        <v>189</v>
      </c>
      <c r="F320" s="52" t="s">
        <v>242</v>
      </c>
      <c r="G320" s="52" t="s">
        <v>162</v>
      </c>
      <c r="H320" s="52" t="s">
        <v>498</v>
      </c>
      <c r="I320" s="53">
        <v>45681</v>
      </c>
      <c r="J320" s="108">
        <v>1412</v>
      </c>
      <c r="K320" s="101"/>
      <c r="L320" s="101"/>
      <c r="M320" s="101">
        <f t="shared" si="136"/>
        <v>1412</v>
      </c>
      <c r="N320" s="54">
        <f t="shared" si="137"/>
        <v>1412</v>
      </c>
      <c r="O320" s="101" t="s">
        <v>178</v>
      </c>
      <c r="P320" s="102">
        <f t="shared" si="138"/>
        <v>1.961111111111111</v>
      </c>
      <c r="Q320" s="102">
        <v>6</v>
      </c>
      <c r="R320" s="99">
        <v>120</v>
      </c>
      <c r="S320" s="55">
        <f t="shared" si="167"/>
        <v>45653</v>
      </c>
      <c r="T320" s="55"/>
      <c r="U320" s="56">
        <f t="shared" ca="1" si="168"/>
        <v>-187</v>
      </c>
      <c r="V320" s="55">
        <f t="shared" si="169"/>
        <v>45669</v>
      </c>
      <c r="W320" s="55"/>
      <c r="X320" s="56">
        <f t="shared" ca="1" si="170"/>
        <v>-171</v>
      </c>
      <c r="Y320" s="55"/>
      <c r="Z320" s="57"/>
      <c r="AA320" s="58" t="str">
        <f t="shared" si="142"/>
        <v>-</v>
      </c>
      <c r="AB320" s="59"/>
      <c r="AC320" s="58" t="str">
        <f t="shared" si="143"/>
        <v/>
      </c>
      <c r="AD320" s="59"/>
      <c r="AE320" s="58" t="str">
        <f t="shared" si="144"/>
        <v/>
      </c>
      <c r="AF320" s="59"/>
      <c r="AG320" s="58" t="str">
        <f t="shared" si="145"/>
        <v/>
      </c>
      <c r="AH320" s="59"/>
      <c r="AI320" s="58" t="str">
        <f t="shared" si="146"/>
        <v/>
      </c>
      <c r="AJ320" s="59"/>
      <c r="AK320" s="58" t="str">
        <f t="shared" si="147"/>
        <v/>
      </c>
      <c r="AL320" s="59"/>
      <c r="AM320" s="58" t="str">
        <f t="shared" si="148"/>
        <v/>
      </c>
      <c r="AN320" s="59"/>
      <c r="AO320" s="58" t="str">
        <f t="shared" si="149"/>
        <v/>
      </c>
      <c r="AP320" s="59"/>
      <c r="AQ320" s="58" t="str">
        <f t="shared" si="150"/>
        <v/>
      </c>
      <c r="AR320" s="59"/>
      <c r="AS320" s="58" t="str">
        <f t="shared" si="151"/>
        <v/>
      </c>
      <c r="AT320" s="59"/>
      <c r="AU320" s="58" t="str">
        <f t="shared" si="152"/>
        <v/>
      </c>
      <c r="AV320" s="59"/>
      <c r="AW320" s="58">
        <f t="shared" si="153"/>
        <v>1412</v>
      </c>
      <c r="AX320" s="59"/>
      <c r="AY320" s="58" t="str">
        <f t="shared" si="154"/>
        <v/>
      </c>
      <c r="AZ320" s="59"/>
      <c r="BA320" s="58" t="str">
        <f t="shared" si="155"/>
        <v/>
      </c>
      <c r="BB320" s="59"/>
      <c r="BC320" s="58" t="str">
        <f t="shared" si="156"/>
        <v/>
      </c>
      <c r="BD320" s="59"/>
      <c r="BE320" s="58" t="str">
        <f t="shared" si="157"/>
        <v/>
      </c>
      <c r="BF320" s="59"/>
      <c r="BG320" s="58" t="str">
        <f t="shared" si="158"/>
        <v/>
      </c>
      <c r="BH320" s="59"/>
      <c r="BI320" s="58" t="str">
        <f t="shared" si="159"/>
        <v/>
      </c>
      <c r="BJ320" s="59"/>
      <c r="BK320" s="58" t="str">
        <f t="shared" si="160"/>
        <v/>
      </c>
      <c r="BL320" s="59"/>
      <c r="BM320" s="58" t="str">
        <f t="shared" si="161"/>
        <v/>
      </c>
      <c r="BN320" s="59"/>
      <c r="BO320" s="58" t="str">
        <f t="shared" si="162"/>
        <v/>
      </c>
      <c r="BP320" s="59"/>
      <c r="BQ320" s="58" t="str">
        <f t="shared" si="163"/>
        <v/>
      </c>
      <c r="BR320" s="59"/>
      <c r="BS320" s="58" t="str">
        <f t="shared" si="164"/>
        <v/>
      </c>
      <c r="BT320" s="59"/>
      <c r="BU320" s="58" t="str">
        <f t="shared" si="165"/>
        <v/>
      </c>
      <c r="BV320" s="59"/>
    </row>
    <row r="321" spans="1:74" ht="14.5">
      <c r="A321" s="51" t="s">
        <v>58</v>
      </c>
      <c r="B321" s="52">
        <v>373</v>
      </c>
      <c r="C321" s="52" t="s">
        <v>188</v>
      </c>
      <c r="D321" s="41">
        <f t="shared" si="135"/>
        <v>4</v>
      </c>
      <c r="E321" s="52" t="s">
        <v>158</v>
      </c>
      <c r="F321" s="52" t="s">
        <v>242</v>
      </c>
      <c r="G321" s="52" t="s">
        <v>255</v>
      </c>
      <c r="H321" s="52" t="s">
        <v>498</v>
      </c>
      <c r="I321" s="53">
        <v>45681</v>
      </c>
      <c r="J321" s="108">
        <v>788</v>
      </c>
      <c r="K321" s="101"/>
      <c r="L321" s="101"/>
      <c r="M321" s="101">
        <f t="shared" si="136"/>
        <v>788</v>
      </c>
      <c r="N321" s="54">
        <f t="shared" si="137"/>
        <v>788</v>
      </c>
      <c r="O321" s="101" t="s">
        <v>437</v>
      </c>
      <c r="P321" s="102">
        <f t="shared" si="138"/>
        <v>1.0944444444444446</v>
      </c>
      <c r="Q321" s="102">
        <v>6</v>
      </c>
      <c r="R321" s="99">
        <v>120</v>
      </c>
      <c r="S321" s="55">
        <f t="shared" si="167"/>
        <v>45653</v>
      </c>
      <c r="T321" s="55"/>
      <c r="U321" s="56">
        <f t="shared" ca="1" si="168"/>
        <v>-187</v>
      </c>
      <c r="V321" s="55">
        <f t="shared" si="169"/>
        <v>45669</v>
      </c>
      <c r="W321" s="55"/>
      <c r="X321" s="56">
        <f t="shared" ca="1" si="170"/>
        <v>-171</v>
      </c>
      <c r="Y321" s="55"/>
      <c r="Z321" s="57"/>
      <c r="AA321" s="58" t="str">
        <f t="shared" si="142"/>
        <v>-</v>
      </c>
      <c r="AB321" s="59"/>
      <c r="AC321" s="58" t="str">
        <f t="shared" si="143"/>
        <v/>
      </c>
      <c r="AD321" s="59"/>
      <c r="AE321" s="58" t="str">
        <f t="shared" si="144"/>
        <v/>
      </c>
      <c r="AF321" s="59"/>
      <c r="AG321" s="58" t="str">
        <f t="shared" si="145"/>
        <v/>
      </c>
      <c r="AH321" s="59"/>
      <c r="AI321" s="58" t="str">
        <f t="shared" si="146"/>
        <v/>
      </c>
      <c r="AJ321" s="59"/>
      <c r="AK321" s="58" t="str">
        <f t="shared" si="147"/>
        <v/>
      </c>
      <c r="AL321" s="59"/>
      <c r="AM321" s="58" t="str">
        <f t="shared" si="148"/>
        <v/>
      </c>
      <c r="AN321" s="59"/>
      <c r="AO321" s="58" t="str">
        <f t="shared" si="149"/>
        <v/>
      </c>
      <c r="AP321" s="59"/>
      <c r="AQ321" s="58" t="str">
        <f t="shared" si="150"/>
        <v/>
      </c>
      <c r="AR321" s="59"/>
      <c r="AS321" s="58" t="str">
        <f t="shared" si="151"/>
        <v/>
      </c>
      <c r="AT321" s="59"/>
      <c r="AU321" s="58" t="str">
        <f t="shared" si="152"/>
        <v/>
      </c>
      <c r="AV321" s="59"/>
      <c r="AW321" s="58">
        <f t="shared" si="153"/>
        <v>788</v>
      </c>
      <c r="AX321" s="59"/>
      <c r="AY321" s="58" t="str">
        <f t="shared" si="154"/>
        <v/>
      </c>
      <c r="AZ321" s="59"/>
      <c r="BA321" s="58" t="str">
        <f t="shared" si="155"/>
        <v/>
      </c>
      <c r="BB321" s="59"/>
      <c r="BC321" s="58" t="str">
        <f t="shared" si="156"/>
        <v/>
      </c>
      <c r="BD321" s="59"/>
      <c r="BE321" s="58" t="str">
        <f t="shared" si="157"/>
        <v/>
      </c>
      <c r="BF321" s="59"/>
      <c r="BG321" s="58" t="str">
        <f t="shared" si="158"/>
        <v/>
      </c>
      <c r="BH321" s="59"/>
      <c r="BI321" s="58" t="str">
        <f t="shared" si="159"/>
        <v/>
      </c>
      <c r="BJ321" s="59"/>
      <c r="BK321" s="58" t="str">
        <f t="shared" si="160"/>
        <v/>
      </c>
      <c r="BL321" s="59"/>
      <c r="BM321" s="58" t="str">
        <f t="shared" si="161"/>
        <v/>
      </c>
      <c r="BN321" s="59"/>
      <c r="BO321" s="58" t="str">
        <f t="shared" si="162"/>
        <v/>
      </c>
      <c r="BP321" s="59"/>
      <c r="BQ321" s="58" t="str">
        <f t="shared" si="163"/>
        <v/>
      </c>
      <c r="BR321" s="59"/>
      <c r="BS321" s="58" t="str">
        <f t="shared" si="164"/>
        <v/>
      </c>
      <c r="BT321" s="59"/>
      <c r="BU321" s="58" t="str">
        <f t="shared" si="165"/>
        <v/>
      </c>
      <c r="BV321" s="59"/>
    </row>
    <row r="322" spans="1:74" ht="14.5">
      <c r="A322" s="51" t="s">
        <v>58</v>
      </c>
      <c r="B322" s="52">
        <v>375</v>
      </c>
      <c r="C322" s="52" t="s">
        <v>188</v>
      </c>
      <c r="D322" s="41">
        <f t="shared" si="135"/>
        <v>4</v>
      </c>
      <c r="E322" s="52" t="s">
        <v>81</v>
      </c>
      <c r="F322" s="52" t="s">
        <v>290</v>
      </c>
      <c r="G322" s="52" t="s">
        <v>291</v>
      </c>
      <c r="H322" s="52" t="s">
        <v>544</v>
      </c>
      <c r="I322" s="53">
        <v>45681</v>
      </c>
      <c r="J322" s="108">
        <v>3240</v>
      </c>
      <c r="K322" s="101"/>
      <c r="L322" s="101"/>
      <c r="M322" s="101">
        <f t="shared" si="136"/>
        <v>3240</v>
      </c>
      <c r="N322" s="54">
        <f t="shared" si="137"/>
        <v>3240</v>
      </c>
      <c r="O322" s="101" t="s">
        <v>436</v>
      </c>
      <c r="P322" s="102">
        <f t="shared" si="138"/>
        <v>0.16666666666666666</v>
      </c>
      <c r="Q322" s="102">
        <v>6</v>
      </c>
      <c r="R322" s="100">
        <v>3240</v>
      </c>
      <c r="S322" s="55">
        <f t="shared" si="167"/>
        <v>45653</v>
      </c>
      <c r="T322" s="55"/>
      <c r="U322" s="56">
        <f t="shared" ca="1" si="168"/>
        <v>-187</v>
      </c>
      <c r="V322" s="55">
        <f t="shared" si="169"/>
        <v>45669</v>
      </c>
      <c r="W322" s="55"/>
      <c r="X322" s="56">
        <f t="shared" ca="1" si="170"/>
        <v>-171</v>
      </c>
      <c r="Y322" s="55"/>
      <c r="Z322" s="57"/>
      <c r="AA322" s="58" t="str">
        <f t="shared" si="142"/>
        <v>-</v>
      </c>
      <c r="AB322" s="59"/>
      <c r="AC322" s="58" t="str">
        <f t="shared" si="143"/>
        <v/>
      </c>
      <c r="AD322" s="59"/>
      <c r="AE322" s="58" t="str">
        <f t="shared" si="144"/>
        <v/>
      </c>
      <c r="AF322" s="59"/>
      <c r="AG322" s="58" t="str">
        <f t="shared" si="145"/>
        <v/>
      </c>
      <c r="AH322" s="59"/>
      <c r="AI322" s="58" t="str">
        <f t="shared" si="146"/>
        <v/>
      </c>
      <c r="AJ322" s="59"/>
      <c r="AK322" s="58" t="str">
        <f t="shared" si="147"/>
        <v/>
      </c>
      <c r="AL322" s="59"/>
      <c r="AM322" s="58" t="str">
        <f t="shared" si="148"/>
        <v/>
      </c>
      <c r="AN322" s="59"/>
      <c r="AO322" s="58" t="str">
        <f t="shared" si="149"/>
        <v/>
      </c>
      <c r="AP322" s="59"/>
      <c r="AQ322" s="58" t="str">
        <f t="shared" si="150"/>
        <v/>
      </c>
      <c r="AR322" s="59"/>
      <c r="AS322" s="58" t="str">
        <f t="shared" si="151"/>
        <v/>
      </c>
      <c r="AT322" s="59"/>
      <c r="AU322" s="58" t="str">
        <f t="shared" si="152"/>
        <v/>
      </c>
      <c r="AV322" s="59"/>
      <c r="AW322" s="58">
        <f t="shared" si="153"/>
        <v>3240</v>
      </c>
      <c r="AX322" s="59"/>
      <c r="AY322" s="58" t="str">
        <f t="shared" si="154"/>
        <v/>
      </c>
      <c r="AZ322" s="59"/>
      <c r="BA322" s="58" t="str">
        <f t="shared" si="155"/>
        <v/>
      </c>
      <c r="BB322" s="59"/>
      <c r="BC322" s="58" t="str">
        <f t="shared" si="156"/>
        <v/>
      </c>
      <c r="BD322" s="59"/>
      <c r="BE322" s="58" t="str">
        <f t="shared" si="157"/>
        <v/>
      </c>
      <c r="BF322" s="59"/>
      <c r="BG322" s="58" t="str">
        <f t="shared" si="158"/>
        <v/>
      </c>
      <c r="BH322" s="59"/>
      <c r="BI322" s="58" t="str">
        <f t="shared" si="159"/>
        <v/>
      </c>
      <c r="BJ322" s="59"/>
      <c r="BK322" s="58" t="str">
        <f t="shared" si="160"/>
        <v/>
      </c>
      <c r="BL322" s="59"/>
      <c r="BM322" s="58" t="str">
        <f t="shared" si="161"/>
        <v/>
      </c>
      <c r="BN322" s="59"/>
      <c r="BO322" s="58" t="str">
        <f t="shared" si="162"/>
        <v/>
      </c>
      <c r="BP322" s="59"/>
      <c r="BQ322" s="58" t="str">
        <f t="shared" si="163"/>
        <v/>
      </c>
      <c r="BR322" s="59"/>
      <c r="BS322" s="58" t="str">
        <f t="shared" si="164"/>
        <v/>
      </c>
      <c r="BT322" s="59"/>
      <c r="BU322" s="58" t="str">
        <f t="shared" si="165"/>
        <v/>
      </c>
      <c r="BV322" s="59"/>
    </row>
    <row r="323" spans="1:74" ht="14.5">
      <c r="A323" s="51" t="s">
        <v>58</v>
      </c>
      <c r="B323" s="52">
        <v>375</v>
      </c>
      <c r="C323" s="52" t="s">
        <v>188</v>
      </c>
      <c r="D323" s="41">
        <f t="shared" si="135"/>
        <v>4</v>
      </c>
      <c r="E323" s="52" t="s">
        <v>81</v>
      </c>
      <c r="F323" s="52" t="s">
        <v>290</v>
      </c>
      <c r="G323" s="52" t="s">
        <v>293</v>
      </c>
      <c r="H323" s="52" t="s">
        <v>544</v>
      </c>
      <c r="I323" s="53">
        <v>45681</v>
      </c>
      <c r="J323" s="108">
        <v>3240</v>
      </c>
      <c r="K323" s="101"/>
      <c r="L323" s="101"/>
      <c r="M323" s="101">
        <f t="shared" si="136"/>
        <v>3240</v>
      </c>
      <c r="N323" s="54">
        <f t="shared" si="137"/>
        <v>3240</v>
      </c>
      <c r="O323" s="101" t="s">
        <v>436</v>
      </c>
      <c r="P323" s="102">
        <f t="shared" si="138"/>
        <v>0.16666666666666666</v>
      </c>
      <c r="Q323" s="102">
        <v>6</v>
      </c>
      <c r="R323" s="100">
        <v>3240</v>
      </c>
      <c r="S323" s="55">
        <f t="shared" si="167"/>
        <v>45653</v>
      </c>
      <c r="T323" s="55"/>
      <c r="U323" s="56">
        <f t="shared" ca="1" si="168"/>
        <v>-187</v>
      </c>
      <c r="V323" s="55">
        <f t="shared" si="169"/>
        <v>45669</v>
      </c>
      <c r="W323" s="55"/>
      <c r="X323" s="56">
        <f t="shared" ca="1" si="170"/>
        <v>-171</v>
      </c>
      <c r="Y323" s="55"/>
      <c r="Z323" s="57"/>
      <c r="AA323" s="58" t="str">
        <f t="shared" si="142"/>
        <v>-</v>
      </c>
      <c r="AB323" s="59"/>
      <c r="AC323" s="58" t="str">
        <f t="shared" si="143"/>
        <v/>
      </c>
      <c r="AD323" s="59"/>
      <c r="AE323" s="58" t="str">
        <f t="shared" si="144"/>
        <v/>
      </c>
      <c r="AF323" s="59"/>
      <c r="AG323" s="58" t="str">
        <f t="shared" si="145"/>
        <v/>
      </c>
      <c r="AH323" s="59"/>
      <c r="AI323" s="58" t="str">
        <f t="shared" si="146"/>
        <v/>
      </c>
      <c r="AJ323" s="59"/>
      <c r="AK323" s="58" t="str">
        <f t="shared" si="147"/>
        <v/>
      </c>
      <c r="AL323" s="59"/>
      <c r="AM323" s="58" t="str">
        <f t="shared" si="148"/>
        <v/>
      </c>
      <c r="AN323" s="59"/>
      <c r="AO323" s="58" t="str">
        <f t="shared" si="149"/>
        <v/>
      </c>
      <c r="AP323" s="59"/>
      <c r="AQ323" s="58" t="str">
        <f t="shared" si="150"/>
        <v/>
      </c>
      <c r="AR323" s="59"/>
      <c r="AS323" s="58" t="str">
        <f t="shared" si="151"/>
        <v/>
      </c>
      <c r="AT323" s="59"/>
      <c r="AU323" s="58" t="str">
        <f t="shared" si="152"/>
        <v/>
      </c>
      <c r="AV323" s="59"/>
      <c r="AW323" s="58">
        <f t="shared" si="153"/>
        <v>3240</v>
      </c>
      <c r="AX323" s="59"/>
      <c r="AY323" s="58" t="str">
        <f t="shared" si="154"/>
        <v/>
      </c>
      <c r="AZ323" s="59"/>
      <c r="BA323" s="58" t="str">
        <f t="shared" si="155"/>
        <v/>
      </c>
      <c r="BB323" s="59"/>
      <c r="BC323" s="58" t="str">
        <f t="shared" si="156"/>
        <v/>
      </c>
      <c r="BD323" s="59"/>
      <c r="BE323" s="58" t="str">
        <f t="shared" si="157"/>
        <v/>
      </c>
      <c r="BF323" s="59"/>
      <c r="BG323" s="58" t="str">
        <f t="shared" si="158"/>
        <v/>
      </c>
      <c r="BH323" s="59"/>
      <c r="BI323" s="58" t="str">
        <f t="shared" si="159"/>
        <v/>
      </c>
      <c r="BJ323" s="59"/>
      <c r="BK323" s="58" t="str">
        <f t="shared" si="160"/>
        <v/>
      </c>
      <c r="BL323" s="59"/>
      <c r="BM323" s="58" t="str">
        <f t="shared" si="161"/>
        <v/>
      </c>
      <c r="BN323" s="59"/>
      <c r="BO323" s="58" t="str">
        <f t="shared" si="162"/>
        <v/>
      </c>
      <c r="BP323" s="59"/>
      <c r="BQ323" s="58" t="str">
        <f t="shared" si="163"/>
        <v/>
      </c>
      <c r="BR323" s="59"/>
      <c r="BS323" s="58" t="str">
        <f t="shared" si="164"/>
        <v/>
      </c>
      <c r="BT323" s="59"/>
      <c r="BU323" s="58" t="str">
        <f t="shared" si="165"/>
        <v/>
      </c>
      <c r="BV323" s="59"/>
    </row>
    <row r="324" spans="1:74" ht="14.5">
      <c r="A324" s="51" t="s">
        <v>58</v>
      </c>
      <c r="B324" s="52">
        <v>375</v>
      </c>
      <c r="C324" s="52" t="s">
        <v>188</v>
      </c>
      <c r="D324" s="41">
        <f t="shared" si="135"/>
        <v>4</v>
      </c>
      <c r="E324" s="52" t="s">
        <v>81</v>
      </c>
      <c r="F324" s="52" t="s">
        <v>290</v>
      </c>
      <c r="G324" s="52" t="s">
        <v>294</v>
      </c>
      <c r="H324" s="52" t="s">
        <v>544</v>
      </c>
      <c r="I324" s="53">
        <v>45681</v>
      </c>
      <c r="J324" s="108">
        <v>3240</v>
      </c>
      <c r="K324" s="101"/>
      <c r="L324" s="101"/>
      <c r="M324" s="101">
        <f t="shared" si="136"/>
        <v>3240</v>
      </c>
      <c r="N324" s="54">
        <f t="shared" si="137"/>
        <v>3240</v>
      </c>
      <c r="O324" s="101" t="s">
        <v>436</v>
      </c>
      <c r="P324" s="102">
        <f t="shared" si="138"/>
        <v>0.16666666666666666</v>
      </c>
      <c r="Q324" s="102">
        <v>6</v>
      </c>
      <c r="R324" s="100">
        <v>3240</v>
      </c>
      <c r="S324" s="55">
        <f t="shared" si="167"/>
        <v>45653</v>
      </c>
      <c r="T324" s="55"/>
      <c r="U324" s="56">
        <f t="shared" ca="1" si="168"/>
        <v>-187</v>
      </c>
      <c r="V324" s="55">
        <f t="shared" si="169"/>
        <v>45669</v>
      </c>
      <c r="W324" s="55"/>
      <c r="X324" s="56">
        <f t="shared" ca="1" si="170"/>
        <v>-171</v>
      </c>
      <c r="Y324" s="55"/>
      <c r="Z324" s="57"/>
      <c r="AA324" s="58" t="str">
        <f t="shared" si="142"/>
        <v>-</v>
      </c>
      <c r="AB324" s="59"/>
      <c r="AC324" s="58" t="str">
        <f t="shared" si="143"/>
        <v/>
      </c>
      <c r="AD324" s="59"/>
      <c r="AE324" s="58" t="str">
        <f t="shared" si="144"/>
        <v/>
      </c>
      <c r="AF324" s="59"/>
      <c r="AG324" s="58" t="str">
        <f t="shared" si="145"/>
        <v/>
      </c>
      <c r="AH324" s="59"/>
      <c r="AI324" s="58" t="str">
        <f t="shared" si="146"/>
        <v/>
      </c>
      <c r="AJ324" s="59"/>
      <c r="AK324" s="58" t="str">
        <f t="shared" si="147"/>
        <v/>
      </c>
      <c r="AL324" s="59"/>
      <c r="AM324" s="58" t="str">
        <f t="shared" si="148"/>
        <v/>
      </c>
      <c r="AN324" s="59"/>
      <c r="AO324" s="58" t="str">
        <f t="shared" si="149"/>
        <v/>
      </c>
      <c r="AP324" s="59"/>
      <c r="AQ324" s="58" t="str">
        <f t="shared" si="150"/>
        <v/>
      </c>
      <c r="AR324" s="59"/>
      <c r="AS324" s="58" t="str">
        <f t="shared" si="151"/>
        <v/>
      </c>
      <c r="AT324" s="59"/>
      <c r="AU324" s="58" t="str">
        <f t="shared" si="152"/>
        <v/>
      </c>
      <c r="AV324" s="59"/>
      <c r="AW324" s="58">
        <f t="shared" si="153"/>
        <v>3240</v>
      </c>
      <c r="AX324" s="59"/>
      <c r="AY324" s="58" t="str">
        <f t="shared" si="154"/>
        <v/>
      </c>
      <c r="AZ324" s="59"/>
      <c r="BA324" s="58" t="str">
        <f t="shared" si="155"/>
        <v/>
      </c>
      <c r="BB324" s="59"/>
      <c r="BC324" s="58" t="str">
        <f t="shared" si="156"/>
        <v/>
      </c>
      <c r="BD324" s="59"/>
      <c r="BE324" s="58" t="str">
        <f t="shared" si="157"/>
        <v/>
      </c>
      <c r="BF324" s="59"/>
      <c r="BG324" s="58" t="str">
        <f t="shared" si="158"/>
        <v/>
      </c>
      <c r="BH324" s="59"/>
      <c r="BI324" s="58" t="str">
        <f t="shared" si="159"/>
        <v/>
      </c>
      <c r="BJ324" s="59"/>
      <c r="BK324" s="58" t="str">
        <f t="shared" si="160"/>
        <v/>
      </c>
      <c r="BL324" s="59"/>
      <c r="BM324" s="58" t="str">
        <f t="shared" si="161"/>
        <v/>
      </c>
      <c r="BN324" s="59"/>
      <c r="BO324" s="58" t="str">
        <f t="shared" si="162"/>
        <v/>
      </c>
      <c r="BP324" s="59"/>
      <c r="BQ324" s="58" t="str">
        <f t="shared" si="163"/>
        <v/>
      </c>
      <c r="BR324" s="59"/>
      <c r="BS324" s="58" t="str">
        <f t="shared" si="164"/>
        <v/>
      </c>
      <c r="BT324" s="59"/>
      <c r="BU324" s="58" t="str">
        <f t="shared" si="165"/>
        <v/>
      </c>
      <c r="BV324" s="59"/>
    </row>
    <row r="325" spans="1:74" ht="14.5">
      <c r="A325" s="51" t="s">
        <v>58</v>
      </c>
      <c r="B325" s="52">
        <v>375</v>
      </c>
      <c r="C325" s="52" t="s">
        <v>188</v>
      </c>
      <c r="D325" s="41">
        <f t="shared" si="135"/>
        <v>4</v>
      </c>
      <c r="E325" s="52" t="s">
        <v>545</v>
      </c>
      <c r="F325" s="52" t="s">
        <v>242</v>
      </c>
      <c r="G325" s="52" t="s">
        <v>162</v>
      </c>
      <c r="H325" s="52" t="s">
        <v>430</v>
      </c>
      <c r="I325" s="53">
        <v>45681</v>
      </c>
      <c r="J325" s="108">
        <v>498</v>
      </c>
      <c r="K325" s="101"/>
      <c r="L325" s="101"/>
      <c r="M325" s="101">
        <f t="shared" si="136"/>
        <v>498</v>
      </c>
      <c r="N325" s="54">
        <f t="shared" si="137"/>
        <v>498</v>
      </c>
      <c r="O325" s="101" t="s">
        <v>431</v>
      </c>
      <c r="P325" s="102">
        <f t="shared" si="138"/>
        <v>0.69166666666666665</v>
      </c>
      <c r="Q325" s="102">
        <v>6</v>
      </c>
      <c r="R325" s="99">
        <v>120</v>
      </c>
      <c r="S325" s="55">
        <f t="shared" si="167"/>
        <v>45653</v>
      </c>
      <c r="T325" s="55"/>
      <c r="U325" s="56">
        <f t="shared" ca="1" si="168"/>
        <v>-187</v>
      </c>
      <c r="V325" s="55">
        <f t="shared" si="169"/>
        <v>45669</v>
      </c>
      <c r="W325" s="55"/>
      <c r="X325" s="56">
        <f t="shared" ca="1" si="170"/>
        <v>-171</v>
      </c>
      <c r="Y325" s="55"/>
      <c r="Z325" s="57"/>
      <c r="AA325" s="58" t="str">
        <f t="shared" si="142"/>
        <v>-</v>
      </c>
      <c r="AB325" s="59"/>
      <c r="AC325" s="58" t="str">
        <f t="shared" si="143"/>
        <v/>
      </c>
      <c r="AD325" s="59"/>
      <c r="AE325" s="58" t="str">
        <f t="shared" si="144"/>
        <v/>
      </c>
      <c r="AF325" s="59"/>
      <c r="AG325" s="58" t="str">
        <f t="shared" si="145"/>
        <v/>
      </c>
      <c r="AH325" s="59"/>
      <c r="AI325" s="58" t="str">
        <f t="shared" si="146"/>
        <v/>
      </c>
      <c r="AJ325" s="59"/>
      <c r="AK325" s="58" t="str">
        <f t="shared" si="147"/>
        <v/>
      </c>
      <c r="AL325" s="59"/>
      <c r="AM325" s="58" t="str">
        <f t="shared" si="148"/>
        <v/>
      </c>
      <c r="AN325" s="59"/>
      <c r="AO325" s="58" t="str">
        <f t="shared" si="149"/>
        <v/>
      </c>
      <c r="AP325" s="59"/>
      <c r="AQ325" s="58" t="str">
        <f t="shared" si="150"/>
        <v/>
      </c>
      <c r="AR325" s="59"/>
      <c r="AS325" s="58" t="str">
        <f t="shared" si="151"/>
        <v/>
      </c>
      <c r="AT325" s="59"/>
      <c r="AU325" s="58" t="str">
        <f t="shared" si="152"/>
        <v/>
      </c>
      <c r="AV325" s="59"/>
      <c r="AW325" s="58">
        <f t="shared" si="153"/>
        <v>498</v>
      </c>
      <c r="AX325" s="59"/>
      <c r="AY325" s="58" t="str">
        <f t="shared" si="154"/>
        <v/>
      </c>
      <c r="AZ325" s="59"/>
      <c r="BA325" s="58" t="str">
        <f t="shared" si="155"/>
        <v/>
      </c>
      <c r="BB325" s="59"/>
      <c r="BC325" s="58" t="str">
        <f t="shared" si="156"/>
        <v/>
      </c>
      <c r="BD325" s="59"/>
      <c r="BE325" s="58" t="str">
        <f t="shared" si="157"/>
        <v/>
      </c>
      <c r="BF325" s="59"/>
      <c r="BG325" s="58" t="str">
        <f t="shared" si="158"/>
        <v/>
      </c>
      <c r="BH325" s="59"/>
      <c r="BI325" s="58" t="str">
        <f t="shared" si="159"/>
        <v/>
      </c>
      <c r="BJ325" s="59"/>
      <c r="BK325" s="58" t="str">
        <f t="shared" si="160"/>
        <v/>
      </c>
      <c r="BL325" s="59"/>
      <c r="BM325" s="58" t="str">
        <f t="shared" si="161"/>
        <v/>
      </c>
      <c r="BN325" s="59"/>
      <c r="BO325" s="58" t="str">
        <f t="shared" si="162"/>
        <v/>
      </c>
      <c r="BP325" s="59"/>
      <c r="BQ325" s="58" t="str">
        <f t="shared" si="163"/>
        <v/>
      </c>
      <c r="BR325" s="59"/>
      <c r="BS325" s="58" t="str">
        <f t="shared" si="164"/>
        <v/>
      </c>
      <c r="BT325" s="59"/>
      <c r="BU325" s="58" t="str">
        <f t="shared" si="165"/>
        <v/>
      </c>
      <c r="BV325" s="59"/>
    </row>
    <row r="326" spans="1:74" ht="14.5">
      <c r="A326" s="51" t="s">
        <v>58</v>
      </c>
      <c r="B326" s="52">
        <v>375</v>
      </c>
      <c r="C326" s="52" t="s">
        <v>188</v>
      </c>
      <c r="D326" s="41">
        <f t="shared" si="135"/>
        <v>4</v>
      </c>
      <c r="E326" s="52" t="s">
        <v>193</v>
      </c>
      <c r="F326" s="52" t="s">
        <v>300</v>
      </c>
      <c r="G326" s="52" t="s">
        <v>162</v>
      </c>
      <c r="H326" s="52" t="s">
        <v>440</v>
      </c>
      <c r="I326" s="53">
        <v>45681</v>
      </c>
      <c r="J326" s="108">
        <v>1980</v>
      </c>
      <c r="K326" s="101"/>
      <c r="L326" s="101"/>
      <c r="M326" s="101">
        <f t="shared" si="136"/>
        <v>1980</v>
      </c>
      <c r="N326" s="54">
        <f t="shared" si="137"/>
        <v>1980</v>
      </c>
      <c r="O326" s="101" t="s">
        <v>178</v>
      </c>
      <c r="P326" s="102">
        <f t="shared" si="138"/>
        <v>2.75</v>
      </c>
      <c r="Q326" s="102">
        <v>6</v>
      </c>
      <c r="R326" s="99">
        <v>120</v>
      </c>
      <c r="S326" s="55">
        <f t="shared" si="167"/>
        <v>45653</v>
      </c>
      <c r="T326" s="55"/>
      <c r="U326" s="56">
        <f t="shared" ca="1" si="168"/>
        <v>-187</v>
      </c>
      <c r="V326" s="55">
        <f t="shared" si="169"/>
        <v>45669</v>
      </c>
      <c r="W326" s="55"/>
      <c r="X326" s="56">
        <f t="shared" ca="1" si="170"/>
        <v>-171</v>
      </c>
      <c r="Y326" s="55"/>
      <c r="Z326" s="57"/>
      <c r="AA326" s="58" t="str">
        <f t="shared" si="142"/>
        <v>-</v>
      </c>
      <c r="AB326" s="59"/>
      <c r="AC326" s="58" t="str">
        <f t="shared" si="143"/>
        <v/>
      </c>
      <c r="AD326" s="59"/>
      <c r="AE326" s="58" t="str">
        <f t="shared" si="144"/>
        <v/>
      </c>
      <c r="AF326" s="59"/>
      <c r="AG326" s="58" t="str">
        <f t="shared" si="145"/>
        <v/>
      </c>
      <c r="AH326" s="59"/>
      <c r="AI326" s="58" t="str">
        <f t="shared" si="146"/>
        <v/>
      </c>
      <c r="AJ326" s="59"/>
      <c r="AK326" s="58" t="str">
        <f t="shared" si="147"/>
        <v/>
      </c>
      <c r="AL326" s="59"/>
      <c r="AM326" s="58" t="str">
        <f t="shared" si="148"/>
        <v/>
      </c>
      <c r="AN326" s="59"/>
      <c r="AO326" s="58" t="str">
        <f t="shared" si="149"/>
        <v/>
      </c>
      <c r="AP326" s="59"/>
      <c r="AQ326" s="58" t="str">
        <f t="shared" si="150"/>
        <v/>
      </c>
      <c r="AR326" s="59"/>
      <c r="AS326" s="58" t="str">
        <f t="shared" si="151"/>
        <v/>
      </c>
      <c r="AT326" s="59"/>
      <c r="AU326" s="58" t="str">
        <f t="shared" si="152"/>
        <v/>
      </c>
      <c r="AV326" s="59"/>
      <c r="AW326" s="58">
        <f t="shared" si="153"/>
        <v>1980</v>
      </c>
      <c r="AX326" s="59"/>
      <c r="AY326" s="58" t="str">
        <f t="shared" si="154"/>
        <v/>
      </c>
      <c r="AZ326" s="59"/>
      <c r="BA326" s="58" t="str">
        <f t="shared" si="155"/>
        <v/>
      </c>
      <c r="BB326" s="59"/>
      <c r="BC326" s="58" t="str">
        <f t="shared" si="156"/>
        <v/>
      </c>
      <c r="BD326" s="59"/>
      <c r="BE326" s="58" t="str">
        <f t="shared" si="157"/>
        <v/>
      </c>
      <c r="BF326" s="59"/>
      <c r="BG326" s="58" t="str">
        <f t="shared" si="158"/>
        <v/>
      </c>
      <c r="BH326" s="59"/>
      <c r="BI326" s="58" t="str">
        <f t="shared" si="159"/>
        <v/>
      </c>
      <c r="BJ326" s="59"/>
      <c r="BK326" s="58" t="str">
        <f t="shared" si="160"/>
        <v/>
      </c>
      <c r="BL326" s="59"/>
      <c r="BM326" s="58" t="str">
        <f t="shared" si="161"/>
        <v/>
      </c>
      <c r="BN326" s="59"/>
      <c r="BO326" s="58" t="str">
        <f t="shared" si="162"/>
        <v/>
      </c>
      <c r="BP326" s="59"/>
      <c r="BQ326" s="58" t="str">
        <f t="shared" si="163"/>
        <v/>
      </c>
      <c r="BR326" s="59"/>
      <c r="BS326" s="58" t="str">
        <f t="shared" si="164"/>
        <v/>
      </c>
      <c r="BT326" s="59"/>
      <c r="BU326" s="58" t="str">
        <f t="shared" si="165"/>
        <v/>
      </c>
      <c r="BV326" s="59"/>
    </row>
    <row r="327" spans="1:74" ht="14.5">
      <c r="A327" s="51" t="s">
        <v>58</v>
      </c>
      <c r="B327" s="52">
        <v>375</v>
      </c>
      <c r="C327" s="52" t="s">
        <v>188</v>
      </c>
      <c r="D327" s="41">
        <f t="shared" ref="D327:D390" si="171">+WEEKNUM(I327)</f>
        <v>4</v>
      </c>
      <c r="E327" s="52" t="s">
        <v>195</v>
      </c>
      <c r="F327" s="52" t="s">
        <v>454</v>
      </c>
      <c r="G327" s="52" t="s">
        <v>162</v>
      </c>
      <c r="H327" s="52" t="s">
        <v>455</v>
      </c>
      <c r="I327" s="53">
        <v>45681</v>
      </c>
      <c r="J327" s="108">
        <v>2280</v>
      </c>
      <c r="K327" s="101"/>
      <c r="L327" s="101"/>
      <c r="M327" s="101">
        <f t="shared" ref="M327:M390" si="172">+J327-L327</f>
        <v>2280</v>
      </c>
      <c r="N327" s="54">
        <f t="shared" ref="N327:N390" si="173">+J327-K327</f>
        <v>2280</v>
      </c>
      <c r="O327" s="101" t="s">
        <v>178</v>
      </c>
      <c r="P327" s="102">
        <f t="shared" ref="P327:P390" si="174">J327/(R327*Q327)</f>
        <v>3.1666666666666665</v>
      </c>
      <c r="Q327" s="102">
        <v>6</v>
      </c>
      <c r="R327" s="99">
        <v>120</v>
      </c>
      <c r="S327" s="55">
        <f t="shared" si="167"/>
        <v>45653</v>
      </c>
      <c r="T327" s="55"/>
      <c r="U327" s="56">
        <f t="shared" ca="1" si="168"/>
        <v>-187</v>
      </c>
      <c r="V327" s="55">
        <f t="shared" si="169"/>
        <v>45669</v>
      </c>
      <c r="W327" s="55"/>
      <c r="X327" s="56">
        <f t="shared" ca="1" si="170"/>
        <v>-171</v>
      </c>
      <c r="Y327" s="55"/>
      <c r="Z327" s="57"/>
      <c r="AA327" s="58" t="str">
        <f t="shared" ref="AA327:AA390" si="175">+IF($AA$4=WEEKNUM(S327),J327,"-")</f>
        <v>-</v>
      </c>
      <c r="AB327" s="59"/>
      <c r="AC327" s="58" t="str">
        <f t="shared" ref="AC327:AC390" si="176">+IF($AC$4=WEEKNUM(S327),J327,"")</f>
        <v/>
      </c>
      <c r="AD327" s="59"/>
      <c r="AE327" s="58" t="str">
        <f t="shared" ref="AE327:AE390" si="177">+IF($AE$4=WEEKNUM(S327),J327,"")</f>
        <v/>
      </c>
      <c r="AF327" s="59"/>
      <c r="AG327" s="58" t="str">
        <f t="shared" ref="AG327:AG390" si="178">+IF($AG$4=WEEKNUM(S327),J327,"")</f>
        <v/>
      </c>
      <c r="AH327" s="59"/>
      <c r="AI327" s="58" t="str">
        <f t="shared" ref="AI327:AI390" si="179">+IF($AI$4=WEEKNUM(S327),J327,"")</f>
        <v/>
      </c>
      <c r="AJ327" s="59"/>
      <c r="AK327" s="58" t="str">
        <f t="shared" ref="AK327:AK390" si="180">+IF($AK$4=WEEKNUM(S327),J327,"")</f>
        <v/>
      </c>
      <c r="AL327" s="59"/>
      <c r="AM327" s="58" t="str">
        <f t="shared" ref="AM327:AM390" si="181">+IF($AM$4=WEEKNUM(S327),J327,"")</f>
        <v/>
      </c>
      <c r="AN327" s="59"/>
      <c r="AO327" s="58" t="str">
        <f t="shared" ref="AO327:AO390" si="182">+IF($AO$4=WEEKNUM(S327),J327,"")</f>
        <v/>
      </c>
      <c r="AP327" s="59"/>
      <c r="AQ327" s="58" t="str">
        <f t="shared" ref="AQ327:AQ390" si="183">+IF($AQ$4=WEEKNUM(S327),J327,"")</f>
        <v/>
      </c>
      <c r="AR327" s="59"/>
      <c r="AS327" s="58" t="str">
        <f t="shared" ref="AS327:AS390" si="184">+IF($AS$4=WEEKNUM(S327),J327,"")</f>
        <v/>
      </c>
      <c r="AT327" s="59"/>
      <c r="AU327" s="58" t="str">
        <f t="shared" ref="AU327:AU390" si="185">+IF($AU$4=WEEKNUM(S327),J327,"")</f>
        <v/>
      </c>
      <c r="AV327" s="59"/>
      <c r="AW327" s="58">
        <f t="shared" ref="AW327:AW390" si="186">+IF($AW$4=WEEKNUM(S327),J327,"")</f>
        <v>2280</v>
      </c>
      <c r="AX327" s="59"/>
      <c r="AY327" s="58" t="str">
        <f t="shared" ref="AY327:AY390" si="187">+IF($AY$4=WEEKNUM(S327),J327,"")</f>
        <v/>
      </c>
      <c r="AZ327" s="59"/>
      <c r="BA327" s="58" t="str">
        <f t="shared" ref="BA327:BA390" si="188">+IF($BA$4=WEEKNUM(S327),J327,"")</f>
        <v/>
      </c>
      <c r="BB327" s="59"/>
      <c r="BC327" s="58" t="str">
        <f t="shared" ref="BC327:BC390" si="189">+IF($BC$4=WEEKNUM(S327),J327,"")</f>
        <v/>
      </c>
      <c r="BD327" s="59"/>
      <c r="BE327" s="58" t="str">
        <f t="shared" ref="BE327:BE390" si="190">+IF($BE$4=WEEKNUM(S327),J327,"")</f>
        <v/>
      </c>
      <c r="BF327" s="59"/>
      <c r="BG327" s="58" t="str">
        <f t="shared" ref="BG327:BG390" si="191">+IF($BG$4=WEEKNUM(S327),J327,"")</f>
        <v/>
      </c>
      <c r="BH327" s="59"/>
      <c r="BI327" s="58" t="str">
        <f t="shared" ref="BI327:BI390" si="192">+IF($BI$4=WEEKNUM(S327),J327,"")</f>
        <v/>
      </c>
      <c r="BJ327" s="59"/>
      <c r="BK327" s="58" t="str">
        <f t="shared" ref="BK327:BK390" si="193">+IF($BK$4=WEEKNUM(S327),J327,"")</f>
        <v/>
      </c>
      <c r="BL327" s="59"/>
      <c r="BM327" s="58" t="str">
        <f t="shared" ref="BM327:BM390" si="194">+IF($BM$4=WEEKNUM(S327),J327,"")</f>
        <v/>
      </c>
      <c r="BN327" s="59"/>
      <c r="BO327" s="58" t="str">
        <f t="shared" ref="BO327:BO390" si="195">+IF($BO$4=WEEKNUM(S327),J327,"")</f>
        <v/>
      </c>
      <c r="BP327" s="59"/>
      <c r="BQ327" s="58" t="str">
        <f t="shared" ref="BQ327:BQ390" si="196">+IF($BQ$4=WEEKNUM(S327),J327,"")</f>
        <v/>
      </c>
      <c r="BR327" s="59"/>
      <c r="BS327" s="58" t="str">
        <f t="shared" ref="BS327:BS390" si="197">+IF($BS$4=WEEKNUM(S327),J327,"")</f>
        <v/>
      </c>
      <c r="BT327" s="59"/>
      <c r="BU327" s="58" t="str">
        <f t="shared" ref="BU327:BU390" si="198">+IF($BU$4=WEEKNUM(S327),J327,"")</f>
        <v/>
      </c>
      <c r="BV327" s="59"/>
    </row>
    <row r="328" spans="1:74" ht="14.5">
      <c r="A328" s="51" t="s">
        <v>58</v>
      </c>
      <c r="B328" s="52">
        <v>375</v>
      </c>
      <c r="C328" s="52" t="s">
        <v>188</v>
      </c>
      <c r="D328" s="41">
        <f t="shared" si="171"/>
        <v>4</v>
      </c>
      <c r="E328" s="52" t="s">
        <v>546</v>
      </c>
      <c r="F328" s="52" t="s">
        <v>468</v>
      </c>
      <c r="G328" s="52" t="s">
        <v>547</v>
      </c>
      <c r="H328" s="52" t="s">
        <v>548</v>
      </c>
      <c r="I328" s="53">
        <v>45681</v>
      </c>
      <c r="J328" s="108">
        <v>1696</v>
      </c>
      <c r="K328" s="101"/>
      <c r="L328" s="101"/>
      <c r="M328" s="101">
        <f t="shared" si="172"/>
        <v>1696</v>
      </c>
      <c r="N328" s="54">
        <f t="shared" si="173"/>
        <v>1696</v>
      </c>
      <c r="O328" s="101" t="s">
        <v>178</v>
      </c>
      <c r="P328" s="102">
        <f t="shared" si="174"/>
        <v>2.3555555555555556</v>
      </c>
      <c r="Q328" s="102">
        <v>6</v>
      </c>
      <c r="R328" s="99">
        <v>120</v>
      </c>
      <c r="S328" s="55">
        <f t="shared" si="167"/>
        <v>45653</v>
      </c>
      <c r="T328" s="55"/>
      <c r="U328" s="56">
        <f t="shared" ca="1" si="168"/>
        <v>-187</v>
      </c>
      <c r="V328" s="55">
        <f t="shared" si="169"/>
        <v>45669</v>
      </c>
      <c r="W328" s="55"/>
      <c r="X328" s="56">
        <f t="shared" ca="1" si="170"/>
        <v>-171</v>
      </c>
      <c r="Y328" s="55"/>
      <c r="Z328" s="57"/>
      <c r="AA328" s="58" t="str">
        <f t="shared" si="175"/>
        <v>-</v>
      </c>
      <c r="AB328" s="59"/>
      <c r="AC328" s="58" t="str">
        <f t="shared" si="176"/>
        <v/>
      </c>
      <c r="AD328" s="59"/>
      <c r="AE328" s="58" t="str">
        <f t="shared" si="177"/>
        <v/>
      </c>
      <c r="AF328" s="59"/>
      <c r="AG328" s="58" t="str">
        <f t="shared" si="178"/>
        <v/>
      </c>
      <c r="AH328" s="59"/>
      <c r="AI328" s="58" t="str">
        <f t="shared" si="179"/>
        <v/>
      </c>
      <c r="AJ328" s="59"/>
      <c r="AK328" s="58" t="str">
        <f t="shared" si="180"/>
        <v/>
      </c>
      <c r="AL328" s="59"/>
      <c r="AM328" s="58" t="str">
        <f t="shared" si="181"/>
        <v/>
      </c>
      <c r="AN328" s="59"/>
      <c r="AO328" s="58" t="str">
        <f t="shared" si="182"/>
        <v/>
      </c>
      <c r="AP328" s="59"/>
      <c r="AQ328" s="58" t="str">
        <f t="shared" si="183"/>
        <v/>
      </c>
      <c r="AR328" s="59"/>
      <c r="AS328" s="58" t="str">
        <f t="shared" si="184"/>
        <v/>
      </c>
      <c r="AT328" s="59"/>
      <c r="AU328" s="58" t="str">
        <f t="shared" si="185"/>
        <v/>
      </c>
      <c r="AV328" s="59"/>
      <c r="AW328" s="58">
        <f t="shared" si="186"/>
        <v>1696</v>
      </c>
      <c r="AX328" s="59"/>
      <c r="AY328" s="58" t="str">
        <f t="shared" si="187"/>
        <v/>
      </c>
      <c r="AZ328" s="59"/>
      <c r="BA328" s="58" t="str">
        <f t="shared" si="188"/>
        <v/>
      </c>
      <c r="BB328" s="59"/>
      <c r="BC328" s="58" t="str">
        <f t="shared" si="189"/>
        <v/>
      </c>
      <c r="BD328" s="59"/>
      <c r="BE328" s="58" t="str">
        <f t="shared" si="190"/>
        <v/>
      </c>
      <c r="BF328" s="59"/>
      <c r="BG328" s="58" t="str">
        <f t="shared" si="191"/>
        <v/>
      </c>
      <c r="BH328" s="59"/>
      <c r="BI328" s="58" t="str">
        <f t="shared" si="192"/>
        <v/>
      </c>
      <c r="BJ328" s="59"/>
      <c r="BK328" s="58" t="str">
        <f t="shared" si="193"/>
        <v/>
      </c>
      <c r="BL328" s="59"/>
      <c r="BM328" s="58" t="str">
        <f t="shared" si="194"/>
        <v/>
      </c>
      <c r="BN328" s="59"/>
      <c r="BO328" s="58" t="str">
        <f t="shared" si="195"/>
        <v/>
      </c>
      <c r="BP328" s="59"/>
      <c r="BQ328" s="58" t="str">
        <f t="shared" si="196"/>
        <v/>
      </c>
      <c r="BR328" s="59"/>
      <c r="BS328" s="58" t="str">
        <f t="shared" si="197"/>
        <v/>
      </c>
      <c r="BT328" s="59"/>
      <c r="BU328" s="58" t="str">
        <f t="shared" si="198"/>
        <v/>
      </c>
      <c r="BV328" s="59"/>
    </row>
    <row r="329" spans="1:74" ht="14.5">
      <c r="A329" s="51" t="s">
        <v>58</v>
      </c>
      <c r="B329" s="52">
        <v>375</v>
      </c>
      <c r="C329" s="52" t="s">
        <v>188</v>
      </c>
      <c r="D329" s="41">
        <f t="shared" si="171"/>
        <v>4</v>
      </c>
      <c r="E329" s="52" t="s">
        <v>158</v>
      </c>
      <c r="F329" s="52" t="s">
        <v>242</v>
      </c>
      <c r="G329" s="52" t="s">
        <v>154</v>
      </c>
      <c r="H329" s="52" t="s">
        <v>432</v>
      </c>
      <c r="I329" s="53">
        <v>45681</v>
      </c>
      <c r="J329" s="108">
        <v>1316</v>
      </c>
      <c r="K329" s="101"/>
      <c r="L329" s="101"/>
      <c r="M329" s="101">
        <f t="shared" si="172"/>
        <v>1316</v>
      </c>
      <c r="N329" s="54">
        <f t="shared" si="173"/>
        <v>1316</v>
      </c>
      <c r="O329" s="101" t="s">
        <v>437</v>
      </c>
      <c r="P329" s="102">
        <f t="shared" si="174"/>
        <v>1.8277777777777777</v>
      </c>
      <c r="Q329" s="102">
        <v>6</v>
      </c>
      <c r="R329" s="99">
        <v>120</v>
      </c>
      <c r="S329" s="55">
        <f t="shared" si="167"/>
        <v>45653</v>
      </c>
      <c r="T329" s="55"/>
      <c r="U329" s="56">
        <f t="shared" ca="1" si="168"/>
        <v>-187</v>
      </c>
      <c r="V329" s="55">
        <f t="shared" si="169"/>
        <v>45669</v>
      </c>
      <c r="W329" s="55"/>
      <c r="X329" s="56">
        <f t="shared" ca="1" si="170"/>
        <v>-171</v>
      </c>
      <c r="Y329" s="55"/>
      <c r="Z329" s="57"/>
      <c r="AA329" s="58" t="str">
        <f t="shared" si="175"/>
        <v>-</v>
      </c>
      <c r="AB329" s="59"/>
      <c r="AC329" s="58" t="str">
        <f t="shared" si="176"/>
        <v/>
      </c>
      <c r="AD329" s="59"/>
      <c r="AE329" s="58" t="str">
        <f t="shared" si="177"/>
        <v/>
      </c>
      <c r="AF329" s="59"/>
      <c r="AG329" s="58" t="str">
        <f t="shared" si="178"/>
        <v/>
      </c>
      <c r="AH329" s="59"/>
      <c r="AI329" s="58" t="str">
        <f t="shared" si="179"/>
        <v/>
      </c>
      <c r="AJ329" s="59"/>
      <c r="AK329" s="58" t="str">
        <f t="shared" si="180"/>
        <v/>
      </c>
      <c r="AL329" s="59"/>
      <c r="AM329" s="58" t="str">
        <f t="shared" si="181"/>
        <v/>
      </c>
      <c r="AN329" s="59"/>
      <c r="AO329" s="58" t="str">
        <f t="shared" si="182"/>
        <v/>
      </c>
      <c r="AP329" s="59"/>
      <c r="AQ329" s="58" t="str">
        <f t="shared" si="183"/>
        <v/>
      </c>
      <c r="AR329" s="59"/>
      <c r="AS329" s="58" t="str">
        <f t="shared" si="184"/>
        <v/>
      </c>
      <c r="AT329" s="59"/>
      <c r="AU329" s="58" t="str">
        <f t="shared" si="185"/>
        <v/>
      </c>
      <c r="AV329" s="59"/>
      <c r="AW329" s="58">
        <f t="shared" si="186"/>
        <v>1316</v>
      </c>
      <c r="AX329" s="59"/>
      <c r="AY329" s="58" t="str">
        <f t="shared" si="187"/>
        <v/>
      </c>
      <c r="AZ329" s="59"/>
      <c r="BA329" s="58" t="str">
        <f t="shared" si="188"/>
        <v/>
      </c>
      <c r="BB329" s="59"/>
      <c r="BC329" s="58" t="str">
        <f t="shared" si="189"/>
        <v/>
      </c>
      <c r="BD329" s="59"/>
      <c r="BE329" s="58" t="str">
        <f t="shared" si="190"/>
        <v/>
      </c>
      <c r="BF329" s="59"/>
      <c r="BG329" s="58" t="str">
        <f t="shared" si="191"/>
        <v/>
      </c>
      <c r="BH329" s="59"/>
      <c r="BI329" s="58" t="str">
        <f t="shared" si="192"/>
        <v/>
      </c>
      <c r="BJ329" s="59"/>
      <c r="BK329" s="58" t="str">
        <f t="shared" si="193"/>
        <v/>
      </c>
      <c r="BL329" s="59"/>
      <c r="BM329" s="58" t="str">
        <f t="shared" si="194"/>
        <v/>
      </c>
      <c r="BN329" s="59"/>
      <c r="BO329" s="58" t="str">
        <f t="shared" si="195"/>
        <v/>
      </c>
      <c r="BP329" s="59"/>
      <c r="BQ329" s="58" t="str">
        <f t="shared" si="196"/>
        <v/>
      </c>
      <c r="BR329" s="59"/>
      <c r="BS329" s="58" t="str">
        <f t="shared" si="197"/>
        <v/>
      </c>
      <c r="BT329" s="59"/>
      <c r="BU329" s="58" t="str">
        <f t="shared" si="198"/>
        <v/>
      </c>
      <c r="BV329" s="59"/>
    </row>
    <row r="330" spans="1:74" ht="14.5">
      <c r="A330" s="51" t="s">
        <v>58</v>
      </c>
      <c r="B330" s="52">
        <v>375</v>
      </c>
      <c r="C330" s="52" t="s">
        <v>188</v>
      </c>
      <c r="D330" s="41">
        <f t="shared" si="171"/>
        <v>4</v>
      </c>
      <c r="E330" s="52" t="s">
        <v>158</v>
      </c>
      <c r="F330" s="52" t="s">
        <v>242</v>
      </c>
      <c r="G330" s="52" t="s">
        <v>255</v>
      </c>
      <c r="H330" s="52" t="s">
        <v>498</v>
      </c>
      <c r="I330" s="53">
        <v>45681</v>
      </c>
      <c r="J330" s="108">
        <v>668</v>
      </c>
      <c r="K330" s="101"/>
      <c r="L330" s="101"/>
      <c r="M330" s="101">
        <f t="shared" si="172"/>
        <v>668</v>
      </c>
      <c r="N330" s="54">
        <f t="shared" si="173"/>
        <v>668</v>
      </c>
      <c r="O330" s="101" t="s">
        <v>437</v>
      </c>
      <c r="P330" s="102">
        <f t="shared" si="174"/>
        <v>0.92777777777777781</v>
      </c>
      <c r="Q330" s="102">
        <v>6</v>
      </c>
      <c r="R330" s="99">
        <v>120</v>
      </c>
      <c r="S330" s="55">
        <f t="shared" si="167"/>
        <v>45653</v>
      </c>
      <c r="T330" s="55"/>
      <c r="U330" s="56">
        <f t="shared" ca="1" si="168"/>
        <v>-187</v>
      </c>
      <c r="V330" s="55">
        <f t="shared" si="169"/>
        <v>45669</v>
      </c>
      <c r="W330" s="55"/>
      <c r="X330" s="56">
        <f t="shared" ca="1" si="170"/>
        <v>-171</v>
      </c>
      <c r="Y330" s="55"/>
      <c r="Z330" s="57"/>
      <c r="AA330" s="58" t="str">
        <f t="shared" si="175"/>
        <v>-</v>
      </c>
      <c r="AB330" s="59"/>
      <c r="AC330" s="58" t="str">
        <f t="shared" si="176"/>
        <v/>
      </c>
      <c r="AD330" s="59"/>
      <c r="AE330" s="58" t="str">
        <f t="shared" si="177"/>
        <v/>
      </c>
      <c r="AF330" s="59"/>
      <c r="AG330" s="58" t="str">
        <f t="shared" si="178"/>
        <v/>
      </c>
      <c r="AH330" s="59"/>
      <c r="AI330" s="58" t="str">
        <f t="shared" si="179"/>
        <v/>
      </c>
      <c r="AJ330" s="59"/>
      <c r="AK330" s="58" t="str">
        <f t="shared" si="180"/>
        <v/>
      </c>
      <c r="AL330" s="59"/>
      <c r="AM330" s="58" t="str">
        <f t="shared" si="181"/>
        <v/>
      </c>
      <c r="AN330" s="59"/>
      <c r="AO330" s="58" t="str">
        <f t="shared" si="182"/>
        <v/>
      </c>
      <c r="AP330" s="59"/>
      <c r="AQ330" s="58" t="str">
        <f t="shared" si="183"/>
        <v/>
      </c>
      <c r="AR330" s="59"/>
      <c r="AS330" s="58" t="str">
        <f t="shared" si="184"/>
        <v/>
      </c>
      <c r="AT330" s="59"/>
      <c r="AU330" s="58" t="str">
        <f t="shared" si="185"/>
        <v/>
      </c>
      <c r="AV330" s="59"/>
      <c r="AW330" s="58">
        <f t="shared" si="186"/>
        <v>668</v>
      </c>
      <c r="AX330" s="59"/>
      <c r="AY330" s="58" t="str">
        <f t="shared" si="187"/>
        <v/>
      </c>
      <c r="AZ330" s="59"/>
      <c r="BA330" s="58" t="str">
        <f t="shared" si="188"/>
        <v/>
      </c>
      <c r="BB330" s="59"/>
      <c r="BC330" s="58" t="str">
        <f t="shared" si="189"/>
        <v/>
      </c>
      <c r="BD330" s="59"/>
      <c r="BE330" s="58" t="str">
        <f t="shared" si="190"/>
        <v/>
      </c>
      <c r="BF330" s="59"/>
      <c r="BG330" s="58" t="str">
        <f t="shared" si="191"/>
        <v/>
      </c>
      <c r="BH330" s="59"/>
      <c r="BI330" s="58" t="str">
        <f t="shared" si="192"/>
        <v/>
      </c>
      <c r="BJ330" s="59"/>
      <c r="BK330" s="58" t="str">
        <f t="shared" si="193"/>
        <v/>
      </c>
      <c r="BL330" s="59"/>
      <c r="BM330" s="58" t="str">
        <f t="shared" si="194"/>
        <v/>
      </c>
      <c r="BN330" s="59"/>
      <c r="BO330" s="58" t="str">
        <f t="shared" si="195"/>
        <v/>
      </c>
      <c r="BP330" s="59"/>
      <c r="BQ330" s="58" t="str">
        <f t="shared" si="196"/>
        <v/>
      </c>
      <c r="BR330" s="59"/>
      <c r="BS330" s="58" t="str">
        <f t="shared" si="197"/>
        <v/>
      </c>
      <c r="BT330" s="59"/>
      <c r="BU330" s="58" t="str">
        <f t="shared" si="198"/>
        <v/>
      </c>
      <c r="BV330" s="59"/>
    </row>
    <row r="331" spans="1:74" ht="14.5">
      <c r="A331" s="51" t="s">
        <v>58</v>
      </c>
      <c r="B331" s="52">
        <v>375</v>
      </c>
      <c r="C331" s="52" t="s">
        <v>188</v>
      </c>
      <c r="D331" s="41">
        <f t="shared" si="171"/>
        <v>4</v>
      </c>
      <c r="E331" s="52" t="s">
        <v>158</v>
      </c>
      <c r="F331" s="52" t="s">
        <v>242</v>
      </c>
      <c r="G331" s="52" t="s">
        <v>255</v>
      </c>
      <c r="H331" s="52" t="s">
        <v>498</v>
      </c>
      <c r="I331" s="53">
        <v>45681</v>
      </c>
      <c r="J331" s="108">
        <v>668</v>
      </c>
      <c r="K331" s="101"/>
      <c r="L331" s="101"/>
      <c r="M331" s="101">
        <f t="shared" si="172"/>
        <v>668</v>
      </c>
      <c r="N331" s="54">
        <f t="shared" si="173"/>
        <v>668</v>
      </c>
      <c r="O331" s="101" t="s">
        <v>437</v>
      </c>
      <c r="P331" s="102">
        <f t="shared" si="174"/>
        <v>0.92777777777777781</v>
      </c>
      <c r="Q331" s="102">
        <v>6</v>
      </c>
      <c r="R331" s="99">
        <v>120</v>
      </c>
      <c r="S331" s="55">
        <f t="shared" si="167"/>
        <v>45653</v>
      </c>
      <c r="T331" s="55"/>
      <c r="U331" s="56">
        <f t="shared" ca="1" si="168"/>
        <v>-187</v>
      </c>
      <c r="V331" s="55">
        <f t="shared" si="169"/>
        <v>45669</v>
      </c>
      <c r="W331" s="55"/>
      <c r="X331" s="56">
        <f t="shared" ca="1" si="170"/>
        <v>-171</v>
      </c>
      <c r="Y331" s="55"/>
      <c r="Z331" s="57"/>
      <c r="AA331" s="58" t="str">
        <f t="shared" si="175"/>
        <v>-</v>
      </c>
      <c r="AB331" s="59"/>
      <c r="AC331" s="58" t="str">
        <f t="shared" si="176"/>
        <v/>
      </c>
      <c r="AD331" s="59"/>
      <c r="AE331" s="58" t="str">
        <f t="shared" si="177"/>
        <v/>
      </c>
      <c r="AF331" s="59"/>
      <c r="AG331" s="58" t="str">
        <f t="shared" si="178"/>
        <v/>
      </c>
      <c r="AH331" s="59"/>
      <c r="AI331" s="58" t="str">
        <f t="shared" si="179"/>
        <v/>
      </c>
      <c r="AJ331" s="59"/>
      <c r="AK331" s="58" t="str">
        <f t="shared" si="180"/>
        <v/>
      </c>
      <c r="AL331" s="59"/>
      <c r="AM331" s="58" t="str">
        <f t="shared" si="181"/>
        <v/>
      </c>
      <c r="AN331" s="59"/>
      <c r="AO331" s="58" t="str">
        <f t="shared" si="182"/>
        <v/>
      </c>
      <c r="AP331" s="59"/>
      <c r="AQ331" s="58" t="str">
        <f t="shared" si="183"/>
        <v/>
      </c>
      <c r="AR331" s="59"/>
      <c r="AS331" s="58" t="str">
        <f t="shared" si="184"/>
        <v/>
      </c>
      <c r="AT331" s="59"/>
      <c r="AU331" s="58" t="str">
        <f t="shared" si="185"/>
        <v/>
      </c>
      <c r="AV331" s="59"/>
      <c r="AW331" s="58">
        <f t="shared" si="186"/>
        <v>668</v>
      </c>
      <c r="AX331" s="59"/>
      <c r="AY331" s="58" t="str">
        <f t="shared" si="187"/>
        <v/>
      </c>
      <c r="AZ331" s="59"/>
      <c r="BA331" s="58" t="str">
        <f t="shared" si="188"/>
        <v/>
      </c>
      <c r="BB331" s="59"/>
      <c r="BC331" s="58" t="str">
        <f t="shared" si="189"/>
        <v/>
      </c>
      <c r="BD331" s="59"/>
      <c r="BE331" s="58" t="str">
        <f t="shared" si="190"/>
        <v/>
      </c>
      <c r="BF331" s="59"/>
      <c r="BG331" s="58" t="str">
        <f t="shared" si="191"/>
        <v/>
      </c>
      <c r="BH331" s="59"/>
      <c r="BI331" s="58" t="str">
        <f t="shared" si="192"/>
        <v/>
      </c>
      <c r="BJ331" s="59"/>
      <c r="BK331" s="58" t="str">
        <f t="shared" si="193"/>
        <v/>
      </c>
      <c r="BL331" s="59"/>
      <c r="BM331" s="58" t="str">
        <f t="shared" si="194"/>
        <v/>
      </c>
      <c r="BN331" s="59"/>
      <c r="BO331" s="58" t="str">
        <f t="shared" si="195"/>
        <v/>
      </c>
      <c r="BP331" s="59"/>
      <c r="BQ331" s="58" t="str">
        <f t="shared" si="196"/>
        <v/>
      </c>
      <c r="BR331" s="59"/>
      <c r="BS331" s="58" t="str">
        <f t="shared" si="197"/>
        <v/>
      </c>
      <c r="BT331" s="59"/>
      <c r="BU331" s="58" t="str">
        <f t="shared" si="198"/>
        <v/>
      </c>
      <c r="BV331" s="59"/>
    </row>
    <row r="332" spans="1:74" ht="14.5">
      <c r="A332" s="51" t="s">
        <v>58</v>
      </c>
      <c r="B332" s="52">
        <v>392</v>
      </c>
      <c r="C332" s="52" t="s">
        <v>188</v>
      </c>
      <c r="D332" s="41">
        <f t="shared" si="171"/>
        <v>4</v>
      </c>
      <c r="E332" s="52" t="s">
        <v>189</v>
      </c>
      <c r="F332" s="52" t="s">
        <v>242</v>
      </c>
      <c r="G332" s="52" t="s">
        <v>162</v>
      </c>
      <c r="H332" s="52" t="s">
        <v>432</v>
      </c>
      <c r="I332" s="53">
        <v>45681</v>
      </c>
      <c r="J332" s="108">
        <v>3728</v>
      </c>
      <c r="K332" s="101"/>
      <c r="L332" s="101"/>
      <c r="M332" s="101">
        <f t="shared" si="172"/>
        <v>3728</v>
      </c>
      <c r="N332" s="54">
        <f t="shared" si="173"/>
        <v>3728</v>
      </c>
      <c r="O332" s="101" t="s">
        <v>178</v>
      </c>
      <c r="P332" s="102">
        <f t="shared" si="174"/>
        <v>5.177777777777778</v>
      </c>
      <c r="Q332" s="102">
        <v>6</v>
      </c>
      <c r="R332" s="99">
        <v>120</v>
      </c>
      <c r="S332" s="55">
        <f>+I332-(32)</f>
        <v>45649</v>
      </c>
      <c r="T332" s="55"/>
      <c r="U332" s="56">
        <f t="shared" ca="1" si="168"/>
        <v>-191</v>
      </c>
      <c r="V332" s="55">
        <f t="shared" si="169"/>
        <v>45665</v>
      </c>
      <c r="W332" s="55"/>
      <c r="X332" s="56">
        <f t="shared" ca="1" si="170"/>
        <v>-175</v>
      </c>
      <c r="Y332" s="55"/>
      <c r="Z332" s="57"/>
      <c r="AA332" s="58" t="str">
        <f t="shared" si="175"/>
        <v>-</v>
      </c>
      <c r="AB332" s="59"/>
      <c r="AC332" s="58" t="str">
        <f t="shared" si="176"/>
        <v/>
      </c>
      <c r="AD332" s="59"/>
      <c r="AE332" s="58" t="str">
        <f t="shared" si="177"/>
        <v/>
      </c>
      <c r="AF332" s="59"/>
      <c r="AG332" s="58" t="str">
        <f t="shared" si="178"/>
        <v/>
      </c>
      <c r="AH332" s="59"/>
      <c r="AI332" s="58" t="str">
        <f t="shared" si="179"/>
        <v/>
      </c>
      <c r="AJ332" s="59"/>
      <c r="AK332" s="58" t="str">
        <f t="shared" si="180"/>
        <v/>
      </c>
      <c r="AL332" s="59"/>
      <c r="AM332" s="58" t="str">
        <f t="shared" si="181"/>
        <v/>
      </c>
      <c r="AN332" s="59"/>
      <c r="AO332" s="58" t="str">
        <f t="shared" si="182"/>
        <v/>
      </c>
      <c r="AP332" s="59"/>
      <c r="AQ332" s="58" t="str">
        <f t="shared" si="183"/>
        <v/>
      </c>
      <c r="AR332" s="59"/>
      <c r="AS332" s="58" t="str">
        <f t="shared" si="184"/>
        <v/>
      </c>
      <c r="AT332" s="59"/>
      <c r="AU332" s="58" t="str">
        <f t="shared" si="185"/>
        <v/>
      </c>
      <c r="AV332" s="59"/>
      <c r="AW332" s="58">
        <f t="shared" si="186"/>
        <v>3728</v>
      </c>
      <c r="AX332" s="59"/>
      <c r="AY332" s="58" t="str">
        <f t="shared" si="187"/>
        <v/>
      </c>
      <c r="AZ332" s="59"/>
      <c r="BA332" s="58" t="str">
        <f t="shared" si="188"/>
        <v/>
      </c>
      <c r="BB332" s="59"/>
      <c r="BC332" s="58" t="str">
        <f t="shared" si="189"/>
        <v/>
      </c>
      <c r="BD332" s="59"/>
      <c r="BE332" s="58" t="str">
        <f t="shared" si="190"/>
        <v/>
      </c>
      <c r="BF332" s="59"/>
      <c r="BG332" s="58" t="str">
        <f t="shared" si="191"/>
        <v/>
      </c>
      <c r="BH332" s="59"/>
      <c r="BI332" s="58" t="str">
        <f t="shared" si="192"/>
        <v/>
      </c>
      <c r="BJ332" s="59"/>
      <c r="BK332" s="58" t="str">
        <f t="shared" si="193"/>
        <v/>
      </c>
      <c r="BL332" s="59"/>
      <c r="BM332" s="58" t="str">
        <f t="shared" si="194"/>
        <v/>
      </c>
      <c r="BN332" s="59"/>
      <c r="BO332" s="58" t="str">
        <f t="shared" si="195"/>
        <v/>
      </c>
      <c r="BP332" s="59"/>
      <c r="BQ332" s="58" t="str">
        <f t="shared" si="196"/>
        <v/>
      </c>
      <c r="BR332" s="59"/>
      <c r="BS332" s="58" t="str">
        <f t="shared" si="197"/>
        <v/>
      </c>
      <c r="BT332" s="59"/>
      <c r="BU332" s="58" t="str">
        <f t="shared" si="198"/>
        <v/>
      </c>
      <c r="BV332" s="59"/>
    </row>
    <row r="333" spans="1:74" ht="14.5">
      <c r="A333" s="51" t="s">
        <v>58</v>
      </c>
      <c r="B333" s="52">
        <v>350</v>
      </c>
      <c r="C333" s="52" t="s">
        <v>188</v>
      </c>
      <c r="D333" s="41">
        <f t="shared" si="171"/>
        <v>4</v>
      </c>
      <c r="E333" s="52" t="s">
        <v>193</v>
      </c>
      <c r="F333" s="52" t="s">
        <v>300</v>
      </c>
      <c r="G333" s="52" t="s">
        <v>162</v>
      </c>
      <c r="H333" s="52" t="s">
        <v>440</v>
      </c>
      <c r="I333" s="53">
        <v>45682</v>
      </c>
      <c r="J333" s="108">
        <v>2080</v>
      </c>
      <c r="K333" s="101"/>
      <c r="L333" s="101"/>
      <c r="M333" s="101">
        <f t="shared" si="172"/>
        <v>2080</v>
      </c>
      <c r="N333" s="54">
        <f t="shared" si="173"/>
        <v>2080</v>
      </c>
      <c r="O333" s="101" t="s">
        <v>178</v>
      </c>
      <c r="P333" s="102">
        <f t="shared" si="174"/>
        <v>2.8888888888888888</v>
      </c>
      <c r="Q333" s="102">
        <v>6</v>
      </c>
      <c r="R333" s="99">
        <v>120</v>
      </c>
      <c r="S333" s="55">
        <f t="shared" ref="S333:S368" si="199">+I333-(28)</f>
        <v>45654</v>
      </c>
      <c r="T333" s="55">
        <v>45620</v>
      </c>
      <c r="U333" s="56">
        <f t="shared" ca="1" si="168"/>
        <v>34</v>
      </c>
      <c r="V333" s="55">
        <f t="shared" si="169"/>
        <v>45670</v>
      </c>
      <c r="W333" s="55"/>
      <c r="X333" s="56">
        <f t="shared" ca="1" si="170"/>
        <v>-170</v>
      </c>
      <c r="Y333" s="55"/>
      <c r="Z333" s="57"/>
      <c r="AA333" s="58" t="str">
        <f t="shared" si="175"/>
        <v>-</v>
      </c>
      <c r="AB333" s="59"/>
      <c r="AC333" s="58" t="str">
        <f t="shared" si="176"/>
        <v/>
      </c>
      <c r="AD333" s="59"/>
      <c r="AE333" s="58" t="str">
        <f t="shared" si="177"/>
        <v/>
      </c>
      <c r="AF333" s="59"/>
      <c r="AG333" s="58" t="str">
        <f t="shared" si="178"/>
        <v/>
      </c>
      <c r="AH333" s="59"/>
      <c r="AI333" s="58" t="str">
        <f t="shared" si="179"/>
        <v/>
      </c>
      <c r="AJ333" s="59"/>
      <c r="AK333" s="58" t="str">
        <f t="shared" si="180"/>
        <v/>
      </c>
      <c r="AL333" s="59"/>
      <c r="AM333" s="58" t="str">
        <f t="shared" si="181"/>
        <v/>
      </c>
      <c r="AN333" s="59"/>
      <c r="AO333" s="58" t="str">
        <f t="shared" si="182"/>
        <v/>
      </c>
      <c r="AP333" s="59"/>
      <c r="AQ333" s="58" t="str">
        <f t="shared" si="183"/>
        <v/>
      </c>
      <c r="AR333" s="59"/>
      <c r="AS333" s="58" t="str">
        <f t="shared" si="184"/>
        <v/>
      </c>
      <c r="AT333" s="59"/>
      <c r="AU333" s="58" t="str">
        <f t="shared" si="185"/>
        <v/>
      </c>
      <c r="AV333" s="59"/>
      <c r="AW333" s="58">
        <f t="shared" si="186"/>
        <v>2080</v>
      </c>
      <c r="AX333" s="59"/>
      <c r="AY333" s="58" t="str">
        <f t="shared" si="187"/>
        <v/>
      </c>
      <c r="AZ333" s="59"/>
      <c r="BA333" s="58" t="str">
        <f t="shared" si="188"/>
        <v/>
      </c>
      <c r="BB333" s="59"/>
      <c r="BC333" s="58" t="str">
        <f t="shared" si="189"/>
        <v/>
      </c>
      <c r="BD333" s="59"/>
      <c r="BE333" s="58" t="str">
        <f t="shared" si="190"/>
        <v/>
      </c>
      <c r="BF333" s="59"/>
      <c r="BG333" s="58" t="str">
        <f t="shared" si="191"/>
        <v/>
      </c>
      <c r="BH333" s="59"/>
      <c r="BI333" s="58" t="str">
        <f t="shared" si="192"/>
        <v/>
      </c>
      <c r="BJ333" s="59"/>
      <c r="BK333" s="58" t="str">
        <f t="shared" si="193"/>
        <v/>
      </c>
      <c r="BL333" s="59"/>
      <c r="BM333" s="58" t="str">
        <f t="shared" si="194"/>
        <v/>
      </c>
      <c r="BN333" s="59"/>
      <c r="BO333" s="58" t="str">
        <f t="shared" si="195"/>
        <v/>
      </c>
      <c r="BP333" s="59"/>
      <c r="BQ333" s="58" t="str">
        <f t="shared" si="196"/>
        <v/>
      </c>
      <c r="BR333" s="59"/>
      <c r="BS333" s="58" t="str">
        <f t="shared" si="197"/>
        <v/>
      </c>
      <c r="BT333" s="59"/>
      <c r="BU333" s="58" t="str">
        <f t="shared" si="198"/>
        <v/>
      </c>
      <c r="BV333" s="59"/>
    </row>
    <row r="334" spans="1:74" ht="14.5">
      <c r="A334" s="51" t="s">
        <v>58</v>
      </c>
      <c r="B334" s="52">
        <v>350</v>
      </c>
      <c r="C334" s="52" t="s">
        <v>188</v>
      </c>
      <c r="D334" s="41">
        <f t="shared" si="171"/>
        <v>4</v>
      </c>
      <c r="E334" s="52" t="s">
        <v>502</v>
      </c>
      <c r="F334" s="52" t="s">
        <v>289</v>
      </c>
      <c r="G334" s="52" t="s">
        <v>155</v>
      </c>
      <c r="H334" s="52" t="s">
        <v>503</v>
      </c>
      <c r="I334" s="53">
        <v>45682</v>
      </c>
      <c r="J334" s="108">
        <v>2160</v>
      </c>
      <c r="K334" s="101"/>
      <c r="L334" s="101"/>
      <c r="M334" s="101">
        <f t="shared" si="172"/>
        <v>2160</v>
      </c>
      <c r="N334" s="54">
        <f t="shared" si="173"/>
        <v>2160</v>
      </c>
      <c r="O334" s="101" t="s">
        <v>504</v>
      </c>
      <c r="P334" s="102">
        <f t="shared" si="174"/>
        <v>11.25</v>
      </c>
      <c r="Q334" s="102">
        <v>6</v>
      </c>
      <c r="R334" s="99">
        <f>480/15</f>
        <v>32</v>
      </c>
      <c r="S334" s="55">
        <f t="shared" si="199"/>
        <v>45654</v>
      </c>
      <c r="T334" s="55"/>
      <c r="U334" s="56">
        <f t="shared" ca="1" si="168"/>
        <v>-186</v>
      </c>
      <c r="V334" s="55">
        <f t="shared" si="169"/>
        <v>45670</v>
      </c>
      <c r="W334" s="55"/>
      <c r="X334" s="56">
        <f t="shared" ca="1" si="170"/>
        <v>-170</v>
      </c>
      <c r="Y334" s="55"/>
      <c r="Z334" s="57"/>
      <c r="AA334" s="58" t="str">
        <f t="shared" si="175"/>
        <v>-</v>
      </c>
      <c r="AB334" s="59"/>
      <c r="AC334" s="58" t="str">
        <f t="shared" si="176"/>
        <v/>
      </c>
      <c r="AD334" s="59"/>
      <c r="AE334" s="58" t="str">
        <f t="shared" si="177"/>
        <v/>
      </c>
      <c r="AF334" s="59"/>
      <c r="AG334" s="58" t="str">
        <f t="shared" si="178"/>
        <v/>
      </c>
      <c r="AH334" s="59"/>
      <c r="AI334" s="58" t="str">
        <f t="shared" si="179"/>
        <v/>
      </c>
      <c r="AJ334" s="59"/>
      <c r="AK334" s="58" t="str">
        <f t="shared" si="180"/>
        <v/>
      </c>
      <c r="AL334" s="59"/>
      <c r="AM334" s="58" t="str">
        <f t="shared" si="181"/>
        <v/>
      </c>
      <c r="AN334" s="59"/>
      <c r="AO334" s="58" t="str">
        <f t="shared" si="182"/>
        <v/>
      </c>
      <c r="AP334" s="59"/>
      <c r="AQ334" s="58" t="str">
        <f t="shared" si="183"/>
        <v/>
      </c>
      <c r="AR334" s="59"/>
      <c r="AS334" s="58" t="str">
        <f t="shared" si="184"/>
        <v/>
      </c>
      <c r="AT334" s="59"/>
      <c r="AU334" s="58" t="str">
        <f t="shared" si="185"/>
        <v/>
      </c>
      <c r="AV334" s="59"/>
      <c r="AW334" s="58">
        <f t="shared" si="186"/>
        <v>2160</v>
      </c>
      <c r="AX334" s="59"/>
      <c r="AY334" s="58" t="str">
        <f t="shared" si="187"/>
        <v/>
      </c>
      <c r="AZ334" s="59"/>
      <c r="BA334" s="58" t="str">
        <f t="shared" si="188"/>
        <v/>
      </c>
      <c r="BB334" s="59"/>
      <c r="BC334" s="58" t="str">
        <f t="shared" si="189"/>
        <v/>
      </c>
      <c r="BD334" s="59"/>
      <c r="BE334" s="58" t="str">
        <f t="shared" si="190"/>
        <v/>
      </c>
      <c r="BF334" s="59"/>
      <c r="BG334" s="58" t="str">
        <f t="shared" si="191"/>
        <v/>
      </c>
      <c r="BH334" s="59"/>
      <c r="BI334" s="58" t="str">
        <f t="shared" si="192"/>
        <v/>
      </c>
      <c r="BJ334" s="59"/>
      <c r="BK334" s="58" t="str">
        <f t="shared" si="193"/>
        <v/>
      </c>
      <c r="BL334" s="59"/>
      <c r="BM334" s="58" t="str">
        <f t="shared" si="194"/>
        <v/>
      </c>
      <c r="BN334" s="59"/>
      <c r="BO334" s="58" t="str">
        <f t="shared" si="195"/>
        <v/>
      </c>
      <c r="BP334" s="59"/>
      <c r="BQ334" s="58" t="str">
        <f t="shared" si="196"/>
        <v/>
      </c>
      <c r="BR334" s="59"/>
      <c r="BS334" s="58" t="str">
        <f t="shared" si="197"/>
        <v/>
      </c>
      <c r="BT334" s="59"/>
      <c r="BU334" s="58" t="str">
        <f t="shared" si="198"/>
        <v/>
      </c>
      <c r="BV334" s="59"/>
    </row>
    <row r="335" spans="1:74" ht="14.5">
      <c r="A335" s="51" t="s">
        <v>58</v>
      </c>
      <c r="B335" s="52">
        <v>350</v>
      </c>
      <c r="C335" s="52" t="s">
        <v>188</v>
      </c>
      <c r="D335" s="41">
        <f t="shared" si="171"/>
        <v>4</v>
      </c>
      <c r="E335" s="52" t="s">
        <v>502</v>
      </c>
      <c r="F335" s="52" t="s">
        <v>289</v>
      </c>
      <c r="G335" s="52" t="s">
        <v>154</v>
      </c>
      <c r="H335" s="52" t="s">
        <v>503</v>
      </c>
      <c r="I335" s="53">
        <v>45682</v>
      </c>
      <c r="J335" s="108">
        <v>1800</v>
      </c>
      <c r="K335" s="101"/>
      <c r="L335" s="101"/>
      <c r="M335" s="101">
        <f t="shared" si="172"/>
        <v>1800</v>
      </c>
      <c r="N335" s="54">
        <f t="shared" si="173"/>
        <v>1800</v>
      </c>
      <c r="O335" s="101" t="s">
        <v>505</v>
      </c>
      <c r="P335" s="102">
        <f t="shared" si="174"/>
        <v>9.375</v>
      </c>
      <c r="Q335" s="102">
        <v>6</v>
      </c>
      <c r="R335" s="99">
        <f>480/15</f>
        <v>32</v>
      </c>
      <c r="S335" s="55">
        <f t="shared" si="199"/>
        <v>45654</v>
      </c>
      <c r="T335" s="55"/>
      <c r="U335" s="56">
        <f t="shared" ca="1" si="168"/>
        <v>-186</v>
      </c>
      <c r="V335" s="55">
        <f t="shared" si="169"/>
        <v>45670</v>
      </c>
      <c r="W335" s="55"/>
      <c r="X335" s="56">
        <f t="shared" ca="1" si="170"/>
        <v>-170</v>
      </c>
      <c r="Y335" s="55"/>
      <c r="Z335" s="57"/>
      <c r="AA335" s="58" t="str">
        <f t="shared" si="175"/>
        <v>-</v>
      </c>
      <c r="AB335" s="59"/>
      <c r="AC335" s="58" t="str">
        <f t="shared" si="176"/>
        <v/>
      </c>
      <c r="AD335" s="59"/>
      <c r="AE335" s="58" t="str">
        <f t="shared" si="177"/>
        <v/>
      </c>
      <c r="AF335" s="59"/>
      <c r="AG335" s="58" t="str">
        <f t="shared" si="178"/>
        <v/>
      </c>
      <c r="AH335" s="59"/>
      <c r="AI335" s="58" t="str">
        <f t="shared" si="179"/>
        <v/>
      </c>
      <c r="AJ335" s="59"/>
      <c r="AK335" s="58" t="str">
        <f t="shared" si="180"/>
        <v/>
      </c>
      <c r="AL335" s="59"/>
      <c r="AM335" s="58" t="str">
        <f t="shared" si="181"/>
        <v/>
      </c>
      <c r="AN335" s="59"/>
      <c r="AO335" s="58" t="str">
        <f t="shared" si="182"/>
        <v/>
      </c>
      <c r="AP335" s="59"/>
      <c r="AQ335" s="58" t="str">
        <f t="shared" si="183"/>
        <v/>
      </c>
      <c r="AR335" s="59"/>
      <c r="AS335" s="58" t="str">
        <f t="shared" si="184"/>
        <v/>
      </c>
      <c r="AT335" s="59"/>
      <c r="AU335" s="58" t="str">
        <f t="shared" si="185"/>
        <v/>
      </c>
      <c r="AV335" s="59"/>
      <c r="AW335" s="58">
        <f t="shared" si="186"/>
        <v>1800</v>
      </c>
      <c r="AX335" s="59"/>
      <c r="AY335" s="58" t="str">
        <f t="shared" si="187"/>
        <v/>
      </c>
      <c r="AZ335" s="59"/>
      <c r="BA335" s="58" t="str">
        <f t="shared" si="188"/>
        <v/>
      </c>
      <c r="BB335" s="59"/>
      <c r="BC335" s="58" t="str">
        <f t="shared" si="189"/>
        <v/>
      </c>
      <c r="BD335" s="59"/>
      <c r="BE335" s="58" t="str">
        <f t="shared" si="190"/>
        <v/>
      </c>
      <c r="BF335" s="59"/>
      <c r="BG335" s="58" t="str">
        <f t="shared" si="191"/>
        <v/>
      </c>
      <c r="BH335" s="59"/>
      <c r="BI335" s="58" t="str">
        <f t="shared" si="192"/>
        <v/>
      </c>
      <c r="BJ335" s="59"/>
      <c r="BK335" s="58" t="str">
        <f t="shared" si="193"/>
        <v/>
      </c>
      <c r="BL335" s="59"/>
      <c r="BM335" s="58" t="str">
        <f t="shared" si="194"/>
        <v/>
      </c>
      <c r="BN335" s="59"/>
      <c r="BO335" s="58" t="str">
        <f t="shared" si="195"/>
        <v/>
      </c>
      <c r="BP335" s="59"/>
      <c r="BQ335" s="58" t="str">
        <f t="shared" si="196"/>
        <v/>
      </c>
      <c r="BR335" s="59"/>
      <c r="BS335" s="58" t="str">
        <f t="shared" si="197"/>
        <v/>
      </c>
      <c r="BT335" s="59"/>
      <c r="BU335" s="58" t="str">
        <f t="shared" si="198"/>
        <v/>
      </c>
      <c r="BV335" s="59"/>
    </row>
    <row r="336" spans="1:74" ht="14.5">
      <c r="A336" s="51" t="s">
        <v>58</v>
      </c>
      <c r="B336" s="52">
        <v>350</v>
      </c>
      <c r="C336" s="52" t="s">
        <v>188</v>
      </c>
      <c r="D336" s="41">
        <f t="shared" si="171"/>
        <v>4</v>
      </c>
      <c r="E336" s="52" t="s">
        <v>502</v>
      </c>
      <c r="F336" s="52" t="s">
        <v>289</v>
      </c>
      <c r="G336" s="52" t="s">
        <v>156</v>
      </c>
      <c r="H336" s="52" t="s">
        <v>503</v>
      </c>
      <c r="I336" s="53">
        <v>45682</v>
      </c>
      <c r="J336" s="108">
        <v>1440</v>
      </c>
      <c r="K336" s="101"/>
      <c r="L336" s="101"/>
      <c r="M336" s="101">
        <f t="shared" si="172"/>
        <v>1440</v>
      </c>
      <c r="N336" s="54">
        <f t="shared" si="173"/>
        <v>1440</v>
      </c>
      <c r="O336" s="101" t="s">
        <v>506</v>
      </c>
      <c r="P336" s="102">
        <f t="shared" si="174"/>
        <v>7.5</v>
      </c>
      <c r="Q336" s="102">
        <v>6</v>
      </c>
      <c r="R336" s="99">
        <f>480/15</f>
        <v>32</v>
      </c>
      <c r="S336" s="55">
        <f t="shared" si="199"/>
        <v>45654</v>
      </c>
      <c r="T336" s="55"/>
      <c r="U336" s="56">
        <f t="shared" ca="1" si="168"/>
        <v>-186</v>
      </c>
      <c r="V336" s="55">
        <f t="shared" si="169"/>
        <v>45670</v>
      </c>
      <c r="W336" s="55"/>
      <c r="X336" s="56">
        <f t="shared" ca="1" si="170"/>
        <v>-170</v>
      </c>
      <c r="Y336" s="55"/>
      <c r="Z336" s="57"/>
      <c r="AA336" s="58" t="str">
        <f t="shared" si="175"/>
        <v>-</v>
      </c>
      <c r="AB336" s="59"/>
      <c r="AC336" s="58" t="str">
        <f t="shared" si="176"/>
        <v/>
      </c>
      <c r="AD336" s="59"/>
      <c r="AE336" s="58" t="str">
        <f t="shared" si="177"/>
        <v/>
      </c>
      <c r="AF336" s="59"/>
      <c r="AG336" s="58" t="str">
        <f t="shared" si="178"/>
        <v/>
      </c>
      <c r="AH336" s="59"/>
      <c r="AI336" s="58" t="str">
        <f t="shared" si="179"/>
        <v/>
      </c>
      <c r="AJ336" s="59"/>
      <c r="AK336" s="58" t="str">
        <f t="shared" si="180"/>
        <v/>
      </c>
      <c r="AL336" s="59"/>
      <c r="AM336" s="58" t="str">
        <f t="shared" si="181"/>
        <v/>
      </c>
      <c r="AN336" s="59"/>
      <c r="AO336" s="58" t="str">
        <f t="shared" si="182"/>
        <v/>
      </c>
      <c r="AP336" s="59"/>
      <c r="AQ336" s="58" t="str">
        <f t="shared" si="183"/>
        <v/>
      </c>
      <c r="AR336" s="59"/>
      <c r="AS336" s="58" t="str">
        <f t="shared" si="184"/>
        <v/>
      </c>
      <c r="AT336" s="59"/>
      <c r="AU336" s="58" t="str">
        <f t="shared" si="185"/>
        <v/>
      </c>
      <c r="AV336" s="59"/>
      <c r="AW336" s="58">
        <f t="shared" si="186"/>
        <v>1440</v>
      </c>
      <c r="AX336" s="59"/>
      <c r="AY336" s="58" t="str">
        <f t="shared" si="187"/>
        <v/>
      </c>
      <c r="AZ336" s="59"/>
      <c r="BA336" s="58" t="str">
        <f t="shared" si="188"/>
        <v/>
      </c>
      <c r="BB336" s="59"/>
      <c r="BC336" s="58" t="str">
        <f t="shared" si="189"/>
        <v/>
      </c>
      <c r="BD336" s="59"/>
      <c r="BE336" s="58" t="str">
        <f t="shared" si="190"/>
        <v/>
      </c>
      <c r="BF336" s="59"/>
      <c r="BG336" s="58" t="str">
        <f t="shared" si="191"/>
        <v/>
      </c>
      <c r="BH336" s="59"/>
      <c r="BI336" s="58" t="str">
        <f t="shared" si="192"/>
        <v/>
      </c>
      <c r="BJ336" s="59"/>
      <c r="BK336" s="58" t="str">
        <f t="shared" si="193"/>
        <v/>
      </c>
      <c r="BL336" s="59"/>
      <c r="BM336" s="58" t="str">
        <f t="shared" si="194"/>
        <v/>
      </c>
      <c r="BN336" s="59"/>
      <c r="BO336" s="58" t="str">
        <f t="shared" si="195"/>
        <v/>
      </c>
      <c r="BP336" s="59"/>
      <c r="BQ336" s="58" t="str">
        <f t="shared" si="196"/>
        <v/>
      </c>
      <c r="BR336" s="59"/>
      <c r="BS336" s="58" t="str">
        <f t="shared" si="197"/>
        <v/>
      </c>
      <c r="BT336" s="59"/>
      <c r="BU336" s="58" t="str">
        <f t="shared" si="198"/>
        <v/>
      </c>
      <c r="BV336" s="59"/>
    </row>
    <row r="337" spans="1:74" ht="14.5">
      <c r="A337" s="51" t="s">
        <v>58</v>
      </c>
      <c r="B337" s="52">
        <v>350</v>
      </c>
      <c r="C337" s="52" t="s">
        <v>188</v>
      </c>
      <c r="D337" s="41">
        <f t="shared" si="171"/>
        <v>4</v>
      </c>
      <c r="E337" s="52" t="s">
        <v>157</v>
      </c>
      <c r="F337" s="52" t="s">
        <v>243</v>
      </c>
      <c r="G337" s="52" t="s">
        <v>155</v>
      </c>
      <c r="H337" s="52" t="s">
        <v>549</v>
      </c>
      <c r="I337" s="53">
        <v>45682</v>
      </c>
      <c r="J337" s="108">
        <v>3708</v>
      </c>
      <c r="K337" s="101"/>
      <c r="L337" s="101"/>
      <c r="M337" s="101">
        <f t="shared" si="172"/>
        <v>3708</v>
      </c>
      <c r="N337" s="54">
        <f t="shared" si="173"/>
        <v>3708</v>
      </c>
      <c r="O337" s="101" t="s">
        <v>429</v>
      </c>
      <c r="P337" s="102">
        <f t="shared" si="174"/>
        <v>0.61799999999999999</v>
      </c>
      <c r="Q337" s="102">
        <v>6</v>
      </c>
      <c r="R337" s="99">
        <v>1000</v>
      </c>
      <c r="S337" s="55">
        <f t="shared" si="199"/>
        <v>45654</v>
      </c>
      <c r="T337" s="55">
        <v>45620</v>
      </c>
      <c r="U337" s="56">
        <f t="shared" ca="1" si="168"/>
        <v>34</v>
      </c>
      <c r="V337" s="55">
        <f t="shared" si="169"/>
        <v>45670</v>
      </c>
      <c r="W337" s="55"/>
      <c r="X337" s="56">
        <f t="shared" ca="1" si="170"/>
        <v>-170</v>
      </c>
      <c r="Y337" s="55"/>
      <c r="Z337" s="57"/>
      <c r="AA337" s="58" t="str">
        <f t="shared" si="175"/>
        <v>-</v>
      </c>
      <c r="AB337" s="59"/>
      <c r="AC337" s="58" t="str">
        <f t="shared" si="176"/>
        <v/>
      </c>
      <c r="AD337" s="59"/>
      <c r="AE337" s="58" t="str">
        <f t="shared" si="177"/>
        <v/>
      </c>
      <c r="AF337" s="59"/>
      <c r="AG337" s="58" t="str">
        <f t="shared" si="178"/>
        <v/>
      </c>
      <c r="AH337" s="59"/>
      <c r="AI337" s="58" t="str">
        <f t="shared" si="179"/>
        <v/>
      </c>
      <c r="AJ337" s="59"/>
      <c r="AK337" s="58" t="str">
        <f t="shared" si="180"/>
        <v/>
      </c>
      <c r="AL337" s="59"/>
      <c r="AM337" s="58" t="str">
        <f t="shared" si="181"/>
        <v/>
      </c>
      <c r="AN337" s="59"/>
      <c r="AO337" s="58" t="str">
        <f t="shared" si="182"/>
        <v/>
      </c>
      <c r="AP337" s="59"/>
      <c r="AQ337" s="58" t="str">
        <f t="shared" si="183"/>
        <v/>
      </c>
      <c r="AR337" s="59"/>
      <c r="AS337" s="58" t="str">
        <f t="shared" si="184"/>
        <v/>
      </c>
      <c r="AT337" s="59"/>
      <c r="AU337" s="58" t="str">
        <f t="shared" si="185"/>
        <v/>
      </c>
      <c r="AV337" s="59"/>
      <c r="AW337" s="58">
        <f t="shared" si="186"/>
        <v>3708</v>
      </c>
      <c r="AX337" s="59"/>
      <c r="AY337" s="58" t="str">
        <f t="shared" si="187"/>
        <v/>
      </c>
      <c r="AZ337" s="59"/>
      <c r="BA337" s="58" t="str">
        <f t="shared" si="188"/>
        <v/>
      </c>
      <c r="BB337" s="59"/>
      <c r="BC337" s="58" t="str">
        <f t="shared" si="189"/>
        <v/>
      </c>
      <c r="BD337" s="59"/>
      <c r="BE337" s="58" t="str">
        <f t="shared" si="190"/>
        <v/>
      </c>
      <c r="BF337" s="59"/>
      <c r="BG337" s="58" t="str">
        <f t="shared" si="191"/>
        <v/>
      </c>
      <c r="BH337" s="59"/>
      <c r="BI337" s="58" t="str">
        <f t="shared" si="192"/>
        <v/>
      </c>
      <c r="BJ337" s="59"/>
      <c r="BK337" s="58" t="str">
        <f t="shared" si="193"/>
        <v/>
      </c>
      <c r="BL337" s="59"/>
      <c r="BM337" s="58" t="str">
        <f t="shared" si="194"/>
        <v/>
      </c>
      <c r="BN337" s="59"/>
      <c r="BO337" s="58" t="str">
        <f t="shared" si="195"/>
        <v/>
      </c>
      <c r="BP337" s="59"/>
      <c r="BQ337" s="58" t="str">
        <f t="shared" si="196"/>
        <v/>
      </c>
      <c r="BR337" s="59"/>
      <c r="BS337" s="58" t="str">
        <f t="shared" si="197"/>
        <v/>
      </c>
      <c r="BT337" s="59"/>
      <c r="BU337" s="58" t="str">
        <f t="shared" si="198"/>
        <v/>
      </c>
      <c r="BV337" s="59"/>
    </row>
    <row r="338" spans="1:74" ht="14.5">
      <c r="A338" s="51" t="s">
        <v>58</v>
      </c>
      <c r="B338" s="52">
        <v>350</v>
      </c>
      <c r="C338" s="52" t="s">
        <v>188</v>
      </c>
      <c r="D338" s="41">
        <f t="shared" si="171"/>
        <v>4</v>
      </c>
      <c r="E338" s="52" t="s">
        <v>158</v>
      </c>
      <c r="F338" s="52" t="s">
        <v>242</v>
      </c>
      <c r="G338" s="52" t="s">
        <v>154</v>
      </c>
      <c r="H338" s="52" t="s">
        <v>432</v>
      </c>
      <c r="I338" s="53">
        <v>45682</v>
      </c>
      <c r="J338" s="108">
        <v>448</v>
      </c>
      <c r="K338" s="101"/>
      <c r="L338" s="101"/>
      <c r="M338" s="101">
        <f t="shared" si="172"/>
        <v>448</v>
      </c>
      <c r="N338" s="54">
        <f t="shared" si="173"/>
        <v>448</v>
      </c>
      <c r="O338" s="101" t="s">
        <v>437</v>
      </c>
      <c r="P338" s="102">
        <f t="shared" si="174"/>
        <v>0.62222222222222223</v>
      </c>
      <c r="Q338" s="102">
        <v>6</v>
      </c>
      <c r="R338" s="99">
        <v>120</v>
      </c>
      <c r="S338" s="55">
        <f t="shared" si="199"/>
        <v>45654</v>
      </c>
      <c r="T338" s="55">
        <v>45620</v>
      </c>
      <c r="U338" s="56">
        <f t="shared" ca="1" si="168"/>
        <v>34</v>
      </c>
      <c r="V338" s="55">
        <f t="shared" ref="V338:V369" si="200">+S338+16</f>
        <v>45670</v>
      </c>
      <c r="W338" s="55"/>
      <c r="X338" s="56">
        <f t="shared" ca="1" si="170"/>
        <v>-170</v>
      </c>
      <c r="Y338" s="55"/>
      <c r="Z338" s="57"/>
      <c r="AA338" s="58" t="str">
        <f t="shared" si="175"/>
        <v>-</v>
      </c>
      <c r="AB338" s="59"/>
      <c r="AC338" s="58" t="str">
        <f t="shared" si="176"/>
        <v/>
      </c>
      <c r="AD338" s="59"/>
      <c r="AE338" s="58" t="str">
        <f t="shared" si="177"/>
        <v/>
      </c>
      <c r="AF338" s="59"/>
      <c r="AG338" s="58" t="str">
        <f t="shared" si="178"/>
        <v/>
      </c>
      <c r="AH338" s="59"/>
      <c r="AI338" s="58" t="str">
        <f t="shared" si="179"/>
        <v/>
      </c>
      <c r="AJ338" s="59"/>
      <c r="AK338" s="58" t="str">
        <f t="shared" si="180"/>
        <v/>
      </c>
      <c r="AL338" s="59"/>
      <c r="AM338" s="58" t="str">
        <f t="shared" si="181"/>
        <v/>
      </c>
      <c r="AN338" s="59"/>
      <c r="AO338" s="58" t="str">
        <f t="shared" si="182"/>
        <v/>
      </c>
      <c r="AP338" s="59"/>
      <c r="AQ338" s="58" t="str">
        <f t="shared" si="183"/>
        <v/>
      </c>
      <c r="AR338" s="59"/>
      <c r="AS338" s="58" t="str">
        <f t="shared" si="184"/>
        <v/>
      </c>
      <c r="AT338" s="59"/>
      <c r="AU338" s="58" t="str">
        <f t="shared" si="185"/>
        <v/>
      </c>
      <c r="AV338" s="59"/>
      <c r="AW338" s="58">
        <f t="shared" si="186"/>
        <v>448</v>
      </c>
      <c r="AX338" s="59"/>
      <c r="AY338" s="58" t="str">
        <f t="shared" si="187"/>
        <v/>
      </c>
      <c r="AZ338" s="59"/>
      <c r="BA338" s="58" t="str">
        <f t="shared" si="188"/>
        <v/>
      </c>
      <c r="BB338" s="59"/>
      <c r="BC338" s="58" t="str">
        <f t="shared" si="189"/>
        <v/>
      </c>
      <c r="BD338" s="59"/>
      <c r="BE338" s="58" t="str">
        <f t="shared" si="190"/>
        <v/>
      </c>
      <c r="BF338" s="59"/>
      <c r="BG338" s="58" t="str">
        <f t="shared" si="191"/>
        <v/>
      </c>
      <c r="BH338" s="59"/>
      <c r="BI338" s="58" t="str">
        <f t="shared" si="192"/>
        <v/>
      </c>
      <c r="BJ338" s="59"/>
      <c r="BK338" s="58" t="str">
        <f t="shared" si="193"/>
        <v/>
      </c>
      <c r="BL338" s="59"/>
      <c r="BM338" s="58" t="str">
        <f t="shared" si="194"/>
        <v/>
      </c>
      <c r="BN338" s="59"/>
      <c r="BO338" s="58" t="str">
        <f t="shared" si="195"/>
        <v/>
      </c>
      <c r="BP338" s="59"/>
      <c r="BQ338" s="58" t="str">
        <f t="shared" si="196"/>
        <v/>
      </c>
      <c r="BR338" s="59"/>
      <c r="BS338" s="58" t="str">
        <f t="shared" si="197"/>
        <v/>
      </c>
      <c r="BT338" s="59"/>
      <c r="BU338" s="58" t="str">
        <f t="shared" si="198"/>
        <v/>
      </c>
      <c r="BV338" s="59"/>
    </row>
    <row r="339" spans="1:74" ht="14.5">
      <c r="A339" s="51" t="s">
        <v>58</v>
      </c>
      <c r="B339" s="52">
        <v>350</v>
      </c>
      <c r="C339" s="52" t="s">
        <v>188</v>
      </c>
      <c r="D339" s="41">
        <f t="shared" si="171"/>
        <v>4</v>
      </c>
      <c r="E339" s="52" t="s">
        <v>195</v>
      </c>
      <c r="F339" s="52" t="s">
        <v>286</v>
      </c>
      <c r="G339" s="52" t="s">
        <v>162</v>
      </c>
      <c r="H339" s="52" t="s">
        <v>434</v>
      </c>
      <c r="I339" s="53">
        <v>45682</v>
      </c>
      <c r="J339" s="108">
        <v>4464</v>
      </c>
      <c r="K339" s="101"/>
      <c r="L339" s="101"/>
      <c r="M339" s="101">
        <f t="shared" si="172"/>
        <v>4464</v>
      </c>
      <c r="N339" s="54">
        <f t="shared" si="173"/>
        <v>4464</v>
      </c>
      <c r="O339" s="101" t="s">
        <v>431</v>
      </c>
      <c r="P339" s="102">
        <f t="shared" si="174"/>
        <v>6.2</v>
      </c>
      <c r="Q339" s="102">
        <v>6</v>
      </c>
      <c r="R339" s="99">
        <v>120</v>
      </c>
      <c r="S339" s="55">
        <f t="shared" si="199"/>
        <v>45654</v>
      </c>
      <c r="T339" s="55">
        <v>45620</v>
      </c>
      <c r="U339" s="56">
        <f t="shared" ca="1" si="168"/>
        <v>34</v>
      </c>
      <c r="V339" s="55">
        <f t="shared" si="200"/>
        <v>45670</v>
      </c>
      <c r="W339" s="55"/>
      <c r="X339" s="56">
        <f t="shared" ca="1" si="170"/>
        <v>-170</v>
      </c>
      <c r="Y339" s="55"/>
      <c r="Z339" s="57"/>
      <c r="AA339" s="58" t="str">
        <f t="shared" si="175"/>
        <v>-</v>
      </c>
      <c r="AB339" s="59"/>
      <c r="AC339" s="58" t="str">
        <f t="shared" si="176"/>
        <v/>
      </c>
      <c r="AD339" s="59"/>
      <c r="AE339" s="58" t="str">
        <f t="shared" si="177"/>
        <v/>
      </c>
      <c r="AF339" s="59"/>
      <c r="AG339" s="58" t="str">
        <f t="shared" si="178"/>
        <v/>
      </c>
      <c r="AH339" s="59"/>
      <c r="AI339" s="58" t="str">
        <f t="shared" si="179"/>
        <v/>
      </c>
      <c r="AJ339" s="59"/>
      <c r="AK339" s="58" t="str">
        <f t="shared" si="180"/>
        <v/>
      </c>
      <c r="AL339" s="59"/>
      <c r="AM339" s="58" t="str">
        <f t="shared" si="181"/>
        <v/>
      </c>
      <c r="AN339" s="59"/>
      <c r="AO339" s="58" t="str">
        <f t="shared" si="182"/>
        <v/>
      </c>
      <c r="AP339" s="59"/>
      <c r="AQ339" s="58" t="str">
        <f t="shared" si="183"/>
        <v/>
      </c>
      <c r="AR339" s="59"/>
      <c r="AS339" s="58" t="str">
        <f t="shared" si="184"/>
        <v/>
      </c>
      <c r="AT339" s="59"/>
      <c r="AU339" s="58" t="str">
        <f t="shared" si="185"/>
        <v/>
      </c>
      <c r="AV339" s="59"/>
      <c r="AW339" s="58">
        <f t="shared" si="186"/>
        <v>4464</v>
      </c>
      <c r="AX339" s="59"/>
      <c r="AY339" s="58" t="str">
        <f t="shared" si="187"/>
        <v/>
      </c>
      <c r="AZ339" s="59"/>
      <c r="BA339" s="58" t="str">
        <f t="shared" si="188"/>
        <v/>
      </c>
      <c r="BB339" s="59"/>
      <c r="BC339" s="58" t="str">
        <f t="shared" si="189"/>
        <v/>
      </c>
      <c r="BD339" s="59"/>
      <c r="BE339" s="58" t="str">
        <f t="shared" si="190"/>
        <v/>
      </c>
      <c r="BF339" s="59"/>
      <c r="BG339" s="58" t="str">
        <f t="shared" si="191"/>
        <v/>
      </c>
      <c r="BH339" s="59"/>
      <c r="BI339" s="58" t="str">
        <f t="shared" si="192"/>
        <v/>
      </c>
      <c r="BJ339" s="59"/>
      <c r="BK339" s="58" t="str">
        <f t="shared" si="193"/>
        <v/>
      </c>
      <c r="BL339" s="59"/>
      <c r="BM339" s="58" t="str">
        <f t="shared" si="194"/>
        <v/>
      </c>
      <c r="BN339" s="59"/>
      <c r="BO339" s="58" t="str">
        <f t="shared" si="195"/>
        <v/>
      </c>
      <c r="BP339" s="59"/>
      <c r="BQ339" s="58" t="str">
        <f t="shared" si="196"/>
        <v/>
      </c>
      <c r="BR339" s="59"/>
      <c r="BS339" s="58" t="str">
        <f t="shared" si="197"/>
        <v/>
      </c>
      <c r="BT339" s="59"/>
      <c r="BU339" s="58" t="str">
        <f t="shared" si="198"/>
        <v/>
      </c>
      <c r="BV339" s="59"/>
    </row>
    <row r="340" spans="1:74" ht="14.5">
      <c r="A340" s="51" t="s">
        <v>58</v>
      </c>
      <c r="B340" s="52">
        <v>350</v>
      </c>
      <c r="C340" s="52" t="s">
        <v>188</v>
      </c>
      <c r="D340" s="41">
        <f t="shared" si="171"/>
        <v>4</v>
      </c>
      <c r="E340" s="52" t="s">
        <v>189</v>
      </c>
      <c r="F340" s="52" t="s">
        <v>242</v>
      </c>
      <c r="G340" s="52" t="s">
        <v>162</v>
      </c>
      <c r="H340" s="52" t="s">
        <v>550</v>
      </c>
      <c r="I340" s="53">
        <v>45682</v>
      </c>
      <c r="J340" s="108">
        <v>76</v>
      </c>
      <c r="K340" s="101"/>
      <c r="L340" s="101"/>
      <c r="M340" s="101">
        <f t="shared" si="172"/>
        <v>76</v>
      </c>
      <c r="N340" s="54">
        <f t="shared" si="173"/>
        <v>76</v>
      </c>
      <c r="O340" s="101" t="s">
        <v>178</v>
      </c>
      <c r="P340" s="102">
        <f t="shared" si="174"/>
        <v>0.10555555555555556</v>
      </c>
      <c r="Q340" s="102">
        <v>6</v>
      </c>
      <c r="R340" s="99">
        <v>120</v>
      </c>
      <c r="S340" s="55">
        <f t="shared" si="199"/>
        <v>45654</v>
      </c>
      <c r="T340" s="55">
        <v>45620</v>
      </c>
      <c r="U340" s="56">
        <f t="shared" ca="1" si="168"/>
        <v>34</v>
      </c>
      <c r="V340" s="55">
        <f t="shared" si="200"/>
        <v>45670</v>
      </c>
      <c r="W340" s="55"/>
      <c r="X340" s="56">
        <f t="shared" ca="1" si="170"/>
        <v>-170</v>
      </c>
      <c r="Y340" s="55"/>
      <c r="Z340" s="57"/>
      <c r="AA340" s="58" t="str">
        <f t="shared" si="175"/>
        <v>-</v>
      </c>
      <c r="AB340" s="59"/>
      <c r="AC340" s="58" t="str">
        <f t="shared" si="176"/>
        <v/>
      </c>
      <c r="AD340" s="59"/>
      <c r="AE340" s="58" t="str">
        <f t="shared" si="177"/>
        <v/>
      </c>
      <c r="AF340" s="59"/>
      <c r="AG340" s="58" t="str">
        <f t="shared" si="178"/>
        <v/>
      </c>
      <c r="AH340" s="59"/>
      <c r="AI340" s="58" t="str">
        <f t="shared" si="179"/>
        <v/>
      </c>
      <c r="AJ340" s="59"/>
      <c r="AK340" s="58" t="str">
        <f t="shared" si="180"/>
        <v/>
      </c>
      <c r="AL340" s="59"/>
      <c r="AM340" s="58" t="str">
        <f t="shared" si="181"/>
        <v/>
      </c>
      <c r="AN340" s="59"/>
      <c r="AO340" s="58" t="str">
        <f t="shared" si="182"/>
        <v/>
      </c>
      <c r="AP340" s="59"/>
      <c r="AQ340" s="58" t="str">
        <f t="shared" si="183"/>
        <v/>
      </c>
      <c r="AR340" s="59"/>
      <c r="AS340" s="58" t="str">
        <f t="shared" si="184"/>
        <v/>
      </c>
      <c r="AT340" s="59"/>
      <c r="AU340" s="58" t="str">
        <f t="shared" si="185"/>
        <v/>
      </c>
      <c r="AV340" s="59"/>
      <c r="AW340" s="58">
        <f t="shared" si="186"/>
        <v>76</v>
      </c>
      <c r="AX340" s="59"/>
      <c r="AY340" s="58" t="str">
        <f t="shared" si="187"/>
        <v/>
      </c>
      <c r="AZ340" s="59"/>
      <c r="BA340" s="58" t="str">
        <f t="shared" si="188"/>
        <v/>
      </c>
      <c r="BB340" s="59"/>
      <c r="BC340" s="58" t="str">
        <f t="shared" si="189"/>
        <v/>
      </c>
      <c r="BD340" s="59"/>
      <c r="BE340" s="58" t="str">
        <f t="shared" si="190"/>
        <v/>
      </c>
      <c r="BF340" s="59"/>
      <c r="BG340" s="58" t="str">
        <f t="shared" si="191"/>
        <v/>
      </c>
      <c r="BH340" s="59"/>
      <c r="BI340" s="58" t="str">
        <f t="shared" si="192"/>
        <v/>
      </c>
      <c r="BJ340" s="59"/>
      <c r="BK340" s="58" t="str">
        <f t="shared" si="193"/>
        <v/>
      </c>
      <c r="BL340" s="59"/>
      <c r="BM340" s="58" t="str">
        <f t="shared" si="194"/>
        <v/>
      </c>
      <c r="BN340" s="59"/>
      <c r="BO340" s="58" t="str">
        <f t="shared" si="195"/>
        <v/>
      </c>
      <c r="BP340" s="59"/>
      <c r="BQ340" s="58" t="str">
        <f t="shared" si="196"/>
        <v/>
      </c>
      <c r="BR340" s="59"/>
      <c r="BS340" s="58" t="str">
        <f t="shared" si="197"/>
        <v/>
      </c>
      <c r="BT340" s="59"/>
      <c r="BU340" s="58" t="str">
        <f t="shared" si="198"/>
        <v/>
      </c>
      <c r="BV340" s="59"/>
    </row>
    <row r="341" spans="1:74" ht="14.5">
      <c r="A341" s="51" t="s">
        <v>58</v>
      </c>
      <c r="B341" s="52">
        <v>350</v>
      </c>
      <c r="C341" s="52" t="s">
        <v>188</v>
      </c>
      <c r="D341" s="41">
        <f t="shared" si="171"/>
        <v>4</v>
      </c>
      <c r="E341" s="52" t="s">
        <v>190</v>
      </c>
      <c r="F341" s="52" t="s">
        <v>242</v>
      </c>
      <c r="G341" s="52" t="s">
        <v>244</v>
      </c>
      <c r="H341" s="52" t="s">
        <v>438</v>
      </c>
      <c r="I341" s="53">
        <v>45682</v>
      </c>
      <c r="J341" s="108">
        <v>1124</v>
      </c>
      <c r="K341" s="101"/>
      <c r="L341" s="101"/>
      <c r="M341" s="101">
        <f t="shared" si="172"/>
        <v>1124</v>
      </c>
      <c r="N341" s="54">
        <f t="shared" si="173"/>
        <v>1124</v>
      </c>
      <c r="O341" s="101" t="s">
        <v>431</v>
      </c>
      <c r="P341" s="102">
        <f t="shared" si="174"/>
        <v>1.5611111111111111</v>
      </c>
      <c r="Q341" s="102">
        <v>6</v>
      </c>
      <c r="R341" s="99">
        <v>120</v>
      </c>
      <c r="S341" s="55">
        <f t="shared" si="199"/>
        <v>45654</v>
      </c>
      <c r="T341" s="55">
        <v>45620</v>
      </c>
      <c r="U341" s="56">
        <f t="shared" ca="1" si="168"/>
        <v>34</v>
      </c>
      <c r="V341" s="55">
        <f t="shared" si="200"/>
        <v>45670</v>
      </c>
      <c r="W341" s="55"/>
      <c r="X341" s="56">
        <f t="shared" ca="1" si="170"/>
        <v>-170</v>
      </c>
      <c r="Y341" s="55"/>
      <c r="Z341" s="57"/>
      <c r="AA341" s="58" t="str">
        <f t="shared" si="175"/>
        <v>-</v>
      </c>
      <c r="AB341" s="59"/>
      <c r="AC341" s="58" t="str">
        <f t="shared" si="176"/>
        <v/>
      </c>
      <c r="AD341" s="59"/>
      <c r="AE341" s="58" t="str">
        <f t="shared" si="177"/>
        <v/>
      </c>
      <c r="AF341" s="59"/>
      <c r="AG341" s="58" t="str">
        <f t="shared" si="178"/>
        <v/>
      </c>
      <c r="AH341" s="59"/>
      <c r="AI341" s="58" t="str">
        <f t="shared" si="179"/>
        <v/>
      </c>
      <c r="AJ341" s="59"/>
      <c r="AK341" s="58" t="str">
        <f t="shared" si="180"/>
        <v/>
      </c>
      <c r="AL341" s="59"/>
      <c r="AM341" s="58" t="str">
        <f t="shared" si="181"/>
        <v/>
      </c>
      <c r="AN341" s="59"/>
      <c r="AO341" s="58" t="str">
        <f t="shared" si="182"/>
        <v/>
      </c>
      <c r="AP341" s="59"/>
      <c r="AQ341" s="58" t="str">
        <f t="shared" si="183"/>
        <v/>
      </c>
      <c r="AR341" s="59"/>
      <c r="AS341" s="58" t="str">
        <f t="shared" si="184"/>
        <v/>
      </c>
      <c r="AT341" s="59"/>
      <c r="AU341" s="58" t="str">
        <f t="shared" si="185"/>
        <v/>
      </c>
      <c r="AV341" s="59"/>
      <c r="AW341" s="58">
        <f t="shared" si="186"/>
        <v>1124</v>
      </c>
      <c r="AX341" s="59"/>
      <c r="AY341" s="58" t="str">
        <f t="shared" si="187"/>
        <v/>
      </c>
      <c r="AZ341" s="59"/>
      <c r="BA341" s="58" t="str">
        <f t="shared" si="188"/>
        <v/>
      </c>
      <c r="BB341" s="59"/>
      <c r="BC341" s="58" t="str">
        <f t="shared" si="189"/>
        <v/>
      </c>
      <c r="BD341" s="59"/>
      <c r="BE341" s="58" t="str">
        <f t="shared" si="190"/>
        <v/>
      </c>
      <c r="BF341" s="59"/>
      <c r="BG341" s="58" t="str">
        <f t="shared" si="191"/>
        <v/>
      </c>
      <c r="BH341" s="59"/>
      <c r="BI341" s="58" t="str">
        <f t="shared" si="192"/>
        <v/>
      </c>
      <c r="BJ341" s="59"/>
      <c r="BK341" s="58" t="str">
        <f t="shared" si="193"/>
        <v/>
      </c>
      <c r="BL341" s="59"/>
      <c r="BM341" s="58" t="str">
        <f t="shared" si="194"/>
        <v/>
      </c>
      <c r="BN341" s="59"/>
      <c r="BO341" s="58" t="str">
        <f t="shared" si="195"/>
        <v/>
      </c>
      <c r="BP341" s="59"/>
      <c r="BQ341" s="58" t="str">
        <f t="shared" si="196"/>
        <v/>
      </c>
      <c r="BR341" s="59"/>
      <c r="BS341" s="58" t="str">
        <f t="shared" si="197"/>
        <v/>
      </c>
      <c r="BT341" s="59"/>
      <c r="BU341" s="58" t="str">
        <f t="shared" si="198"/>
        <v/>
      </c>
      <c r="BV341" s="59"/>
    </row>
    <row r="342" spans="1:74" ht="14.5">
      <c r="A342" s="51" t="s">
        <v>58</v>
      </c>
      <c r="B342" s="52">
        <v>360</v>
      </c>
      <c r="C342" s="52" t="s">
        <v>188</v>
      </c>
      <c r="D342" s="41">
        <f t="shared" si="171"/>
        <v>4</v>
      </c>
      <c r="E342" s="52" t="s">
        <v>502</v>
      </c>
      <c r="F342" s="52" t="s">
        <v>289</v>
      </c>
      <c r="G342" s="52" t="s">
        <v>155</v>
      </c>
      <c r="H342" s="52" t="s">
        <v>503</v>
      </c>
      <c r="I342" s="53">
        <v>45682</v>
      </c>
      <c r="J342" s="108">
        <v>2208</v>
      </c>
      <c r="K342" s="101"/>
      <c r="L342" s="101"/>
      <c r="M342" s="101">
        <f t="shared" si="172"/>
        <v>2208</v>
      </c>
      <c r="N342" s="54">
        <f t="shared" si="173"/>
        <v>2208</v>
      </c>
      <c r="O342" s="101" t="s">
        <v>504</v>
      </c>
      <c r="P342" s="102">
        <f t="shared" si="174"/>
        <v>11.5</v>
      </c>
      <c r="Q342" s="102">
        <v>6</v>
      </c>
      <c r="R342" s="99">
        <f>480/15</f>
        <v>32</v>
      </c>
      <c r="S342" s="55">
        <f t="shared" si="199"/>
        <v>45654</v>
      </c>
      <c r="T342" s="55"/>
      <c r="U342" s="56">
        <f t="shared" ca="1" si="168"/>
        <v>-186</v>
      </c>
      <c r="V342" s="55">
        <f t="shared" si="200"/>
        <v>45670</v>
      </c>
      <c r="W342" s="55"/>
      <c r="X342" s="56">
        <f t="shared" ca="1" si="170"/>
        <v>-170</v>
      </c>
      <c r="Y342" s="55"/>
      <c r="Z342" s="57"/>
      <c r="AA342" s="58" t="str">
        <f t="shared" si="175"/>
        <v>-</v>
      </c>
      <c r="AB342" s="59"/>
      <c r="AC342" s="58" t="str">
        <f t="shared" si="176"/>
        <v/>
      </c>
      <c r="AD342" s="59"/>
      <c r="AE342" s="58" t="str">
        <f t="shared" si="177"/>
        <v/>
      </c>
      <c r="AF342" s="59"/>
      <c r="AG342" s="58" t="str">
        <f t="shared" si="178"/>
        <v/>
      </c>
      <c r="AH342" s="59"/>
      <c r="AI342" s="58" t="str">
        <f t="shared" si="179"/>
        <v/>
      </c>
      <c r="AJ342" s="59"/>
      <c r="AK342" s="58" t="str">
        <f t="shared" si="180"/>
        <v/>
      </c>
      <c r="AL342" s="59"/>
      <c r="AM342" s="58" t="str">
        <f t="shared" si="181"/>
        <v/>
      </c>
      <c r="AN342" s="59"/>
      <c r="AO342" s="58" t="str">
        <f t="shared" si="182"/>
        <v/>
      </c>
      <c r="AP342" s="59"/>
      <c r="AQ342" s="58" t="str">
        <f t="shared" si="183"/>
        <v/>
      </c>
      <c r="AR342" s="59"/>
      <c r="AS342" s="58" t="str">
        <f t="shared" si="184"/>
        <v/>
      </c>
      <c r="AT342" s="59"/>
      <c r="AU342" s="58" t="str">
        <f t="shared" si="185"/>
        <v/>
      </c>
      <c r="AV342" s="59"/>
      <c r="AW342" s="58">
        <f t="shared" si="186"/>
        <v>2208</v>
      </c>
      <c r="AX342" s="59"/>
      <c r="AY342" s="58" t="str">
        <f t="shared" si="187"/>
        <v/>
      </c>
      <c r="AZ342" s="59"/>
      <c r="BA342" s="58" t="str">
        <f t="shared" si="188"/>
        <v/>
      </c>
      <c r="BB342" s="59"/>
      <c r="BC342" s="58" t="str">
        <f t="shared" si="189"/>
        <v/>
      </c>
      <c r="BD342" s="59"/>
      <c r="BE342" s="58" t="str">
        <f t="shared" si="190"/>
        <v/>
      </c>
      <c r="BF342" s="59"/>
      <c r="BG342" s="58" t="str">
        <f t="shared" si="191"/>
        <v/>
      </c>
      <c r="BH342" s="59"/>
      <c r="BI342" s="58" t="str">
        <f t="shared" si="192"/>
        <v/>
      </c>
      <c r="BJ342" s="59"/>
      <c r="BK342" s="58" t="str">
        <f t="shared" si="193"/>
        <v/>
      </c>
      <c r="BL342" s="59"/>
      <c r="BM342" s="58" t="str">
        <f t="shared" si="194"/>
        <v/>
      </c>
      <c r="BN342" s="59"/>
      <c r="BO342" s="58" t="str">
        <f t="shared" si="195"/>
        <v/>
      </c>
      <c r="BP342" s="59"/>
      <c r="BQ342" s="58" t="str">
        <f t="shared" si="196"/>
        <v/>
      </c>
      <c r="BR342" s="59"/>
      <c r="BS342" s="58" t="str">
        <f t="shared" si="197"/>
        <v/>
      </c>
      <c r="BT342" s="59"/>
      <c r="BU342" s="58" t="str">
        <f t="shared" si="198"/>
        <v/>
      </c>
      <c r="BV342" s="59"/>
    </row>
    <row r="343" spans="1:74" ht="14.5">
      <c r="A343" s="51" t="s">
        <v>58</v>
      </c>
      <c r="B343" s="52">
        <v>360</v>
      </c>
      <c r="C343" s="52" t="s">
        <v>188</v>
      </c>
      <c r="D343" s="41">
        <f t="shared" si="171"/>
        <v>4</v>
      </c>
      <c r="E343" s="52" t="s">
        <v>502</v>
      </c>
      <c r="F343" s="52" t="s">
        <v>289</v>
      </c>
      <c r="G343" s="52" t="s">
        <v>154</v>
      </c>
      <c r="H343" s="52" t="s">
        <v>503</v>
      </c>
      <c r="I343" s="53">
        <v>45682</v>
      </c>
      <c r="J343" s="108">
        <v>1840</v>
      </c>
      <c r="K343" s="101"/>
      <c r="L343" s="101"/>
      <c r="M343" s="101">
        <f t="shared" si="172"/>
        <v>1840</v>
      </c>
      <c r="N343" s="54">
        <f t="shared" si="173"/>
        <v>1840</v>
      </c>
      <c r="O343" s="101" t="s">
        <v>505</v>
      </c>
      <c r="P343" s="102">
        <f t="shared" si="174"/>
        <v>9.5833333333333339</v>
      </c>
      <c r="Q343" s="102">
        <v>6</v>
      </c>
      <c r="R343" s="99">
        <f>480/15</f>
        <v>32</v>
      </c>
      <c r="S343" s="55">
        <f t="shared" si="199"/>
        <v>45654</v>
      </c>
      <c r="T343" s="55"/>
      <c r="U343" s="56">
        <f t="shared" ca="1" si="168"/>
        <v>-186</v>
      </c>
      <c r="V343" s="55">
        <f t="shared" si="200"/>
        <v>45670</v>
      </c>
      <c r="W343" s="55"/>
      <c r="X343" s="56">
        <f t="shared" ca="1" si="170"/>
        <v>-170</v>
      </c>
      <c r="Y343" s="55"/>
      <c r="Z343" s="57"/>
      <c r="AA343" s="58" t="str">
        <f t="shared" si="175"/>
        <v>-</v>
      </c>
      <c r="AB343" s="59"/>
      <c r="AC343" s="58" t="str">
        <f t="shared" si="176"/>
        <v/>
      </c>
      <c r="AD343" s="59"/>
      <c r="AE343" s="58" t="str">
        <f t="shared" si="177"/>
        <v/>
      </c>
      <c r="AF343" s="59"/>
      <c r="AG343" s="58" t="str">
        <f t="shared" si="178"/>
        <v/>
      </c>
      <c r="AH343" s="59"/>
      <c r="AI343" s="58" t="str">
        <f t="shared" si="179"/>
        <v/>
      </c>
      <c r="AJ343" s="59"/>
      <c r="AK343" s="58" t="str">
        <f t="shared" si="180"/>
        <v/>
      </c>
      <c r="AL343" s="59"/>
      <c r="AM343" s="58" t="str">
        <f t="shared" si="181"/>
        <v/>
      </c>
      <c r="AN343" s="59"/>
      <c r="AO343" s="58" t="str">
        <f t="shared" si="182"/>
        <v/>
      </c>
      <c r="AP343" s="59"/>
      <c r="AQ343" s="58" t="str">
        <f t="shared" si="183"/>
        <v/>
      </c>
      <c r="AR343" s="59"/>
      <c r="AS343" s="58" t="str">
        <f t="shared" si="184"/>
        <v/>
      </c>
      <c r="AT343" s="59"/>
      <c r="AU343" s="58" t="str">
        <f t="shared" si="185"/>
        <v/>
      </c>
      <c r="AV343" s="59"/>
      <c r="AW343" s="58">
        <f t="shared" si="186"/>
        <v>1840</v>
      </c>
      <c r="AX343" s="59"/>
      <c r="AY343" s="58" t="str">
        <f t="shared" si="187"/>
        <v/>
      </c>
      <c r="AZ343" s="59"/>
      <c r="BA343" s="58" t="str">
        <f t="shared" si="188"/>
        <v/>
      </c>
      <c r="BB343" s="59"/>
      <c r="BC343" s="58" t="str">
        <f t="shared" si="189"/>
        <v/>
      </c>
      <c r="BD343" s="59"/>
      <c r="BE343" s="58" t="str">
        <f t="shared" si="190"/>
        <v/>
      </c>
      <c r="BF343" s="59"/>
      <c r="BG343" s="58" t="str">
        <f t="shared" si="191"/>
        <v/>
      </c>
      <c r="BH343" s="59"/>
      <c r="BI343" s="58" t="str">
        <f t="shared" si="192"/>
        <v/>
      </c>
      <c r="BJ343" s="59"/>
      <c r="BK343" s="58" t="str">
        <f t="shared" si="193"/>
        <v/>
      </c>
      <c r="BL343" s="59"/>
      <c r="BM343" s="58" t="str">
        <f t="shared" si="194"/>
        <v/>
      </c>
      <c r="BN343" s="59"/>
      <c r="BO343" s="58" t="str">
        <f t="shared" si="195"/>
        <v/>
      </c>
      <c r="BP343" s="59"/>
      <c r="BQ343" s="58" t="str">
        <f t="shared" si="196"/>
        <v/>
      </c>
      <c r="BR343" s="59"/>
      <c r="BS343" s="58" t="str">
        <f t="shared" si="197"/>
        <v/>
      </c>
      <c r="BT343" s="59"/>
      <c r="BU343" s="58" t="str">
        <f t="shared" si="198"/>
        <v/>
      </c>
      <c r="BV343" s="59"/>
    </row>
    <row r="344" spans="1:74" ht="14.5">
      <c r="A344" s="51" t="s">
        <v>58</v>
      </c>
      <c r="B344" s="52">
        <v>360</v>
      </c>
      <c r="C344" s="52" t="s">
        <v>188</v>
      </c>
      <c r="D344" s="41">
        <f t="shared" si="171"/>
        <v>4</v>
      </c>
      <c r="E344" s="52" t="s">
        <v>502</v>
      </c>
      <c r="F344" s="52" t="s">
        <v>289</v>
      </c>
      <c r="G344" s="52" t="s">
        <v>156</v>
      </c>
      <c r="H344" s="52" t="s">
        <v>503</v>
      </c>
      <c r="I344" s="53">
        <v>45682</v>
      </c>
      <c r="J344" s="108">
        <v>1472</v>
      </c>
      <c r="K344" s="101"/>
      <c r="L344" s="101"/>
      <c r="M344" s="101">
        <f t="shared" si="172"/>
        <v>1472</v>
      </c>
      <c r="N344" s="54">
        <f t="shared" si="173"/>
        <v>1472</v>
      </c>
      <c r="O344" s="101" t="s">
        <v>506</v>
      </c>
      <c r="P344" s="102">
        <f t="shared" si="174"/>
        <v>7.666666666666667</v>
      </c>
      <c r="Q344" s="102">
        <v>6</v>
      </c>
      <c r="R344" s="99">
        <f>480/15</f>
        <v>32</v>
      </c>
      <c r="S344" s="55">
        <f t="shared" si="199"/>
        <v>45654</v>
      </c>
      <c r="T344" s="55"/>
      <c r="U344" s="56">
        <f t="shared" ca="1" si="168"/>
        <v>-186</v>
      </c>
      <c r="V344" s="55">
        <f t="shared" si="200"/>
        <v>45670</v>
      </c>
      <c r="W344" s="55"/>
      <c r="X344" s="56">
        <f t="shared" ca="1" si="170"/>
        <v>-170</v>
      </c>
      <c r="Y344" s="55"/>
      <c r="Z344" s="57"/>
      <c r="AA344" s="58" t="str">
        <f t="shared" si="175"/>
        <v>-</v>
      </c>
      <c r="AB344" s="59"/>
      <c r="AC344" s="58" t="str">
        <f t="shared" si="176"/>
        <v/>
      </c>
      <c r="AD344" s="59"/>
      <c r="AE344" s="58" t="str">
        <f t="shared" si="177"/>
        <v/>
      </c>
      <c r="AF344" s="59"/>
      <c r="AG344" s="58" t="str">
        <f t="shared" si="178"/>
        <v/>
      </c>
      <c r="AH344" s="59"/>
      <c r="AI344" s="58" t="str">
        <f t="shared" si="179"/>
        <v/>
      </c>
      <c r="AJ344" s="59"/>
      <c r="AK344" s="58" t="str">
        <f t="shared" si="180"/>
        <v/>
      </c>
      <c r="AL344" s="59"/>
      <c r="AM344" s="58" t="str">
        <f t="shared" si="181"/>
        <v/>
      </c>
      <c r="AN344" s="59"/>
      <c r="AO344" s="58" t="str">
        <f t="shared" si="182"/>
        <v/>
      </c>
      <c r="AP344" s="59"/>
      <c r="AQ344" s="58" t="str">
        <f t="shared" si="183"/>
        <v/>
      </c>
      <c r="AR344" s="59"/>
      <c r="AS344" s="58" t="str">
        <f t="shared" si="184"/>
        <v/>
      </c>
      <c r="AT344" s="59"/>
      <c r="AU344" s="58" t="str">
        <f t="shared" si="185"/>
        <v/>
      </c>
      <c r="AV344" s="59"/>
      <c r="AW344" s="58">
        <f t="shared" si="186"/>
        <v>1472</v>
      </c>
      <c r="AX344" s="59"/>
      <c r="AY344" s="58" t="str">
        <f t="shared" si="187"/>
        <v/>
      </c>
      <c r="AZ344" s="59"/>
      <c r="BA344" s="58" t="str">
        <f t="shared" si="188"/>
        <v/>
      </c>
      <c r="BB344" s="59"/>
      <c r="BC344" s="58" t="str">
        <f t="shared" si="189"/>
        <v/>
      </c>
      <c r="BD344" s="59"/>
      <c r="BE344" s="58" t="str">
        <f t="shared" si="190"/>
        <v/>
      </c>
      <c r="BF344" s="59"/>
      <c r="BG344" s="58" t="str">
        <f t="shared" si="191"/>
        <v/>
      </c>
      <c r="BH344" s="59"/>
      <c r="BI344" s="58" t="str">
        <f t="shared" si="192"/>
        <v/>
      </c>
      <c r="BJ344" s="59"/>
      <c r="BK344" s="58" t="str">
        <f t="shared" si="193"/>
        <v/>
      </c>
      <c r="BL344" s="59"/>
      <c r="BM344" s="58" t="str">
        <f t="shared" si="194"/>
        <v/>
      </c>
      <c r="BN344" s="59"/>
      <c r="BO344" s="58" t="str">
        <f t="shared" si="195"/>
        <v/>
      </c>
      <c r="BP344" s="59"/>
      <c r="BQ344" s="58" t="str">
        <f t="shared" si="196"/>
        <v/>
      </c>
      <c r="BR344" s="59"/>
      <c r="BS344" s="58" t="str">
        <f t="shared" si="197"/>
        <v/>
      </c>
      <c r="BT344" s="59"/>
      <c r="BU344" s="58" t="str">
        <f t="shared" si="198"/>
        <v/>
      </c>
      <c r="BV344" s="59"/>
    </row>
    <row r="345" spans="1:74" ht="14.5">
      <c r="A345" s="51" t="s">
        <v>58</v>
      </c>
      <c r="B345" s="52">
        <v>360</v>
      </c>
      <c r="C345" s="52" t="s">
        <v>188</v>
      </c>
      <c r="D345" s="41">
        <f t="shared" si="171"/>
        <v>4</v>
      </c>
      <c r="E345" s="52" t="s">
        <v>390</v>
      </c>
      <c r="F345" s="52" t="s">
        <v>242</v>
      </c>
      <c r="G345" s="52" t="s">
        <v>162</v>
      </c>
      <c r="H345" s="52" t="s">
        <v>430</v>
      </c>
      <c r="I345" s="53">
        <v>45682</v>
      </c>
      <c r="J345" s="108">
        <v>3108</v>
      </c>
      <c r="K345" s="101"/>
      <c r="L345" s="101"/>
      <c r="M345" s="101">
        <f t="shared" si="172"/>
        <v>3108</v>
      </c>
      <c r="N345" s="54">
        <f t="shared" si="173"/>
        <v>3108</v>
      </c>
      <c r="O345" s="101" t="s">
        <v>431</v>
      </c>
      <c r="P345" s="102">
        <f t="shared" si="174"/>
        <v>4.3166666666666664</v>
      </c>
      <c r="Q345" s="102">
        <v>6</v>
      </c>
      <c r="R345" s="99">
        <v>120</v>
      </c>
      <c r="S345" s="55">
        <f t="shared" si="199"/>
        <v>45654</v>
      </c>
      <c r="T345" s="55">
        <v>45635</v>
      </c>
      <c r="U345" s="56">
        <f t="shared" ca="1" si="168"/>
        <v>19</v>
      </c>
      <c r="V345" s="55">
        <f t="shared" si="200"/>
        <v>45670</v>
      </c>
      <c r="W345" s="55"/>
      <c r="X345" s="56">
        <f t="shared" ca="1" si="170"/>
        <v>-170</v>
      </c>
      <c r="Y345" s="55"/>
      <c r="Z345" s="57"/>
      <c r="AA345" s="58" t="str">
        <f t="shared" si="175"/>
        <v>-</v>
      </c>
      <c r="AB345" s="59"/>
      <c r="AC345" s="58" t="str">
        <f t="shared" si="176"/>
        <v/>
      </c>
      <c r="AD345" s="59"/>
      <c r="AE345" s="58" t="str">
        <f t="shared" si="177"/>
        <v/>
      </c>
      <c r="AF345" s="59"/>
      <c r="AG345" s="58" t="str">
        <f t="shared" si="178"/>
        <v/>
      </c>
      <c r="AH345" s="59"/>
      <c r="AI345" s="58" t="str">
        <f t="shared" si="179"/>
        <v/>
      </c>
      <c r="AJ345" s="59"/>
      <c r="AK345" s="58" t="str">
        <f t="shared" si="180"/>
        <v/>
      </c>
      <c r="AL345" s="59"/>
      <c r="AM345" s="58" t="str">
        <f t="shared" si="181"/>
        <v/>
      </c>
      <c r="AN345" s="59"/>
      <c r="AO345" s="58" t="str">
        <f t="shared" si="182"/>
        <v/>
      </c>
      <c r="AP345" s="59"/>
      <c r="AQ345" s="58" t="str">
        <f t="shared" si="183"/>
        <v/>
      </c>
      <c r="AR345" s="59"/>
      <c r="AS345" s="58" t="str">
        <f t="shared" si="184"/>
        <v/>
      </c>
      <c r="AT345" s="59"/>
      <c r="AU345" s="58" t="str">
        <f t="shared" si="185"/>
        <v/>
      </c>
      <c r="AV345" s="59"/>
      <c r="AW345" s="58">
        <f t="shared" si="186"/>
        <v>3108</v>
      </c>
      <c r="AX345" s="59"/>
      <c r="AY345" s="58" t="str">
        <f t="shared" si="187"/>
        <v/>
      </c>
      <c r="AZ345" s="59"/>
      <c r="BA345" s="58" t="str">
        <f t="shared" si="188"/>
        <v/>
      </c>
      <c r="BB345" s="59"/>
      <c r="BC345" s="58" t="str">
        <f t="shared" si="189"/>
        <v/>
      </c>
      <c r="BD345" s="59"/>
      <c r="BE345" s="58" t="str">
        <f t="shared" si="190"/>
        <v/>
      </c>
      <c r="BF345" s="59"/>
      <c r="BG345" s="58" t="str">
        <f t="shared" si="191"/>
        <v/>
      </c>
      <c r="BH345" s="59"/>
      <c r="BI345" s="58" t="str">
        <f t="shared" si="192"/>
        <v/>
      </c>
      <c r="BJ345" s="59"/>
      <c r="BK345" s="58" t="str">
        <f t="shared" si="193"/>
        <v/>
      </c>
      <c r="BL345" s="59"/>
      <c r="BM345" s="58" t="str">
        <f t="shared" si="194"/>
        <v/>
      </c>
      <c r="BN345" s="59"/>
      <c r="BO345" s="58" t="str">
        <f t="shared" si="195"/>
        <v/>
      </c>
      <c r="BP345" s="59"/>
      <c r="BQ345" s="58" t="str">
        <f t="shared" si="196"/>
        <v/>
      </c>
      <c r="BR345" s="59"/>
      <c r="BS345" s="58" t="str">
        <f t="shared" si="197"/>
        <v/>
      </c>
      <c r="BT345" s="59"/>
      <c r="BU345" s="58" t="str">
        <f t="shared" si="198"/>
        <v/>
      </c>
      <c r="BV345" s="59"/>
    </row>
    <row r="346" spans="1:74" ht="14.5">
      <c r="A346" s="51" t="s">
        <v>58</v>
      </c>
      <c r="B346" s="52">
        <v>360</v>
      </c>
      <c r="C346" s="52" t="s">
        <v>188</v>
      </c>
      <c r="D346" s="41">
        <f t="shared" si="171"/>
        <v>4</v>
      </c>
      <c r="E346" s="52" t="s">
        <v>195</v>
      </c>
      <c r="F346" s="52" t="s">
        <v>286</v>
      </c>
      <c r="G346" s="52" t="s">
        <v>162</v>
      </c>
      <c r="H346" s="52" t="s">
        <v>508</v>
      </c>
      <c r="I346" s="53">
        <v>45682</v>
      </c>
      <c r="J346" s="108">
        <v>4464</v>
      </c>
      <c r="K346" s="101"/>
      <c r="L346" s="101"/>
      <c r="M346" s="101">
        <f t="shared" si="172"/>
        <v>4464</v>
      </c>
      <c r="N346" s="54">
        <f t="shared" si="173"/>
        <v>4464</v>
      </c>
      <c r="O346" s="101" t="s">
        <v>431</v>
      </c>
      <c r="P346" s="102">
        <f t="shared" si="174"/>
        <v>6.2</v>
      </c>
      <c r="Q346" s="102">
        <v>6</v>
      </c>
      <c r="R346" s="99">
        <v>120</v>
      </c>
      <c r="S346" s="55">
        <f t="shared" si="199"/>
        <v>45654</v>
      </c>
      <c r="T346" s="55">
        <v>45635</v>
      </c>
      <c r="U346" s="56">
        <f t="shared" ca="1" si="168"/>
        <v>19</v>
      </c>
      <c r="V346" s="55">
        <f t="shared" si="200"/>
        <v>45670</v>
      </c>
      <c r="W346" s="55"/>
      <c r="X346" s="56">
        <f t="shared" ca="1" si="170"/>
        <v>-170</v>
      </c>
      <c r="Y346" s="55"/>
      <c r="Z346" s="57"/>
      <c r="AA346" s="58" t="str">
        <f t="shared" si="175"/>
        <v>-</v>
      </c>
      <c r="AB346" s="59"/>
      <c r="AC346" s="58" t="str">
        <f t="shared" si="176"/>
        <v/>
      </c>
      <c r="AD346" s="59"/>
      <c r="AE346" s="58" t="str">
        <f t="shared" si="177"/>
        <v/>
      </c>
      <c r="AF346" s="59"/>
      <c r="AG346" s="58" t="str">
        <f t="shared" si="178"/>
        <v/>
      </c>
      <c r="AH346" s="59"/>
      <c r="AI346" s="58" t="str">
        <f t="shared" si="179"/>
        <v/>
      </c>
      <c r="AJ346" s="59"/>
      <c r="AK346" s="58" t="str">
        <f t="shared" si="180"/>
        <v/>
      </c>
      <c r="AL346" s="59"/>
      <c r="AM346" s="58" t="str">
        <f t="shared" si="181"/>
        <v/>
      </c>
      <c r="AN346" s="59"/>
      <c r="AO346" s="58" t="str">
        <f t="shared" si="182"/>
        <v/>
      </c>
      <c r="AP346" s="59"/>
      <c r="AQ346" s="58" t="str">
        <f t="shared" si="183"/>
        <v/>
      </c>
      <c r="AR346" s="59"/>
      <c r="AS346" s="58" t="str">
        <f t="shared" si="184"/>
        <v/>
      </c>
      <c r="AT346" s="59"/>
      <c r="AU346" s="58" t="str">
        <f t="shared" si="185"/>
        <v/>
      </c>
      <c r="AV346" s="59"/>
      <c r="AW346" s="58">
        <f t="shared" si="186"/>
        <v>4464</v>
      </c>
      <c r="AX346" s="59"/>
      <c r="AY346" s="58" t="str">
        <f t="shared" si="187"/>
        <v/>
      </c>
      <c r="AZ346" s="59"/>
      <c r="BA346" s="58" t="str">
        <f t="shared" si="188"/>
        <v/>
      </c>
      <c r="BB346" s="59"/>
      <c r="BC346" s="58" t="str">
        <f t="shared" si="189"/>
        <v/>
      </c>
      <c r="BD346" s="59"/>
      <c r="BE346" s="58" t="str">
        <f t="shared" si="190"/>
        <v/>
      </c>
      <c r="BF346" s="59"/>
      <c r="BG346" s="58" t="str">
        <f t="shared" si="191"/>
        <v/>
      </c>
      <c r="BH346" s="59"/>
      <c r="BI346" s="58" t="str">
        <f t="shared" si="192"/>
        <v/>
      </c>
      <c r="BJ346" s="59"/>
      <c r="BK346" s="58" t="str">
        <f t="shared" si="193"/>
        <v/>
      </c>
      <c r="BL346" s="59"/>
      <c r="BM346" s="58" t="str">
        <f t="shared" si="194"/>
        <v/>
      </c>
      <c r="BN346" s="59"/>
      <c r="BO346" s="58" t="str">
        <f t="shared" si="195"/>
        <v/>
      </c>
      <c r="BP346" s="59"/>
      <c r="BQ346" s="58" t="str">
        <f t="shared" si="196"/>
        <v/>
      </c>
      <c r="BR346" s="59"/>
      <c r="BS346" s="58" t="str">
        <f t="shared" si="197"/>
        <v/>
      </c>
      <c r="BT346" s="59"/>
      <c r="BU346" s="58" t="str">
        <f t="shared" si="198"/>
        <v/>
      </c>
      <c r="BV346" s="59"/>
    </row>
    <row r="347" spans="1:74" ht="14.5">
      <c r="A347" s="51" t="s">
        <v>58</v>
      </c>
      <c r="B347" s="52">
        <v>360</v>
      </c>
      <c r="C347" s="52" t="s">
        <v>188</v>
      </c>
      <c r="D347" s="41">
        <f t="shared" si="171"/>
        <v>4</v>
      </c>
      <c r="E347" s="52" t="s">
        <v>189</v>
      </c>
      <c r="F347" s="52" t="s">
        <v>242</v>
      </c>
      <c r="G347" s="52" t="s">
        <v>162</v>
      </c>
      <c r="H347" s="52" t="s">
        <v>432</v>
      </c>
      <c r="I347" s="53">
        <v>45682</v>
      </c>
      <c r="J347" s="108">
        <v>744</v>
      </c>
      <c r="K347" s="101"/>
      <c r="L347" s="101"/>
      <c r="M347" s="101">
        <f t="shared" si="172"/>
        <v>744</v>
      </c>
      <c r="N347" s="54">
        <f t="shared" si="173"/>
        <v>744</v>
      </c>
      <c r="O347" s="101" t="s">
        <v>178</v>
      </c>
      <c r="P347" s="102">
        <f t="shared" si="174"/>
        <v>1.0333333333333334</v>
      </c>
      <c r="Q347" s="102">
        <v>6</v>
      </c>
      <c r="R347" s="99">
        <v>120</v>
      </c>
      <c r="S347" s="55">
        <f t="shared" si="199"/>
        <v>45654</v>
      </c>
      <c r="T347" s="55">
        <v>45635</v>
      </c>
      <c r="U347" s="56">
        <f t="shared" ca="1" si="168"/>
        <v>19</v>
      </c>
      <c r="V347" s="55">
        <f t="shared" si="200"/>
        <v>45670</v>
      </c>
      <c r="W347" s="55"/>
      <c r="X347" s="56">
        <f t="shared" ca="1" si="170"/>
        <v>-170</v>
      </c>
      <c r="Y347" s="55"/>
      <c r="Z347" s="57"/>
      <c r="AA347" s="58" t="str">
        <f t="shared" si="175"/>
        <v>-</v>
      </c>
      <c r="AB347" s="59"/>
      <c r="AC347" s="58" t="str">
        <f t="shared" si="176"/>
        <v/>
      </c>
      <c r="AD347" s="59"/>
      <c r="AE347" s="58" t="str">
        <f t="shared" si="177"/>
        <v/>
      </c>
      <c r="AF347" s="59"/>
      <c r="AG347" s="58" t="str">
        <f t="shared" si="178"/>
        <v/>
      </c>
      <c r="AH347" s="59"/>
      <c r="AI347" s="58" t="str">
        <f t="shared" si="179"/>
        <v/>
      </c>
      <c r="AJ347" s="59"/>
      <c r="AK347" s="58" t="str">
        <f t="shared" si="180"/>
        <v/>
      </c>
      <c r="AL347" s="59"/>
      <c r="AM347" s="58" t="str">
        <f t="shared" si="181"/>
        <v/>
      </c>
      <c r="AN347" s="59"/>
      <c r="AO347" s="58" t="str">
        <f t="shared" si="182"/>
        <v/>
      </c>
      <c r="AP347" s="59"/>
      <c r="AQ347" s="58" t="str">
        <f t="shared" si="183"/>
        <v/>
      </c>
      <c r="AR347" s="59"/>
      <c r="AS347" s="58" t="str">
        <f t="shared" si="184"/>
        <v/>
      </c>
      <c r="AT347" s="59"/>
      <c r="AU347" s="58" t="str">
        <f t="shared" si="185"/>
        <v/>
      </c>
      <c r="AV347" s="59"/>
      <c r="AW347" s="58">
        <f t="shared" si="186"/>
        <v>744</v>
      </c>
      <c r="AX347" s="59"/>
      <c r="AY347" s="58" t="str">
        <f t="shared" si="187"/>
        <v/>
      </c>
      <c r="AZ347" s="59"/>
      <c r="BA347" s="58" t="str">
        <f t="shared" si="188"/>
        <v/>
      </c>
      <c r="BB347" s="59"/>
      <c r="BC347" s="58" t="str">
        <f t="shared" si="189"/>
        <v/>
      </c>
      <c r="BD347" s="59"/>
      <c r="BE347" s="58" t="str">
        <f t="shared" si="190"/>
        <v/>
      </c>
      <c r="BF347" s="59"/>
      <c r="BG347" s="58" t="str">
        <f t="shared" si="191"/>
        <v/>
      </c>
      <c r="BH347" s="59"/>
      <c r="BI347" s="58" t="str">
        <f t="shared" si="192"/>
        <v/>
      </c>
      <c r="BJ347" s="59"/>
      <c r="BK347" s="58" t="str">
        <f t="shared" si="193"/>
        <v/>
      </c>
      <c r="BL347" s="59"/>
      <c r="BM347" s="58" t="str">
        <f t="shared" si="194"/>
        <v/>
      </c>
      <c r="BN347" s="59"/>
      <c r="BO347" s="58" t="str">
        <f t="shared" si="195"/>
        <v/>
      </c>
      <c r="BP347" s="59"/>
      <c r="BQ347" s="58" t="str">
        <f t="shared" si="196"/>
        <v/>
      </c>
      <c r="BR347" s="59"/>
      <c r="BS347" s="58" t="str">
        <f t="shared" si="197"/>
        <v/>
      </c>
      <c r="BT347" s="59"/>
      <c r="BU347" s="58" t="str">
        <f t="shared" si="198"/>
        <v/>
      </c>
      <c r="BV347" s="59"/>
    </row>
    <row r="348" spans="1:74" ht="14.5">
      <c r="A348" s="51" t="s">
        <v>58</v>
      </c>
      <c r="B348" s="52">
        <v>360</v>
      </c>
      <c r="C348" s="52" t="s">
        <v>188</v>
      </c>
      <c r="D348" s="41">
        <f t="shared" si="171"/>
        <v>4</v>
      </c>
      <c r="E348" s="52" t="s">
        <v>190</v>
      </c>
      <c r="F348" s="52" t="s">
        <v>242</v>
      </c>
      <c r="G348" s="52" t="s">
        <v>244</v>
      </c>
      <c r="H348" s="52" t="s">
        <v>513</v>
      </c>
      <c r="I348" s="53">
        <v>45682</v>
      </c>
      <c r="J348" s="108">
        <v>488</v>
      </c>
      <c r="K348" s="101"/>
      <c r="L348" s="101"/>
      <c r="M348" s="101">
        <f t="shared" si="172"/>
        <v>488</v>
      </c>
      <c r="N348" s="54">
        <f t="shared" si="173"/>
        <v>488</v>
      </c>
      <c r="O348" s="101" t="s">
        <v>439</v>
      </c>
      <c r="P348" s="102">
        <f t="shared" si="174"/>
        <v>0.67777777777777781</v>
      </c>
      <c r="Q348" s="102">
        <v>6</v>
      </c>
      <c r="R348" s="99">
        <v>120</v>
      </c>
      <c r="S348" s="55">
        <f t="shared" si="199"/>
        <v>45654</v>
      </c>
      <c r="T348" s="55">
        <v>45635</v>
      </c>
      <c r="U348" s="56">
        <f t="shared" ca="1" si="168"/>
        <v>19</v>
      </c>
      <c r="V348" s="55">
        <f t="shared" si="200"/>
        <v>45670</v>
      </c>
      <c r="W348" s="55"/>
      <c r="X348" s="56">
        <f t="shared" ca="1" si="170"/>
        <v>-170</v>
      </c>
      <c r="Y348" s="55"/>
      <c r="Z348" s="57"/>
      <c r="AA348" s="58" t="str">
        <f t="shared" si="175"/>
        <v>-</v>
      </c>
      <c r="AB348" s="59"/>
      <c r="AC348" s="58" t="str">
        <f t="shared" si="176"/>
        <v/>
      </c>
      <c r="AD348" s="59"/>
      <c r="AE348" s="58" t="str">
        <f t="shared" si="177"/>
        <v/>
      </c>
      <c r="AF348" s="59"/>
      <c r="AG348" s="58" t="str">
        <f t="shared" si="178"/>
        <v/>
      </c>
      <c r="AH348" s="59"/>
      <c r="AI348" s="58" t="str">
        <f t="shared" si="179"/>
        <v/>
      </c>
      <c r="AJ348" s="59"/>
      <c r="AK348" s="58" t="str">
        <f t="shared" si="180"/>
        <v/>
      </c>
      <c r="AL348" s="59"/>
      <c r="AM348" s="58" t="str">
        <f t="shared" si="181"/>
        <v/>
      </c>
      <c r="AN348" s="59"/>
      <c r="AO348" s="58" t="str">
        <f t="shared" si="182"/>
        <v/>
      </c>
      <c r="AP348" s="59"/>
      <c r="AQ348" s="58" t="str">
        <f t="shared" si="183"/>
        <v/>
      </c>
      <c r="AR348" s="59"/>
      <c r="AS348" s="58" t="str">
        <f t="shared" si="184"/>
        <v/>
      </c>
      <c r="AT348" s="59"/>
      <c r="AU348" s="58" t="str">
        <f t="shared" si="185"/>
        <v/>
      </c>
      <c r="AV348" s="59"/>
      <c r="AW348" s="58">
        <f t="shared" si="186"/>
        <v>488</v>
      </c>
      <c r="AX348" s="59"/>
      <c r="AY348" s="58" t="str">
        <f t="shared" si="187"/>
        <v/>
      </c>
      <c r="AZ348" s="59"/>
      <c r="BA348" s="58" t="str">
        <f t="shared" si="188"/>
        <v/>
      </c>
      <c r="BB348" s="59"/>
      <c r="BC348" s="58" t="str">
        <f t="shared" si="189"/>
        <v/>
      </c>
      <c r="BD348" s="59"/>
      <c r="BE348" s="58" t="str">
        <f t="shared" si="190"/>
        <v/>
      </c>
      <c r="BF348" s="59"/>
      <c r="BG348" s="58" t="str">
        <f t="shared" si="191"/>
        <v/>
      </c>
      <c r="BH348" s="59"/>
      <c r="BI348" s="58" t="str">
        <f t="shared" si="192"/>
        <v/>
      </c>
      <c r="BJ348" s="59"/>
      <c r="BK348" s="58" t="str">
        <f t="shared" si="193"/>
        <v/>
      </c>
      <c r="BL348" s="59"/>
      <c r="BM348" s="58" t="str">
        <f t="shared" si="194"/>
        <v/>
      </c>
      <c r="BN348" s="59"/>
      <c r="BO348" s="58" t="str">
        <f t="shared" si="195"/>
        <v/>
      </c>
      <c r="BP348" s="59"/>
      <c r="BQ348" s="58" t="str">
        <f t="shared" si="196"/>
        <v/>
      </c>
      <c r="BR348" s="59"/>
      <c r="BS348" s="58" t="str">
        <f t="shared" si="197"/>
        <v/>
      </c>
      <c r="BT348" s="59"/>
      <c r="BU348" s="58" t="str">
        <f t="shared" si="198"/>
        <v/>
      </c>
      <c r="BV348" s="59"/>
    </row>
    <row r="349" spans="1:74" ht="14.5">
      <c r="A349" s="51" t="s">
        <v>58</v>
      </c>
      <c r="B349" s="52">
        <v>391</v>
      </c>
      <c r="C349" s="52" t="s">
        <v>188</v>
      </c>
      <c r="D349" s="41">
        <f t="shared" si="171"/>
        <v>4</v>
      </c>
      <c r="E349" s="52" t="s">
        <v>189</v>
      </c>
      <c r="F349" s="52" t="s">
        <v>242</v>
      </c>
      <c r="G349" s="52" t="s">
        <v>162</v>
      </c>
      <c r="H349" s="52" t="s">
        <v>432</v>
      </c>
      <c r="I349" s="53">
        <v>45682</v>
      </c>
      <c r="J349" s="108">
        <v>3728</v>
      </c>
      <c r="K349" s="101"/>
      <c r="L349" s="101"/>
      <c r="M349" s="101">
        <f t="shared" si="172"/>
        <v>3728</v>
      </c>
      <c r="N349" s="54">
        <f t="shared" si="173"/>
        <v>3728</v>
      </c>
      <c r="O349" s="101" t="s">
        <v>178</v>
      </c>
      <c r="P349" s="102">
        <f t="shared" si="174"/>
        <v>5.177777777777778</v>
      </c>
      <c r="Q349" s="102">
        <v>6</v>
      </c>
      <c r="R349" s="99">
        <v>120</v>
      </c>
      <c r="S349" s="55">
        <f t="shared" si="199"/>
        <v>45654</v>
      </c>
      <c r="T349" s="55">
        <v>45635</v>
      </c>
      <c r="U349" s="56">
        <f t="shared" ca="1" si="168"/>
        <v>19</v>
      </c>
      <c r="V349" s="55">
        <f t="shared" si="200"/>
        <v>45670</v>
      </c>
      <c r="W349" s="55"/>
      <c r="X349" s="56">
        <f t="shared" ca="1" si="170"/>
        <v>-170</v>
      </c>
      <c r="Y349" s="55"/>
      <c r="Z349" s="57"/>
      <c r="AA349" s="58" t="str">
        <f t="shared" si="175"/>
        <v>-</v>
      </c>
      <c r="AB349" s="59"/>
      <c r="AC349" s="58" t="str">
        <f t="shared" si="176"/>
        <v/>
      </c>
      <c r="AD349" s="59"/>
      <c r="AE349" s="58" t="str">
        <f t="shared" si="177"/>
        <v/>
      </c>
      <c r="AF349" s="59"/>
      <c r="AG349" s="58" t="str">
        <f t="shared" si="178"/>
        <v/>
      </c>
      <c r="AH349" s="59"/>
      <c r="AI349" s="58" t="str">
        <f t="shared" si="179"/>
        <v/>
      </c>
      <c r="AJ349" s="59"/>
      <c r="AK349" s="58" t="str">
        <f t="shared" si="180"/>
        <v/>
      </c>
      <c r="AL349" s="59"/>
      <c r="AM349" s="58" t="str">
        <f t="shared" si="181"/>
        <v/>
      </c>
      <c r="AN349" s="59"/>
      <c r="AO349" s="58" t="str">
        <f t="shared" si="182"/>
        <v/>
      </c>
      <c r="AP349" s="59"/>
      <c r="AQ349" s="58" t="str">
        <f t="shared" si="183"/>
        <v/>
      </c>
      <c r="AR349" s="59"/>
      <c r="AS349" s="58" t="str">
        <f t="shared" si="184"/>
        <v/>
      </c>
      <c r="AT349" s="59"/>
      <c r="AU349" s="58" t="str">
        <f t="shared" si="185"/>
        <v/>
      </c>
      <c r="AV349" s="59"/>
      <c r="AW349" s="58">
        <f t="shared" si="186"/>
        <v>3728</v>
      </c>
      <c r="AX349" s="59"/>
      <c r="AY349" s="58" t="str">
        <f t="shared" si="187"/>
        <v/>
      </c>
      <c r="AZ349" s="59"/>
      <c r="BA349" s="58" t="str">
        <f t="shared" si="188"/>
        <v/>
      </c>
      <c r="BB349" s="59"/>
      <c r="BC349" s="58" t="str">
        <f t="shared" si="189"/>
        <v/>
      </c>
      <c r="BD349" s="59"/>
      <c r="BE349" s="58" t="str">
        <f t="shared" si="190"/>
        <v/>
      </c>
      <c r="BF349" s="59"/>
      <c r="BG349" s="58" t="str">
        <f t="shared" si="191"/>
        <v/>
      </c>
      <c r="BH349" s="59"/>
      <c r="BI349" s="58" t="str">
        <f t="shared" si="192"/>
        <v/>
      </c>
      <c r="BJ349" s="59"/>
      <c r="BK349" s="58" t="str">
        <f t="shared" si="193"/>
        <v/>
      </c>
      <c r="BL349" s="59"/>
      <c r="BM349" s="58" t="str">
        <f t="shared" si="194"/>
        <v/>
      </c>
      <c r="BN349" s="59"/>
      <c r="BO349" s="58" t="str">
        <f t="shared" si="195"/>
        <v/>
      </c>
      <c r="BP349" s="59"/>
      <c r="BQ349" s="58" t="str">
        <f t="shared" si="196"/>
        <v/>
      </c>
      <c r="BR349" s="59"/>
      <c r="BS349" s="58" t="str">
        <f t="shared" si="197"/>
        <v/>
      </c>
      <c r="BT349" s="59"/>
      <c r="BU349" s="58" t="str">
        <f t="shared" si="198"/>
        <v/>
      </c>
      <c r="BV349" s="59"/>
    </row>
    <row r="350" spans="1:74" ht="14.5">
      <c r="A350" s="51" t="s">
        <v>58</v>
      </c>
      <c r="B350" s="52">
        <v>371</v>
      </c>
      <c r="C350" s="52" t="s">
        <v>188</v>
      </c>
      <c r="D350" s="41">
        <f t="shared" si="171"/>
        <v>4</v>
      </c>
      <c r="E350" s="52" t="s">
        <v>390</v>
      </c>
      <c r="F350" s="52" t="s">
        <v>242</v>
      </c>
      <c r="G350" s="52" t="s">
        <v>162</v>
      </c>
      <c r="H350" s="52" t="s">
        <v>430</v>
      </c>
      <c r="I350" s="53">
        <v>45682</v>
      </c>
      <c r="J350" s="108">
        <v>1644</v>
      </c>
      <c r="K350" s="101"/>
      <c r="L350" s="101"/>
      <c r="M350" s="101">
        <f t="shared" si="172"/>
        <v>1644</v>
      </c>
      <c r="N350" s="54">
        <f t="shared" si="173"/>
        <v>1644</v>
      </c>
      <c r="O350" s="101" t="s">
        <v>431</v>
      </c>
      <c r="P350" s="102">
        <f t="shared" si="174"/>
        <v>2.2833333333333332</v>
      </c>
      <c r="Q350" s="102">
        <v>6</v>
      </c>
      <c r="R350" s="99">
        <v>120</v>
      </c>
      <c r="S350" s="55">
        <f t="shared" si="199"/>
        <v>45654</v>
      </c>
      <c r="T350" s="55"/>
      <c r="U350" s="56">
        <f t="shared" ca="1" si="168"/>
        <v>-186</v>
      </c>
      <c r="V350" s="55">
        <f t="shared" si="200"/>
        <v>45670</v>
      </c>
      <c r="W350" s="55"/>
      <c r="X350" s="56">
        <f t="shared" ca="1" si="170"/>
        <v>-170</v>
      </c>
      <c r="Y350" s="55"/>
      <c r="Z350" s="57"/>
      <c r="AA350" s="58" t="str">
        <f t="shared" si="175"/>
        <v>-</v>
      </c>
      <c r="AB350" s="59"/>
      <c r="AC350" s="58" t="str">
        <f t="shared" si="176"/>
        <v/>
      </c>
      <c r="AD350" s="59"/>
      <c r="AE350" s="58" t="str">
        <f t="shared" si="177"/>
        <v/>
      </c>
      <c r="AF350" s="59"/>
      <c r="AG350" s="58" t="str">
        <f t="shared" si="178"/>
        <v/>
      </c>
      <c r="AH350" s="59"/>
      <c r="AI350" s="58" t="str">
        <f t="shared" si="179"/>
        <v/>
      </c>
      <c r="AJ350" s="59"/>
      <c r="AK350" s="58" t="str">
        <f t="shared" si="180"/>
        <v/>
      </c>
      <c r="AL350" s="59"/>
      <c r="AM350" s="58" t="str">
        <f t="shared" si="181"/>
        <v/>
      </c>
      <c r="AN350" s="59"/>
      <c r="AO350" s="58" t="str">
        <f t="shared" si="182"/>
        <v/>
      </c>
      <c r="AP350" s="59"/>
      <c r="AQ350" s="58" t="str">
        <f t="shared" si="183"/>
        <v/>
      </c>
      <c r="AR350" s="59"/>
      <c r="AS350" s="58" t="str">
        <f t="shared" si="184"/>
        <v/>
      </c>
      <c r="AT350" s="59"/>
      <c r="AU350" s="58" t="str">
        <f t="shared" si="185"/>
        <v/>
      </c>
      <c r="AV350" s="59"/>
      <c r="AW350" s="58">
        <f t="shared" si="186"/>
        <v>1644</v>
      </c>
      <c r="AX350" s="59"/>
      <c r="AY350" s="58" t="str">
        <f t="shared" si="187"/>
        <v/>
      </c>
      <c r="AZ350" s="59"/>
      <c r="BA350" s="58" t="str">
        <f t="shared" si="188"/>
        <v/>
      </c>
      <c r="BB350" s="59"/>
      <c r="BC350" s="58" t="str">
        <f t="shared" si="189"/>
        <v/>
      </c>
      <c r="BD350" s="59"/>
      <c r="BE350" s="58" t="str">
        <f t="shared" si="190"/>
        <v/>
      </c>
      <c r="BF350" s="59"/>
      <c r="BG350" s="58" t="str">
        <f t="shared" si="191"/>
        <v/>
      </c>
      <c r="BH350" s="59"/>
      <c r="BI350" s="58" t="str">
        <f t="shared" si="192"/>
        <v/>
      </c>
      <c r="BJ350" s="59"/>
      <c r="BK350" s="58" t="str">
        <f t="shared" si="193"/>
        <v/>
      </c>
      <c r="BL350" s="59"/>
      <c r="BM350" s="58" t="str">
        <f t="shared" si="194"/>
        <v/>
      </c>
      <c r="BN350" s="59"/>
      <c r="BO350" s="58" t="str">
        <f t="shared" si="195"/>
        <v/>
      </c>
      <c r="BP350" s="59"/>
      <c r="BQ350" s="58" t="str">
        <f t="shared" si="196"/>
        <v/>
      </c>
      <c r="BR350" s="59"/>
      <c r="BS350" s="58" t="str">
        <f t="shared" si="197"/>
        <v/>
      </c>
      <c r="BT350" s="59"/>
      <c r="BU350" s="58" t="str">
        <f t="shared" si="198"/>
        <v/>
      </c>
      <c r="BV350" s="59"/>
    </row>
    <row r="351" spans="1:74" ht="14.5">
      <c r="A351" s="51" t="s">
        <v>58</v>
      </c>
      <c r="B351" s="52">
        <v>371</v>
      </c>
      <c r="C351" s="52" t="s">
        <v>188</v>
      </c>
      <c r="D351" s="41">
        <f t="shared" si="171"/>
        <v>4</v>
      </c>
      <c r="E351" s="52" t="s">
        <v>245</v>
      </c>
      <c r="F351" s="52" t="s">
        <v>242</v>
      </c>
      <c r="G351" s="52" t="s">
        <v>244</v>
      </c>
      <c r="H351" s="52" t="s">
        <v>432</v>
      </c>
      <c r="I351" s="53">
        <v>45682</v>
      </c>
      <c r="J351" s="108">
        <v>1336</v>
      </c>
      <c r="K351" s="101"/>
      <c r="L351" s="101"/>
      <c r="M351" s="101">
        <f t="shared" si="172"/>
        <v>1336</v>
      </c>
      <c r="N351" s="54">
        <f t="shared" si="173"/>
        <v>1336</v>
      </c>
      <c r="O351" s="101" t="s">
        <v>431</v>
      </c>
      <c r="P351" s="102">
        <f t="shared" si="174"/>
        <v>1.8555555555555556</v>
      </c>
      <c r="Q351" s="102">
        <v>6</v>
      </c>
      <c r="R351" s="99">
        <v>120</v>
      </c>
      <c r="S351" s="55">
        <f t="shared" si="199"/>
        <v>45654</v>
      </c>
      <c r="T351" s="55"/>
      <c r="U351" s="56">
        <f t="shared" ca="1" si="168"/>
        <v>-186</v>
      </c>
      <c r="V351" s="55">
        <f t="shared" si="200"/>
        <v>45670</v>
      </c>
      <c r="W351" s="55"/>
      <c r="X351" s="56">
        <f t="shared" ca="1" si="170"/>
        <v>-170</v>
      </c>
      <c r="Y351" s="55"/>
      <c r="Z351" s="57"/>
      <c r="AA351" s="58" t="str">
        <f t="shared" si="175"/>
        <v>-</v>
      </c>
      <c r="AB351" s="59"/>
      <c r="AC351" s="58" t="str">
        <f t="shared" si="176"/>
        <v/>
      </c>
      <c r="AD351" s="59"/>
      <c r="AE351" s="58" t="str">
        <f t="shared" si="177"/>
        <v/>
      </c>
      <c r="AF351" s="59"/>
      <c r="AG351" s="58" t="str">
        <f t="shared" si="178"/>
        <v/>
      </c>
      <c r="AH351" s="59"/>
      <c r="AI351" s="58" t="str">
        <f t="shared" si="179"/>
        <v/>
      </c>
      <c r="AJ351" s="59"/>
      <c r="AK351" s="58" t="str">
        <f t="shared" si="180"/>
        <v/>
      </c>
      <c r="AL351" s="59"/>
      <c r="AM351" s="58" t="str">
        <f t="shared" si="181"/>
        <v/>
      </c>
      <c r="AN351" s="59"/>
      <c r="AO351" s="58" t="str">
        <f t="shared" si="182"/>
        <v/>
      </c>
      <c r="AP351" s="59"/>
      <c r="AQ351" s="58" t="str">
        <f t="shared" si="183"/>
        <v/>
      </c>
      <c r="AR351" s="59"/>
      <c r="AS351" s="58" t="str">
        <f t="shared" si="184"/>
        <v/>
      </c>
      <c r="AT351" s="59"/>
      <c r="AU351" s="58" t="str">
        <f t="shared" si="185"/>
        <v/>
      </c>
      <c r="AV351" s="59"/>
      <c r="AW351" s="58">
        <f t="shared" si="186"/>
        <v>1336</v>
      </c>
      <c r="AX351" s="59"/>
      <c r="AY351" s="58" t="str">
        <f t="shared" si="187"/>
        <v/>
      </c>
      <c r="AZ351" s="59"/>
      <c r="BA351" s="58" t="str">
        <f t="shared" si="188"/>
        <v/>
      </c>
      <c r="BB351" s="59"/>
      <c r="BC351" s="58" t="str">
        <f t="shared" si="189"/>
        <v/>
      </c>
      <c r="BD351" s="59"/>
      <c r="BE351" s="58" t="str">
        <f t="shared" si="190"/>
        <v/>
      </c>
      <c r="BF351" s="59"/>
      <c r="BG351" s="58" t="str">
        <f t="shared" si="191"/>
        <v/>
      </c>
      <c r="BH351" s="59"/>
      <c r="BI351" s="58" t="str">
        <f t="shared" si="192"/>
        <v/>
      </c>
      <c r="BJ351" s="59"/>
      <c r="BK351" s="58" t="str">
        <f t="shared" si="193"/>
        <v/>
      </c>
      <c r="BL351" s="59"/>
      <c r="BM351" s="58" t="str">
        <f t="shared" si="194"/>
        <v/>
      </c>
      <c r="BN351" s="59"/>
      <c r="BO351" s="58" t="str">
        <f t="shared" si="195"/>
        <v/>
      </c>
      <c r="BP351" s="59"/>
      <c r="BQ351" s="58" t="str">
        <f t="shared" si="196"/>
        <v/>
      </c>
      <c r="BR351" s="59"/>
      <c r="BS351" s="58" t="str">
        <f t="shared" si="197"/>
        <v/>
      </c>
      <c r="BT351" s="59"/>
      <c r="BU351" s="58" t="str">
        <f t="shared" si="198"/>
        <v/>
      </c>
      <c r="BV351" s="59"/>
    </row>
    <row r="352" spans="1:74" ht="14.5">
      <c r="A352" s="51" t="s">
        <v>58</v>
      </c>
      <c r="B352" s="52">
        <v>371</v>
      </c>
      <c r="C352" s="52" t="s">
        <v>188</v>
      </c>
      <c r="D352" s="41">
        <f t="shared" si="171"/>
        <v>4</v>
      </c>
      <c r="E352" s="52" t="s">
        <v>158</v>
      </c>
      <c r="F352" s="52" t="s">
        <v>242</v>
      </c>
      <c r="G352" s="52" t="s">
        <v>255</v>
      </c>
      <c r="H352" s="52" t="s">
        <v>498</v>
      </c>
      <c r="I352" s="53">
        <v>45682</v>
      </c>
      <c r="J352" s="108">
        <v>1344</v>
      </c>
      <c r="K352" s="101"/>
      <c r="L352" s="101"/>
      <c r="M352" s="101">
        <f t="shared" si="172"/>
        <v>1344</v>
      </c>
      <c r="N352" s="54">
        <f t="shared" si="173"/>
        <v>1344</v>
      </c>
      <c r="O352" s="101" t="s">
        <v>439</v>
      </c>
      <c r="P352" s="102">
        <f t="shared" si="174"/>
        <v>1.8666666666666667</v>
      </c>
      <c r="Q352" s="102">
        <v>6</v>
      </c>
      <c r="R352" s="99">
        <v>120</v>
      </c>
      <c r="S352" s="55">
        <f t="shared" si="199"/>
        <v>45654</v>
      </c>
      <c r="T352" s="55"/>
      <c r="U352" s="56">
        <f t="shared" ca="1" si="168"/>
        <v>-186</v>
      </c>
      <c r="V352" s="55">
        <f t="shared" si="200"/>
        <v>45670</v>
      </c>
      <c r="W352" s="55"/>
      <c r="X352" s="56">
        <f t="shared" ca="1" si="170"/>
        <v>-170</v>
      </c>
      <c r="Y352" s="55"/>
      <c r="Z352" s="57"/>
      <c r="AA352" s="58" t="str">
        <f t="shared" si="175"/>
        <v>-</v>
      </c>
      <c r="AB352" s="59"/>
      <c r="AC352" s="58" t="str">
        <f t="shared" si="176"/>
        <v/>
      </c>
      <c r="AD352" s="59"/>
      <c r="AE352" s="58" t="str">
        <f t="shared" si="177"/>
        <v/>
      </c>
      <c r="AF352" s="59"/>
      <c r="AG352" s="58" t="str">
        <f t="shared" si="178"/>
        <v/>
      </c>
      <c r="AH352" s="59"/>
      <c r="AI352" s="58" t="str">
        <f t="shared" si="179"/>
        <v/>
      </c>
      <c r="AJ352" s="59"/>
      <c r="AK352" s="58" t="str">
        <f t="shared" si="180"/>
        <v/>
      </c>
      <c r="AL352" s="59"/>
      <c r="AM352" s="58" t="str">
        <f t="shared" si="181"/>
        <v/>
      </c>
      <c r="AN352" s="59"/>
      <c r="AO352" s="58" t="str">
        <f t="shared" si="182"/>
        <v/>
      </c>
      <c r="AP352" s="59"/>
      <c r="AQ352" s="58" t="str">
        <f t="shared" si="183"/>
        <v/>
      </c>
      <c r="AR352" s="59"/>
      <c r="AS352" s="58" t="str">
        <f t="shared" si="184"/>
        <v/>
      </c>
      <c r="AT352" s="59"/>
      <c r="AU352" s="58" t="str">
        <f t="shared" si="185"/>
        <v/>
      </c>
      <c r="AV352" s="59"/>
      <c r="AW352" s="58">
        <f t="shared" si="186"/>
        <v>1344</v>
      </c>
      <c r="AX352" s="59"/>
      <c r="AY352" s="58" t="str">
        <f t="shared" si="187"/>
        <v/>
      </c>
      <c r="AZ352" s="59"/>
      <c r="BA352" s="58" t="str">
        <f t="shared" si="188"/>
        <v/>
      </c>
      <c r="BB352" s="59"/>
      <c r="BC352" s="58" t="str">
        <f t="shared" si="189"/>
        <v/>
      </c>
      <c r="BD352" s="59"/>
      <c r="BE352" s="58" t="str">
        <f t="shared" si="190"/>
        <v/>
      </c>
      <c r="BF352" s="59"/>
      <c r="BG352" s="58" t="str">
        <f t="shared" si="191"/>
        <v/>
      </c>
      <c r="BH352" s="59"/>
      <c r="BI352" s="58" t="str">
        <f t="shared" si="192"/>
        <v/>
      </c>
      <c r="BJ352" s="59"/>
      <c r="BK352" s="58" t="str">
        <f t="shared" si="193"/>
        <v/>
      </c>
      <c r="BL352" s="59"/>
      <c r="BM352" s="58" t="str">
        <f t="shared" si="194"/>
        <v/>
      </c>
      <c r="BN352" s="59"/>
      <c r="BO352" s="58" t="str">
        <f t="shared" si="195"/>
        <v/>
      </c>
      <c r="BP352" s="59"/>
      <c r="BQ352" s="58" t="str">
        <f t="shared" si="196"/>
        <v/>
      </c>
      <c r="BR352" s="59"/>
      <c r="BS352" s="58" t="str">
        <f t="shared" si="197"/>
        <v/>
      </c>
      <c r="BT352" s="59"/>
      <c r="BU352" s="58" t="str">
        <f t="shared" si="198"/>
        <v/>
      </c>
      <c r="BV352" s="59"/>
    </row>
    <row r="353" spans="1:74" ht="14.5">
      <c r="A353" s="51" t="s">
        <v>58</v>
      </c>
      <c r="B353" s="52">
        <v>372</v>
      </c>
      <c r="C353" s="52" t="s">
        <v>188</v>
      </c>
      <c r="D353" s="41">
        <f t="shared" si="171"/>
        <v>4</v>
      </c>
      <c r="E353" s="52" t="s">
        <v>157</v>
      </c>
      <c r="F353" s="52" t="s">
        <v>243</v>
      </c>
      <c r="G353" s="52" t="s">
        <v>155</v>
      </c>
      <c r="H353" s="52" t="s">
        <v>428</v>
      </c>
      <c r="I353" s="53">
        <v>45682</v>
      </c>
      <c r="J353" s="108">
        <v>4974</v>
      </c>
      <c r="K353" s="101"/>
      <c r="L353" s="101"/>
      <c r="M353" s="101">
        <f t="shared" si="172"/>
        <v>4974</v>
      </c>
      <c r="N353" s="54">
        <f t="shared" si="173"/>
        <v>4974</v>
      </c>
      <c r="O353" s="101" t="s">
        <v>429</v>
      </c>
      <c r="P353" s="102">
        <f t="shared" si="174"/>
        <v>0.82899999999999996</v>
      </c>
      <c r="Q353" s="102">
        <v>6</v>
      </c>
      <c r="R353" s="99">
        <v>1000</v>
      </c>
      <c r="S353" s="55">
        <f t="shared" si="199"/>
        <v>45654</v>
      </c>
      <c r="T353" s="55"/>
      <c r="U353" s="56">
        <f t="shared" ca="1" si="168"/>
        <v>-186</v>
      </c>
      <c r="V353" s="55">
        <f t="shared" si="200"/>
        <v>45670</v>
      </c>
      <c r="W353" s="55"/>
      <c r="X353" s="56">
        <f t="shared" ca="1" si="170"/>
        <v>-170</v>
      </c>
      <c r="Y353" s="55"/>
      <c r="Z353" s="57"/>
      <c r="AA353" s="58" t="str">
        <f t="shared" si="175"/>
        <v>-</v>
      </c>
      <c r="AB353" s="59"/>
      <c r="AC353" s="58" t="str">
        <f t="shared" si="176"/>
        <v/>
      </c>
      <c r="AD353" s="59"/>
      <c r="AE353" s="58" t="str">
        <f t="shared" si="177"/>
        <v/>
      </c>
      <c r="AF353" s="59"/>
      <c r="AG353" s="58" t="str">
        <f t="shared" si="178"/>
        <v/>
      </c>
      <c r="AH353" s="59"/>
      <c r="AI353" s="58" t="str">
        <f t="shared" si="179"/>
        <v/>
      </c>
      <c r="AJ353" s="59"/>
      <c r="AK353" s="58" t="str">
        <f t="shared" si="180"/>
        <v/>
      </c>
      <c r="AL353" s="59"/>
      <c r="AM353" s="58" t="str">
        <f t="shared" si="181"/>
        <v/>
      </c>
      <c r="AN353" s="59"/>
      <c r="AO353" s="58" t="str">
        <f t="shared" si="182"/>
        <v/>
      </c>
      <c r="AP353" s="59"/>
      <c r="AQ353" s="58" t="str">
        <f t="shared" si="183"/>
        <v/>
      </c>
      <c r="AR353" s="59"/>
      <c r="AS353" s="58" t="str">
        <f t="shared" si="184"/>
        <v/>
      </c>
      <c r="AT353" s="59"/>
      <c r="AU353" s="58" t="str">
        <f t="shared" si="185"/>
        <v/>
      </c>
      <c r="AV353" s="59"/>
      <c r="AW353" s="58">
        <f t="shared" si="186"/>
        <v>4974</v>
      </c>
      <c r="AX353" s="59"/>
      <c r="AY353" s="58" t="str">
        <f t="shared" si="187"/>
        <v/>
      </c>
      <c r="AZ353" s="59"/>
      <c r="BA353" s="58" t="str">
        <f t="shared" si="188"/>
        <v/>
      </c>
      <c r="BB353" s="59"/>
      <c r="BC353" s="58" t="str">
        <f t="shared" si="189"/>
        <v/>
      </c>
      <c r="BD353" s="59"/>
      <c r="BE353" s="58" t="str">
        <f t="shared" si="190"/>
        <v/>
      </c>
      <c r="BF353" s="59"/>
      <c r="BG353" s="58" t="str">
        <f t="shared" si="191"/>
        <v/>
      </c>
      <c r="BH353" s="59"/>
      <c r="BI353" s="58" t="str">
        <f t="shared" si="192"/>
        <v/>
      </c>
      <c r="BJ353" s="59"/>
      <c r="BK353" s="58" t="str">
        <f t="shared" si="193"/>
        <v/>
      </c>
      <c r="BL353" s="59"/>
      <c r="BM353" s="58" t="str">
        <f t="shared" si="194"/>
        <v/>
      </c>
      <c r="BN353" s="59"/>
      <c r="BO353" s="58" t="str">
        <f t="shared" si="195"/>
        <v/>
      </c>
      <c r="BP353" s="59"/>
      <c r="BQ353" s="58" t="str">
        <f t="shared" si="196"/>
        <v/>
      </c>
      <c r="BR353" s="59"/>
      <c r="BS353" s="58" t="str">
        <f t="shared" si="197"/>
        <v/>
      </c>
      <c r="BT353" s="59"/>
      <c r="BU353" s="58" t="str">
        <f t="shared" si="198"/>
        <v/>
      </c>
      <c r="BV353" s="59"/>
    </row>
    <row r="354" spans="1:74" ht="14.5">
      <c r="A354" s="51" t="s">
        <v>58</v>
      </c>
      <c r="B354" s="52">
        <v>372</v>
      </c>
      <c r="C354" s="52" t="s">
        <v>188</v>
      </c>
      <c r="D354" s="41">
        <f t="shared" si="171"/>
        <v>4</v>
      </c>
      <c r="E354" s="52" t="s">
        <v>158</v>
      </c>
      <c r="F354" s="52" t="s">
        <v>242</v>
      </c>
      <c r="G354" s="52" t="s">
        <v>255</v>
      </c>
      <c r="H354" s="52" t="s">
        <v>498</v>
      </c>
      <c r="I354" s="53">
        <v>45682</v>
      </c>
      <c r="J354" s="108">
        <v>636</v>
      </c>
      <c r="K354" s="101"/>
      <c r="L354" s="101"/>
      <c r="M354" s="101">
        <f t="shared" si="172"/>
        <v>636</v>
      </c>
      <c r="N354" s="54">
        <f t="shared" si="173"/>
        <v>636</v>
      </c>
      <c r="O354" s="101" t="s">
        <v>439</v>
      </c>
      <c r="P354" s="102">
        <f t="shared" si="174"/>
        <v>0.8833333333333333</v>
      </c>
      <c r="Q354" s="102">
        <v>6</v>
      </c>
      <c r="R354" s="99">
        <v>120</v>
      </c>
      <c r="S354" s="55">
        <f t="shared" si="199"/>
        <v>45654</v>
      </c>
      <c r="T354" s="55"/>
      <c r="U354" s="56">
        <f t="shared" ca="1" si="168"/>
        <v>-186</v>
      </c>
      <c r="V354" s="55">
        <f t="shared" si="200"/>
        <v>45670</v>
      </c>
      <c r="W354" s="55"/>
      <c r="X354" s="56">
        <f t="shared" ca="1" si="170"/>
        <v>-170</v>
      </c>
      <c r="Y354" s="55"/>
      <c r="Z354" s="57"/>
      <c r="AA354" s="58" t="str">
        <f t="shared" si="175"/>
        <v>-</v>
      </c>
      <c r="AB354" s="59"/>
      <c r="AC354" s="58" t="str">
        <f t="shared" si="176"/>
        <v/>
      </c>
      <c r="AD354" s="59"/>
      <c r="AE354" s="58" t="str">
        <f t="shared" si="177"/>
        <v/>
      </c>
      <c r="AF354" s="59"/>
      <c r="AG354" s="58" t="str">
        <f t="shared" si="178"/>
        <v/>
      </c>
      <c r="AH354" s="59"/>
      <c r="AI354" s="58" t="str">
        <f t="shared" si="179"/>
        <v/>
      </c>
      <c r="AJ354" s="59"/>
      <c r="AK354" s="58" t="str">
        <f t="shared" si="180"/>
        <v/>
      </c>
      <c r="AL354" s="59"/>
      <c r="AM354" s="58" t="str">
        <f t="shared" si="181"/>
        <v/>
      </c>
      <c r="AN354" s="59"/>
      <c r="AO354" s="58" t="str">
        <f t="shared" si="182"/>
        <v/>
      </c>
      <c r="AP354" s="59"/>
      <c r="AQ354" s="58" t="str">
        <f t="shared" si="183"/>
        <v/>
      </c>
      <c r="AR354" s="59"/>
      <c r="AS354" s="58" t="str">
        <f t="shared" si="184"/>
        <v/>
      </c>
      <c r="AT354" s="59"/>
      <c r="AU354" s="58" t="str">
        <f t="shared" si="185"/>
        <v/>
      </c>
      <c r="AV354" s="59"/>
      <c r="AW354" s="58">
        <f t="shared" si="186"/>
        <v>636</v>
      </c>
      <c r="AX354" s="59"/>
      <c r="AY354" s="58" t="str">
        <f t="shared" si="187"/>
        <v/>
      </c>
      <c r="AZ354" s="59"/>
      <c r="BA354" s="58" t="str">
        <f t="shared" si="188"/>
        <v/>
      </c>
      <c r="BB354" s="59"/>
      <c r="BC354" s="58" t="str">
        <f t="shared" si="189"/>
        <v/>
      </c>
      <c r="BD354" s="59"/>
      <c r="BE354" s="58" t="str">
        <f t="shared" si="190"/>
        <v/>
      </c>
      <c r="BF354" s="59"/>
      <c r="BG354" s="58" t="str">
        <f t="shared" si="191"/>
        <v/>
      </c>
      <c r="BH354" s="59"/>
      <c r="BI354" s="58" t="str">
        <f t="shared" si="192"/>
        <v/>
      </c>
      <c r="BJ354" s="59"/>
      <c r="BK354" s="58" t="str">
        <f t="shared" si="193"/>
        <v/>
      </c>
      <c r="BL354" s="59"/>
      <c r="BM354" s="58" t="str">
        <f t="shared" si="194"/>
        <v/>
      </c>
      <c r="BN354" s="59"/>
      <c r="BO354" s="58" t="str">
        <f t="shared" si="195"/>
        <v/>
      </c>
      <c r="BP354" s="59"/>
      <c r="BQ354" s="58" t="str">
        <f t="shared" si="196"/>
        <v/>
      </c>
      <c r="BR354" s="59"/>
      <c r="BS354" s="58" t="str">
        <f t="shared" si="197"/>
        <v/>
      </c>
      <c r="BT354" s="59"/>
      <c r="BU354" s="58" t="str">
        <f t="shared" si="198"/>
        <v/>
      </c>
      <c r="BV354" s="59"/>
    </row>
    <row r="355" spans="1:74" ht="14.5">
      <c r="A355" s="51" t="s">
        <v>58</v>
      </c>
      <c r="B355" s="52">
        <v>372</v>
      </c>
      <c r="C355" s="52" t="s">
        <v>188</v>
      </c>
      <c r="D355" s="41">
        <f t="shared" si="171"/>
        <v>4</v>
      </c>
      <c r="E355" s="52" t="s">
        <v>190</v>
      </c>
      <c r="F355" s="52" t="s">
        <v>242</v>
      </c>
      <c r="G355" s="52" t="s">
        <v>244</v>
      </c>
      <c r="H355" s="52" t="s">
        <v>453</v>
      </c>
      <c r="I355" s="53">
        <v>45682</v>
      </c>
      <c r="J355" s="108">
        <v>1356</v>
      </c>
      <c r="K355" s="101"/>
      <c r="L355" s="101"/>
      <c r="M355" s="101">
        <f t="shared" si="172"/>
        <v>1356</v>
      </c>
      <c r="N355" s="54">
        <f t="shared" si="173"/>
        <v>1356</v>
      </c>
      <c r="O355" s="101" t="s">
        <v>439</v>
      </c>
      <c r="P355" s="102">
        <f t="shared" si="174"/>
        <v>1.8833333333333333</v>
      </c>
      <c r="Q355" s="102">
        <v>6</v>
      </c>
      <c r="R355" s="99">
        <v>120</v>
      </c>
      <c r="S355" s="55">
        <f t="shared" si="199"/>
        <v>45654</v>
      </c>
      <c r="T355" s="55"/>
      <c r="U355" s="56">
        <f t="shared" ca="1" si="168"/>
        <v>-186</v>
      </c>
      <c r="V355" s="55">
        <f t="shared" si="200"/>
        <v>45670</v>
      </c>
      <c r="W355" s="55"/>
      <c r="X355" s="56">
        <f t="shared" ca="1" si="170"/>
        <v>-170</v>
      </c>
      <c r="Y355" s="55"/>
      <c r="Z355" s="57"/>
      <c r="AA355" s="58" t="str">
        <f t="shared" si="175"/>
        <v>-</v>
      </c>
      <c r="AB355" s="59"/>
      <c r="AC355" s="58" t="str">
        <f t="shared" si="176"/>
        <v/>
      </c>
      <c r="AD355" s="59"/>
      <c r="AE355" s="58" t="str">
        <f t="shared" si="177"/>
        <v/>
      </c>
      <c r="AF355" s="59"/>
      <c r="AG355" s="58" t="str">
        <f t="shared" si="178"/>
        <v/>
      </c>
      <c r="AH355" s="59"/>
      <c r="AI355" s="58" t="str">
        <f t="shared" si="179"/>
        <v/>
      </c>
      <c r="AJ355" s="59"/>
      <c r="AK355" s="58" t="str">
        <f t="shared" si="180"/>
        <v/>
      </c>
      <c r="AL355" s="59"/>
      <c r="AM355" s="58" t="str">
        <f t="shared" si="181"/>
        <v/>
      </c>
      <c r="AN355" s="59"/>
      <c r="AO355" s="58" t="str">
        <f t="shared" si="182"/>
        <v/>
      </c>
      <c r="AP355" s="59"/>
      <c r="AQ355" s="58" t="str">
        <f t="shared" si="183"/>
        <v/>
      </c>
      <c r="AR355" s="59"/>
      <c r="AS355" s="58" t="str">
        <f t="shared" si="184"/>
        <v/>
      </c>
      <c r="AT355" s="59"/>
      <c r="AU355" s="58" t="str">
        <f t="shared" si="185"/>
        <v/>
      </c>
      <c r="AV355" s="59"/>
      <c r="AW355" s="58">
        <f t="shared" si="186"/>
        <v>1356</v>
      </c>
      <c r="AX355" s="59"/>
      <c r="AY355" s="58" t="str">
        <f t="shared" si="187"/>
        <v/>
      </c>
      <c r="AZ355" s="59"/>
      <c r="BA355" s="58" t="str">
        <f t="shared" si="188"/>
        <v/>
      </c>
      <c r="BB355" s="59"/>
      <c r="BC355" s="58" t="str">
        <f t="shared" si="189"/>
        <v/>
      </c>
      <c r="BD355" s="59"/>
      <c r="BE355" s="58" t="str">
        <f t="shared" si="190"/>
        <v/>
      </c>
      <c r="BF355" s="59"/>
      <c r="BG355" s="58" t="str">
        <f t="shared" si="191"/>
        <v/>
      </c>
      <c r="BH355" s="59"/>
      <c r="BI355" s="58" t="str">
        <f t="shared" si="192"/>
        <v/>
      </c>
      <c r="BJ355" s="59"/>
      <c r="BK355" s="58" t="str">
        <f t="shared" si="193"/>
        <v/>
      </c>
      <c r="BL355" s="59"/>
      <c r="BM355" s="58" t="str">
        <f t="shared" si="194"/>
        <v/>
      </c>
      <c r="BN355" s="59"/>
      <c r="BO355" s="58" t="str">
        <f t="shared" si="195"/>
        <v/>
      </c>
      <c r="BP355" s="59"/>
      <c r="BQ355" s="58" t="str">
        <f t="shared" si="196"/>
        <v/>
      </c>
      <c r="BR355" s="59"/>
      <c r="BS355" s="58" t="str">
        <f t="shared" si="197"/>
        <v/>
      </c>
      <c r="BT355" s="59"/>
      <c r="BU355" s="58" t="str">
        <f t="shared" si="198"/>
        <v/>
      </c>
      <c r="BV355" s="59"/>
    </row>
    <row r="356" spans="1:74" ht="14.5">
      <c r="A356" s="51" t="s">
        <v>446</v>
      </c>
      <c r="B356" s="52" t="s">
        <v>551</v>
      </c>
      <c r="C356" s="52" t="s">
        <v>60</v>
      </c>
      <c r="D356" s="41">
        <f t="shared" si="171"/>
        <v>4</v>
      </c>
      <c r="E356" s="52" t="s">
        <v>187</v>
      </c>
      <c r="F356" s="52" t="s">
        <v>448</v>
      </c>
      <c r="G356" s="52" t="s">
        <v>164</v>
      </c>
      <c r="H356" s="52" t="s">
        <v>449</v>
      </c>
      <c r="I356" s="53">
        <v>45682</v>
      </c>
      <c r="J356" s="108">
        <v>9000</v>
      </c>
      <c r="K356" s="101"/>
      <c r="L356" s="101"/>
      <c r="M356" s="101">
        <f t="shared" si="172"/>
        <v>9000</v>
      </c>
      <c r="N356" s="54">
        <f t="shared" si="173"/>
        <v>9000</v>
      </c>
      <c r="O356" s="101" t="s">
        <v>429</v>
      </c>
      <c r="P356" s="102">
        <f t="shared" si="174"/>
        <v>1.3636363636363635</v>
      </c>
      <c r="Q356" s="102">
        <v>6</v>
      </c>
      <c r="R356" s="99">
        <v>1100</v>
      </c>
      <c r="S356" s="55">
        <f t="shared" si="199"/>
        <v>45654</v>
      </c>
      <c r="T356" s="55"/>
      <c r="U356" s="56">
        <f t="shared" ca="1" si="168"/>
        <v>-186</v>
      </c>
      <c r="V356" s="55">
        <f t="shared" si="200"/>
        <v>45670</v>
      </c>
      <c r="W356" s="55"/>
      <c r="X356" s="56">
        <f t="shared" ca="1" si="170"/>
        <v>-170</v>
      </c>
      <c r="Y356" s="55"/>
      <c r="Z356" s="57"/>
      <c r="AA356" s="58" t="str">
        <f t="shared" si="175"/>
        <v>-</v>
      </c>
      <c r="AB356" s="59"/>
      <c r="AC356" s="58" t="str">
        <f t="shared" si="176"/>
        <v/>
      </c>
      <c r="AD356" s="59"/>
      <c r="AE356" s="58" t="str">
        <f t="shared" si="177"/>
        <v/>
      </c>
      <c r="AF356" s="59"/>
      <c r="AG356" s="58" t="str">
        <f t="shared" si="178"/>
        <v/>
      </c>
      <c r="AH356" s="59"/>
      <c r="AI356" s="58" t="str">
        <f t="shared" si="179"/>
        <v/>
      </c>
      <c r="AJ356" s="59"/>
      <c r="AK356" s="58" t="str">
        <f t="shared" si="180"/>
        <v/>
      </c>
      <c r="AL356" s="59"/>
      <c r="AM356" s="58" t="str">
        <f t="shared" si="181"/>
        <v/>
      </c>
      <c r="AN356" s="59"/>
      <c r="AO356" s="58" t="str">
        <f t="shared" si="182"/>
        <v/>
      </c>
      <c r="AP356" s="59"/>
      <c r="AQ356" s="58" t="str">
        <f t="shared" si="183"/>
        <v/>
      </c>
      <c r="AR356" s="59"/>
      <c r="AS356" s="58" t="str">
        <f t="shared" si="184"/>
        <v/>
      </c>
      <c r="AT356" s="59"/>
      <c r="AU356" s="58" t="str">
        <f t="shared" si="185"/>
        <v/>
      </c>
      <c r="AV356" s="59"/>
      <c r="AW356" s="58">
        <f t="shared" si="186"/>
        <v>9000</v>
      </c>
      <c r="AX356" s="59"/>
      <c r="AY356" s="58" t="str">
        <f t="shared" si="187"/>
        <v/>
      </c>
      <c r="AZ356" s="59"/>
      <c r="BA356" s="58" t="str">
        <f t="shared" si="188"/>
        <v/>
      </c>
      <c r="BB356" s="59"/>
      <c r="BC356" s="58" t="str">
        <f t="shared" si="189"/>
        <v/>
      </c>
      <c r="BD356" s="59"/>
      <c r="BE356" s="58" t="str">
        <f t="shared" si="190"/>
        <v/>
      </c>
      <c r="BF356" s="59"/>
      <c r="BG356" s="58" t="str">
        <f t="shared" si="191"/>
        <v/>
      </c>
      <c r="BH356" s="59"/>
      <c r="BI356" s="58" t="str">
        <f t="shared" si="192"/>
        <v/>
      </c>
      <c r="BJ356" s="59"/>
      <c r="BK356" s="58" t="str">
        <f t="shared" si="193"/>
        <v/>
      </c>
      <c r="BL356" s="59"/>
      <c r="BM356" s="58" t="str">
        <f t="shared" si="194"/>
        <v/>
      </c>
      <c r="BN356" s="59"/>
      <c r="BO356" s="58" t="str">
        <f t="shared" si="195"/>
        <v/>
      </c>
      <c r="BP356" s="59"/>
      <c r="BQ356" s="58" t="str">
        <f t="shared" si="196"/>
        <v/>
      </c>
      <c r="BR356" s="59"/>
      <c r="BS356" s="58" t="str">
        <f t="shared" si="197"/>
        <v/>
      </c>
      <c r="BT356" s="59"/>
      <c r="BU356" s="58" t="str">
        <f t="shared" si="198"/>
        <v/>
      </c>
      <c r="BV356" s="59"/>
    </row>
    <row r="357" spans="1:74" ht="14.5">
      <c r="A357" s="51" t="s">
        <v>446</v>
      </c>
      <c r="B357" s="52" t="s">
        <v>551</v>
      </c>
      <c r="C357" s="52" t="s">
        <v>60</v>
      </c>
      <c r="D357" s="41">
        <f t="shared" si="171"/>
        <v>4</v>
      </c>
      <c r="E357" s="52" t="s">
        <v>187</v>
      </c>
      <c r="F357" s="52" t="s">
        <v>448</v>
      </c>
      <c r="G357" s="52" t="s">
        <v>155</v>
      </c>
      <c r="H357" s="52" t="s">
        <v>449</v>
      </c>
      <c r="I357" s="53">
        <v>45682</v>
      </c>
      <c r="J357" s="108">
        <v>9000</v>
      </c>
      <c r="K357" s="101"/>
      <c r="L357" s="101"/>
      <c r="M357" s="101">
        <f t="shared" si="172"/>
        <v>9000</v>
      </c>
      <c r="N357" s="54">
        <f t="shared" si="173"/>
        <v>9000</v>
      </c>
      <c r="O357" s="101" t="s">
        <v>429</v>
      </c>
      <c r="P357" s="102">
        <f t="shared" si="174"/>
        <v>1.3636363636363635</v>
      </c>
      <c r="Q357" s="102">
        <v>6</v>
      </c>
      <c r="R357" s="99">
        <v>1100</v>
      </c>
      <c r="S357" s="55">
        <f t="shared" si="199"/>
        <v>45654</v>
      </c>
      <c r="T357" s="55"/>
      <c r="U357" s="56">
        <f t="shared" ca="1" si="168"/>
        <v>-186</v>
      </c>
      <c r="V357" s="55">
        <f t="shared" si="200"/>
        <v>45670</v>
      </c>
      <c r="W357" s="55"/>
      <c r="X357" s="56">
        <f t="shared" ca="1" si="170"/>
        <v>-170</v>
      </c>
      <c r="Y357" s="55"/>
      <c r="Z357" s="57"/>
      <c r="AA357" s="58" t="str">
        <f t="shared" si="175"/>
        <v>-</v>
      </c>
      <c r="AB357" s="59"/>
      <c r="AC357" s="58" t="str">
        <f t="shared" si="176"/>
        <v/>
      </c>
      <c r="AD357" s="59"/>
      <c r="AE357" s="58" t="str">
        <f t="shared" si="177"/>
        <v/>
      </c>
      <c r="AF357" s="59"/>
      <c r="AG357" s="58" t="str">
        <f t="shared" si="178"/>
        <v/>
      </c>
      <c r="AH357" s="59"/>
      <c r="AI357" s="58" t="str">
        <f t="shared" si="179"/>
        <v/>
      </c>
      <c r="AJ357" s="59"/>
      <c r="AK357" s="58" t="str">
        <f t="shared" si="180"/>
        <v/>
      </c>
      <c r="AL357" s="59"/>
      <c r="AM357" s="58" t="str">
        <f t="shared" si="181"/>
        <v/>
      </c>
      <c r="AN357" s="59"/>
      <c r="AO357" s="58" t="str">
        <f t="shared" si="182"/>
        <v/>
      </c>
      <c r="AP357" s="59"/>
      <c r="AQ357" s="58" t="str">
        <f t="shared" si="183"/>
        <v/>
      </c>
      <c r="AR357" s="59"/>
      <c r="AS357" s="58" t="str">
        <f t="shared" si="184"/>
        <v/>
      </c>
      <c r="AT357" s="59"/>
      <c r="AU357" s="58" t="str">
        <f t="shared" si="185"/>
        <v/>
      </c>
      <c r="AV357" s="59"/>
      <c r="AW357" s="58">
        <f t="shared" si="186"/>
        <v>9000</v>
      </c>
      <c r="AX357" s="59"/>
      <c r="AY357" s="58" t="str">
        <f t="shared" si="187"/>
        <v/>
      </c>
      <c r="AZ357" s="59"/>
      <c r="BA357" s="58" t="str">
        <f t="shared" si="188"/>
        <v/>
      </c>
      <c r="BB357" s="59"/>
      <c r="BC357" s="58" t="str">
        <f t="shared" si="189"/>
        <v/>
      </c>
      <c r="BD357" s="59"/>
      <c r="BE357" s="58" t="str">
        <f t="shared" si="190"/>
        <v/>
      </c>
      <c r="BF357" s="59"/>
      <c r="BG357" s="58" t="str">
        <f t="shared" si="191"/>
        <v/>
      </c>
      <c r="BH357" s="59"/>
      <c r="BI357" s="58" t="str">
        <f t="shared" si="192"/>
        <v/>
      </c>
      <c r="BJ357" s="59"/>
      <c r="BK357" s="58" t="str">
        <f t="shared" si="193"/>
        <v/>
      </c>
      <c r="BL357" s="59"/>
      <c r="BM357" s="58" t="str">
        <f t="shared" si="194"/>
        <v/>
      </c>
      <c r="BN357" s="59"/>
      <c r="BO357" s="58" t="str">
        <f t="shared" si="195"/>
        <v/>
      </c>
      <c r="BP357" s="59"/>
      <c r="BQ357" s="58" t="str">
        <f t="shared" si="196"/>
        <v/>
      </c>
      <c r="BR357" s="59"/>
      <c r="BS357" s="58" t="str">
        <f t="shared" si="197"/>
        <v/>
      </c>
      <c r="BT357" s="59"/>
      <c r="BU357" s="58" t="str">
        <f t="shared" si="198"/>
        <v/>
      </c>
      <c r="BV357" s="59"/>
    </row>
    <row r="358" spans="1:74" ht="14.5">
      <c r="A358" s="51" t="s">
        <v>446</v>
      </c>
      <c r="B358" s="52" t="s">
        <v>551</v>
      </c>
      <c r="C358" s="52" t="s">
        <v>60</v>
      </c>
      <c r="D358" s="41">
        <f t="shared" si="171"/>
        <v>4</v>
      </c>
      <c r="E358" s="52" t="s">
        <v>187</v>
      </c>
      <c r="F358" s="52" t="s">
        <v>448</v>
      </c>
      <c r="G358" s="52" t="s">
        <v>450</v>
      </c>
      <c r="H358" s="52" t="s">
        <v>449</v>
      </c>
      <c r="I358" s="53">
        <v>45682</v>
      </c>
      <c r="J358" s="108">
        <v>6000</v>
      </c>
      <c r="K358" s="101"/>
      <c r="L358" s="101"/>
      <c r="M358" s="101">
        <f t="shared" si="172"/>
        <v>6000</v>
      </c>
      <c r="N358" s="54">
        <f t="shared" si="173"/>
        <v>6000</v>
      </c>
      <c r="O358" s="101" t="s">
        <v>429</v>
      </c>
      <c r="P358" s="102">
        <f t="shared" si="174"/>
        <v>0.90909090909090906</v>
      </c>
      <c r="Q358" s="102">
        <v>6</v>
      </c>
      <c r="R358" s="99">
        <v>1100</v>
      </c>
      <c r="S358" s="55">
        <f t="shared" si="199"/>
        <v>45654</v>
      </c>
      <c r="T358" s="55"/>
      <c r="U358" s="56">
        <f t="shared" ca="1" si="168"/>
        <v>-186</v>
      </c>
      <c r="V358" s="55">
        <f t="shared" si="200"/>
        <v>45670</v>
      </c>
      <c r="W358" s="55"/>
      <c r="X358" s="56">
        <f t="shared" ca="1" si="170"/>
        <v>-170</v>
      </c>
      <c r="Y358" s="55"/>
      <c r="Z358" s="57"/>
      <c r="AA358" s="58" t="str">
        <f t="shared" si="175"/>
        <v>-</v>
      </c>
      <c r="AB358" s="59"/>
      <c r="AC358" s="58" t="str">
        <f t="shared" si="176"/>
        <v/>
      </c>
      <c r="AD358" s="59"/>
      <c r="AE358" s="58" t="str">
        <f t="shared" si="177"/>
        <v/>
      </c>
      <c r="AF358" s="59"/>
      <c r="AG358" s="58" t="str">
        <f t="shared" si="178"/>
        <v/>
      </c>
      <c r="AH358" s="59"/>
      <c r="AI358" s="58" t="str">
        <f t="shared" si="179"/>
        <v/>
      </c>
      <c r="AJ358" s="59"/>
      <c r="AK358" s="58" t="str">
        <f t="shared" si="180"/>
        <v/>
      </c>
      <c r="AL358" s="59"/>
      <c r="AM358" s="58" t="str">
        <f t="shared" si="181"/>
        <v/>
      </c>
      <c r="AN358" s="59"/>
      <c r="AO358" s="58" t="str">
        <f t="shared" si="182"/>
        <v/>
      </c>
      <c r="AP358" s="59"/>
      <c r="AQ358" s="58" t="str">
        <f t="shared" si="183"/>
        <v/>
      </c>
      <c r="AR358" s="59"/>
      <c r="AS358" s="58" t="str">
        <f t="shared" si="184"/>
        <v/>
      </c>
      <c r="AT358" s="59"/>
      <c r="AU358" s="58" t="str">
        <f t="shared" si="185"/>
        <v/>
      </c>
      <c r="AV358" s="59"/>
      <c r="AW358" s="58">
        <f t="shared" si="186"/>
        <v>6000</v>
      </c>
      <c r="AX358" s="59"/>
      <c r="AY358" s="58" t="str">
        <f t="shared" si="187"/>
        <v/>
      </c>
      <c r="AZ358" s="59"/>
      <c r="BA358" s="58" t="str">
        <f t="shared" si="188"/>
        <v/>
      </c>
      <c r="BB358" s="59"/>
      <c r="BC358" s="58" t="str">
        <f t="shared" si="189"/>
        <v/>
      </c>
      <c r="BD358" s="59"/>
      <c r="BE358" s="58" t="str">
        <f t="shared" si="190"/>
        <v/>
      </c>
      <c r="BF358" s="59"/>
      <c r="BG358" s="58" t="str">
        <f t="shared" si="191"/>
        <v/>
      </c>
      <c r="BH358" s="59"/>
      <c r="BI358" s="58" t="str">
        <f t="shared" si="192"/>
        <v/>
      </c>
      <c r="BJ358" s="59"/>
      <c r="BK358" s="58" t="str">
        <f t="shared" si="193"/>
        <v/>
      </c>
      <c r="BL358" s="59"/>
      <c r="BM358" s="58" t="str">
        <f t="shared" si="194"/>
        <v/>
      </c>
      <c r="BN358" s="59"/>
      <c r="BO358" s="58" t="str">
        <f t="shared" si="195"/>
        <v/>
      </c>
      <c r="BP358" s="59"/>
      <c r="BQ358" s="58" t="str">
        <f t="shared" si="196"/>
        <v/>
      </c>
      <c r="BR358" s="59"/>
      <c r="BS358" s="58" t="str">
        <f t="shared" si="197"/>
        <v/>
      </c>
      <c r="BT358" s="59"/>
      <c r="BU358" s="58" t="str">
        <f t="shared" si="198"/>
        <v/>
      </c>
      <c r="BV358" s="59"/>
    </row>
    <row r="359" spans="1:74" ht="14.5">
      <c r="A359" s="51" t="s">
        <v>58</v>
      </c>
      <c r="B359" s="52">
        <v>377</v>
      </c>
      <c r="C359" s="52" t="s">
        <v>188</v>
      </c>
      <c r="D359" s="41">
        <f t="shared" si="171"/>
        <v>5</v>
      </c>
      <c r="E359" s="52" t="s">
        <v>81</v>
      </c>
      <c r="F359" s="52" t="s">
        <v>290</v>
      </c>
      <c r="G359" s="52" t="s">
        <v>291</v>
      </c>
      <c r="H359" s="52" t="s">
        <v>544</v>
      </c>
      <c r="I359" s="53">
        <v>45685</v>
      </c>
      <c r="J359" s="108">
        <v>2160</v>
      </c>
      <c r="K359" s="101"/>
      <c r="L359" s="101"/>
      <c r="M359" s="101">
        <f t="shared" si="172"/>
        <v>2160</v>
      </c>
      <c r="N359" s="54">
        <f t="shared" si="173"/>
        <v>2160</v>
      </c>
      <c r="O359" s="101" t="s">
        <v>436</v>
      </c>
      <c r="P359" s="102">
        <f t="shared" si="174"/>
        <v>0.16666666666666666</v>
      </c>
      <c r="Q359" s="102">
        <v>6</v>
      </c>
      <c r="R359" s="100">
        <v>2160</v>
      </c>
      <c r="S359" s="55">
        <f t="shared" si="199"/>
        <v>45657</v>
      </c>
      <c r="T359" s="55"/>
      <c r="U359" s="56">
        <f t="shared" ca="1" si="168"/>
        <v>-183</v>
      </c>
      <c r="V359" s="55">
        <f t="shared" si="200"/>
        <v>45673</v>
      </c>
      <c r="W359" s="55"/>
      <c r="X359" s="56">
        <f t="shared" ca="1" si="170"/>
        <v>-167</v>
      </c>
      <c r="Y359" s="55"/>
      <c r="Z359" s="57"/>
      <c r="AA359" s="58" t="str">
        <f t="shared" si="175"/>
        <v>-</v>
      </c>
      <c r="AB359" s="59"/>
      <c r="AC359" s="58" t="str">
        <f t="shared" si="176"/>
        <v/>
      </c>
      <c r="AD359" s="59"/>
      <c r="AE359" s="58" t="str">
        <f t="shared" si="177"/>
        <v/>
      </c>
      <c r="AF359" s="59"/>
      <c r="AG359" s="58" t="str">
        <f t="shared" si="178"/>
        <v/>
      </c>
      <c r="AH359" s="59"/>
      <c r="AI359" s="58" t="str">
        <f t="shared" si="179"/>
        <v/>
      </c>
      <c r="AJ359" s="59"/>
      <c r="AK359" s="58" t="str">
        <f t="shared" si="180"/>
        <v/>
      </c>
      <c r="AL359" s="59"/>
      <c r="AM359" s="58" t="str">
        <f t="shared" si="181"/>
        <v/>
      </c>
      <c r="AN359" s="59"/>
      <c r="AO359" s="58" t="str">
        <f t="shared" si="182"/>
        <v/>
      </c>
      <c r="AP359" s="59"/>
      <c r="AQ359" s="58" t="str">
        <f t="shared" si="183"/>
        <v/>
      </c>
      <c r="AR359" s="59"/>
      <c r="AS359" s="58" t="str">
        <f t="shared" si="184"/>
        <v/>
      </c>
      <c r="AT359" s="59"/>
      <c r="AU359" s="58" t="str">
        <f t="shared" si="185"/>
        <v/>
      </c>
      <c r="AV359" s="59"/>
      <c r="AW359" s="58" t="str">
        <f t="shared" si="186"/>
        <v/>
      </c>
      <c r="AX359" s="59"/>
      <c r="AY359" s="58" t="str">
        <f t="shared" si="187"/>
        <v/>
      </c>
      <c r="AZ359" s="59"/>
      <c r="BA359" s="58" t="str">
        <f t="shared" si="188"/>
        <v/>
      </c>
      <c r="BB359" s="59"/>
      <c r="BC359" s="58" t="str">
        <f t="shared" si="189"/>
        <v/>
      </c>
      <c r="BD359" s="59"/>
      <c r="BE359" s="58" t="str">
        <f t="shared" si="190"/>
        <v/>
      </c>
      <c r="BF359" s="59"/>
      <c r="BG359" s="58" t="str">
        <f t="shared" si="191"/>
        <v/>
      </c>
      <c r="BH359" s="59"/>
      <c r="BI359" s="58" t="str">
        <f t="shared" si="192"/>
        <v/>
      </c>
      <c r="BJ359" s="59"/>
      <c r="BK359" s="58" t="str">
        <f t="shared" si="193"/>
        <v/>
      </c>
      <c r="BL359" s="59"/>
      <c r="BM359" s="58" t="str">
        <f t="shared" si="194"/>
        <v/>
      </c>
      <c r="BN359" s="59"/>
      <c r="BO359" s="58" t="str">
        <f t="shared" si="195"/>
        <v/>
      </c>
      <c r="BP359" s="59"/>
      <c r="BQ359" s="58" t="str">
        <f t="shared" si="196"/>
        <v/>
      </c>
      <c r="BR359" s="59"/>
      <c r="BS359" s="58" t="str">
        <f t="shared" si="197"/>
        <v/>
      </c>
      <c r="BT359" s="59"/>
      <c r="BU359" s="58" t="str">
        <f t="shared" si="198"/>
        <v/>
      </c>
      <c r="BV359" s="59"/>
    </row>
    <row r="360" spans="1:74" ht="14.5">
      <c r="A360" s="51" t="s">
        <v>58</v>
      </c>
      <c r="B360" s="52">
        <v>377</v>
      </c>
      <c r="C360" s="52" t="s">
        <v>188</v>
      </c>
      <c r="D360" s="41">
        <f t="shared" si="171"/>
        <v>5</v>
      </c>
      <c r="E360" s="52" t="s">
        <v>81</v>
      </c>
      <c r="F360" s="52" t="s">
        <v>290</v>
      </c>
      <c r="G360" s="52" t="s">
        <v>293</v>
      </c>
      <c r="H360" s="52" t="s">
        <v>544</v>
      </c>
      <c r="I360" s="53">
        <v>45685</v>
      </c>
      <c r="J360" s="108">
        <v>2160</v>
      </c>
      <c r="K360" s="101"/>
      <c r="L360" s="101"/>
      <c r="M360" s="101">
        <f t="shared" si="172"/>
        <v>2160</v>
      </c>
      <c r="N360" s="54">
        <f t="shared" si="173"/>
        <v>2160</v>
      </c>
      <c r="O360" s="101" t="s">
        <v>436</v>
      </c>
      <c r="P360" s="102">
        <f t="shared" si="174"/>
        <v>0.16666666666666666</v>
      </c>
      <c r="Q360" s="102">
        <v>6</v>
      </c>
      <c r="R360" s="100">
        <v>2160</v>
      </c>
      <c r="S360" s="55">
        <f t="shared" si="199"/>
        <v>45657</v>
      </c>
      <c r="T360" s="55"/>
      <c r="U360" s="56">
        <f t="shared" ca="1" si="168"/>
        <v>-183</v>
      </c>
      <c r="V360" s="55">
        <f t="shared" si="200"/>
        <v>45673</v>
      </c>
      <c r="W360" s="55"/>
      <c r="X360" s="56">
        <f t="shared" ca="1" si="170"/>
        <v>-167</v>
      </c>
      <c r="Y360" s="55"/>
      <c r="Z360" s="57"/>
      <c r="AA360" s="58" t="str">
        <f t="shared" si="175"/>
        <v>-</v>
      </c>
      <c r="AB360" s="59"/>
      <c r="AC360" s="58" t="str">
        <f t="shared" si="176"/>
        <v/>
      </c>
      <c r="AD360" s="59"/>
      <c r="AE360" s="58" t="str">
        <f t="shared" si="177"/>
        <v/>
      </c>
      <c r="AF360" s="59"/>
      <c r="AG360" s="58" t="str">
        <f t="shared" si="178"/>
        <v/>
      </c>
      <c r="AH360" s="59"/>
      <c r="AI360" s="58" t="str">
        <f t="shared" si="179"/>
        <v/>
      </c>
      <c r="AJ360" s="59"/>
      <c r="AK360" s="58" t="str">
        <f t="shared" si="180"/>
        <v/>
      </c>
      <c r="AL360" s="59"/>
      <c r="AM360" s="58" t="str">
        <f t="shared" si="181"/>
        <v/>
      </c>
      <c r="AN360" s="59"/>
      <c r="AO360" s="58" t="str">
        <f t="shared" si="182"/>
        <v/>
      </c>
      <c r="AP360" s="59"/>
      <c r="AQ360" s="58" t="str">
        <f t="shared" si="183"/>
        <v/>
      </c>
      <c r="AR360" s="59"/>
      <c r="AS360" s="58" t="str">
        <f t="shared" si="184"/>
        <v/>
      </c>
      <c r="AT360" s="59"/>
      <c r="AU360" s="58" t="str">
        <f t="shared" si="185"/>
        <v/>
      </c>
      <c r="AV360" s="59"/>
      <c r="AW360" s="58" t="str">
        <f t="shared" si="186"/>
        <v/>
      </c>
      <c r="AX360" s="59"/>
      <c r="AY360" s="58" t="str">
        <f t="shared" si="187"/>
        <v/>
      </c>
      <c r="AZ360" s="59"/>
      <c r="BA360" s="58" t="str">
        <f t="shared" si="188"/>
        <v/>
      </c>
      <c r="BB360" s="59"/>
      <c r="BC360" s="58" t="str">
        <f t="shared" si="189"/>
        <v/>
      </c>
      <c r="BD360" s="59"/>
      <c r="BE360" s="58" t="str">
        <f t="shared" si="190"/>
        <v/>
      </c>
      <c r="BF360" s="59"/>
      <c r="BG360" s="58" t="str">
        <f t="shared" si="191"/>
        <v/>
      </c>
      <c r="BH360" s="59"/>
      <c r="BI360" s="58" t="str">
        <f t="shared" si="192"/>
        <v/>
      </c>
      <c r="BJ360" s="59"/>
      <c r="BK360" s="58" t="str">
        <f t="shared" si="193"/>
        <v/>
      </c>
      <c r="BL360" s="59"/>
      <c r="BM360" s="58" t="str">
        <f t="shared" si="194"/>
        <v/>
      </c>
      <c r="BN360" s="59"/>
      <c r="BO360" s="58" t="str">
        <f t="shared" si="195"/>
        <v/>
      </c>
      <c r="BP360" s="59"/>
      <c r="BQ360" s="58" t="str">
        <f t="shared" si="196"/>
        <v/>
      </c>
      <c r="BR360" s="59"/>
      <c r="BS360" s="58" t="str">
        <f t="shared" si="197"/>
        <v/>
      </c>
      <c r="BT360" s="59"/>
      <c r="BU360" s="58" t="str">
        <f t="shared" si="198"/>
        <v/>
      </c>
      <c r="BV360" s="59"/>
    </row>
    <row r="361" spans="1:74" ht="14.5">
      <c r="A361" s="51" t="s">
        <v>58</v>
      </c>
      <c r="B361" s="52">
        <v>377</v>
      </c>
      <c r="C361" s="52" t="s">
        <v>188</v>
      </c>
      <c r="D361" s="41">
        <f t="shared" si="171"/>
        <v>5</v>
      </c>
      <c r="E361" s="52" t="s">
        <v>81</v>
      </c>
      <c r="F361" s="52" t="s">
        <v>290</v>
      </c>
      <c r="G361" s="52" t="s">
        <v>294</v>
      </c>
      <c r="H361" s="52" t="s">
        <v>544</v>
      </c>
      <c r="I361" s="53">
        <v>45685</v>
      </c>
      <c r="J361" s="108">
        <v>2160</v>
      </c>
      <c r="K361" s="101"/>
      <c r="L361" s="101"/>
      <c r="M361" s="101">
        <f t="shared" si="172"/>
        <v>2160</v>
      </c>
      <c r="N361" s="54">
        <f t="shared" si="173"/>
        <v>2160</v>
      </c>
      <c r="O361" s="101" t="s">
        <v>436</v>
      </c>
      <c r="P361" s="102">
        <f t="shared" si="174"/>
        <v>0.16666666666666666</v>
      </c>
      <c r="Q361" s="102">
        <v>6</v>
      </c>
      <c r="R361" s="100">
        <v>2160</v>
      </c>
      <c r="S361" s="55">
        <f t="shared" si="199"/>
        <v>45657</v>
      </c>
      <c r="T361" s="55"/>
      <c r="U361" s="56">
        <f t="shared" ca="1" si="168"/>
        <v>-183</v>
      </c>
      <c r="V361" s="55">
        <f t="shared" si="200"/>
        <v>45673</v>
      </c>
      <c r="W361" s="55"/>
      <c r="X361" s="56">
        <f t="shared" ca="1" si="170"/>
        <v>-167</v>
      </c>
      <c r="Y361" s="55"/>
      <c r="Z361" s="57"/>
      <c r="AA361" s="58" t="str">
        <f t="shared" si="175"/>
        <v>-</v>
      </c>
      <c r="AB361" s="59"/>
      <c r="AC361" s="58" t="str">
        <f t="shared" si="176"/>
        <v/>
      </c>
      <c r="AD361" s="59"/>
      <c r="AE361" s="58" t="str">
        <f t="shared" si="177"/>
        <v/>
      </c>
      <c r="AF361" s="59"/>
      <c r="AG361" s="58" t="str">
        <f t="shared" si="178"/>
        <v/>
      </c>
      <c r="AH361" s="59"/>
      <c r="AI361" s="58" t="str">
        <f t="shared" si="179"/>
        <v/>
      </c>
      <c r="AJ361" s="59"/>
      <c r="AK361" s="58" t="str">
        <f t="shared" si="180"/>
        <v/>
      </c>
      <c r="AL361" s="59"/>
      <c r="AM361" s="58" t="str">
        <f t="shared" si="181"/>
        <v/>
      </c>
      <c r="AN361" s="59"/>
      <c r="AO361" s="58" t="str">
        <f t="shared" si="182"/>
        <v/>
      </c>
      <c r="AP361" s="59"/>
      <c r="AQ361" s="58" t="str">
        <f t="shared" si="183"/>
        <v/>
      </c>
      <c r="AR361" s="59"/>
      <c r="AS361" s="58" t="str">
        <f t="shared" si="184"/>
        <v/>
      </c>
      <c r="AT361" s="59"/>
      <c r="AU361" s="58" t="str">
        <f t="shared" si="185"/>
        <v/>
      </c>
      <c r="AV361" s="59"/>
      <c r="AW361" s="58" t="str">
        <f t="shared" si="186"/>
        <v/>
      </c>
      <c r="AX361" s="59"/>
      <c r="AY361" s="58" t="str">
        <f t="shared" si="187"/>
        <v/>
      </c>
      <c r="AZ361" s="59"/>
      <c r="BA361" s="58" t="str">
        <f t="shared" si="188"/>
        <v/>
      </c>
      <c r="BB361" s="59"/>
      <c r="BC361" s="58" t="str">
        <f t="shared" si="189"/>
        <v/>
      </c>
      <c r="BD361" s="59"/>
      <c r="BE361" s="58" t="str">
        <f t="shared" si="190"/>
        <v/>
      </c>
      <c r="BF361" s="59"/>
      <c r="BG361" s="58" t="str">
        <f t="shared" si="191"/>
        <v/>
      </c>
      <c r="BH361" s="59"/>
      <c r="BI361" s="58" t="str">
        <f t="shared" si="192"/>
        <v/>
      </c>
      <c r="BJ361" s="59"/>
      <c r="BK361" s="58" t="str">
        <f t="shared" si="193"/>
        <v/>
      </c>
      <c r="BL361" s="59"/>
      <c r="BM361" s="58" t="str">
        <f t="shared" si="194"/>
        <v/>
      </c>
      <c r="BN361" s="59"/>
      <c r="BO361" s="58" t="str">
        <f t="shared" si="195"/>
        <v/>
      </c>
      <c r="BP361" s="59"/>
      <c r="BQ361" s="58" t="str">
        <f t="shared" si="196"/>
        <v/>
      </c>
      <c r="BR361" s="59"/>
      <c r="BS361" s="58" t="str">
        <f t="shared" si="197"/>
        <v/>
      </c>
      <c r="BT361" s="59"/>
      <c r="BU361" s="58" t="str">
        <f t="shared" si="198"/>
        <v/>
      </c>
      <c r="BV361" s="59"/>
    </row>
    <row r="362" spans="1:74" ht="14.5">
      <c r="A362" s="51" t="s">
        <v>58</v>
      </c>
      <c r="B362" s="52">
        <v>377</v>
      </c>
      <c r="C362" s="52" t="s">
        <v>188</v>
      </c>
      <c r="D362" s="41">
        <f t="shared" si="171"/>
        <v>5</v>
      </c>
      <c r="E362" s="52" t="s">
        <v>189</v>
      </c>
      <c r="F362" s="52" t="s">
        <v>242</v>
      </c>
      <c r="G362" s="52" t="s">
        <v>162</v>
      </c>
      <c r="H362" s="52" t="s">
        <v>432</v>
      </c>
      <c r="I362" s="53">
        <v>45685</v>
      </c>
      <c r="J362" s="108">
        <v>3560</v>
      </c>
      <c r="K362" s="101"/>
      <c r="L362" s="101"/>
      <c r="M362" s="101">
        <f t="shared" si="172"/>
        <v>3560</v>
      </c>
      <c r="N362" s="54">
        <f t="shared" si="173"/>
        <v>3560</v>
      </c>
      <c r="O362" s="101" t="s">
        <v>178</v>
      </c>
      <c r="P362" s="102">
        <f t="shared" si="174"/>
        <v>4.9444444444444446</v>
      </c>
      <c r="Q362" s="102">
        <v>6</v>
      </c>
      <c r="R362" s="99">
        <v>120</v>
      </c>
      <c r="S362" s="55">
        <f t="shared" si="199"/>
        <v>45657</v>
      </c>
      <c r="T362" s="55"/>
      <c r="U362" s="56">
        <f t="shared" ca="1" si="168"/>
        <v>-183</v>
      </c>
      <c r="V362" s="55">
        <f t="shared" si="200"/>
        <v>45673</v>
      </c>
      <c r="W362" s="55"/>
      <c r="X362" s="56">
        <f t="shared" ca="1" si="170"/>
        <v>-167</v>
      </c>
      <c r="Y362" s="55"/>
      <c r="Z362" s="57"/>
      <c r="AA362" s="58" t="str">
        <f t="shared" si="175"/>
        <v>-</v>
      </c>
      <c r="AB362" s="59"/>
      <c r="AC362" s="58" t="str">
        <f t="shared" si="176"/>
        <v/>
      </c>
      <c r="AD362" s="59"/>
      <c r="AE362" s="58" t="str">
        <f t="shared" si="177"/>
        <v/>
      </c>
      <c r="AF362" s="59"/>
      <c r="AG362" s="58" t="str">
        <f t="shared" si="178"/>
        <v/>
      </c>
      <c r="AH362" s="59"/>
      <c r="AI362" s="58" t="str">
        <f t="shared" si="179"/>
        <v/>
      </c>
      <c r="AJ362" s="59"/>
      <c r="AK362" s="58" t="str">
        <f t="shared" si="180"/>
        <v/>
      </c>
      <c r="AL362" s="59"/>
      <c r="AM362" s="58" t="str">
        <f t="shared" si="181"/>
        <v/>
      </c>
      <c r="AN362" s="59"/>
      <c r="AO362" s="58" t="str">
        <f t="shared" si="182"/>
        <v/>
      </c>
      <c r="AP362" s="59"/>
      <c r="AQ362" s="58" t="str">
        <f t="shared" si="183"/>
        <v/>
      </c>
      <c r="AR362" s="59"/>
      <c r="AS362" s="58" t="str">
        <f t="shared" si="184"/>
        <v/>
      </c>
      <c r="AT362" s="59"/>
      <c r="AU362" s="58" t="str">
        <f t="shared" si="185"/>
        <v/>
      </c>
      <c r="AV362" s="59"/>
      <c r="AW362" s="58" t="str">
        <f t="shared" si="186"/>
        <v/>
      </c>
      <c r="AX362" s="59"/>
      <c r="AY362" s="58" t="str">
        <f t="shared" si="187"/>
        <v/>
      </c>
      <c r="AZ362" s="59"/>
      <c r="BA362" s="58" t="str">
        <f t="shared" si="188"/>
        <v/>
      </c>
      <c r="BB362" s="59"/>
      <c r="BC362" s="58" t="str">
        <f t="shared" si="189"/>
        <v/>
      </c>
      <c r="BD362" s="59"/>
      <c r="BE362" s="58" t="str">
        <f t="shared" si="190"/>
        <v/>
      </c>
      <c r="BF362" s="59"/>
      <c r="BG362" s="58" t="str">
        <f t="shared" si="191"/>
        <v/>
      </c>
      <c r="BH362" s="59"/>
      <c r="BI362" s="58" t="str">
        <f t="shared" si="192"/>
        <v/>
      </c>
      <c r="BJ362" s="59"/>
      <c r="BK362" s="58" t="str">
        <f t="shared" si="193"/>
        <v/>
      </c>
      <c r="BL362" s="59"/>
      <c r="BM362" s="58" t="str">
        <f t="shared" si="194"/>
        <v/>
      </c>
      <c r="BN362" s="59"/>
      <c r="BO362" s="58" t="str">
        <f t="shared" si="195"/>
        <v/>
      </c>
      <c r="BP362" s="59"/>
      <c r="BQ362" s="58" t="str">
        <f t="shared" si="196"/>
        <v/>
      </c>
      <c r="BR362" s="59"/>
      <c r="BS362" s="58" t="str">
        <f t="shared" si="197"/>
        <v/>
      </c>
      <c r="BT362" s="59"/>
      <c r="BU362" s="58" t="str">
        <f t="shared" si="198"/>
        <v/>
      </c>
      <c r="BV362" s="59"/>
    </row>
    <row r="363" spans="1:74" ht="14.5">
      <c r="A363" s="51" t="s">
        <v>58</v>
      </c>
      <c r="B363" s="52">
        <v>377</v>
      </c>
      <c r="C363" s="52" t="s">
        <v>188</v>
      </c>
      <c r="D363" s="41">
        <f t="shared" si="171"/>
        <v>5</v>
      </c>
      <c r="E363" s="52" t="s">
        <v>135</v>
      </c>
      <c r="F363" s="52" t="s">
        <v>242</v>
      </c>
      <c r="G363" s="52" t="s">
        <v>451</v>
      </c>
      <c r="H363" s="52" t="s">
        <v>452</v>
      </c>
      <c r="I363" s="53">
        <v>45685</v>
      </c>
      <c r="J363" s="108">
        <v>6800</v>
      </c>
      <c r="K363" s="101"/>
      <c r="L363" s="101"/>
      <c r="M363" s="101">
        <f t="shared" si="172"/>
        <v>6800</v>
      </c>
      <c r="N363" s="54">
        <f t="shared" si="173"/>
        <v>6800</v>
      </c>
      <c r="O363" s="101" t="s">
        <v>439</v>
      </c>
      <c r="P363" s="102">
        <f t="shared" si="174"/>
        <v>3.2380952380952381</v>
      </c>
      <c r="Q363" s="102">
        <v>6</v>
      </c>
      <c r="R363" s="99">
        <v>350</v>
      </c>
      <c r="S363" s="55">
        <f t="shared" si="199"/>
        <v>45657</v>
      </c>
      <c r="T363" s="55"/>
      <c r="U363" s="56">
        <f t="shared" ca="1" si="168"/>
        <v>-183</v>
      </c>
      <c r="V363" s="55">
        <f t="shared" si="200"/>
        <v>45673</v>
      </c>
      <c r="W363" s="55"/>
      <c r="X363" s="56">
        <f t="shared" ca="1" si="170"/>
        <v>-167</v>
      </c>
      <c r="Y363" s="55"/>
      <c r="Z363" s="57"/>
      <c r="AA363" s="58" t="str">
        <f t="shared" si="175"/>
        <v>-</v>
      </c>
      <c r="AB363" s="59"/>
      <c r="AC363" s="58" t="str">
        <f t="shared" si="176"/>
        <v/>
      </c>
      <c r="AD363" s="59"/>
      <c r="AE363" s="58" t="str">
        <f t="shared" si="177"/>
        <v/>
      </c>
      <c r="AF363" s="59"/>
      <c r="AG363" s="58" t="str">
        <f t="shared" si="178"/>
        <v/>
      </c>
      <c r="AH363" s="59"/>
      <c r="AI363" s="58" t="str">
        <f t="shared" si="179"/>
        <v/>
      </c>
      <c r="AJ363" s="59"/>
      <c r="AK363" s="58" t="str">
        <f t="shared" si="180"/>
        <v/>
      </c>
      <c r="AL363" s="59"/>
      <c r="AM363" s="58" t="str">
        <f t="shared" si="181"/>
        <v/>
      </c>
      <c r="AN363" s="59"/>
      <c r="AO363" s="58" t="str">
        <f t="shared" si="182"/>
        <v/>
      </c>
      <c r="AP363" s="59"/>
      <c r="AQ363" s="58" t="str">
        <f t="shared" si="183"/>
        <v/>
      </c>
      <c r="AR363" s="59"/>
      <c r="AS363" s="58" t="str">
        <f t="shared" si="184"/>
        <v/>
      </c>
      <c r="AT363" s="59"/>
      <c r="AU363" s="58" t="str">
        <f t="shared" si="185"/>
        <v/>
      </c>
      <c r="AV363" s="59"/>
      <c r="AW363" s="58" t="str">
        <f t="shared" si="186"/>
        <v/>
      </c>
      <c r="AX363" s="59"/>
      <c r="AY363" s="58" t="str">
        <f t="shared" si="187"/>
        <v/>
      </c>
      <c r="AZ363" s="59"/>
      <c r="BA363" s="58" t="str">
        <f t="shared" si="188"/>
        <v/>
      </c>
      <c r="BB363" s="59"/>
      <c r="BC363" s="58" t="str">
        <f t="shared" si="189"/>
        <v/>
      </c>
      <c r="BD363" s="59"/>
      <c r="BE363" s="58" t="str">
        <f t="shared" si="190"/>
        <v/>
      </c>
      <c r="BF363" s="59"/>
      <c r="BG363" s="58" t="str">
        <f t="shared" si="191"/>
        <v/>
      </c>
      <c r="BH363" s="59"/>
      <c r="BI363" s="58" t="str">
        <f t="shared" si="192"/>
        <v/>
      </c>
      <c r="BJ363" s="59"/>
      <c r="BK363" s="58" t="str">
        <f t="shared" si="193"/>
        <v/>
      </c>
      <c r="BL363" s="59"/>
      <c r="BM363" s="58" t="str">
        <f t="shared" si="194"/>
        <v/>
      </c>
      <c r="BN363" s="59"/>
      <c r="BO363" s="58" t="str">
        <f t="shared" si="195"/>
        <v/>
      </c>
      <c r="BP363" s="59"/>
      <c r="BQ363" s="58" t="str">
        <f t="shared" si="196"/>
        <v/>
      </c>
      <c r="BR363" s="59"/>
      <c r="BS363" s="58" t="str">
        <f t="shared" si="197"/>
        <v/>
      </c>
      <c r="BT363" s="59"/>
      <c r="BU363" s="58" t="str">
        <f t="shared" si="198"/>
        <v/>
      </c>
      <c r="BV363" s="59"/>
    </row>
    <row r="364" spans="1:74" ht="14.5">
      <c r="A364" s="51" t="s">
        <v>58</v>
      </c>
      <c r="B364" s="52">
        <v>378</v>
      </c>
      <c r="C364" s="52" t="s">
        <v>188</v>
      </c>
      <c r="D364" s="41">
        <f t="shared" si="171"/>
        <v>5</v>
      </c>
      <c r="E364" s="52" t="s">
        <v>157</v>
      </c>
      <c r="F364" s="52" t="s">
        <v>243</v>
      </c>
      <c r="G364" s="52" t="s">
        <v>535</v>
      </c>
      <c r="H364" s="52" t="s">
        <v>428</v>
      </c>
      <c r="I364" s="53">
        <v>45685</v>
      </c>
      <c r="J364" s="108">
        <v>3750</v>
      </c>
      <c r="K364" s="101"/>
      <c r="L364" s="101"/>
      <c r="M364" s="101">
        <f t="shared" si="172"/>
        <v>3750</v>
      </c>
      <c r="N364" s="54">
        <f t="shared" si="173"/>
        <v>3750</v>
      </c>
      <c r="O364" s="101" t="s">
        <v>429</v>
      </c>
      <c r="P364" s="102">
        <f t="shared" si="174"/>
        <v>0.625</v>
      </c>
      <c r="Q364" s="102">
        <v>6</v>
      </c>
      <c r="R364" s="99">
        <v>1000</v>
      </c>
      <c r="S364" s="55">
        <f t="shared" si="199"/>
        <v>45657</v>
      </c>
      <c r="T364" s="55"/>
      <c r="U364" s="56">
        <f t="shared" ca="1" si="168"/>
        <v>-183</v>
      </c>
      <c r="V364" s="55">
        <f t="shared" si="200"/>
        <v>45673</v>
      </c>
      <c r="W364" s="55"/>
      <c r="X364" s="56">
        <f t="shared" ca="1" si="170"/>
        <v>-167</v>
      </c>
      <c r="Y364" s="55"/>
      <c r="Z364" s="57"/>
      <c r="AA364" s="58" t="str">
        <f t="shared" si="175"/>
        <v>-</v>
      </c>
      <c r="AB364" s="59"/>
      <c r="AC364" s="58" t="str">
        <f t="shared" si="176"/>
        <v/>
      </c>
      <c r="AD364" s="59"/>
      <c r="AE364" s="58" t="str">
        <f t="shared" si="177"/>
        <v/>
      </c>
      <c r="AF364" s="59"/>
      <c r="AG364" s="58" t="str">
        <f t="shared" si="178"/>
        <v/>
      </c>
      <c r="AH364" s="59"/>
      <c r="AI364" s="58" t="str">
        <f t="shared" si="179"/>
        <v/>
      </c>
      <c r="AJ364" s="59"/>
      <c r="AK364" s="58" t="str">
        <f t="shared" si="180"/>
        <v/>
      </c>
      <c r="AL364" s="59"/>
      <c r="AM364" s="58" t="str">
        <f t="shared" si="181"/>
        <v/>
      </c>
      <c r="AN364" s="59"/>
      <c r="AO364" s="58" t="str">
        <f t="shared" si="182"/>
        <v/>
      </c>
      <c r="AP364" s="59"/>
      <c r="AQ364" s="58" t="str">
        <f t="shared" si="183"/>
        <v/>
      </c>
      <c r="AR364" s="59"/>
      <c r="AS364" s="58" t="str">
        <f t="shared" si="184"/>
        <v/>
      </c>
      <c r="AT364" s="59"/>
      <c r="AU364" s="58" t="str">
        <f t="shared" si="185"/>
        <v/>
      </c>
      <c r="AV364" s="59"/>
      <c r="AW364" s="58" t="str">
        <f t="shared" si="186"/>
        <v/>
      </c>
      <c r="AX364" s="59"/>
      <c r="AY364" s="58" t="str">
        <f t="shared" si="187"/>
        <v/>
      </c>
      <c r="AZ364" s="59"/>
      <c r="BA364" s="58" t="str">
        <f t="shared" si="188"/>
        <v/>
      </c>
      <c r="BB364" s="59"/>
      <c r="BC364" s="58" t="str">
        <f t="shared" si="189"/>
        <v/>
      </c>
      <c r="BD364" s="59"/>
      <c r="BE364" s="58" t="str">
        <f t="shared" si="190"/>
        <v/>
      </c>
      <c r="BF364" s="59"/>
      <c r="BG364" s="58" t="str">
        <f t="shared" si="191"/>
        <v/>
      </c>
      <c r="BH364" s="59"/>
      <c r="BI364" s="58" t="str">
        <f t="shared" si="192"/>
        <v/>
      </c>
      <c r="BJ364" s="59"/>
      <c r="BK364" s="58" t="str">
        <f t="shared" si="193"/>
        <v/>
      </c>
      <c r="BL364" s="59"/>
      <c r="BM364" s="58" t="str">
        <f t="shared" si="194"/>
        <v/>
      </c>
      <c r="BN364" s="59"/>
      <c r="BO364" s="58" t="str">
        <f t="shared" si="195"/>
        <v/>
      </c>
      <c r="BP364" s="59"/>
      <c r="BQ364" s="58" t="str">
        <f t="shared" si="196"/>
        <v/>
      </c>
      <c r="BR364" s="59"/>
      <c r="BS364" s="58" t="str">
        <f t="shared" si="197"/>
        <v/>
      </c>
      <c r="BT364" s="59"/>
      <c r="BU364" s="58" t="str">
        <f t="shared" si="198"/>
        <v/>
      </c>
      <c r="BV364" s="59"/>
    </row>
    <row r="365" spans="1:74" ht="14.5">
      <c r="A365" s="51" t="s">
        <v>58</v>
      </c>
      <c r="B365" s="52">
        <v>378</v>
      </c>
      <c r="C365" s="52" t="s">
        <v>188</v>
      </c>
      <c r="D365" s="41">
        <f t="shared" si="171"/>
        <v>5</v>
      </c>
      <c r="E365" s="52" t="s">
        <v>189</v>
      </c>
      <c r="F365" s="52" t="s">
        <v>242</v>
      </c>
      <c r="G365" s="52" t="s">
        <v>162</v>
      </c>
      <c r="H365" s="52" t="s">
        <v>432</v>
      </c>
      <c r="I365" s="53">
        <v>45685</v>
      </c>
      <c r="J365" s="108">
        <v>2384</v>
      </c>
      <c r="K365" s="101"/>
      <c r="L365" s="101"/>
      <c r="M365" s="101">
        <f t="shared" si="172"/>
        <v>2384</v>
      </c>
      <c r="N365" s="54">
        <f t="shared" si="173"/>
        <v>2384</v>
      </c>
      <c r="O365" s="101" t="s">
        <v>178</v>
      </c>
      <c r="P365" s="102">
        <f t="shared" si="174"/>
        <v>3.3111111111111109</v>
      </c>
      <c r="Q365" s="102">
        <v>6</v>
      </c>
      <c r="R365" s="99">
        <v>120</v>
      </c>
      <c r="S365" s="55">
        <f t="shared" si="199"/>
        <v>45657</v>
      </c>
      <c r="T365" s="55"/>
      <c r="U365" s="56">
        <f t="shared" ca="1" si="168"/>
        <v>-183</v>
      </c>
      <c r="V365" s="55">
        <f t="shared" si="200"/>
        <v>45673</v>
      </c>
      <c r="W365" s="55"/>
      <c r="X365" s="56">
        <f t="shared" ca="1" si="170"/>
        <v>-167</v>
      </c>
      <c r="Y365" s="55"/>
      <c r="Z365" s="57"/>
      <c r="AA365" s="58" t="str">
        <f t="shared" si="175"/>
        <v>-</v>
      </c>
      <c r="AB365" s="59"/>
      <c r="AC365" s="58" t="str">
        <f t="shared" si="176"/>
        <v/>
      </c>
      <c r="AD365" s="59"/>
      <c r="AE365" s="58" t="str">
        <f t="shared" si="177"/>
        <v/>
      </c>
      <c r="AF365" s="59"/>
      <c r="AG365" s="58" t="str">
        <f t="shared" si="178"/>
        <v/>
      </c>
      <c r="AH365" s="59"/>
      <c r="AI365" s="58" t="str">
        <f t="shared" si="179"/>
        <v/>
      </c>
      <c r="AJ365" s="59"/>
      <c r="AK365" s="58" t="str">
        <f t="shared" si="180"/>
        <v/>
      </c>
      <c r="AL365" s="59"/>
      <c r="AM365" s="58" t="str">
        <f t="shared" si="181"/>
        <v/>
      </c>
      <c r="AN365" s="59"/>
      <c r="AO365" s="58" t="str">
        <f t="shared" si="182"/>
        <v/>
      </c>
      <c r="AP365" s="59"/>
      <c r="AQ365" s="58" t="str">
        <f t="shared" si="183"/>
        <v/>
      </c>
      <c r="AR365" s="59"/>
      <c r="AS365" s="58" t="str">
        <f t="shared" si="184"/>
        <v/>
      </c>
      <c r="AT365" s="59"/>
      <c r="AU365" s="58" t="str">
        <f t="shared" si="185"/>
        <v/>
      </c>
      <c r="AV365" s="59"/>
      <c r="AW365" s="58" t="str">
        <f t="shared" si="186"/>
        <v/>
      </c>
      <c r="AX365" s="59"/>
      <c r="AY365" s="58" t="str">
        <f t="shared" si="187"/>
        <v/>
      </c>
      <c r="AZ365" s="59"/>
      <c r="BA365" s="58" t="str">
        <f t="shared" si="188"/>
        <v/>
      </c>
      <c r="BB365" s="59"/>
      <c r="BC365" s="58" t="str">
        <f t="shared" si="189"/>
        <v/>
      </c>
      <c r="BD365" s="59"/>
      <c r="BE365" s="58" t="str">
        <f t="shared" si="190"/>
        <v/>
      </c>
      <c r="BF365" s="59"/>
      <c r="BG365" s="58" t="str">
        <f t="shared" si="191"/>
        <v/>
      </c>
      <c r="BH365" s="59"/>
      <c r="BI365" s="58" t="str">
        <f t="shared" si="192"/>
        <v/>
      </c>
      <c r="BJ365" s="59"/>
      <c r="BK365" s="58" t="str">
        <f t="shared" si="193"/>
        <v/>
      </c>
      <c r="BL365" s="59"/>
      <c r="BM365" s="58" t="str">
        <f t="shared" si="194"/>
        <v/>
      </c>
      <c r="BN365" s="59"/>
      <c r="BO365" s="58" t="str">
        <f t="shared" si="195"/>
        <v/>
      </c>
      <c r="BP365" s="59"/>
      <c r="BQ365" s="58" t="str">
        <f t="shared" si="196"/>
        <v/>
      </c>
      <c r="BR365" s="59"/>
      <c r="BS365" s="58" t="str">
        <f t="shared" si="197"/>
        <v/>
      </c>
      <c r="BT365" s="59"/>
      <c r="BU365" s="58" t="str">
        <f t="shared" si="198"/>
        <v/>
      </c>
      <c r="BV365" s="59"/>
    </row>
    <row r="366" spans="1:74" ht="14.5">
      <c r="A366" s="51" t="s">
        <v>58</v>
      </c>
      <c r="B366" s="52">
        <v>379</v>
      </c>
      <c r="C366" s="52" t="s">
        <v>188</v>
      </c>
      <c r="D366" s="41">
        <f t="shared" si="171"/>
        <v>5</v>
      </c>
      <c r="E366" s="52" t="s">
        <v>201</v>
      </c>
      <c r="F366" s="52" t="s">
        <v>247</v>
      </c>
      <c r="G366" s="52" t="s">
        <v>155</v>
      </c>
      <c r="H366" s="52" t="s">
        <v>442</v>
      </c>
      <c r="I366" s="53">
        <v>45685</v>
      </c>
      <c r="J366" s="108">
        <v>14256</v>
      </c>
      <c r="K366" s="101"/>
      <c r="L366" s="101"/>
      <c r="M366" s="101">
        <f t="shared" si="172"/>
        <v>14256</v>
      </c>
      <c r="N366" s="54">
        <f t="shared" si="173"/>
        <v>14256</v>
      </c>
      <c r="O366" s="101" t="s">
        <v>443</v>
      </c>
      <c r="P366" s="102">
        <f t="shared" si="174"/>
        <v>8.1462857142857139</v>
      </c>
      <c r="Q366" s="102">
        <v>5</v>
      </c>
      <c r="R366" s="99">
        <v>350</v>
      </c>
      <c r="S366" s="55">
        <f t="shared" si="199"/>
        <v>45657</v>
      </c>
      <c r="T366" s="55"/>
      <c r="U366" s="56">
        <f t="shared" ca="1" si="168"/>
        <v>-183</v>
      </c>
      <c r="V366" s="55">
        <f t="shared" si="200"/>
        <v>45673</v>
      </c>
      <c r="W366" s="55"/>
      <c r="X366" s="56">
        <f t="shared" ca="1" si="170"/>
        <v>-167</v>
      </c>
      <c r="Y366" s="55"/>
      <c r="Z366" s="57"/>
      <c r="AA366" s="58" t="str">
        <f t="shared" si="175"/>
        <v>-</v>
      </c>
      <c r="AB366" s="59"/>
      <c r="AC366" s="58" t="str">
        <f t="shared" si="176"/>
        <v/>
      </c>
      <c r="AD366" s="59"/>
      <c r="AE366" s="58" t="str">
        <f t="shared" si="177"/>
        <v/>
      </c>
      <c r="AF366" s="59"/>
      <c r="AG366" s="58" t="str">
        <f t="shared" si="178"/>
        <v/>
      </c>
      <c r="AH366" s="59"/>
      <c r="AI366" s="58" t="str">
        <f t="shared" si="179"/>
        <v/>
      </c>
      <c r="AJ366" s="59"/>
      <c r="AK366" s="58" t="str">
        <f t="shared" si="180"/>
        <v/>
      </c>
      <c r="AL366" s="59"/>
      <c r="AM366" s="58" t="str">
        <f t="shared" si="181"/>
        <v/>
      </c>
      <c r="AN366" s="59"/>
      <c r="AO366" s="58" t="str">
        <f t="shared" si="182"/>
        <v/>
      </c>
      <c r="AP366" s="59"/>
      <c r="AQ366" s="58" t="str">
        <f t="shared" si="183"/>
        <v/>
      </c>
      <c r="AR366" s="59"/>
      <c r="AS366" s="58" t="str">
        <f t="shared" si="184"/>
        <v/>
      </c>
      <c r="AT366" s="59"/>
      <c r="AU366" s="58" t="str">
        <f t="shared" si="185"/>
        <v/>
      </c>
      <c r="AV366" s="59"/>
      <c r="AW366" s="58" t="str">
        <f t="shared" si="186"/>
        <v/>
      </c>
      <c r="AX366" s="59"/>
      <c r="AY366" s="58" t="str">
        <f t="shared" si="187"/>
        <v/>
      </c>
      <c r="AZ366" s="59"/>
      <c r="BA366" s="58" t="str">
        <f t="shared" si="188"/>
        <v/>
      </c>
      <c r="BB366" s="59"/>
      <c r="BC366" s="58" t="str">
        <f t="shared" si="189"/>
        <v/>
      </c>
      <c r="BD366" s="59"/>
      <c r="BE366" s="58" t="str">
        <f t="shared" si="190"/>
        <v/>
      </c>
      <c r="BF366" s="59"/>
      <c r="BG366" s="58" t="str">
        <f t="shared" si="191"/>
        <v/>
      </c>
      <c r="BH366" s="59"/>
      <c r="BI366" s="58" t="str">
        <f t="shared" si="192"/>
        <v/>
      </c>
      <c r="BJ366" s="59"/>
      <c r="BK366" s="58" t="str">
        <f t="shared" si="193"/>
        <v/>
      </c>
      <c r="BL366" s="59"/>
      <c r="BM366" s="58" t="str">
        <f t="shared" si="194"/>
        <v/>
      </c>
      <c r="BN366" s="59"/>
      <c r="BO366" s="58" t="str">
        <f t="shared" si="195"/>
        <v/>
      </c>
      <c r="BP366" s="59"/>
      <c r="BQ366" s="58" t="str">
        <f t="shared" si="196"/>
        <v/>
      </c>
      <c r="BR366" s="59"/>
      <c r="BS366" s="58" t="str">
        <f t="shared" si="197"/>
        <v/>
      </c>
      <c r="BT366" s="59"/>
      <c r="BU366" s="58" t="str">
        <f t="shared" si="198"/>
        <v/>
      </c>
      <c r="BV366" s="59"/>
    </row>
    <row r="367" spans="1:74" ht="14.5">
      <c r="A367" s="51" t="s">
        <v>58</v>
      </c>
      <c r="B367" s="52">
        <v>379</v>
      </c>
      <c r="C367" s="52" t="s">
        <v>188</v>
      </c>
      <c r="D367" s="41">
        <f t="shared" si="171"/>
        <v>5</v>
      </c>
      <c r="E367" s="52" t="s">
        <v>157</v>
      </c>
      <c r="F367" s="52" t="s">
        <v>243</v>
      </c>
      <c r="G367" s="52" t="s">
        <v>162</v>
      </c>
      <c r="H367" s="52" t="s">
        <v>428</v>
      </c>
      <c r="I367" s="53">
        <v>45685</v>
      </c>
      <c r="J367" s="108">
        <v>3738</v>
      </c>
      <c r="K367" s="101"/>
      <c r="L367" s="101"/>
      <c r="M367" s="101">
        <f t="shared" si="172"/>
        <v>3738</v>
      </c>
      <c r="N367" s="54">
        <f t="shared" si="173"/>
        <v>3738</v>
      </c>
      <c r="O367" s="101" t="s">
        <v>429</v>
      </c>
      <c r="P367" s="102">
        <f t="shared" si="174"/>
        <v>0.623</v>
      </c>
      <c r="Q367" s="102">
        <v>6</v>
      </c>
      <c r="R367" s="99">
        <v>1000</v>
      </c>
      <c r="S367" s="55">
        <f t="shared" si="199"/>
        <v>45657</v>
      </c>
      <c r="T367" s="55"/>
      <c r="U367" s="56">
        <f t="shared" ca="1" si="168"/>
        <v>-183</v>
      </c>
      <c r="V367" s="55">
        <f t="shared" si="200"/>
        <v>45673</v>
      </c>
      <c r="W367" s="55"/>
      <c r="X367" s="56">
        <f t="shared" ca="1" si="170"/>
        <v>-167</v>
      </c>
      <c r="Y367" s="55"/>
      <c r="Z367" s="57"/>
      <c r="AA367" s="58" t="str">
        <f t="shared" si="175"/>
        <v>-</v>
      </c>
      <c r="AB367" s="59"/>
      <c r="AC367" s="58" t="str">
        <f t="shared" si="176"/>
        <v/>
      </c>
      <c r="AD367" s="59"/>
      <c r="AE367" s="58" t="str">
        <f t="shared" si="177"/>
        <v/>
      </c>
      <c r="AF367" s="59"/>
      <c r="AG367" s="58" t="str">
        <f t="shared" si="178"/>
        <v/>
      </c>
      <c r="AH367" s="59"/>
      <c r="AI367" s="58" t="str">
        <f t="shared" si="179"/>
        <v/>
      </c>
      <c r="AJ367" s="59"/>
      <c r="AK367" s="58" t="str">
        <f t="shared" si="180"/>
        <v/>
      </c>
      <c r="AL367" s="59"/>
      <c r="AM367" s="58" t="str">
        <f t="shared" si="181"/>
        <v/>
      </c>
      <c r="AN367" s="59"/>
      <c r="AO367" s="58" t="str">
        <f t="shared" si="182"/>
        <v/>
      </c>
      <c r="AP367" s="59"/>
      <c r="AQ367" s="58" t="str">
        <f t="shared" si="183"/>
        <v/>
      </c>
      <c r="AR367" s="59"/>
      <c r="AS367" s="58" t="str">
        <f t="shared" si="184"/>
        <v/>
      </c>
      <c r="AT367" s="59"/>
      <c r="AU367" s="58" t="str">
        <f t="shared" si="185"/>
        <v/>
      </c>
      <c r="AV367" s="59"/>
      <c r="AW367" s="58" t="str">
        <f t="shared" si="186"/>
        <v/>
      </c>
      <c r="AX367" s="59"/>
      <c r="AY367" s="58" t="str">
        <f t="shared" si="187"/>
        <v/>
      </c>
      <c r="AZ367" s="59"/>
      <c r="BA367" s="58" t="str">
        <f t="shared" si="188"/>
        <v/>
      </c>
      <c r="BB367" s="59"/>
      <c r="BC367" s="58" t="str">
        <f t="shared" si="189"/>
        <v/>
      </c>
      <c r="BD367" s="59"/>
      <c r="BE367" s="58" t="str">
        <f t="shared" si="190"/>
        <v/>
      </c>
      <c r="BF367" s="59"/>
      <c r="BG367" s="58" t="str">
        <f t="shared" si="191"/>
        <v/>
      </c>
      <c r="BH367" s="59"/>
      <c r="BI367" s="58" t="str">
        <f t="shared" si="192"/>
        <v/>
      </c>
      <c r="BJ367" s="59"/>
      <c r="BK367" s="58" t="str">
        <f t="shared" si="193"/>
        <v/>
      </c>
      <c r="BL367" s="59"/>
      <c r="BM367" s="58" t="str">
        <f t="shared" si="194"/>
        <v/>
      </c>
      <c r="BN367" s="59"/>
      <c r="BO367" s="58" t="str">
        <f t="shared" si="195"/>
        <v/>
      </c>
      <c r="BP367" s="59"/>
      <c r="BQ367" s="58" t="str">
        <f t="shared" si="196"/>
        <v/>
      </c>
      <c r="BR367" s="59"/>
      <c r="BS367" s="58" t="str">
        <f t="shared" si="197"/>
        <v/>
      </c>
      <c r="BT367" s="59"/>
      <c r="BU367" s="58" t="str">
        <f t="shared" si="198"/>
        <v/>
      </c>
      <c r="BV367" s="59"/>
    </row>
    <row r="368" spans="1:74" ht="14.5">
      <c r="A368" s="51" t="s">
        <v>58</v>
      </c>
      <c r="B368" s="52">
        <v>379</v>
      </c>
      <c r="C368" s="52" t="s">
        <v>188</v>
      </c>
      <c r="D368" s="41">
        <f t="shared" si="171"/>
        <v>5</v>
      </c>
      <c r="E368" s="52" t="s">
        <v>158</v>
      </c>
      <c r="F368" s="52" t="s">
        <v>242</v>
      </c>
      <c r="G368" s="52" t="s">
        <v>535</v>
      </c>
      <c r="H368" s="52" t="s">
        <v>432</v>
      </c>
      <c r="I368" s="53">
        <v>45685</v>
      </c>
      <c r="J368" s="108">
        <v>1412</v>
      </c>
      <c r="K368" s="101"/>
      <c r="L368" s="101"/>
      <c r="M368" s="101">
        <f t="shared" si="172"/>
        <v>1412</v>
      </c>
      <c r="N368" s="54">
        <f t="shared" si="173"/>
        <v>1412</v>
      </c>
      <c r="O368" s="101" t="s">
        <v>437</v>
      </c>
      <c r="P368" s="102">
        <f t="shared" si="174"/>
        <v>1.961111111111111</v>
      </c>
      <c r="Q368" s="102">
        <v>6</v>
      </c>
      <c r="R368" s="99">
        <v>120</v>
      </c>
      <c r="S368" s="55">
        <f t="shared" si="199"/>
        <v>45657</v>
      </c>
      <c r="T368" s="55"/>
      <c r="U368" s="56">
        <f t="shared" ca="1" si="168"/>
        <v>-183</v>
      </c>
      <c r="V368" s="55">
        <f t="shared" si="200"/>
        <v>45673</v>
      </c>
      <c r="W368" s="55"/>
      <c r="X368" s="56">
        <f t="shared" ca="1" si="170"/>
        <v>-167</v>
      </c>
      <c r="Y368" s="55"/>
      <c r="Z368" s="57"/>
      <c r="AA368" s="58" t="str">
        <f t="shared" si="175"/>
        <v>-</v>
      </c>
      <c r="AB368" s="59"/>
      <c r="AC368" s="58" t="str">
        <f t="shared" si="176"/>
        <v/>
      </c>
      <c r="AD368" s="59"/>
      <c r="AE368" s="58" t="str">
        <f t="shared" si="177"/>
        <v/>
      </c>
      <c r="AF368" s="59"/>
      <c r="AG368" s="58" t="str">
        <f t="shared" si="178"/>
        <v/>
      </c>
      <c r="AH368" s="59"/>
      <c r="AI368" s="58" t="str">
        <f t="shared" si="179"/>
        <v/>
      </c>
      <c r="AJ368" s="59"/>
      <c r="AK368" s="58" t="str">
        <f t="shared" si="180"/>
        <v/>
      </c>
      <c r="AL368" s="59"/>
      <c r="AM368" s="58" t="str">
        <f t="shared" si="181"/>
        <v/>
      </c>
      <c r="AN368" s="59"/>
      <c r="AO368" s="58" t="str">
        <f t="shared" si="182"/>
        <v/>
      </c>
      <c r="AP368" s="59"/>
      <c r="AQ368" s="58" t="str">
        <f t="shared" si="183"/>
        <v/>
      </c>
      <c r="AR368" s="59"/>
      <c r="AS368" s="58" t="str">
        <f t="shared" si="184"/>
        <v/>
      </c>
      <c r="AT368" s="59"/>
      <c r="AU368" s="58" t="str">
        <f t="shared" si="185"/>
        <v/>
      </c>
      <c r="AV368" s="59"/>
      <c r="AW368" s="58" t="str">
        <f t="shared" si="186"/>
        <v/>
      </c>
      <c r="AX368" s="59"/>
      <c r="AY368" s="58" t="str">
        <f t="shared" si="187"/>
        <v/>
      </c>
      <c r="AZ368" s="59"/>
      <c r="BA368" s="58" t="str">
        <f t="shared" si="188"/>
        <v/>
      </c>
      <c r="BB368" s="59"/>
      <c r="BC368" s="58" t="str">
        <f t="shared" si="189"/>
        <v/>
      </c>
      <c r="BD368" s="59"/>
      <c r="BE368" s="58" t="str">
        <f t="shared" si="190"/>
        <v/>
      </c>
      <c r="BF368" s="59"/>
      <c r="BG368" s="58" t="str">
        <f t="shared" si="191"/>
        <v/>
      </c>
      <c r="BH368" s="59"/>
      <c r="BI368" s="58" t="str">
        <f t="shared" si="192"/>
        <v/>
      </c>
      <c r="BJ368" s="59"/>
      <c r="BK368" s="58" t="str">
        <f t="shared" si="193"/>
        <v/>
      </c>
      <c r="BL368" s="59"/>
      <c r="BM368" s="58" t="str">
        <f t="shared" si="194"/>
        <v/>
      </c>
      <c r="BN368" s="59"/>
      <c r="BO368" s="58" t="str">
        <f t="shared" si="195"/>
        <v/>
      </c>
      <c r="BP368" s="59"/>
      <c r="BQ368" s="58" t="str">
        <f t="shared" si="196"/>
        <v/>
      </c>
      <c r="BR368" s="59"/>
      <c r="BS368" s="58" t="str">
        <f t="shared" si="197"/>
        <v/>
      </c>
      <c r="BT368" s="59"/>
      <c r="BU368" s="58" t="str">
        <f t="shared" si="198"/>
        <v/>
      </c>
      <c r="BV368" s="59"/>
    </row>
    <row r="369" spans="1:74" ht="14.5">
      <c r="A369" s="51" t="s">
        <v>58</v>
      </c>
      <c r="B369" s="52">
        <v>379</v>
      </c>
      <c r="C369" s="52" t="s">
        <v>188</v>
      </c>
      <c r="D369" s="41">
        <f t="shared" si="171"/>
        <v>5</v>
      </c>
      <c r="E369" s="52" t="s">
        <v>391</v>
      </c>
      <c r="F369" s="52" t="s">
        <v>392</v>
      </c>
      <c r="G369" s="52" t="s">
        <v>393</v>
      </c>
      <c r="H369" s="52" t="s">
        <v>433</v>
      </c>
      <c r="I369" s="53">
        <v>45685</v>
      </c>
      <c r="J369" s="108">
        <v>1188</v>
      </c>
      <c r="K369" s="101"/>
      <c r="L369" s="101"/>
      <c r="M369" s="101">
        <f t="shared" si="172"/>
        <v>1188</v>
      </c>
      <c r="N369" s="54">
        <f t="shared" si="173"/>
        <v>1188</v>
      </c>
      <c r="O369" s="101" t="s">
        <v>178</v>
      </c>
      <c r="P369" s="102">
        <f t="shared" si="174"/>
        <v>2.4750000000000001</v>
      </c>
      <c r="Q369" s="102">
        <v>6</v>
      </c>
      <c r="R369" s="99">
        <v>80</v>
      </c>
      <c r="S369" s="55">
        <f>+I369-(32)</f>
        <v>45653</v>
      </c>
      <c r="T369" s="55"/>
      <c r="U369" s="56">
        <f t="shared" ca="1" si="168"/>
        <v>-187</v>
      </c>
      <c r="V369" s="55">
        <f t="shared" si="200"/>
        <v>45669</v>
      </c>
      <c r="W369" s="55"/>
      <c r="X369" s="56">
        <f t="shared" ca="1" si="170"/>
        <v>-171</v>
      </c>
      <c r="Y369" s="55"/>
      <c r="Z369" s="57"/>
      <c r="AA369" s="58" t="str">
        <f t="shared" si="175"/>
        <v>-</v>
      </c>
      <c r="AB369" s="59"/>
      <c r="AC369" s="58" t="str">
        <f t="shared" si="176"/>
        <v/>
      </c>
      <c r="AD369" s="59"/>
      <c r="AE369" s="58" t="str">
        <f t="shared" si="177"/>
        <v/>
      </c>
      <c r="AF369" s="59"/>
      <c r="AG369" s="58" t="str">
        <f t="shared" si="178"/>
        <v/>
      </c>
      <c r="AH369" s="59"/>
      <c r="AI369" s="58" t="str">
        <f t="shared" si="179"/>
        <v/>
      </c>
      <c r="AJ369" s="59"/>
      <c r="AK369" s="58" t="str">
        <f t="shared" si="180"/>
        <v/>
      </c>
      <c r="AL369" s="59"/>
      <c r="AM369" s="58" t="str">
        <f t="shared" si="181"/>
        <v/>
      </c>
      <c r="AN369" s="59"/>
      <c r="AO369" s="58" t="str">
        <f t="shared" si="182"/>
        <v/>
      </c>
      <c r="AP369" s="59"/>
      <c r="AQ369" s="58" t="str">
        <f t="shared" si="183"/>
        <v/>
      </c>
      <c r="AR369" s="59"/>
      <c r="AS369" s="58" t="str">
        <f t="shared" si="184"/>
        <v/>
      </c>
      <c r="AT369" s="59"/>
      <c r="AU369" s="58" t="str">
        <f t="shared" si="185"/>
        <v/>
      </c>
      <c r="AV369" s="59"/>
      <c r="AW369" s="58">
        <f t="shared" si="186"/>
        <v>1188</v>
      </c>
      <c r="AX369" s="59"/>
      <c r="AY369" s="58" t="str">
        <f t="shared" si="187"/>
        <v/>
      </c>
      <c r="AZ369" s="59"/>
      <c r="BA369" s="58" t="str">
        <f t="shared" si="188"/>
        <v/>
      </c>
      <c r="BB369" s="59"/>
      <c r="BC369" s="58" t="str">
        <f t="shared" si="189"/>
        <v/>
      </c>
      <c r="BD369" s="59"/>
      <c r="BE369" s="58" t="str">
        <f t="shared" si="190"/>
        <v/>
      </c>
      <c r="BF369" s="59"/>
      <c r="BG369" s="58" t="str">
        <f t="shared" si="191"/>
        <v/>
      </c>
      <c r="BH369" s="59"/>
      <c r="BI369" s="58" t="str">
        <f t="shared" si="192"/>
        <v/>
      </c>
      <c r="BJ369" s="59"/>
      <c r="BK369" s="58" t="str">
        <f t="shared" si="193"/>
        <v/>
      </c>
      <c r="BL369" s="59"/>
      <c r="BM369" s="58" t="str">
        <f t="shared" si="194"/>
        <v/>
      </c>
      <c r="BN369" s="59"/>
      <c r="BO369" s="58" t="str">
        <f t="shared" si="195"/>
        <v/>
      </c>
      <c r="BP369" s="59"/>
      <c r="BQ369" s="58" t="str">
        <f t="shared" si="196"/>
        <v/>
      </c>
      <c r="BR369" s="59"/>
      <c r="BS369" s="58" t="str">
        <f t="shared" si="197"/>
        <v/>
      </c>
      <c r="BT369" s="59"/>
      <c r="BU369" s="58" t="str">
        <f t="shared" si="198"/>
        <v/>
      </c>
      <c r="BV369" s="59"/>
    </row>
    <row r="370" spans="1:74" ht="14.5">
      <c r="A370" s="51" t="s">
        <v>58</v>
      </c>
      <c r="B370" s="52">
        <v>414</v>
      </c>
      <c r="C370" s="52" t="s">
        <v>188</v>
      </c>
      <c r="D370" s="41">
        <f t="shared" si="171"/>
        <v>5</v>
      </c>
      <c r="E370" s="52" t="s">
        <v>157</v>
      </c>
      <c r="F370" s="52" t="s">
        <v>243</v>
      </c>
      <c r="G370" s="52" t="s">
        <v>162</v>
      </c>
      <c r="H370" s="52" t="s">
        <v>428</v>
      </c>
      <c r="I370" s="53">
        <v>45686</v>
      </c>
      <c r="J370" s="108">
        <v>3708</v>
      </c>
      <c r="K370" s="101"/>
      <c r="L370" s="101"/>
      <c r="M370" s="101">
        <f t="shared" si="172"/>
        <v>3708</v>
      </c>
      <c r="N370" s="54">
        <f t="shared" si="173"/>
        <v>3708</v>
      </c>
      <c r="O370" s="101" t="s">
        <v>429</v>
      </c>
      <c r="P370" s="102">
        <f t="shared" si="174"/>
        <v>0.61799999999999999</v>
      </c>
      <c r="Q370" s="102">
        <v>6</v>
      </c>
      <c r="R370" s="99">
        <v>1000</v>
      </c>
      <c r="S370" s="55">
        <f>+I370-(28)</f>
        <v>45658</v>
      </c>
      <c r="T370" s="55"/>
      <c r="U370" s="56">
        <f t="shared" ref="U370:U433" ca="1" si="201">+IF(T370="",S370-TODAY(),S370-T370)</f>
        <v>-182</v>
      </c>
      <c r="V370" s="55">
        <f t="shared" ref="V370:V401" si="202">+S370+16</f>
        <v>45674</v>
      </c>
      <c r="W370" s="55"/>
      <c r="X370" s="56">
        <f t="shared" ref="X370:X433" ca="1" si="203">+IF(W370="",V370-TODAY(),V370-W370)</f>
        <v>-166</v>
      </c>
      <c r="Y370" s="55"/>
      <c r="Z370" s="57"/>
      <c r="AA370" s="58" t="str">
        <f t="shared" si="175"/>
        <v>-</v>
      </c>
      <c r="AB370" s="59"/>
      <c r="AC370" s="58" t="str">
        <f t="shared" si="176"/>
        <v/>
      </c>
      <c r="AD370" s="59"/>
      <c r="AE370" s="58" t="str">
        <f t="shared" si="177"/>
        <v/>
      </c>
      <c r="AF370" s="59"/>
      <c r="AG370" s="58" t="str">
        <f t="shared" si="178"/>
        <v/>
      </c>
      <c r="AH370" s="59"/>
      <c r="AI370" s="58" t="str">
        <f t="shared" si="179"/>
        <v/>
      </c>
      <c r="AJ370" s="59"/>
      <c r="AK370" s="58" t="str">
        <f t="shared" si="180"/>
        <v/>
      </c>
      <c r="AL370" s="59"/>
      <c r="AM370" s="58" t="str">
        <f t="shared" si="181"/>
        <v/>
      </c>
      <c r="AN370" s="59"/>
      <c r="AO370" s="58" t="str">
        <f t="shared" si="182"/>
        <v/>
      </c>
      <c r="AP370" s="59"/>
      <c r="AQ370" s="58" t="str">
        <f t="shared" si="183"/>
        <v/>
      </c>
      <c r="AR370" s="59"/>
      <c r="AS370" s="58" t="str">
        <f t="shared" si="184"/>
        <v/>
      </c>
      <c r="AT370" s="59"/>
      <c r="AU370" s="58" t="str">
        <f t="shared" si="185"/>
        <v/>
      </c>
      <c r="AV370" s="59"/>
      <c r="AW370" s="58" t="str">
        <f t="shared" si="186"/>
        <v/>
      </c>
      <c r="AX370" s="59"/>
      <c r="AY370" s="58">
        <f t="shared" si="187"/>
        <v>3708</v>
      </c>
      <c r="AZ370" s="59"/>
      <c r="BA370" s="58" t="str">
        <f t="shared" si="188"/>
        <v/>
      </c>
      <c r="BB370" s="59"/>
      <c r="BC370" s="58" t="str">
        <f t="shared" si="189"/>
        <v/>
      </c>
      <c r="BD370" s="59"/>
      <c r="BE370" s="58" t="str">
        <f t="shared" si="190"/>
        <v/>
      </c>
      <c r="BF370" s="59"/>
      <c r="BG370" s="58" t="str">
        <f t="shared" si="191"/>
        <v/>
      </c>
      <c r="BH370" s="59"/>
      <c r="BI370" s="58" t="str">
        <f t="shared" si="192"/>
        <v/>
      </c>
      <c r="BJ370" s="59"/>
      <c r="BK370" s="58" t="str">
        <f t="shared" si="193"/>
        <v/>
      </c>
      <c r="BL370" s="59"/>
      <c r="BM370" s="58" t="str">
        <f t="shared" si="194"/>
        <v/>
      </c>
      <c r="BN370" s="59"/>
      <c r="BO370" s="58" t="str">
        <f t="shared" si="195"/>
        <v/>
      </c>
      <c r="BP370" s="59"/>
      <c r="BQ370" s="58" t="str">
        <f t="shared" si="196"/>
        <v/>
      </c>
      <c r="BR370" s="59"/>
      <c r="BS370" s="58" t="str">
        <f t="shared" si="197"/>
        <v/>
      </c>
      <c r="BT370" s="59"/>
      <c r="BU370" s="58" t="str">
        <f t="shared" si="198"/>
        <v/>
      </c>
      <c r="BV370" s="59"/>
    </row>
    <row r="371" spans="1:74" ht="14.5">
      <c r="A371" s="51" t="s">
        <v>58</v>
      </c>
      <c r="B371" s="52">
        <v>374</v>
      </c>
      <c r="C371" s="52" t="s">
        <v>188</v>
      </c>
      <c r="D371" s="41">
        <f t="shared" si="171"/>
        <v>5</v>
      </c>
      <c r="E371" s="52" t="s">
        <v>390</v>
      </c>
      <c r="F371" s="52" t="s">
        <v>242</v>
      </c>
      <c r="G371" s="52" t="s">
        <v>162</v>
      </c>
      <c r="H371" s="52" t="s">
        <v>430</v>
      </c>
      <c r="I371" s="53">
        <v>45686</v>
      </c>
      <c r="J371" s="108">
        <v>1842</v>
      </c>
      <c r="K371" s="101"/>
      <c r="L371" s="101"/>
      <c r="M371" s="101">
        <f t="shared" si="172"/>
        <v>1842</v>
      </c>
      <c r="N371" s="54">
        <f t="shared" si="173"/>
        <v>1842</v>
      </c>
      <c r="O371" s="101" t="s">
        <v>431</v>
      </c>
      <c r="P371" s="102">
        <f t="shared" si="174"/>
        <v>2.5583333333333331</v>
      </c>
      <c r="Q371" s="102">
        <v>6</v>
      </c>
      <c r="R371" s="99">
        <v>120</v>
      </c>
      <c r="S371" s="55">
        <f>+I371-(28)</f>
        <v>45658</v>
      </c>
      <c r="T371" s="55"/>
      <c r="U371" s="56">
        <f t="shared" ca="1" si="201"/>
        <v>-182</v>
      </c>
      <c r="V371" s="55">
        <f t="shared" si="202"/>
        <v>45674</v>
      </c>
      <c r="W371" s="55"/>
      <c r="X371" s="56">
        <f t="shared" ca="1" si="203"/>
        <v>-166</v>
      </c>
      <c r="Y371" s="55"/>
      <c r="Z371" s="57"/>
      <c r="AA371" s="58" t="str">
        <f t="shared" si="175"/>
        <v>-</v>
      </c>
      <c r="AB371" s="59"/>
      <c r="AC371" s="58" t="str">
        <f t="shared" si="176"/>
        <v/>
      </c>
      <c r="AD371" s="59"/>
      <c r="AE371" s="58" t="str">
        <f t="shared" si="177"/>
        <v/>
      </c>
      <c r="AF371" s="59"/>
      <c r="AG371" s="58" t="str">
        <f t="shared" si="178"/>
        <v/>
      </c>
      <c r="AH371" s="59"/>
      <c r="AI371" s="58" t="str">
        <f t="shared" si="179"/>
        <v/>
      </c>
      <c r="AJ371" s="59"/>
      <c r="AK371" s="58" t="str">
        <f t="shared" si="180"/>
        <v/>
      </c>
      <c r="AL371" s="59"/>
      <c r="AM371" s="58" t="str">
        <f t="shared" si="181"/>
        <v/>
      </c>
      <c r="AN371" s="59"/>
      <c r="AO371" s="58" t="str">
        <f t="shared" si="182"/>
        <v/>
      </c>
      <c r="AP371" s="59"/>
      <c r="AQ371" s="58" t="str">
        <f t="shared" si="183"/>
        <v/>
      </c>
      <c r="AR371" s="59"/>
      <c r="AS371" s="58" t="str">
        <f t="shared" si="184"/>
        <v/>
      </c>
      <c r="AT371" s="59"/>
      <c r="AU371" s="58" t="str">
        <f t="shared" si="185"/>
        <v/>
      </c>
      <c r="AV371" s="59"/>
      <c r="AW371" s="58" t="str">
        <f t="shared" si="186"/>
        <v/>
      </c>
      <c r="AX371" s="59"/>
      <c r="AY371" s="58">
        <f t="shared" si="187"/>
        <v>1842</v>
      </c>
      <c r="AZ371" s="59"/>
      <c r="BA371" s="58" t="str">
        <f t="shared" si="188"/>
        <v/>
      </c>
      <c r="BB371" s="59"/>
      <c r="BC371" s="58" t="str">
        <f t="shared" si="189"/>
        <v/>
      </c>
      <c r="BD371" s="59"/>
      <c r="BE371" s="58" t="str">
        <f t="shared" si="190"/>
        <v/>
      </c>
      <c r="BF371" s="59"/>
      <c r="BG371" s="58" t="str">
        <f t="shared" si="191"/>
        <v/>
      </c>
      <c r="BH371" s="59"/>
      <c r="BI371" s="58" t="str">
        <f t="shared" si="192"/>
        <v/>
      </c>
      <c r="BJ371" s="59"/>
      <c r="BK371" s="58" t="str">
        <f t="shared" si="193"/>
        <v/>
      </c>
      <c r="BL371" s="59"/>
      <c r="BM371" s="58" t="str">
        <f t="shared" si="194"/>
        <v/>
      </c>
      <c r="BN371" s="59"/>
      <c r="BO371" s="58" t="str">
        <f t="shared" si="195"/>
        <v/>
      </c>
      <c r="BP371" s="59"/>
      <c r="BQ371" s="58" t="str">
        <f t="shared" si="196"/>
        <v/>
      </c>
      <c r="BR371" s="59"/>
      <c r="BS371" s="58" t="str">
        <f t="shared" si="197"/>
        <v/>
      </c>
      <c r="BT371" s="59"/>
      <c r="BU371" s="58" t="str">
        <f t="shared" si="198"/>
        <v/>
      </c>
      <c r="BV371" s="59"/>
    </row>
    <row r="372" spans="1:74" ht="14.5">
      <c r="A372" s="51" t="s">
        <v>58</v>
      </c>
      <c r="B372" s="52">
        <v>374</v>
      </c>
      <c r="C372" s="52" t="s">
        <v>188</v>
      </c>
      <c r="D372" s="41">
        <f t="shared" si="171"/>
        <v>5</v>
      </c>
      <c r="E372" s="52" t="s">
        <v>189</v>
      </c>
      <c r="F372" s="52" t="s">
        <v>242</v>
      </c>
      <c r="G372" s="52" t="s">
        <v>162</v>
      </c>
      <c r="H372" s="52" t="s">
        <v>432</v>
      </c>
      <c r="I372" s="53">
        <v>45686</v>
      </c>
      <c r="J372" s="108">
        <v>224</v>
      </c>
      <c r="K372" s="101"/>
      <c r="L372" s="101"/>
      <c r="M372" s="101">
        <f t="shared" si="172"/>
        <v>224</v>
      </c>
      <c r="N372" s="54">
        <f t="shared" si="173"/>
        <v>224</v>
      </c>
      <c r="O372" s="101" t="s">
        <v>178</v>
      </c>
      <c r="P372" s="102">
        <f t="shared" si="174"/>
        <v>0.31111111111111112</v>
      </c>
      <c r="Q372" s="102">
        <v>6</v>
      </c>
      <c r="R372" s="99">
        <v>120</v>
      </c>
      <c r="S372" s="55">
        <f>+I372-(28)</f>
        <v>45658</v>
      </c>
      <c r="T372" s="55"/>
      <c r="U372" s="56">
        <f t="shared" ca="1" si="201"/>
        <v>-182</v>
      </c>
      <c r="V372" s="55">
        <f t="shared" si="202"/>
        <v>45674</v>
      </c>
      <c r="W372" s="55"/>
      <c r="X372" s="56">
        <f t="shared" ca="1" si="203"/>
        <v>-166</v>
      </c>
      <c r="Y372" s="55"/>
      <c r="Z372" s="57"/>
      <c r="AA372" s="58" t="str">
        <f t="shared" si="175"/>
        <v>-</v>
      </c>
      <c r="AB372" s="59"/>
      <c r="AC372" s="58" t="str">
        <f t="shared" si="176"/>
        <v/>
      </c>
      <c r="AD372" s="59"/>
      <c r="AE372" s="58" t="str">
        <f t="shared" si="177"/>
        <v/>
      </c>
      <c r="AF372" s="59"/>
      <c r="AG372" s="58" t="str">
        <f t="shared" si="178"/>
        <v/>
      </c>
      <c r="AH372" s="59"/>
      <c r="AI372" s="58" t="str">
        <f t="shared" si="179"/>
        <v/>
      </c>
      <c r="AJ372" s="59"/>
      <c r="AK372" s="58" t="str">
        <f t="shared" si="180"/>
        <v/>
      </c>
      <c r="AL372" s="59"/>
      <c r="AM372" s="58" t="str">
        <f t="shared" si="181"/>
        <v/>
      </c>
      <c r="AN372" s="59"/>
      <c r="AO372" s="58" t="str">
        <f t="shared" si="182"/>
        <v/>
      </c>
      <c r="AP372" s="59"/>
      <c r="AQ372" s="58" t="str">
        <f t="shared" si="183"/>
        <v/>
      </c>
      <c r="AR372" s="59"/>
      <c r="AS372" s="58" t="str">
        <f t="shared" si="184"/>
        <v/>
      </c>
      <c r="AT372" s="59"/>
      <c r="AU372" s="58" t="str">
        <f t="shared" si="185"/>
        <v/>
      </c>
      <c r="AV372" s="59"/>
      <c r="AW372" s="58" t="str">
        <f t="shared" si="186"/>
        <v/>
      </c>
      <c r="AX372" s="59"/>
      <c r="AY372" s="58">
        <f t="shared" si="187"/>
        <v>224</v>
      </c>
      <c r="AZ372" s="59"/>
      <c r="BA372" s="58" t="str">
        <f t="shared" si="188"/>
        <v/>
      </c>
      <c r="BB372" s="59"/>
      <c r="BC372" s="58" t="str">
        <f t="shared" si="189"/>
        <v/>
      </c>
      <c r="BD372" s="59"/>
      <c r="BE372" s="58" t="str">
        <f t="shared" si="190"/>
        <v/>
      </c>
      <c r="BF372" s="59"/>
      <c r="BG372" s="58" t="str">
        <f t="shared" si="191"/>
        <v/>
      </c>
      <c r="BH372" s="59"/>
      <c r="BI372" s="58" t="str">
        <f t="shared" si="192"/>
        <v/>
      </c>
      <c r="BJ372" s="59"/>
      <c r="BK372" s="58" t="str">
        <f t="shared" si="193"/>
        <v/>
      </c>
      <c r="BL372" s="59"/>
      <c r="BM372" s="58" t="str">
        <f t="shared" si="194"/>
        <v/>
      </c>
      <c r="BN372" s="59"/>
      <c r="BO372" s="58" t="str">
        <f t="shared" si="195"/>
        <v/>
      </c>
      <c r="BP372" s="59"/>
      <c r="BQ372" s="58" t="str">
        <f t="shared" si="196"/>
        <v/>
      </c>
      <c r="BR372" s="59"/>
      <c r="BS372" s="58" t="str">
        <f t="shared" si="197"/>
        <v/>
      </c>
      <c r="BT372" s="59"/>
      <c r="BU372" s="58" t="str">
        <f t="shared" si="198"/>
        <v/>
      </c>
      <c r="BV372" s="59"/>
    </row>
    <row r="373" spans="1:74" ht="14.5">
      <c r="A373" s="51" t="s">
        <v>58</v>
      </c>
      <c r="B373" s="52">
        <v>374</v>
      </c>
      <c r="C373" s="52" t="s">
        <v>188</v>
      </c>
      <c r="D373" s="41">
        <f t="shared" si="171"/>
        <v>5</v>
      </c>
      <c r="E373" s="52" t="s">
        <v>391</v>
      </c>
      <c r="F373" s="52" t="s">
        <v>392</v>
      </c>
      <c r="G373" s="52" t="s">
        <v>393</v>
      </c>
      <c r="H373" s="52" t="s">
        <v>433</v>
      </c>
      <c r="I373" s="53">
        <v>45686</v>
      </c>
      <c r="J373" s="108">
        <v>894</v>
      </c>
      <c r="K373" s="101"/>
      <c r="L373" s="101"/>
      <c r="M373" s="101">
        <f t="shared" si="172"/>
        <v>894</v>
      </c>
      <c r="N373" s="54">
        <f t="shared" si="173"/>
        <v>894</v>
      </c>
      <c r="O373" s="101" t="s">
        <v>178</v>
      </c>
      <c r="P373" s="102">
        <f t="shared" si="174"/>
        <v>1.8625</v>
      </c>
      <c r="Q373" s="102">
        <v>6</v>
      </c>
      <c r="R373" s="99">
        <v>80</v>
      </c>
      <c r="S373" s="55">
        <f>+I373-(28)</f>
        <v>45658</v>
      </c>
      <c r="T373" s="55"/>
      <c r="U373" s="56">
        <f t="shared" ca="1" si="201"/>
        <v>-182</v>
      </c>
      <c r="V373" s="55">
        <f t="shared" si="202"/>
        <v>45674</v>
      </c>
      <c r="W373" s="55"/>
      <c r="X373" s="56">
        <f t="shared" ca="1" si="203"/>
        <v>-166</v>
      </c>
      <c r="Y373" s="55"/>
      <c r="Z373" s="57"/>
      <c r="AA373" s="58" t="str">
        <f t="shared" si="175"/>
        <v>-</v>
      </c>
      <c r="AB373" s="59"/>
      <c r="AC373" s="58" t="str">
        <f t="shared" si="176"/>
        <v/>
      </c>
      <c r="AD373" s="59"/>
      <c r="AE373" s="58" t="str">
        <f t="shared" si="177"/>
        <v/>
      </c>
      <c r="AF373" s="59"/>
      <c r="AG373" s="58" t="str">
        <f t="shared" si="178"/>
        <v/>
      </c>
      <c r="AH373" s="59"/>
      <c r="AI373" s="58" t="str">
        <f t="shared" si="179"/>
        <v/>
      </c>
      <c r="AJ373" s="59"/>
      <c r="AK373" s="58" t="str">
        <f t="shared" si="180"/>
        <v/>
      </c>
      <c r="AL373" s="59"/>
      <c r="AM373" s="58" t="str">
        <f t="shared" si="181"/>
        <v/>
      </c>
      <c r="AN373" s="59"/>
      <c r="AO373" s="58" t="str">
        <f t="shared" si="182"/>
        <v/>
      </c>
      <c r="AP373" s="59"/>
      <c r="AQ373" s="58" t="str">
        <f t="shared" si="183"/>
        <v/>
      </c>
      <c r="AR373" s="59"/>
      <c r="AS373" s="58" t="str">
        <f t="shared" si="184"/>
        <v/>
      </c>
      <c r="AT373" s="59"/>
      <c r="AU373" s="58" t="str">
        <f t="shared" si="185"/>
        <v/>
      </c>
      <c r="AV373" s="59"/>
      <c r="AW373" s="58" t="str">
        <f t="shared" si="186"/>
        <v/>
      </c>
      <c r="AX373" s="59"/>
      <c r="AY373" s="58">
        <f t="shared" si="187"/>
        <v>894</v>
      </c>
      <c r="AZ373" s="59"/>
      <c r="BA373" s="58" t="str">
        <f t="shared" si="188"/>
        <v/>
      </c>
      <c r="BB373" s="59"/>
      <c r="BC373" s="58" t="str">
        <f t="shared" si="189"/>
        <v/>
      </c>
      <c r="BD373" s="59"/>
      <c r="BE373" s="58" t="str">
        <f t="shared" si="190"/>
        <v/>
      </c>
      <c r="BF373" s="59"/>
      <c r="BG373" s="58" t="str">
        <f t="shared" si="191"/>
        <v/>
      </c>
      <c r="BH373" s="59"/>
      <c r="BI373" s="58" t="str">
        <f t="shared" si="192"/>
        <v/>
      </c>
      <c r="BJ373" s="59"/>
      <c r="BK373" s="58" t="str">
        <f t="shared" si="193"/>
        <v/>
      </c>
      <c r="BL373" s="59"/>
      <c r="BM373" s="58" t="str">
        <f t="shared" si="194"/>
        <v/>
      </c>
      <c r="BN373" s="59"/>
      <c r="BO373" s="58" t="str">
        <f t="shared" si="195"/>
        <v/>
      </c>
      <c r="BP373" s="59"/>
      <c r="BQ373" s="58" t="str">
        <f t="shared" si="196"/>
        <v/>
      </c>
      <c r="BR373" s="59"/>
      <c r="BS373" s="58" t="str">
        <f t="shared" si="197"/>
        <v/>
      </c>
      <c r="BT373" s="59"/>
      <c r="BU373" s="58" t="str">
        <f t="shared" si="198"/>
        <v/>
      </c>
      <c r="BV373" s="59"/>
    </row>
    <row r="374" spans="1:74" ht="14.5">
      <c r="A374" s="51" t="s">
        <v>58</v>
      </c>
      <c r="B374" s="52">
        <v>374</v>
      </c>
      <c r="C374" s="52" t="s">
        <v>188</v>
      </c>
      <c r="D374" s="41">
        <f t="shared" si="171"/>
        <v>5</v>
      </c>
      <c r="E374" s="52" t="s">
        <v>190</v>
      </c>
      <c r="F374" s="52" t="s">
        <v>242</v>
      </c>
      <c r="G374" s="52" t="s">
        <v>543</v>
      </c>
      <c r="H374" s="52" t="s">
        <v>453</v>
      </c>
      <c r="I374" s="53">
        <v>45686</v>
      </c>
      <c r="J374" s="108">
        <v>1804</v>
      </c>
      <c r="K374" s="101"/>
      <c r="L374" s="101"/>
      <c r="M374" s="101">
        <f t="shared" si="172"/>
        <v>1804</v>
      </c>
      <c r="N374" s="54">
        <f t="shared" si="173"/>
        <v>1804</v>
      </c>
      <c r="O374" s="101" t="s">
        <v>431</v>
      </c>
      <c r="P374" s="102">
        <f t="shared" si="174"/>
        <v>2.5055555555555555</v>
      </c>
      <c r="Q374" s="102">
        <v>6</v>
      </c>
      <c r="R374" s="99">
        <v>120</v>
      </c>
      <c r="S374" s="55">
        <f>+I374-(28)</f>
        <v>45658</v>
      </c>
      <c r="T374" s="55"/>
      <c r="U374" s="56">
        <f t="shared" ca="1" si="201"/>
        <v>-182</v>
      </c>
      <c r="V374" s="55">
        <f t="shared" si="202"/>
        <v>45674</v>
      </c>
      <c r="W374" s="55"/>
      <c r="X374" s="56">
        <f t="shared" ca="1" si="203"/>
        <v>-166</v>
      </c>
      <c r="Y374" s="55"/>
      <c r="Z374" s="57"/>
      <c r="AA374" s="58" t="str">
        <f t="shared" si="175"/>
        <v>-</v>
      </c>
      <c r="AB374" s="59"/>
      <c r="AC374" s="58" t="str">
        <f t="shared" si="176"/>
        <v/>
      </c>
      <c r="AD374" s="59"/>
      <c r="AE374" s="58" t="str">
        <f t="shared" si="177"/>
        <v/>
      </c>
      <c r="AF374" s="59"/>
      <c r="AG374" s="58" t="str">
        <f t="shared" si="178"/>
        <v/>
      </c>
      <c r="AH374" s="59"/>
      <c r="AI374" s="58" t="str">
        <f t="shared" si="179"/>
        <v/>
      </c>
      <c r="AJ374" s="59"/>
      <c r="AK374" s="58" t="str">
        <f t="shared" si="180"/>
        <v/>
      </c>
      <c r="AL374" s="59"/>
      <c r="AM374" s="58" t="str">
        <f t="shared" si="181"/>
        <v/>
      </c>
      <c r="AN374" s="59"/>
      <c r="AO374" s="58" t="str">
        <f t="shared" si="182"/>
        <v/>
      </c>
      <c r="AP374" s="59"/>
      <c r="AQ374" s="58" t="str">
        <f t="shared" si="183"/>
        <v/>
      </c>
      <c r="AR374" s="59"/>
      <c r="AS374" s="58" t="str">
        <f t="shared" si="184"/>
        <v/>
      </c>
      <c r="AT374" s="59"/>
      <c r="AU374" s="58" t="str">
        <f t="shared" si="185"/>
        <v/>
      </c>
      <c r="AV374" s="59"/>
      <c r="AW374" s="58" t="str">
        <f t="shared" si="186"/>
        <v/>
      </c>
      <c r="AX374" s="59"/>
      <c r="AY374" s="58">
        <f t="shared" si="187"/>
        <v>1804</v>
      </c>
      <c r="AZ374" s="59"/>
      <c r="BA374" s="58" t="str">
        <f t="shared" si="188"/>
        <v/>
      </c>
      <c r="BB374" s="59"/>
      <c r="BC374" s="58" t="str">
        <f t="shared" si="189"/>
        <v/>
      </c>
      <c r="BD374" s="59"/>
      <c r="BE374" s="58" t="str">
        <f t="shared" si="190"/>
        <v/>
      </c>
      <c r="BF374" s="59"/>
      <c r="BG374" s="58" t="str">
        <f t="shared" si="191"/>
        <v/>
      </c>
      <c r="BH374" s="59"/>
      <c r="BI374" s="58" t="str">
        <f t="shared" si="192"/>
        <v/>
      </c>
      <c r="BJ374" s="59"/>
      <c r="BK374" s="58" t="str">
        <f t="shared" si="193"/>
        <v/>
      </c>
      <c r="BL374" s="59"/>
      <c r="BM374" s="58" t="str">
        <f t="shared" si="194"/>
        <v/>
      </c>
      <c r="BN374" s="59"/>
      <c r="BO374" s="58" t="str">
        <f t="shared" si="195"/>
        <v/>
      </c>
      <c r="BP374" s="59"/>
      <c r="BQ374" s="58" t="str">
        <f t="shared" si="196"/>
        <v/>
      </c>
      <c r="BR374" s="59"/>
      <c r="BS374" s="58" t="str">
        <f t="shared" si="197"/>
        <v/>
      </c>
      <c r="BT374" s="59"/>
      <c r="BU374" s="58" t="str">
        <f t="shared" si="198"/>
        <v/>
      </c>
      <c r="BV374" s="59"/>
    </row>
    <row r="375" spans="1:74" ht="14.5">
      <c r="A375" s="51" t="s">
        <v>58</v>
      </c>
      <c r="B375" s="52">
        <v>394</v>
      </c>
      <c r="C375" s="52" t="s">
        <v>188</v>
      </c>
      <c r="D375" s="41">
        <f t="shared" si="171"/>
        <v>5</v>
      </c>
      <c r="E375" s="52" t="s">
        <v>245</v>
      </c>
      <c r="F375" s="52" t="s">
        <v>242</v>
      </c>
      <c r="G375" s="52" t="s">
        <v>244</v>
      </c>
      <c r="H375" s="52" t="s">
        <v>498</v>
      </c>
      <c r="I375" s="53">
        <v>45686</v>
      </c>
      <c r="J375" s="108">
        <v>1352</v>
      </c>
      <c r="K375" s="101"/>
      <c r="L375" s="101"/>
      <c r="M375" s="101">
        <f t="shared" si="172"/>
        <v>1352</v>
      </c>
      <c r="N375" s="54">
        <f t="shared" si="173"/>
        <v>1352</v>
      </c>
      <c r="O375" s="101" t="s">
        <v>431</v>
      </c>
      <c r="P375" s="102">
        <f t="shared" si="174"/>
        <v>1.8777777777777778</v>
      </c>
      <c r="Q375" s="102">
        <v>6</v>
      </c>
      <c r="R375" s="99">
        <v>120</v>
      </c>
      <c r="S375" s="55">
        <f t="shared" ref="S375:S406" si="204">+I375-(32)</f>
        <v>45654</v>
      </c>
      <c r="T375" s="55"/>
      <c r="U375" s="56">
        <f t="shared" ca="1" si="201"/>
        <v>-186</v>
      </c>
      <c r="V375" s="55">
        <f t="shared" si="202"/>
        <v>45670</v>
      </c>
      <c r="W375" s="55"/>
      <c r="X375" s="56">
        <f t="shared" ca="1" si="203"/>
        <v>-170</v>
      </c>
      <c r="Y375" s="55"/>
      <c r="Z375" s="57"/>
      <c r="AA375" s="58" t="str">
        <f t="shared" si="175"/>
        <v>-</v>
      </c>
      <c r="AB375" s="59"/>
      <c r="AC375" s="58" t="str">
        <f t="shared" si="176"/>
        <v/>
      </c>
      <c r="AD375" s="59"/>
      <c r="AE375" s="58" t="str">
        <f t="shared" si="177"/>
        <v/>
      </c>
      <c r="AF375" s="59"/>
      <c r="AG375" s="58" t="str">
        <f t="shared" si="178"/>
        <v/>
      </c>
      <c r="AH375" s="59"/>
      <c r="AI375" s="58" t="str">
        <f t="shared" si="179"/>
        <v/>
      </c>
      <c r="AJ375" s="59"/>
      <c r="AK375" s="58" t="str">
        <f t="shared" si="180"/>
        <v/>
      </c>
      <c r="AL375" s="59"/>
      <c r="AM375" s="58" t="str">
        <f t="shared" si="181"/>
        <v/>
      </c>
      <c r="AN375" s="59"/>
      <c r="AO375" s="58" t="str">
        <f t="shared" si="182"/>
        <v/>
      </c>
      <c r="AP375" s="59"/>
      <c r="AQ375" s="58" t="str">
        <f t="shared" si="183"/>
        <v/>
      </c>
      <c r="AR375" s="59"/>
      <c r="AS375" s="58" t="str">
        <f t="shared" si="184"/>
        <v/>
      </c>
      <c r="AT375" s="59"/>
      <c r="AU375" s="58" t="str">
        <f t="shared" si="185"/>
        <v/>
      </c>
      <c r="AV375" s="59"/>
      <c r="AW375" s="58">
        <f t="shared" si="186"/>
        <v>1352</v>
      </c>
      <c r="AX375" s="59"/>
      <c r="AY375" s="58" t="str">
        <f t="shared" si="187"/>
        <v/>
      </c>
      <c r="AZ375" s="59"/>
      <c r="BA375" s="58" t="str">
        <f t="shared" si="188"/>
        <v/>
      </c>
      <c r="BB375" s="59"/>
      <c r="BC375" s="58" t="str">
        <f t="shared" si="189"/>
        <v/>
      </c>
      <c r="BD375" s="59"/>
      <c r="BE375" s="58" t="str">
        <f t="shared" si="190"/>
        <v/>
      </c>
      <c r="BF375" s="59"/>
      <c r="BG375" s="58" t="str">
        <f t="shared" si="191"/>
        <v/>
      </c>
      <c r="BH375" s="59"/>
      <c r="BI375" s="58" t="str">
        <f t="shared" si="192"/>
        <v/>
      </c>
      <c r="BJ375" s="59"/>
      <c r="BK375" s="58" t="str">
        <f t="shared" si="193"/>
        <v/>
      </c>
      <c r="BL375" s="59"/>
      <c r="BM375" s="58" t="str">
        <f t="shared" si="194"/>
        <v/>
      </c>
      <c r="BN375" s="59"/>
      <c r="BO375" s="58" t="str">
        <f t="shared" si="195"/>
        <v/>
      </c>
      <c r="BP375" s="59"/>
      <c r="BQ375" s="58" t="str">
        <f t="shared" si="196"/>
        <v/>
      </c>
      <c r="BR375" s="59"/>
      <c r="BS375" s="58" t="str">
        <f t="shared" si="197"/>
        <v/>
      </c>
      <c r="BT375" s="59"/>
      <c r="BU375" s="58" t="str">
        <f t="shared" si="198"/>
        <v/>
      </c>
      <c r="BV375" s="59"/>
    </row>
    <row r="376" spans="1:74" ht="14.5">
      <c r="A376" s="51" t="s">
        <v>58</v>
      </c>
      <c r="B376" s="52">
        <v>394</v>
      </c>
      <c r="C376" s="52" t="s">
        <v>188</v>
      </c>
      <c r="D376" s="41">
        <f t="shared" si="171"/>
        <v>5</v>
      </c>
      <c r="E376" s="52" t="s">
        <v>158</v>
      </c>
      <c r="F376" s="52" t="s">
        <v>242</v>
      </c>
      <c r="G376" s="52" t="s">
        <v>154</v>
      </c>
      <c r="H376" s="52" t="s">
        <v>498</v>
      </c>
      <c r="I376" s="53">
        <v>45686</v>
      </c>
      <c r="J376" s="108">
        <v>596</v>
      </c>
      <c r="K376" s="101"/>
      <c r="L376" s="101"/>
      <c r="M376" s="101">
        <f t="shared" si="172"/>
        <v>596</v>
      </c>
      <c r="N376" s="54">
        <f t="shared" si="173"/>
        <v>596</v>
      </c>
      <c r="O376" s="101" t="s">
        <v>439</v>
      </c>
      <c r="P376" s="102">
        <f t="shared" si="174"/>
        <v>0.82777777777777772</v>
      </c>
      <c r="Q376" s="102">
        <v>6</v>
      </c>
      <c r="R376" s="99">
        <v>120</v>
      </c>
      <c r="S376" s="55">
        <f t="shared" si="204"/>
        <v>45654</v>
      </c>
      <c r="T376" s="55"/>
      <c r="U376" s="56">
        <f t="shared" ca="1" si="201"/>
        <v>-186</v>
      </c>
      <c r="V376" s="55">
        <f t="shared" si="202"/>
        <v>45670</v>
      </c>
      <c r="W376" s="55"/>
      <c r="X376" s="56">
        <f t="shared" ca="1" si="203"/>
        <v>-170</v>
      </c>
      <c r="Y376" s="55"/>
      <c r="Z376" s="57"/>
      <c r="AA376" s="58" t="str">
        <f t="shared" si="175"/>
        <v>-</v>
      </c>
      <c r="AB376" s="59"/>
      <c r="AC376" s="58" t="str">
        <f t="shared" si="176"/>
        <v/>
      </c>
      <c r="AD376" s="59"/>
      <c r="AE376" s="58" t="str">
        <f t="shared" si="177"/>
        <v/>
      </c>
      <c r="AF376" s="59"/>
      <c r="AG376" s="58" t="str">
        <f t="shared" si="178"/>
        <v/>
      </c>
      <c r="AH376" s="59"/>
      <c r="AI376" s="58" t="str">
        <f t="shared" si="179"/>
        <v/>
      </c>
      <c r="AJ376" s="59"/>
      <c r="AK376" s="58" t="str">
        <f t="shared" si="180"/>
        <v/>
      </c>
      <c r="AL376" s="59"/>
      <c r="AM376" s="58" t="str">
        <f t="shared" si="181"/>
        <v/>
      </c>
      <c r="AN376" s="59"/>
      <c r="AO376" s="58" t="str">
        <f t="shared" si="182"/>
        <v/>
      </c>
      <c r="AP376" s="59"/>
      <c r="AQ376" s="58" t="str">
        <f t="shared" si="183"/>
        <v/>
      </c>
      <c r="AR376" s="59"/>
      <c r="AS376" s="58" t="str">
        <f t="shared" si="184"/>
        <v/>
      </c>
      <c r="AT376" s="59"/>
      <c r="AU376" s="58" t="str">
        <f t="shared" si="185"/>
        <v/>
      </c>
      <c r="AV376" s="59"/>
      <c r="AW376" s="58">
        <f t="shared" si="186"/>
        <v>596</v>
      </c>
      <c r="AX376" s="59"/>
      <c r="AY376" s="58" t="str">
        <f t="shared" si="187"/>
        <v/>
      </c>
      <c r="AZ376" s="59"/>
      <c r="BA376" s="58" t="str">
        <f t="shared" si="188"/>
        <v/>
      </c>
      <c r="BB376" s="59"/>
      <c r="BC376" s="58" t="str">
        <f t="shared" si="189"/>
        <v/>
      </c>
      <c r="BD376" s="59"/>
      <c r="BE376" s="58" t="str">
        <f t="shared" si="190"/>
        <v/>
      </c>
      <c r="BF376" s="59"/>
      <c r="BG376" s="58" t="str">
        <f t="shared" si="191"/>
        <v/>
      </c>
      <c r="BH376" s="59"/>
      <c r="BI376" s="58" t="str">
        <f t="shared" si="192"/>
        <v/>
      </c>
      <c r="BJ376" s="59"/>
      <c r="BK376" s="58" t="str">
        <f t="shared" si="193"/>
        <v/>
      </c>
      <c r="BL376" s="59"/>
      <c r="BM376" s="58" t="str">
        <f t="shared" si="194"/>
        <v/>
      </c>
      <c r="BN376" s="59"/>
      <c r="BO376" s="58" t="str">
        <f t="shared" si="195"/>
        <v/>
      </c>
      <c r="BP376" s="59"/>
      <c r="BQ376" s="58" t="str">
        <f t="shared" si="196"/>
        <v/>
      </c>
      <c r="BR376" s="59"/>
      <c r="BS376" s="58" t="str">
        <f t="shared" si="197"/>
        <v/>
      </c>
      <c r="BT376" s="59"/>
      <c r="BU376" s="58" t="str">
        <f t="shared" si="198"/>
        <v/>
      </c>
      <c r="BV376" s="59"/>
    </row>
    <row r="377" spans="1:74" ht="14.5">
      <c r="A377" s="51" t="s">
        <v>58</v>
      </c>
      <c r="B377" s="52">
        <v>394</v>
      </c>
      <c r="C377" s="52" t="s">
        <v>188</v>
      </c>
      <c r="D377" s="41">
        <f t="shared" si="171"/>
        <v>5</v>
      </c>
      <c r="E377" s="52" t="s">
        <v>189</v>
      </c>
      <c r="F377" s="52" t="s">
        <v>242</v>
      </c>
      <c r="G377" s="52" t="s">
        <v>162</v>
      </c>
      <c r="H377" s="52" t="s">
        <v>498</v>
      </c>
      <c r="I377" s="53">
        <v>45686</v>
      </c>
      <c r="J377" s="108">
        <v>1780</v>
      </c>
      <c r="K377" s="101"/>
      <c r="L377" s="101"/>
      <c r="M377" s="101">
        <f t="shared" si="172"/>
        <v>1780</v>
      </c>
      <c r="N377" s="54">
        <f t="shared" si="173"/>
        <v>1780</v>
      </c>
      <c r="O377" s="101" t="s">
        <v>178</v>
      </c>
      <c r="P377" s="102">
        <f t="shared" si="174"/>
        <v>2.4722222222222223</v>
      </c>
      <c r="Q377" s="102">
        <v>6</v>
      </c>
      <c r="R377" s="99">
        <v>120</v>
      </c>
      <c r="S377" s="55">
        <f t="shared" si="204"/>
        <v>45654</v>
      </c>
      <c r="T377" s="55"/>
      <c r="U377" s="56">
        <f t="shared" ca="1" si="201"/>
        <v>-186</v>
      </c>
      <c r="V377" s="55">
        <f t="shared" si="202"/>
        <v>45670</v>
      </c>
      <c r="W377" s="55"/>
      <c r="X377" s="56">
        <f t="shared" ca="1" si="203"/>
        <v>-170</v>
      </c>
      <c r="Y377" s="55"/>
      <c r="Z377" s="57"/>
      <c r="AA377" s="58" t="str">
        <f t="shared" si="175"/>
        <v>-</v>
      </c>
      <c r="AB377" s="59"/>
      <c r="AC377" s="58" t="str">
        <f t="shared" si="176"/>
        <v/>
      </c>
      <c r="AD377" s="59"/>
      <c r="AE377" s="58" t="str">
        <f t="shared" si="177"/>
        <v/>
      </c>
      <c r="AF377" s="59"/>
      <c r="AG377" s="58" t="str">
        <f t="shared" si="178"/>
        <v/>
      </c>
      <c r="AH377" s="59"/>
      <c r="AI377" s="58" t="str">
        <f t="shared" si="179"/>
        <v/>
      </c>
      <c r="AJ377" s="59"/>
      <c r="AK377" s="58" t="str">
        <f t="shared" si="180"/>
        <v/>
      </c>
      <c r="AL377" s="59"/>
      <c r="AM377" s="58" t="str">
        <f t="shared" si="181"/>
        <v/>
      </c>
      <c r="AN377" s="59"/>
      <c r="AO377" s="58" t="str">
        <f t="shared" si="182"/>
        <v/>
      </c>
      <c r="AP377" s="59"/>
      <c r="AQ377" s="58" t="str">
        <f t="shared" si="183"/>
        <v/>
      </c>
      <c r="AR377" s="59"/>
      <c r="AS377" s="58" t="str">
        <f t="shared" si="184"/>
        <v/>
      </c>
      <c r="AT377" s="59"/>
      <c r="AU377" s="58" t="str">
        <f t="shared" si="185"/>
        <v/>
      </c>
      <c r="AV377" s="59"/>
      <c r="AW377" s="58">
        <f t="shared" si="186"/>
        <v>1780</v>
      </c>
      <c r="AX377" s="59"/>
      <c r="AY377" s="58" t="str">
        <f t="shared" si="187"/>
        <v/>
      </c>
      <c r="AZ377" s="59"/>
      <c r="BA377" s="58" t="str">
        <f t="shared" si="188"/>
        <v/>
      </c>
      <c r="BB377" s="59"/>
      <c r="BC377" s="58" t="str">
        <f t="shared" si="189"/>
        <v/>
      </c>
      <c r="BD377" s="59"/>
      <c r="BE377" s="58" t="str">
        <f t="shared" si="190"/>
        <v/>
      </c>
      <c r="BF377" s="59"/>
      <c r="BG377" s="58" t="str">
        <f t="shared" si="191"/>
        <v/>
      </c>
      <c r="BH377" s="59"/>
      <c r="BI377" s="58" t="str">
        <f t="shared" si="192"/>
        <v/>
      </c>
      <c r="BJ377" s="59"/>
      <c r="BK377" s="58" t="str">
        <f t="shared" si="193"/>
        <v/>
      </c>
      <c r="BL377" s="59"/>
      <c r="BM377" s="58" t="str">
        <f t="shared" si="194"/>
        <v/>
      </c>
      <c r="BN377" s="59"/>
      <c r="BO377" s="58" t="str">
        <f t="shared" si="195"/>
        <v/>
      </c>
      <c r="BP377" s="59"/>
      <c r="BQ377" s="58" t="str">
        <f t="shared" si="196"/>
        <v/>
      </c>
      <c r="BR377" s="59"/>
      <c r="BS377" s="58" t="str">
        <f t="shared" si="197"/>
        <v/>
      </c>
      <c r="BT377" s="59"/>
      <c r="BU377" s="58" t="str">
        <f t="shared" si="198"/>
        <v/>
      </c>
      <c r="BV377" s="59"/>
    </row>
    <row r="378" spans="1:74" ht="14.5">
      <c r="A378" s="51" t="s">
        <v>466</v>
      </c>
      <c r="B378" s="52">
        <v>351</v>
      </c>
      <c r="C378" s="52" t="s">
        <v>552</v>
      </c>
      <c r="D378" s="41">
        <f t="shared" si="171"/>
        <v>5</v>
      </c>
      <c r="E378" s="52" t="s">
        <v>553</v>
      </c>
      <c r="F378" s="52" t="s">
        <v>554</v>
      </c>
      <c r="G378" s="52" t="s">
        <v>555</v>
      </c>
      <c r="H378" s="52" t="s">
        <v>556</v>
      </c>
      <c r="I378" s="53">
        <v>45687</v>
      </c>
      <c r="J378" s="108">
        <v>0</v>
      </c>
      <c r="K378" s="101"/>
      <c r="L378" s="101"/>
      <c r="M378" s="101">
        <f t="shared" si="172"/>
        <v>0</v>
      </c>
      <c r="N378" s="54">
        <f t="shared" si="173"/>
        <v>0</v>
      </c>
      <c r="O378" s="101" t="s">
        <v>178</v>
      </c>
      <c r="P378" s="102">
        <f t="shared" si="174"/>
        <v>0</v>
      </c>
      <c r="Q378" s="102">
        <v>6</v>
      </c>
      <c r="R378" s="99">
        <v>80</v>
      </c>
      <c r="S378" s="55">
        <f t="shared" si="204"/>
        <v>45655</v>
      </c>
      <c r="T378" s="55">
        <v>45626</v>
      </c>
      <c r="U378" s="56">
        <f t="shared" ca="1" si="201"/>
        <v>29</v>
      </c>
      <c r="V378" s="55">
        <f t="shared" si="202"/>
        <v>45671</v>
      </c>
      <c r="W378" s="55"/>
      <c r="X378" s="56">
        <f t="shared" ca="1" si="203"/>
        <v>-169</v>
      </c>
      <c r="Y378" s="55"/>
      <c r="Z378" s="57"/>
      <c r="AA378" s="58" t="str">
        <f t="shared" si="175"/>
        <v>-</v>
      </c>
      <c r="AB378" s="59"/>
      <c r="AC378" s="58" t="str">
        <f t="shared" si="176"/>
        <v/>
      </c>
      <c r="AD378" s="59"/>
      <c r="AE378" s="58" t="str">
        <f t="shared" si="177"/>
        <v/>
      </c>
      <c r="AF378" s="59"/>
      <c r="AG378" s="58" t="str">
        <f t="shared" si="178"/>
        <v/>
      </c>
      <c r="AH378" s="59"/>
      <c r="AI378" s="58" t="str">
        <f t="shared" si="179"/>
        <v/>
      </c>
      <c r="AJ378" s="59"/>
      <c r="AK378" s="58" t="str">
        <f t="shared" si="180"/>
        <v/>
      </c>
      <c r="AL378" s="59"/>
      <c r="AM378" s="58" t="str">
        <f t="shared" si="181"/>
        <v/>
      </c>
      <c r="AN378" s="59"/>
      <c r="AO378" s="58" t="str">
        <f t="shared" si="182"/>
        <v/>
      </c>
      <c r="AP378" s="59"/>
      <c r="AQ378" s="58" t="str">
        <f t="shared" si="183"/>
        <v/>
      </c>
      <c r="AR378" s="59"/>
      <c r="AS378" s="58" t="str">
        <f t="shared" si="184"/>
        <v/>
      </c>
      <c r="AT378" s="59"/>
      <c r="AU378" s="58" t="str">
        <f t="shared" si="185"/>
        <v/>
      </c>
      <c r="AV378" s="59"/>
      <c r="AW378" s="58" t="str">
        <f t="shared" si="186"/>
        <v/>
      </c>
      <c r="AX378" s="59"/>
      <c r="AY378" s="58" t="str">
        <f t="shared" si="187"/>
        <v/>
      </c>
      <c r="AZ378" s="59"/>
      <c r="BA378" s="58" t="str">
        <f t="shared" si="188"/>
        <v/>
      </c>
      <c r="BB378" s="59"/>
      <c r="BC378" s="58" t="str">
        <f t="shared" si="189"/>
        <v/>
      </c>
      <c r="BD378" s="59"/>
      <c r="BE378" s="58" t="str">
        <f t="shared" si="190"/>
        <v/>
      </c>
      <c r="BF378" s="59"/>
      <c r="BG378" s="58" t="str">
        <f t="shared" si="191"/>
        <v/>
      </c>
      <c r="BH378" s="59"/>
      <c r="BI378" s="58" t="str">
        <f t="shared" si="192"/>
        <v/>
      </c>
      <c r="BJ378" s="59"/>
      <c r="BK378" s="58" t="str">
        <f t="shared" si="193"/>
        <v/>
      </c>
      <c r="BL378" s="59"/>
      <c r="BM378" s="58" t="str">
        <f t="shared" si="194"/>
        <v/>
      </c>
      <c r="BN378" s="59"/>
      <c r="BO378" s="58" t="str">
        <f t="shared" si="195"/>
        <v/>
      </c>
      <c r="BP378" s="59"/>
      <c r="BQ378" s="58" t="str">
        <f t="shared" si="196"/>
        <v/>
      </c>
      <c r="BR378" s="59"/>
      <c r="BS378" s="58" t="str">
        <f t="shared" si="197"/>
        <v/>
      </c>
      <c r="BT378" s="59"/>
      <c r="BU378" s="58" t="str">
        <f t="shared" si="198"/>
        <v/>
      </c>
      <c r="BV378" s="59"/>
    </row>
    <row r="379" spans="1:74" ht="14.5">
      <c r="A379" s="51" t="s">
        <v>466</v>
      </c>
      <c r="B379" s="52">
        <v>351</v>
      </c>
      <c r="C379" s="52" t="s">
        <v>552</v>
      </c>
      <c r="D379" s="41">
        <f t="shared" si="171"/>
        <v>5</v>
      </c>
      <c r="E379" s="52" t="s">
        <v>366</v>
      </c>
      <c r="F379" s="52" t="s">
        <v>557</v>
      </c>
      <c r="G379" s="52" t="s">
        <v>160</v>
      </c>
      <c r="H379" s="52" t="s">
        <v>558</v>
      </c>
      <c r="I379" s="53">
        <v>45687</v>
      </c>
      <c r="J379" s="108">
        <v>6705</v>
      </c>
      <c r="K379" s="101"/>
      <c r="L379" s="101"/>
      <c r="M379" s="101">
        <f t="shared" si="172"/>
        <v>6705</v>
      </c>
      <c r="N379" s="54">
        <f t="shared" si="173"/>
        <v>6705</v>
      </c>
      <c r="O379" s="101" t="s">
        <v>178</v>
      </c>
      <c r="P379" s="102">
        <f t="shared" si="174"/>
        <v>13.96875</v>
      </c>
      <c r="Q379" s="102">
        <v>6</v>
      </c>
      <c r="R379" s="99">
        <v>80</v>
      </c>
      <c r="S379" s="55">
        <f t="shared" si="204"/>
        <v>45655</v>
      </c>
      <c r="T379" s="55">
        <v>45626</v>
      </c>
      <c r="U379" s="56">
        <f t="shared" ca="1" si="201"/>
        <v>29</v>
      </c>
      <c r="V379" s="55">
        <f t="shared" si="202"/>
        <v>45671</v>
      </c>
      <c r="W379" s="55"/>
      <c r="X379" s="56">
        <f t="shared" ca="1" si="203"/>
        <v>-169</v>
      </c>
      <c r="Y379" s="55"/>
      <c r="Z379" s="57"/>
      <c r="AA379" s="58" t="str">
        <f t="shared" si="175"/>
        <v>-</v>
      </c>
      <c r="AB379" s="59"/>
      <c r="AC379" s="58" t="str">
        <f t="shared" si="176"/>
        <v/>
      </c>
      <c r="AD379" s="59"/>
      <c r="AE379" s="58" t="str">
        <f t="shared" si="177"/>
        <v/>
      </c>
      <c r="AF379" s="59"/>
      <c r="AG379" s="58" t="str">
        <f t="shared" si="178"/>
        <v/>
      </c>
      <c r="AH379" s="59"/>
      <c r="AI379" s="58" t="str">
        <f t="shared" si="179"/>
        <v/>
      </c>
      <c r="AJ379" s="59"/>
      <c r="AK379" s="58" t="str">
        <f t="shared" si="180"/>
        <v/>
      </c>
      <c r="AL379" s="59"/>
      <c r="AM379" s="58" t="str">
        <f t="shared" si="181"/>
        <v/>
      </c>
      <c r="AN379" s="59"/>
      <c r="AO379" s="58" t="str">
        <f t="shared" si="182"/>
        <v/>
      </c>
      <c r="AP379" s="59"/>
      <c r="AQ379" s="58" t="str">
        <f t="shared" si="183"/>
        <v/>
      </c>
      <c r="AR379" s="59"/>
      <c r="AS379" s="58" t="str">
        <f t="shared" si="184"/>
        <v/>
      </c>
      <c r="AT379" s="59"/>
      <c r="AU379" s="58" t="str">
        <f t="shared" si="185"/>
        <v/>
      </c>
      <c r="AV379" s="59"/>
      <c r="AW379" s="58" t="str">
        <f t="shared" si="186"/>
        <v/>
      </c>
      <c r="AX379" s="59"/>
      <c r="AY379" s="58" t="str">
        <f t="shared" si="187"/>
        <v/>
      </c>
      <c r="AZ379" s="59"/>
      <c r="BA379" s="58" t="str">
        <f t="shared" si="188"/>
        <v/>
      </c>
      <c r="BB379" s="59"/>
      <c r="BC379" s="58" t="str">
        <f t="shared" si="189"/>
        <v/>
      </c>
      <c r="BD379" s="59"/>
      <c r="BE379" s="58" t="str">
        <f t="shared" si="190"/>
        <v/>
      </c>
      <c r="BF379" s="59"/>
      <c r="BG379" s="58" t="str">
        <f t="shared" si="191"/>
        <v/>
      </c>
      <c r="BH379" s="59"/>
      <c r="BI379" s="58" t="str">
        <f t="shared" si="192"/>
        <v/>
      </c>
      <c r="BJ379" s="59"/>
      <c r="BK379" s="58" t="str">
        <f t="shared" si="193"/>
        <v/>
      </c>
      <c r="BL379" s="59"/>
      <c r="BM379" s="58" t="str">
        <f t="shared" si="194"/>
        <v/>
      </c>
      <c r="BN379" s="59"/>
      <c r="BO379" s="58" t="str">
        <f t="shared" si="195"/>
        <v/>
      </c>
      <c r="BP379" s="59"/>
      <c r="BQ379" s="58" t="str">
        <f t="shared" si="196"/>
        <v/>
      </c>
      <c r="BR379" s="59"/>
      <c r="BS379" s="58" t="str">
        <f t="shared" si="197"/>
        <v/>
      </c>
      <c r="BT379" s="59"/>
      <c r="BU379" s="58" t="str">
        <f t="shared" si="198"/>
        <v/>
      </c>
      <c r="BV379" s="59"/>
    </row>
    <row r="380" spans="1:74" ht="14.5">
      <c r="A380" s="51" t="s">
        <v>466</v>
      </c>
      <c r="B380" s="52">
        <v>351</v>
      </c>
      <c r="C380" s="52" t="s">
        <v>552</v>
      </c>
      <c r="D380" s="41">
        <f t="shared" si="171"/>
        <v>5</v>
      </c>
      <c r="E380" s="52" t="s">
        <v>366</v>
      </c>
      <c r="F380" s="52" t="s">
        <v>557</v>
      </c>
      <c r="G380" s="52" t="s">
        <v>160</v>
      </c>
      <c r="H380" s="52" t="s">
        <v>558</v>
      </c>
      <c r="I380" s="53">
        <v>45687</v>
      </c>
      <c r="J380" s="108">
        <v>8744</v>
      </c>
      <c r="K380" s="101"/>
      <c r="L380" s="101"/>
      <c r="M380" s="101">
        <f t="shared" si="172"/>
        <v>8744</v>
      </c>
      <c r="N380" s="54">
        <f t="shared" si="173"/>
        <v>8744</v>
      </c>
      <c r="O380" s="101" t="s">
        <v>178</v>
      </c>
      <c r="P380" s="102">
        <f t="shared" si="174"/>
        <v>18.216666666666665</v>
      </c>
      <c r="Q380" s="102">
        <v>6</v>
      </c>
      <c r="R380" s="99">
        <v>80</v>
      </c>
      <c r="S380" s="55">
        <f t="shared" si="204"/>
        <v>45655</v>
      </c>
      <c r="T380" s="55">
        <v>45626</v>
      </c>
      <c r="U380" s="56">
        <f t="shared" ca="1" si="201"/>
        <v>29</v>
      </c>
      <c r="V380" s="55">
        <f t="shared" si="202"/>
        <v>45671</v>
      </c>
      <c r="W380" s="55"/>
      <c r="X380" s="56">
        <f t="shared" ca="1" si="203"/>
        <v>-169</v>
      </c>
      <c r="Y380" s="55"/>
      <c r="Z380" s="57"/>
      <c r="AA380" s="58" t="str">
        <f t="shared" si="175"/>
        <v>-</v>
      </c>
      <c r="AB380" s="59"/>
      <c r="AC380" s="58" t="str">
        <f t="shared" si="176"/>
        <v/>
      </c>
      <c r="AD380" s="59"/>
      <c r="AE380" s="58" t="str">
        <f t="shared" si="177"/>
        <v/>
      </c>
      <c r="AF380" s="59"/>
      <c r="AG380" s="58" t="str">
        <f t="shared" si="178"/>
        <v/>
      </c>
      <c r="AH380" s="59"/>
      <c r="AI380" s="58" t="str">
        <f t="shared" si="179"/>
        <v/>
      </c>
      <c r="AJ380" s="59"/>
      <c r="AK380" s="58" t="str">
        <f t="shared" si="180"/>
        <v/>
      </c>
      <c r="AL380" s="59"/>
      <c r="AM380" s="58" t="str">
        <f t="shared" si="181"/>
        <v/>
      </c>
      <c r="AN380" s="59"/>
      <c r="AO380" s="58" t="str">
        <f t="shared" si="182"/>
        <v/>
      </c>
      <c r="AP380" s="59"/>
      <c r="AQ380" s="58" t="str">
        <f t="shared" si="183"/>
        <v/>
      </c>
      <c r="AR380" s="59"/>
      <c r="AS380" s="58" t="str">
        <f t="shared" si="184"/>
        <v/>
      </c>
      <c r="AT380" s="59"/>
      <c r="AU380" s="58" t="str">
        <f t="shared" si="185"/>
        <v/>
      </c>
      <c r="AV380" s="59"/>
      <c r="AW380" s="58" t="str">
        <f t="shared" si="186"/>
        <v/>
      </c>
      <c r="AX380" s="59"/>
      <c r="AY380" s="58" t="str">
        <f t="shared" si="187"/>
        <v/>
      </c>
      <c r="AZ380" s="59"/>
      <c r="BA380" s="58" t="str">
        <f t="shared" si="188"/>
        <v/>
      </c>
      <c r="BB380" s="59"/>
      <c r="BC380" s="58" t="str">
        <f t="shared" si="189"/>
        <v/>
      </c>
      <c r="BD380" s="59"/>
      <c r="BE380" s="58" t="str">
        <f t="shared" si="190"/>
        <v/>
      </c>
      <c r="BF380" s="59"/>
      <c r="BG380" s="58" t="str">
        <f t="shared" si="191"/>
        <v/>
      </c>
      <c r="BH380" s="59"/>
      <c r="BI380" s="58" t="str">
        <f t="shared" si="192"/>
        <v/>
      </c>
      <c r="BJ380" s="59"/>
      <c r="BK380" s="58" t="str">
        <f t="shared" si="193"/>
        <v/>
      </c>
      <c r="BL380" s="59"/>
      <c r="BM380" s="58" t="str">
        <f t="shared" si="194"/>
        <v/>
      </c>
      <c r="BN380" s="59"/>
      <c r="BO380" s="58" t="str">
        <f t="shared" si="195"/>
        <v/>
      </c>
      <c r="BP380" s="59"/>
      <c r="BQ380" s="58" t="str">
        <f t="shared" si="196"/>
        <v/>
      </c>
      <c r="BR380" s="59"/>
      <c r="BS380" s="58" t="str">
        <f t="shared" si="197"/>
        <v/>
      </c>
      <c r="BT380" s="59"/>
      <c r="BU380" s="58" t="str">
        <f t="shared" si="198"/>
        <v/>
      </c>
      <c r="BV380" s="59"/>
    </row>
    <row r="381" spans="1:74" ht="14.5">
      <c r="A381" s="51" t="s">
        <v>466</v>
      </c>
      <c r="B381" s="52">
        <v>351</v>
      </c>
      <c r="C381" s="52" t="s">
        <v>552</v>
      </c>
      <c r="D381" s="41">
        <f t="shared" si="171"/>
        <v>5</v>
      </c>
      <c r="E381" s="52" t="s">
        <v>559</v>
      </c>
      <c r="F381" s="52" t="s">
        <v>557</v>
      </c>
      <c r="G381" s="52" t="s">
        <v>559</v>
      </c>
      <c r="H381" s="52" t="s">
        <v>558</v>
      </c>
      <c r="I381" s="53">
        <v>45687</v>
      </c>
      <c r="J381" s="108">
        <v>5871</v>
      </c>
      <c r="K381" s="101"/>
      <c r="L381" s="101"/>
      <c r="M381" s="101">
        <f t="shared" si="172"/>
        <v>5871</v>
      </c>
      <c r="N381" s="54">
        <f t="shared" si="173"/>
        <v>5871</v>
      </c>
      <c r="O381" s="101" t="s">
        <v>178</v>
      </c>
      <c r="P381" s="102">
        <f t="shared" si="174"/>
        <v>12.231249999999999</v>
      </c>
      <c r="Q381" s="102">
        <v>6</v>
      </c>
      <c r="R381" s="99">
        <v>80</v>
      </c>
      <c r="S381" s="55">
        <f t="shared" si="204"/>
        <v>45655</v>
      </c>
      <c r="T381" s="55">
        <v>45626</v>
      </c>
      <c r="U381" s="56">
        <f t="shared" ca="1" si="201"/>
        <v>29</v>
      </c>
      <c r="V381" s="55">
        <f t="shared" si="202"/>
        <v>45671</v>
      </c>
      <c r="W381" s="55"/>
      <c r="X381" s="56">
        <f t="shared" ca="1" si="203"/>
        <v>-169</v>
      </c>
      <c r="Y381" s="55"/>
      <c r="Z381" s="57"/>
      <c r="AA381" s="58" t="str">
        <f t="shared" si="175"/>
        <v>-</v>
      </c>
      <c r="AB381" s="59"/>
      <c r="AC381" s="58" t="str">
        <f t="shared" si="176"/>
        <v/>
      </c>
      <c r="AD381" s="59"/>
      <c r="AE381" s="58" t="str">
        <f t="shared" si="177"/>
        <v/>
      </c>
      <c r="AF381" s="59"/>
      <c r="AG381" s="58" t="str">
        <f t="shared" si="178"/>
        <v/>
      </c>
      <c r="AH381" s="59"/>
      <c r="AI381" s="58" t="str">
        <f t="shared" si="179"/>
        <v/>
      </c>
      <c r="AJ381" s="59"/>
      <c r="AK381" s="58" t="str">
        <f t="shared" si="180"/>
        <v/>
      </c>
      <c r="AL381" s="59"/>
      <c r="AM381" s="58" t="str">
        <f t="shared" si="181"/>
        <v/>
      </c>
      <c r="AN381" s="59"/>
      <c r="AO381" s="58" t="str">
        <f t="shared" si="182"/>
        <v/>
      </c>
      <c r="AP381" s="59"/>
      <c r="AQ381" s="58" t="str">
        <f t="shared" si="183"/>
        <v/>
      </c>
      <c r="AR381" s="59"/>
      <c r="AS381" s="58" t="str">
        <f t="shared" si="184"/>
        <v/>
      </c>
      <c r="AT381" s="59"/>
      <c r="AU381" s="58" t="str">
        <f t="shared" si="185"/>
        <v/>
      </c>
      <c r="AV381" s="59"/>
      <c r="AW381" s="58" t="str">
        <f t="shared" si="186"/>
        <v/>
      </c>
      <c r="AX381" s="59"/>
      <c r="AY381" s="58" t="str">
        <f t="shared" si="187"/>
        <v/>
      </c>
      <c r="AZ381" s="59"/>
      <c r="BA381" s="58" t="str">
        <f t="shared" si="188"/>
        <v/>
      </c>
      <c r="BB381" s="59"/>
      <c r="BC381" s="58" t="str">
        <f t="shared" si="189"/>
        <v/>
      </c>
      <c r="BD381" s="59"/>
      <c r="BE381" s="58" t="str">
        <f t="shared" si="190"/>
        <v/>
      </c>
      <c r="BF381" s="59"/>
      <c r="BG381" s="58" t="str">
        <f t="shared" si="191"/>
        <v/>
      </c>
      <c r="BH381" s="59"/>
      <c r="BI381" s="58" t="str">
        <f t="shared" si="192"/>
        <v/>
      </c>
      <c r="BJ381" s="59"/>
      <c r="BK381" s="58" t="str">
        <f t="shared" si="193"/>
        <v/>
      </c>
      <c r="BL381" s="59"/>
      <c r="BM381" s="58" t="str">
        <f t="shared" si="194"/>
        <v/>
      </c>
      <c r="BN381" s="59"/>
      <c r="BO381" s="58" t="str">
        <f t="shared" si="195"/>
        <v/>
      </c>
      <c r="BP381" s="59"/>
      <c r="BQ381" s="58" t="str">
        <f t="shared" si="196"/>
        <v/>
      </c>
      <c r="BR381" s="59"/>
      <c r="BS381" s="58" t="str">
        <f t="shared" si="197"/>
        <v/>
      </c>
      <c r="BT381" s="59"/>
      <c r="BU381" s="58" t="str">
        <f t="shared" si="198"/>
        <v/>
      </c>
      <c r="BV381" s="59"/>
    </row>
    <row r="382" spans="1:74" ht="14.5">
      <c r="A382" s="51" t="s">
        <v>466</v>
      </c>
      <c r="B382" s="52">
        <v>351</v>
      </c>
      <c r="C382" s="52" t="s">
        <v>552</v>
      </c>
      <c r="D382" s="41">
        <f t="shared" si="171"/>
        <v>5</v>
      </c>
      <c r="E382" s="52" t="s">
        <v>559</v>
      </c>
      <c r="F382" s="52" t="s">
        <v>557</v>
      </c>
      <c r="G382" s="52" t="s">
        <v>559</v>
      </c>
      <c r="H382" s="52" t="s">
        <v>558</v>
      </c>
      <c r="I382" s="53">
        <v>45687</v>
      </c>
      <c r="J382" s="108">
        <v>4429</v>
      </c>
      <c r="K382" s="101"/>
      <c r="L382" s="101"/>
      <c r="M382" s="101">
        <f t="shared" si="172"/>
        <v>4429</v>
      </c>
      <c r="N382" s="54">
        <f t="shared" si="173"/>
        <v>4429</v>
      </c>
      <c r="O382" s="101" t="s">
        <v>178</v>
      </c>
      <c r="P382" s="102">
        <f t="shared" si="174"/>
        <v>9.2270833333333329</v>
      </c>
      <c r="Q382" s="102">
        <v>6</v>
      </c>
      <c r="R382" s="99">
        <v>80</v>
      </c>
      <c r="S382" s="55">
        <f t="shared" si="204"/>
        <v>45655</v>
      </c>
      <c r="T382" s="55">
        <v>45626</v>
      </c>
      <c r="U382" s="56">
        <f t="shared" ca="1" si="201"/>
        <v>29</v>
      </c>
      <c r="V382" s="55">
        <f t="shared" si="202"/>
        <v>45671</v>
      </c>
      <c r="W382" s="55"/>
      <c r="X382" s="56">
        <f t="shared" ca="1" si="203"/>
        <v>-169</v>
      </c>
      <c r="Y382" s="55"/>
      <c r="Z382" s="57"/>
      <c r="AA382" s="58" t="str">
        <f t="shared" si="175"/>
        <v>-</v>
      </c>
      <c r="AB382" s="59"/>
      <c r="AC382" s="58" t="str">
        <f t="shared" si="176"/>
        <v/>
      </c>
      <c r="AD382" s="59"/>
      <c r="AE382" s="58" t="str">
        <f t="shared" si="177"/>
        <v/>
      </c>
      <c r="AF382" s="59"/>
      <c r="AG382" s="58" t="str">
        <f t="shared" si="178"/>
        <v/>
      </c>
      <c r="AH382" s="59"/>
      <c r="AI382" s="58" t="str">
        <f t="shared" si="179"/>
        <v/>
      </c>
      <c r="AJ382" s="59"/>
      <c r="AK382" s="58" t="str">
        <f t="shared" si="180"/>
        <v/>
      </c>
      <c r="AL382" s="59"/>
      <c r="AM382" s="58" t="str">
        <f t="shared" si="181"/>
        <v/>
      </c>
      <c r="AN382" s="59"/>
      <c r="AO382" s="58" t="str">
        <f t="shared" si="182"/>
        <v/>
      </c>
      <c r="AP382" s="59"/>
      <c r="AQ382" s="58" t="str">
        <f t="shared" si="183"/>
        <v/>
      </c>
      <c r="AR382" s="59"/>
      <c r="AS382" s="58" t="str">
        <f t="shared" si="184"/>
        <v/>
      </c>
      <c r="AT382" s="59"/>
      <c r="AU382" s="58" t="str">
        <f t="shared" si="185"/>
        <v/>
      </c>
      <c r="AV382" s="59"/>
      <c r="AW382" s="58" t="str">
        <f t="shared" si="186"/>
        <v/>
      </c>
      <c r="AX382" s="59"/>
      <c r="AY382" s="58" t="str">
        <f t="shared" si="187"/>
        <v/>
      </c>
      <c r="AZ382" s="59"/>
      <c r="BA382" s="58" t="str">
        <f t="shared" si="188"/>
        <v/>
      </c>
      <c r="BB382" s="59"/>
      <c r="BC382" s="58" t="str">
        <f t="shared" si="189"/>
        <v/>
      </c>
      <c r="BD382" s="59"/>
      <c r="BE382" s="58" t="str">
        <f t="shared" si="190"/>
        <v/>
      </c>
      <c r="BF382" s="59"/>
      <c r="BG382" s="58" t="str">
        <f t="shared" si="191"/>
        <v/>
      </c>
      <c r="BH382" s="59"/>
      <c r="BI382" s="58" t="str">
        <f t="shared" si="192"/>
        <v/>
      </c>
      <c r="BJ382" s="59"/>
      <c r="BK382" s="58" t="str">
        <f t="shared" si="193"/>
        <v/>
      </c>
      <c r="BL382" s="59"/>
      <c r="BM382" s="58" t="str">
        <f t="shared" si="194"/>
        <v/>
      </c>
      <c r="BN382" s="59"/>
      <c r="BO382" s="58" t="str">
        <f t="shared" si="195"/>
        <v/>
      </c>
      <c r="BP382" s="59"/>
      <c r="BQ382" s="58" t="str">
        <f t="shared" si="196"/>
        <v/>
      </c>
      <c r="BR382" s="59"/>
      <c r="BS382" s="58" t="str">
        <f t="shared" si="197"/>
        <v/>
      </c>
      <c r="BT382" s="59"/>
      <c r="BU382" s="58" t="str">
        <f t="shared" si="198"/>
        <v/>
      </c>
      <c r="BV382" s="59"/>
    </row>
    <row r="383" spans="1:74" ht="14.5">
      <c r="A383" s="51" t="s">
        <v>466</v>
      </c>
      <c r="B383" s="52">
        <v>351</v>
      </c>
      <c r="C383" s="52" t="s">
        <v>552</v>
      </c>
      <c r="D383" s="41">
        <f t="shared" si="171"/>
        <v>5</v>
      </c>
      <c r="E383" s="52" t="s">
        <v>161</v>
      </c>
      <c r="F383" s="52" t="s">
        <v>557</v>
      </c>
      <c r="G383" s="52" t="s">
        <v>161</v>
      </c>
      <c r="H383" s="52" t="s">
        <v>558</v>
      </c>
      <c r="I383" s="53">
        <v>45687</v>
      </c>
      <c r="J383" s="108">
        <v>5871</v>
      </c>
      <c r="K383" s="101"/>
      <c r="L383" s="101"/>
      <c r="M383" s="101">
        <f t="shared" si="172"/>
        <v>5871</v>
      </c>
      <c r="N383" s="54">
        <f t="shared" si="173"/>
        <v>5871</v>
      </c>
      <c r="O383" s="101" t="s">
        <v>178</v>
      </c>
      <c r="P383" s="102">
        <f t="shared" si="174"/>
        <v>12.231249999999999</v>
      </c>
      <c r="Q383" s="102">
        <v>6</v>
      </c>
      <c r="R383" s="99">
        <v>80</v>
      </c>
      <c r="S383" s="55">
        <f t="shared" si="204"/>
        <v>45655</v>
      </c>
      <c r="T383" s="55">
        <v>45626</v>
      </c>
      <c r="U383" s="56">
        <f t="shared" ca="1" si="201"/>
        <v>29</v>
      </c>
      <c r="V383" s="55">
        <f t="shared" si="202"/>
        <v>45671</v>
      </c>
      <c r="W383" s="55"/>
      <c r="X383" s="56">
        <f t="shared" ca="1" si="203"/>
        <v>-169</v>
      </c>
      <c r="Y383" s="55"/>
      <c r="Z383" s="57"/>
      <c r="AA383" s="58" t="str">
        <f t="shared" si="175"/>
        <v>-</v>
      </c>
      <c r="AB383" s="59"/>
      <c r="AC383" s="58" t="str">
        <f t="shared" si="176"/>
        <v/>
      </c>
      <c r="AD383" s="59"/>
      <c r="AE383" s="58" t="str">
        <f t="shared" si="177"/>
        <v/>
      </c>
      <c r="AF383" s="59"/>
      <c r="AG383" s="58" t="str">
        <f t="shared" si="178"/>
        <v/>
      </c>
      <c r="AH383" s="59"/>
      <c r="AI383" s="58" t="str">
        <f t="shared" si="179"/>
        <v/>
      </c>
      <c r="AJ383" s="59"/>
      <c r="AK383" s="58" t="str">
        <f t="shared" si="180"/>
        <v/>
      </c>
      <c r="AL383" s="59"/>
      <c r="AM383" s="58" t="str">
        <f t="shared" si="181"/>
        <v/>
      </c>
      <c r="AN383" s="59"/>
      <c r="AO383" s="58" t="str">
        <f t="shared" si="182"/>
        <v/>
      </c>
      <c r="AP383" s="59"/>
      <c r="AQ383" s="58" t="str">
        <f t="shared" si="183"/>
        <v/>
      </c>
      <c r="AR383" s="59"/>
      <c r="AS383" s="58" t="str">
        <f t="shared" si="184"/>
        <v/>
      </c>
      <c r="AT383" s="59"/>
      <c r="AU383" s="58" t="str">
        <f t="shared" si="185"/>
        <v/>
      </c>
      <c r="AV383" s="59"/>
      <c r="AW383" s="58" t="str">
        <f t="shared" si="186"/>
        <v/>
      </c>
      <c r="AX383" s="59"/>
      <c r="AY383" s="58" t="str">
        <f t="shared" si="187"/>
        <v/>
      </c>
      <c r="AZ383" s="59"/>
      <c r="BA383" s="58" t="str">
        <f t="shared" si="188"/>
        <v/>
      </c>
      <c r="BB383" s="59"/>
      <c r="BC383" s="58" t="str">
        <f t="shared" si="189"/>
        <v/>
      </c>
      <c r="BD383" s="59"/>
      <c r="BE383" s="58" t="str">
        <f t="shared" si="190"/>
        <v/>
      </c>
      <c r="BF383" s="59"/>
      <c r="BG383" s="58" t="str">
        <f t="shared" si="191"/>
        <v/>
      </c>
      <c r="BH383" s="59"/>
      <c r="BI383" s="58" t="str">
        <f t="shared" si="192"/>
        <v/>
      </c>
      <c r="BJ383" s="59"/>
      <c r="BK383" s="58" t="str">
        <f t="shared" si="193"/>
        <v/>
      </c>
      <c r="BL383" s="59"/>
      <c r="BM383" s="58" t="str">
        <f t="shared" si="194"/>
        <v/>
      </c>
      <c r="BN383" s="59"/>
      <c r="BO383" s="58" t="str">
        <f t="shared" si="195"/>
        <v/>
      </c>
      <c r="BP383" s="59"/>
      <c r="BQ383" s="58" t="str">
        <f t="shared" si="196"/>
        <v/>
      </c>
      <c r="BR383" s="59"/>
      <c r="BS383" s="58" t="str">
        <f t="shared" si="197"/>
        <v/>
      </c>
      <c r="BT383" s="59"/>
      <c r="BU383" s="58" t="str">
        <f t="shared" si="198"/>
        <v/>
      </c>
      <c r="BV383" s="59"/>
    </row>
    <row r="384" spans="1:74" ht="14.5">
      <c r="A384" s="51" t="s">
        <v>466</v>
      </c>
      <c r="B384" s="52">
        <v>351</v>
      </c>
      <c r="C384" s="52" t="s">
        <v>552</v>
      </c>
      <c r="D384" s="41">
        <f t="shared" si="171"/>
        <v>5</v>
      </c>
      <c r="E384" s="52" t="s">
        <v>161</v>
      </c>
      <c r="F384" s="52" t="s">
        <v>557</v>
      </c>
      <c r="G384" s="52" t="s">
        <v>161</v>
      </c>
      <c r="H384" s="52" t="s">
        <v>558</v>
      </c>
      <c r="I384" s="53">
        <v>45687</v>
      </c>
      <c r="J384" s="108">
        <v>4429</v>
      </c>
      <c r="K384" s="101"/>
      <c r="L384" s="101"/>
      <c r="M384" s="101">
        <f t="shared" si="172"/>
        <v>4429</v>
      </c>
      <c r="N384" s="54">
        <f t="shared" si="173"/>
        <v>4429</v>
      </c>
      <c r="O384" s="101" t="s">
        <v>178</v>
      </c>
      <c r="P384" s="102">
        <f t="shared" si="174"/>
        <v>9.2270833333333329</v>
      </c>
      <c r="Q384" s="102">
        <v>6</v>
      </c>
      <c r="R384" s="99">
        <v>80</v>
      </c>
      <c r="S384" s="55">
        <f t="shared" si="204"/>
        <v>45655</v>
      </c>
      <c r="T384" s="55">
        <v>45626</v>
      </c>
      <c r="U384" s="56">
        <f t="shared" ca="1" si="201"/>
        <v>29</v>
      </c>
      <c r="V384" s="55">
        <f t="shared" si="202"/>
        <v>45671</v>
      </c>
      <c r="W384" s="55"/>
      <c r="X384" s="56">
        <f t="shared" ca="1" si="203"/>
        <v>-169</v>
      </c>
      <c r="Y384" s="55"/>
      <c r="Z384" s="57"/>
      <c r="AA384" s="58" t="str">
        <f t="shared" si="175"/>
        <v>-</v>
      </c>
      <c r="AB384" s="59"/>
      <c r="AC384" s="58" t="str">
        <f t="shared" si="176"/>
        <v/>
      </c>
      <c r="AD384" s="59"/>
      <c r="AE384" s="58" t="str">
        <f t="shared" si="177"/>
        <v/>
      </c>
      <c r="AF384" s="59"/>
      <c r="AG384" s="58" t="str">
        <f t="shared" si="178"/>
        <v/>
      </c>
      <c r="AH384" s="59"/>
      <c r="AI384" s="58" t="str">
        <f t="shared" si="179"/>
        <v/>
      </c>
      <c r="AJ384" s="59"/>
      <c r="AK384" s="58" t="str">
        <f t="shared" si="180"/>
        <v/>
      </c>
      <c r="AL384" s="59"/>
      <c r="AM384" s="58" t="str">
        <f t="shared" si="181"/>
        <v/>
      </c>
      <c r="AN384" s="59"/>
      <c r="AO384" s="58" t="str">
        <f t="shared" si="182"/>
        <v/>
      </c>
      <c r="AP384" s="59"/>
      <c r="AQ384" s="58" t="str">
        <f t="shared" si="183"/>
        <v/>
      </c>
      <c r="AR384" s="59"/>
      <c r="AS384" s="58" t="str">
        <f t="shared" si="184"/>
        <v/>
      </c>
      <c r="AT384" s="59"/>
      <c r="AU384" s="58" t="str">
        <f t="shared" si="185"/>
        <v/>
      </c>
      <c r="AV384" s="59"/>
      <c r="AW384" s="58" t="str">
        <f t="shared" si="186"/>
        <v/>
      </c>
      <c r="AX384" s="59"/>
      <c r="AY384" s="58" t="str">
        <f t="shared" si="187"/>
        <v/>
      </c>
      <c r="AZ384" s="59"/>
      <c r="BA384" s="58" t="str">
        <f t="shared" si="188"/>
        <v/>
      </c>
      <c r="BB384" s="59"/>
      <c r="BC384" s="58" t="str">
        <f t="shared" si="189"/>
        <v/>
      </c>
      <c r="BD384" s="59"/>
      <c r="BE384" s="58" t="str">
        <f t="shared" si="190"/>
        <v/>
      </c>
      <c r="BF384" s="59"/>
      <c r="BG384" s="58" t="str">
        <f t="shared" si="191"/>
        <v/>
      </c>
      <c r="BH384" s="59"/>
      <c r="BI384" s="58" t="str">
        <f t="shared" si="192"/>
        <v/>
      </c>
      <c r="BJ384" s="59"/>
      <c r="BK384" s="58" t="str">
        <f t="shared" si="193"/>
        <v/>
      </c>
      <c r="BL384" s="59"/>
      <c r="BM384" s="58" t="str">
        <f t="shared" si="194"/>
        <v/>
      </c>
      <c r="BN384" s="59"/>
      <c r="BO384" s="58" t="str">
        <f t="shared" si="195"/>
        <v/>
      </c>
      <c r="BP384" s="59"/>
      <c r="BQ384" s="58" t="str">
        <f t="shared" si="196"/>
        <v/>
      </c>
      <c r="BR384" s="59"/>
      <c r="BS384" s="58" t="str">
        <f t="shared" si="197"/>
        <v/>
      </c>
      <c r="BT384" s="59"/>
      <c r="BU384" s="58" t="str">
        <f t="shared" si="198"/>
        <v/>
      </c>
      <c r="BV384" s="59"/>
    </row>
    <row r="385" spans="1:74" ht="14.5">
      <c r="A385" s="51" t="s">
        <v>58</v>
      </c>
      <c r="B385" s="52">
        <v>380</v>
      </c>
      <c r="C385" s="52" t="s">
        <v>188</v>
      </c>
      <c r="D385" s="41">
        <f t="shared" si="171"/>
        <v>5</v>
      </c>
      <c r="E385" s="52" t="s">
        <v>502</v>
      </c>
      <c r="F385" s="52" t="s">
        <v>289</v>
      </c>
      <c r="G385" s="52" t="s">
        <v>155</v>
      </c>
      <c r="H385" s="52" t="s">
        <v>503</v>
      </c>
      <c r="I385" s="53">
        <v>45688</v>
      </c>
      <c r="J385" s="108">
        <v>360</v>
      </c>
      <c r="K385" s="101"/>
      <c r="L385" s="101"/>
      <c r="M385" s="101">
        <f t="shared" si="172"/>
        <v>360</v>
      </c>
      <c r="N385" s="54">
        <f t="shared" si="173"/>
        <v>360</v>
      </c>
      <c r="O385" s="101" t="s">
        <v>504</v>
      </c>
      <c r="P385" s="102">
        <f t="shared" si="174"/>
        <v>1.875</v>
      </c>
      <c r="Q385" s="102">
        <v>6</v>
      </c>
      <c r="R385" s="99">
        <f>480/15</f>
        <v>32</v>
      </c>
      <c r="S385" s="55">
        <f t="shared" si="204"/>
        <v>45656</v>
      </c>
      <c r="T385" s="55"/>
      <c r="U385" s="56">
        <f t="shared" ca="1" si="201"/>
        <v>-184</v>
      </c>
      <c r="V385" s="55">
        <f t="shared" si="202"/>
        <v>45672</v>
      </c>
      <c r="W385" s="55"/>
      <c r="X385" s="56">
        <f t="shared" ca="1" si="203"/>
        <v>-168</v>
      </c>
      <c r="Y385" s="55"/>
      <c r="Z385" s="57"/>
      <c r="AA385" s="58" t="str">
        <f t="shared" si="175"/>
        <v>-</v>
      </c>
      <c r="AB385" s="59"/>
      <c r="AC385" s="58" t="str">
        <f t="shared" si="176"/>
        <v/>
      </c>
      <c r="AD385" s="59"/>
      <c r="AE385" s="58" t="str">
        <f t="shared" si="177"/>
        <v/>
      </c>
      <c r="AF385" s="59"/>
      <c r="AG385" s="58" t="str">
        <f t="shared" si="178"/>
        <v/>
      </c>
      <c r="AH385" s="59"/>
      <c r="AI385" s="58" t="str">
        <f t="shared" si="179"/>
        <v/>
      </c>
      <c r="AJ385" s="59"/>
      <c r="AK385" s="58" t="str">
        <f t="shared" si="180"/>
        <v/>
      </c>
      <c r="AL385" s="59"/>
      <c r="AM385" s="58" t="str">
        <f t="shared" si="181"/>
        <v/>
      </c>
      <c r="AN385" s="59"/>
      <c r="AO385" s="58" t="str">
        <f t="shared" si="182"/>
        <v/>
      </c>
      <c r="AP385" s="59"/>
      <c r="AQ385" s="58" t="str">
        <f t="shared" si="183"/>
        <v/>
      </c>
      <c r="AR385" s="59"/>
      <c r="AS385" s="58" t="str">
        <f t="shared" si="184"/>
        <v/>
      </c>
      <c r="AT385" s="59"/>
      <c r="AU385" s="58" t="str">
        <f t="shared" si="185"/>
        <v/>
      </c>
      <c r="AV385" s="59"/>
      <c r="AW385" s="58" t="str">
        <f t="shared" si="186"/>
        <v/>
      </c>
      <c r="AX385" s="59"/>
      <c r="AY385" s="58" t="str">
        <f t="shared" si="187"/>
        <v/>
      </c>
      <c r="AZ385" s="59"/>
      <c r="BA385" s="58" t="str">
        <f t="shared" si="188"/>
        <v/>
      </c>
      <c r="BB385" s="59"/>
      <c r="BC385" s="58" t="str">
        <f t="shared" si="189"/>
        <v/>
      </c>
      <c r="BD385" s="59"/>
      <c r="BE385" s="58" t="str">
        <f t="shared" si="190"/>
        <v/>
      </c>
      <c r="BF385" s="59"/>
      <c r="BG385" s="58" t="str">
        <f t="shared" si="191"/>
        <v/>
      </c>
      <c r="BH385" s="59"/>
      <c r="BI385" s="58" t="str">
        <f t="shared" si="192"/>
        <v/>
      </c>
      <c r="BJ385" s="59"/>
      <c r="BK385" s="58" t="str">
        <f t="shared" si="193"/>
        <v/>
      </c>
      <c r="BL385" s="59"/>
      <c r="BM385" s="58" t="str">
        <f t="shared" si="194"/>
        <v/>
      </c>
      <c r="BN385" s="59"/>
      <c r="BO385" s="58" t="str">
        <f t="shared" si="195"/>
        <v/>
      </c>
      <c r="BP385" s="59"/>
      <c r="BQ385" s="58" t="str">
        <f t="shared" si="196"/>
        <v/>
      </c>
      <c r="BR385" s="59"/>
      <c r="BS385" s="58" t="str">
        <f t="shared" si="197"/>
        <v/>
      </c>
      <c r="BT385" s="59"/>
      <c r="BU385" s="58" t="str">
        <f t="shared" si="198"/>
        <v/>
      </c>
      <c r="BV385" s="59"/>
    </row>
    <row r="386" spans="1:74" ht="14.5">
      <c r="A386" s="51" t="s">
        <v>58</v>
      </c>
      <c r="B386" s="52">
        <v>380</v>
      </c>
      <c r="C386" s="52" t="s">
        <v>188</v>
      </c>
      <c r="D386" s="41">
        <f t="shared" si="171"/>
        <v>5</v>
      </c>
      <c r="E386" s="52" t="s">
        <v>502</v>
      </c>
      <c r="F386" s="52" t="s">
        <v>289</v>
      </c>
      <c r="G386" s="52" t="s">
        <v>154</v>
      </c>
      <c r="H386" s="52" t="s">
        <v>503</v>
      </c>
      <c r="I386" s="53">
        <v>45688</v>
      </c>
      <c r="J386" s="108">
        <v>300</v>
      </c>
      <c r="K386" s="101"/>
      <c r="L386" s="101"/>
      <c r="M386" s="101">
        <f t="shared" si="172"/>
        <v>300</v>
      </c>
      <c r="N386" s="54">
        <f t="shared" si="173"/>
        <v>300</v>
      </c>
      <c r="O386" s="101" t="s">
        <v>505</v>
      </c>
      <c r="P386" s="102">
        <f t="shared" si="174"/>
        <v>1.5625</v>
      </c>
      <c r="Q386" s="102">
        <v>6</v>
      </c>
      <c r="R386" s="99">
        <f>480/15</f>
        <v>32</v>
      </c>
      <c r="S386" s="55">
        <f t="shared" si="204"/>
        <v>45656</v>
      </c>
      <c r="T386" s="55"/>
      <c r="U386" s="56">
        <f t="shared" ca="1" si="201"/>
        <v>-184</v>
      </c>
      <c r="V386" s="55">
        <f t="shared" si="202"/>
        <v>45672</v>
      </c>
      <c r="W386" s="55"/>
      <c r="X386" s="56">
        <f t="shared" ca="1" si="203"/>
        <v>-168</v>
      </c>
      <c r="Y386" s="55"/>
      <c r="Z386" s="57"/>
      <c r="AA386" s="58" t="str">
        <f t="shared" si="175"/>
        <v>-</v>
      </c>
      <c r="AB386" s="59"/>
      <c r="AC386" s="58" t="str">
        <f t="shared" si="176"/>
        <v/>
      </c>
      <c r="AD386" s="59"/>
      <c r="AE386" s="58" t="str">
        <f t="shared" si="177"/>
        <v/>
      </c>
      <c r="AF386" s="59"/>
      <c r="AG386" s="58" t="str">
        <f t="shared" si="178"/>
        <v/>
      </c>
      <c r="AH386" s="59"/>
      <c r="AI386" s="58" t="str">
        <f t="shared" si="179"/>
        <v/>
      </c>
      <c r="AJ386" s="59"/>
      <c r="AK386" s="58" t="str">
        <f t="shared" si="180"/>
        <v/>
      </c>
      <c r="AL386" s="59"/>
      <c r="AM386" s="58" t="str">
        <f t="shared" si="181"/>
        <v/>
      </c>
      <c r="AN386" s="59"/>
      <c r="AO386" s="58" t="str">
        <f t="shared" si="182"/>
        <v/>
      </c>
      <c r="AP386" s="59"/>
      <c r="AQ386" s="58" t="str">
        <f t="shared" si="183"/>
        <v/>
      </c>
      <c r="AR386" s="59"/>
      <c r="AS386" s="58" t="str">
        <f t="shared" si="184"/>
        <v/>
      </c>
      <c r="AT386" s="59"/>
      <c r="AU386" s="58" t="str">
        <f t="shared" si="185"/>
        <v/>
      </c>
      <c r="AV386" s="59"/>
      <c r="AW386" s="58" t="str">
        <f t="shared" si="186"/>
        <v/>
      </c>
      <c r="AX386" s="59"/>
      <c r="AY386" s="58" t="str">
        <f t="shared" si="187"/>
        <v/>
      </c>
      <c r="AZ386" s="59"/>
      <c r="BA386" s="58" t="str">
        <f t="shared" si="188"/>
        <v/>
      </c>
      <c r="BB386" s="59"/>
      <c r="BC386" s="58" t="str">
        <f t="shared" si="189"/>
        <v/>
      </c>
      <c r="BD386" s="59"/>
      <c r="BE386" s="58" t="str">
        <f t="shared" si="190"/>
        <v/>
      </c>
      <c r="BF386" s="59"/>
      <c r="BG386" s="58" t="str">
        <f t="shared" si="191"/>
        <v/>
      </c>
      <c r="BH386" s="59"/>
      <c r="BI386" s="58" t="str">
        <f t="shared" si="192"/>
        <v/>
      </c>
      <c r="BJ386" s="59"/>
      <c r="BK386" s="58" t="str">
        <f t="shared" si="193"/>
        <v/>
      </c>
      <c r="BL386" s="59"/>
      <c r="BM386" s="58" t="str">
        <f t="shared" si="194"/>
        <v/>
      </c>
      <c r="BN386" s="59"/>
      <c r="BO386" s="58" t="str">
        <f t="shared" si="195"/>
        <v/>
      </c>
      <c r="BP386" s="59"/>
      <c r="BQ386" s="58" t="str">
        <f t="shared" si="196"/>
        <v/>
      </c>
      <c r="BR386" s="59"/>
      <c r="BS386" s="58" t="str">
        <f t="shared" si="197"/>
        <v/>
      </c>
      <c r="BT386" s="59"/>
      <c r="BU386" s="58" t="str">
        <f t="shared" si="198"/>
        <v/>
      </c>
      <c r="BV386" s="59"/>
    </row>
    <row r="387" spans="1:74" ht="14.5">
      <c r="A387" s="51" t="s">
        <v>58</v>
      </c>
      <c r="B387" s="52">
        <v>380</v>
      </c>
      <c r="C387" s="52" t="s">
        <v>188</v>
      </c>
      <c r="D387" s="41">
        <f t="shared" si="171"/>
        <v>5</v>
      </c>
      <c r="E387" s="52" t="s">
        <v>502</v>
      </c>
      <c r="F387" s="52" t="s">
        <v>289</v>
      </c>
      <c r="G387" s="52" t="s">
        <v>156</v>
      </c>
      <c r="H387" s="52" t="s">
        <v>503</v>
      </c>
      <c r="I387" s="53">
        <v>45688</v>
      </c>
      <c r="J387" s="108">
        <v>240</v>
      </c>
      <c r="K387" s="101"/>
      <c r="L387" s="101"/>
      <c r="M387" s="101">
        <f t="shared" si="172"/>
        <v>240</v>
      </c>
      <c r="N387" s="54">
        <f t="shared" si="173"/>
        <v>240</v>
      </c>
      <c r="O387" s="101" t="s">
        <v>506</v>
      </c>
      <c r="P387" s="102">
        <f t="shared" si="174"/>
        <v>1.25</v>
      </c>
      <c r="Q387" s="102">
        <v>6</v>
      </c>
      <c r="R387" s="99">
        <f>480/15</f>
        <v>32</v>
      </c>
      <c r="S387" s="55">
        <f t="shared" si="204"/>
        <v>45656</v>
      </c>
      <c r="T387" s="55"/>
      <c r="U387" s="56">
        <f t="shared" ca="1" si="201"/>
        <v>-184</v>
      </c>
      <c r="V387" s="55">
        <f t="shared" si="202"/>
        <v>45672</v>
      </c>
      <c r="W387" s="55"/>
      <c r="X387" s="56">
        <f t="shared" ca="1" si="203"/>
        <v>-168</v>
      </c>
      <c r="Y387" s="55"/>
      <c r="Z387" s="57"/>
      <c r="AA387" s="58" t="str">
        <f t="shared" si="175"/>
        <v>-</v>
      </c>
      <c r="AB387" s="59"/>
      <c r="AC387" s="58" t="str">
        <f t="shared" si="176"/>
        <v/>
      </c>
      <c r="AD387" s="59"/>
      <c r="AE387" s="58" t="str">
        <f t="shared" si="177"/>
        <v/>
      </c>
      <c r="AF387" s="59"/>
      <c r="AG387" s="58" t="str">
        <f t="shared" si="178"/>
        <v/>
      </c>
      <c r="AH387" s="59"/>
      <c r="AI387" s="58" t="str">
        <f t="shared" si="179"/>
        <v/>
      </c>
      <c r="AJ387" s="59"/>
      <c r="AK387" s="58" t="str">
        <f t="shared" si="180"/>
        <v/>
      </c>
      <c r="AL387" s="59"/>
      <c r="AM387" s="58" t="str">
        <f t="shared" si="181"/>
        <v/>
      </c>
      <c r="AN387" s="59"/>
      <c r="AO387" s="58" t="str">
        <f t="shared" si="182"/>
        <v/>
      </c>
      <c r="AP387" s="59"/>
      <c r="AQ387" s="58" t="str">
        <f t="shared" si="183"/>
        <v/>
      </c>
      <c r="AR387" s="59"/>
      <c r="AS387" s="58" t="str">
        <f t="shared" si="184"/>
        <v/>
      </c>
      <c r="AT387" s="59"/>
      <c r="AU387" s="58" t="str">
        <f t="shared" si="185"/>
        <v/>
      </c>
      <c r="AV387" s="59"/>
      <c r="AW387" s="58" t="str">
        <f t="shared" si="186"/>
        <v/>
      </c>
      <c r="AX387" s="59"/>
      <c r="AY387" s="58" t="str">
        <f t="shared" si="187"/>
        <v/>
      </c>
      <c r="AZ387" s="59"/>
      <c r="BA387" s="58" t="str">
        <f t="shared" si="188"/>
        <v/>
      </c>
      <c r="BB387" s="59"/>
      <c r="BC387" s="58" t="str">
        <f t="shared" si="189"/>
        <v/>
      </c>
      <c r="BD387" s="59"/>
      <c r="BE387" s="58" t="str">
        <f t="shared" si="190"/>
        <v/>
      </c>
      <c r="BF387" s="59"/>
      <c r="BG387" s="58" t="str">
        <f t="shared" si="191"/>
        <v/>
      </c>
      <c r="BH387" s="59"/>
      <c r="BI387" s="58" t="str">
        <f t="shared" si="192"/>
        <v/>
      </c>
      <c r="BJ387" s="59"/>
      <c r="BK387" s="58" t="str">
        <f t="shared" si="193"/>
        <v/>
      </c>
      <c r="BL387" s="59"/>
      <c r="BM387" s="58" t="str">
        <f t="shared" si="194"/>
        <v/>
      </c>
      <c r="BN387" s="59"/>
      <c r="BO387" s="58" t="str">
        <f t="shared" si="195"/>
        <v/>
      </c>
      <c r="BP387" s="59"/>
      <c r="BQ387" s="58" t="str">
        <f t="shared" si="196"/>
        <v/>
      </c>
      <c r="BR387" s="59"/>
      <c r="BS387" s="58" t="str">
        <f t="shared" si="197"/>
        <v/>
      </c>
      <c r="BT387" s="59"/>
      <c r="BU387" s="58" t="str">
        <f t="shared" si="198"/>
        <v/>
      </c>
      <c r="BV387" s="59"/>
    </row>
    <row r="388" spans="1:74" ht="14.5">
      <c r="A388" s="51" t="s">
        <v>58</v>
      </c>
      <c r="B388" s="52">
        <v>380</v>
      </c>
      <c r="C388" s="52" t="s">
        <v>188</v>
      </c>
      <c r="D388" s="41">
        <f t="shared" si="171"/>
        <v>5</v>
      </c>
      <c r="E388" s="52" t="s">
        <v>157</v>
      </c>
      <c r="F388" s="52" t="s">
        <v>243</v>
      </c>
      <c r="G388" s="52" t="s">
        <v>162</v>
      </c>
      <c r="H388" s="52" t="s">
        <v>428</v>
      </c>
      <c r="I388" s="53">
        <v>45688</v>
      </c>
      <c r="J388" s="108">
        <v>3792</v>
      </c>
      <c r="K388" s="101"/>
      <c r="L388" s="101"/>
      <c r="M388" s="101">
        <f t="shared" si="172"/>
        <v>3792</v>
      </c>
      <c r="N388" s="54">
        <f t="shared" si="173"/>
        <v>3792</v>
      </c>
      <c r="O388" s="101" t="s">
        <v>429</v>
      </c>
      <c r="P388" s="102">
        <f t="shared" si="174"/>
        <v>0.63200000000000001</v>
      </c>
      <c r="Q388" s="102">
        <v>6</v>
      </c>
      <c r="R388" s="99">
        <v>1000</v>
      </c>
      <c r="S388" s="55">
        <f t="shared" si="204"/>
        <v>45656</v>
      </c>
      <c r="T388" s="55"/>
      <c r="U388" s="56">
        <f t="shared" ca="1" si="201"/>
        <v>-184</v>
      </c>
      <c r="V388" s="55">
        <f t="shared" si="202"/>
        <v>45672</v>
      </c>
      <c r="W388" s="55"/>
      <c r="X388" s="56">
        <f t="shared" ca="1" si="203"/>
        <v>-168</v>
      </c>
      <c r="Y388" s="55"/>
      <c r="Z388" s="57"/>
      <c r="AA388" s="58" t="str">
        <f t="shared" si="175"/>
        <v>-</v>
      </c>
      <c r="AB388" s="59"/>
      <c r="AC388" s="58" t="str">
        <f t="shared" si="176"/>
        <v/>
      </c>
      <c r="AD388" s="59"/>
      <c r="AE388" s="58" t="str">
        <f t="shared" si="177"/>
        <v/>
      </c>
      <c r="AF388" s="59"/>
      <c r="AG388" s="58" t="str">
        <f t="shared" si="178"/>
        <v/>
      </c>
      <c r="AH388" s="59"/>
      <c r="AI388" s="58" t="str">
        <f t="shared" si="179"/>
        <v/>
      </c>
      <c r="AJ388" s="59"/>
      <c r="AK388" s="58" t="str">
        <f t="shared" si="180"/>
        <v/>
      </c>
      <c r="AL388" s="59"/>
      <c r="AM388" s="58" t="str">
        <f t="shared" si="181"/>
        <v/>
      </c>
      <c r="AN388" s="59"/>
      <c r="AO388" s="58" t="str">
        <f t="shared" si="182"/>
        <v/>
      </c>
      <c r="AP388" s="59"/>
      <c r="AQ388" s="58" t="str">
        <f t="shared" si="183"/>
        <v/>
      </c>
      <c r="AR388" s="59"/>
      <c r="AS388" s="58" t="str">
        <f t="shared" si="184"/>
        <v/>
      </c>
      <c r="AT388" s="59"/>
      <c r="AU388" s="58" t="str">
        <f t="shared" si="185"/>
        <v/>
      </c>
      <c r="AV388" s="59"/>
      <c r="AW388" s="58" t="str">
        <f t="shared" si="186"/>
        <v/>
      </c>
      <c r="AX388" s="59"/>
      <c r="AY388" s="58" t="str">
        <f t="shared" si="187"/>
        <v/>
      </c>
      <c r="AZ388" s="59"/>
      <c r="BA388" s="58" t="str">
        <f t="shared" si="188"/>
        <v/>
      </c>
      <c r="BB388" s="59"/>
      <c r="BC388" s="58" t="str">
        <f t="shared" si="189"/>
        <v/>
      </c>
      <c r="BD388" s="59"/>
      <c r="BE388" s="58" t="str">
        <f t="shared" si="190"/>
        <v/>
      </c>
      <c r="BF388" s="59"/>
      <c r="BG388" s="58" t="str">
        <f t="shared" si="191"/>
        <v/>
      </c>
      <c r="BH388" s="59"/>
      <c r="BI388" s="58" t="str">
        <f t="shared" si="192"/>
        <v/>
      </c>
      <c r="BJ388" s="59"/>
      <c r="BK388" s="58" t="str">
        <f t="shared" si="193"/>
        <v/>
      </c>
      <c r="BL388" s="59"/>
      <c r="BM388" s="58" t="str">
        <f t="shared" si="194"/>
        <v/>
      </c>
      <c r="BN388" s="59"/>
      <c r="BO388" s="58" t="str">
        <f t="shared" si="195"/>
        <v/>
      </c>
      <c r="BP388" s="59"/>
      <c r="BQ388" s="58" t="str">
        <f t="shared" si="196"/>
        <v/>
      </c>
      <c r="BR388" s="59"/>
      <c r="BS388" s="58" t="str">
        <f t="shared" si="197"/>
        <v/>
      </c>
      <c r="BT388" s="59"/>
      <c r="BU388" s="58" t="str">
        <f t="shared" si="198"/>
        <v/>
      </c>
      <c r="BV388" s="59"/>
    </row>
    <row r="389" spans="1:74" ht="14.5">
      <c r="A389" s="51" t="s">
        <v>58</v>
      </c>
      <c r="B389" s="52">
        <v>380</v>
      </c>
      <c r="C389" s="52" t="s">
        <v>188</v>
      </c>
      <c r="D389" s="41">
        <f t="shared" si="171"/>
        <v>5</v>
      </c>
      <c r="E389" s="52" t="s">
        <v>390</v>
      </c>
      <c r="F389" s="52" t="s">
        <v>242</v>
      </c>
      <c r="G389" s="52" t="s">
        <v>162</v>
      </c>
      <c r="H389" s="52" t="s">
        <v>497</v>
      </c>
      <c r="I389" s="53">
        <v>45688</v>
      </c>
      <c r="J389" s="108">
        <v>3276</v>
      </c>
      <c r="K389" s="101"/>
      <c r="L389" s="101"/>
      <c r="M389" s="101">
        <f t="shared" si="172"/>
        <v>3276</v>
      </c>
      <c r="N389" s="54">
        <f t="shared" si="173"/>
        <v>3276</v>
      </c>
      <c r="O389" s="101" t="s">
        <v>431</v>
      </c>
      <c r="P389" s="102">
        <f t="shared" si="174"/>
        <v>4.55</v>
      </c>
      <c r="Q389" s="102">
        <v>6</v>
      </c>
      <c r="R389" s="99">
        <v>120</v>
      </c>
      <c r="S389" s="55">
        <f t="shared" si="204"/>
        <v>45656</v>
      </c>
      <c r="T389" s="55"/>
      <c r="U389" s="56">
        <f t="shared" ca="1" si="201"/>
        <v>-184</v>
      </c>
      <c r="V389" s="55">
        <f t="shared" si="202"/>
        <v>45672</v>
      </c>
      <c r="W389" s="55"/>
      <c r="X389" s="56">
        <f t="shared" ca="1" si="203"/>
        <v>-168</v>
      </c>
      <c r="Y389" s="55"/>
      <c r="Z389" s="57"/>
      <c r="AA389" s="58" t="str">
        <f t="shared" si="175"/>
        <v>-</v>
      </c>
      <c r="AB389" s="59"/>
      <c r="AC389" s="58" t="str">
        <f t="shared" si="176"/>
        <v/>
      </c>
      <c r="AD389" s="59"/>
      <c r="AE389" s="58" t="str">
        <f t="shared" si="177"/>
        <v/>
      </c>
      <c r="AF389" s="59"/>
      <c r="AG389" s="58" t="str">
        <f t="shared" si="178"/>
        <v/>
      </c>
      <c r="AH389" s="59"/>
      <c r="AI389" s="58" t="str">
        <f t="shared" si="179"/>
        <v/>
      </c>
      <c r="AJ389" s="59"/>
      <c r="AK389" s="58" t="str">
        <f t="shared" si="180"/>
        <v/>
      </c>
      <c r="AL389" s="59"/>
      <c r="AM389" s="58" t="str">
        <f t="shared" si="181"/>
        <v/>
      </c>
      <c r="AN389" s="59"/>
      <c r="AO389" s="58" t="str">
        <f t="shared" si="182"/>
        <v/>
      </c>
      <c r="AP389" s="59"/>
      <c r="AQ389" s="58" t="str">
        <f t="shared" si="183"/>
        <v/>
      </c>
      <c r="AR389" s="59"/>
      <c r="AS389" s="58" t="str">
        <f t="shared" si="184"/>
        <v/>
      </c>
      <c r="AT389" s="59"/>
      <c r="AU389" s="58" t="str">
        <f t="shared" si="185"/>
        <v/>
      </c>
      <c r="AV389" s="59"/>
      <c r="AW389" s="58" t="str">
        <f t="shared" si="186"/>
        <v/>
      </c>
      <c r="AX389" s="59"/>
      <c r="AY389" s="58" t="str">
        <f t="shared" si="187"/>
        <v/>
      </c>
      <c r="AZ389" s="59"/>
      <c r="BA389" s="58" t="str">
        <f t="shared" si="188"/>
        <v/>
      </c>
      <c r="BB389" s="59"/>
      <c r="BC389" s="58" t="str">
        <f t="shared" si="189"/>
        <v/>
      </c>
      <c r="BD389" s="59"/>
      <c r="BE389" s="58" t="str">
        <f t="shared" si="190"/>
        <v/>
      </c>
      <c r="BF389" s="59"/>
      <c r="BG389" s="58" t="str">
        <f t="shared" si="191"/>
        <v/>
      </c>
      <c r="BH389" s="59"/>
      <c r="BI389" s="58" t="str">
        <f t="shared" si="192"/>
        <v/>
      </c>
      <c r="BJ389" s="59"/>
      <c r="BK389" s="58" t="str">
        <f t="shared" si="193"/>
        <v/>
      </c>
      <c r="BL389" s="59"/>
      <c r="BM389" s="58" t="str">
        <f t="shared" si="194"/>
        <v/>
      </c>
      <c r="BN389" s="59"/>
      <c r="BO389" s="58" t="str">
        <f t="shared" si="195"/>
        <v/>
      </c>
      <c r="BP389" s="59"/>
      <c r="BQ389" s="58" t="str">
        <f t="shared" si="196"/>
        <v/>
      </c>
      <c r="BR389" s="59"/>
      <c r="BS389" s="58" t="str">
        <f t="shared" si="197"/>
        <v/>
      </c>
      <c r="BT389" s="59"/>
      <c r="BU389" s="58" t="str">
        <f t="shared" si="198"/>
        <v/>
      </c>
      <c r="BV389" s="59"/>
    </row>
    <row r="390" spans="1:74" ht="14.5">
      <c r="A390" s="51" t="s">
        <v>58</v>
      </c>
      <c r="B390" s="52">
        <v>381</v>
      </c>
      <c r="C390" s="52" t="s">
        <v>188</v>
      </c>
      <c r="D390" s="41">
        <f t="shared" si="171"/>
        <v>5</v>
      </c>
      <c r="E390" s="52" t="s">
        <v>193</v>
      </c>
      <c r="F390" s="52" t="s">
        <v>300</v>
      </c>
      <c r="G390" s="52" t="s">
        <v>162</v>
      </c>
      <c r="H390" s="52" t="s">
        <v>440</v>
      </c>
      <c r="I390" s="53">
        <v>45688</v>
      </c>
      <c r="J390" s="108">
        <v>2080</v>
      </c>
      <c r="K390" s="101"/>
      <c r="L390" s="101"/>
      <c r="M390" s="101">
        <f t="shared" si="172"/>
        <v>2080</v>
      </c>
      <c r="N390" s="54">
        <f t="shared" si="173"/>
        <v>2080</v>
      </c>
      <c r="O390" s="101" t="s">
        <v>178</v>
      </c>
      <c r="P390" s="102">
        <f t="shared" si="174"/>
        <v>2.8888888888888888</v>
      </c>
      <c r="Q390" s="102">
        <v>6</v>
      </c>
      <c r="R390" s="99">
        <v>120</v>
      </c>
      <c r="S390" s="55">
        <f t="shared" si="204"/>
        <v>45656</v>
      </c>
      <c r="T390" s="55"/>
      <c r="U390" s="56">
        <f t="shared" ca="1" si="201"/>
        <v>-184</v>
      </c>
      <c r="V390" s="55">
        <f t="shared" si="202"/>
        <v>45672</v>
      </c>
      <c r="W390" s="55"/>
      <c r="X390" s="56">
        <f t="shared" ca="1" si="203"/>
        <v>-168</v>
      </c>
      <c r="Y390" s="55"/>
      <c r="Z390" s="57"/>
      <c r="AA390" s="58" t="str">
        <f t="shared" si="175"/>
        <v>-</v>
      </c>
      <c r="AB390" s="59"/>
      <c r="AC390" s="58" t="str">
        <f t="shared" si="176"/>
        <v/>
      </c>
      <c r="AD390" s="59"/>
      <c r="AE390" s="58" t="str">
        <f t="shared" si="177"/>
        <v/>
      </c>
      <c r="AF390" s="59"/>
      <c r="AG390" s="58" t="str">
        <f t="shared" si="178"/>
        <v/>
      </c>
      <c r="AH390" s="59"/>
      <c r="AI390" s="58" t="str">
        <f t="shared" si="179"/>
        <v/>
      </c>
      <c r="AJ390" s="59"/>
      <c r="AK390" s="58" t="str">
        <f t="shared" si="180"/>
        <v/>
      </c>
      <c r="AL390" s="59"/>
      <c r="AM390" s="58" t="str">
        <f t="shared" si="181"/>
        <v/>
      </c>
      <c r="AN390" s="59"/>
      <c r="AO390" s="58" t="str">
        <f t="shared" si="182"/>
        <v/>
      </c>
      <c r="AP390" s="59"/>
      <c r="AQ390" s="58" t="str">
        <f t="shared" si="183"/>
        <v/>
      </c>
      <c r="AR390" s="59"/>
      <c r="AS390" s="58" t="str">
        <f t="shared" si="184"/>
        <v/>
      </c>
      <c r="AT390" s="59"/>
      <c r="AU390" s="58" t="str">
        <f t="shared" si="185"/>
        <v/>
      </c>
      <c r="AV390" s="59"/>
      <c r="AW390" s="58" t="str">
        <f t="shared" si="186"/>
        <v/>
      </c>
      <c r="AX390" s="59"/>
      <c r="AY390" s="58" t="str">
        <f t="shared" si="187"/>
        <v/>
      </c>
      <c r="AZ390" s="59"/>
      <c r="BA390" s="58" t="str">
        <f t="shared" si="188"/>
        <v/>
      </c>
      <c r="BB390" s="59"/>
      <c r="BC390" s="58" t="str">
        <f t="shared" si="189"/>
        <v/>
      </c>
      <c r="BD390" s="59"/>
      <c r="BE390" s="58" t="str">
        <f t="shared" si="190"/>
        <v/>
      </c>
      <c r="BF390" s="59"/>
      <c r="BG390" s="58" t="str">
        <f t="shared" si="191"/>
        <v/>
      </c>
      <c r="BH390" s="59"/>
      <c r="BI390" s="58" t="str">
        <f t="shared" si="192"/>
        <v/>
      </c>
      <c r="BJ390" s="59"/>
      <c r="BK390" s="58" t="str">
        <f t="shared" si="193"/>
        <v/>
      </c>
      <c r="BL390" s="59"/>
      <c r="BM390" s="58" t="str">
        <f t="shared" si="194"/>
        <v/>
      </c>
      <c r="BN390" s="59"/>
      <c r="BO390" s="58" t="str">
        <f t="shared" si="195"/>
        <v/>
      </c>
      <c r="BP390" s="59"/>
      <c r="BQ390" s="58" t="str">
        <f t="shared" si="196"/>
        <v/>
      </c>
      <c r="BR390" s="59"/>
      <c r="BS390" s="58" t="str">
        <f t="shared" si="197"/>
        <v/>
      </c>
      <c r="BT390" s="59"/>
      <c r="BU390" s="58" t="str">
        <f t="shared" si="198"/>
        <v/>
      </c>
      <c r="BV390" s="59"/>
    </row>
    <row r="391" spans="1:74" ht="14.5">
      <c r="A391" s="51" t="s">
        <v>58</v>
      </c>
      <c r="B391" s="52">
        <v>381</v>
      </c>
      <c r="C391" s="52" t="s">
        <v>188</v>
      </c>
      <c r="D391" s="41">
        <f t="shared" ref="D391:D454" si="205">+WEEKNUM(I391)</f>
        <v>5</v>
      </c>
      <c r="E391" s="52" t="s">
        <v>136</v>
      </c>
      <c r="F391" s="52" t="s">
        <v>247</v>
      </c>
      <c r="G391" s="52" t="s">
        <v>162</v>
      </c>
      <c r="H391" s="52" t="s">
        <v>442</v>
      </c>
      <c r="I391" s="53">
        <v>45688</v>
      </c>
      <c r="J391" s="108">
        <v>8160</v>
      </c>
      <c r="K391" s="101"/>
      <c r="L391" s="101"/>
      <c r="M391" s="101">
        <f t="shared" ref="M391:M454" si="206">+J391-L391</f>
        <v>8160</v>
      </c>
      <c r="N391" s="54">
        <f t="shared" ref="N391:N454" si="207">+J391-K391</f>
        <v>8160</v>
      </c>
      <c r="O391" s="101" t="s">
        <v>443</v>
      </c>
      <c r="P391" s="102">
        <f t="shared" ref="P391:P454" si="208">J391/(R391*Q391)</f>
        <v>4.6628571428571428</v>
      </c>
      <c r="Q391" s="102">
        <v>5</v>
      </c>
      <c r="R391" s="99">
        <v>350</v>
      </c>
      <c r="S391" s="55">
        <f t="shared" si="204"/>
        <v>45656</v>
      </c>
      <c r="T391" s="55"/>
      <c r="U391" s="56">
        <f t="shared" ca="1" si="201"/>
        <v>-184</v>
      </c>
      <c r="V391" s="55">
        <f t="shared" si="202"/>
        <v>45672</v>
      </c>
      <c r="W391" s="55"/>
      <c r="X391" s="56">
        <f t="shared" ca="1" si="203"/>
        <v>-168</v>
      </c>
      <c r="Y391" s="55"/>
      <c r="Z391" s="57"/>
      <c r="AA391" s="58" t="str">
        <f t="shared" ref="AA391:AA454" si="209">+IF($AA$4=WEEKNUM(S391),J391,"-")</f>
        <v>-</v>
      </c>
      <c r="AB391" s="59"/>
      <c r="AC391" s="58" t="str">
        <f t="shared" ref="AC391:AC454" si="210">+IF($AC$4=WEEKNUM(S391),J391,"")</f>
        <v/>
      </c>
      <c r="AD391" s="59"/>
      <c r="AE391" s="58" t="str">
        <f t="shared" ref="AE391:AE454" si="211">+IF($AE$4=WEEKNUM(S391),J391,"")</f>
        <v/>
      </c>
      <c r="AF391" s="59"/>
      <c r="AG391" s="58" t="str">
        <f t="shared" ref="AG391:AG454" si="212">+IF($AG$4=WEEKNUM(S391),J391,"")</f>
        <v/>
      </c>
      <c r="AH391" s="59"/>
      <c r="AI391" s="58" t="str">
        <f t="shared" ref="AI391:AI454" si="213">+IF($AI$4=WEEKNUM(S391),J391,"")</f>
        <v/>
      </c>
      <c r="AJ391" s="59"/>
      <c r="AK391" s="58" t="str">
        <f t="shared" ref="AK391:AK454" si="214">+IF($AK$4=WEEKNUM(S391),J391,"")</f>
        <v/>
      </c>
      <c r="AL391" s="59"/>
      <c r="AM391" s="58" t="str">
        <f t="shared" ref="AM391:AM454" si="215">+IF($AM$4=WEEKNUM(S391),J391,"")</f>
        <v/>
      </c>
      <c r="AN391" s="59"/>
      <c r="AO391" s="58" t="str">
        <f t="shared" ref="AO391:AO454" si="216">+IF($AO$4=WEEKNUM(S391),J391,"")</f>
        <v/>
      </c>
      <c r="AP391" s="59"/>
      <c r="AQ391" s="58" t="str">
        <f t="shared" ref="AQ391:AQ454" si="217">+IF($AQ$4=WEEKNUM(S391),J391,"")</f>
        <v/>
      </c>
      <c r="AR391" s="59"/>
      <c r="AS391" s="58" t="str">
        <f t="shared" ref="AS391:AS454" si="218">+IF($AS$4=WEEKNUM(S391),J391,"")</f>
        <v/>
      </c>
      <c r="AT391" s="59"/>
      <c r="AU391" s="58" t="str">
        <f t="shared" ref="AU391:AU454" si="219">+IF($AU$4=WEEKNUM(S391),J391,"")</f>
        <v/>
      </c>
      <c r="AV391" s="59"/>
      <c r="AW391" s="58" t="str">
        <f t="shared" ref="AW391:AW454" si="220">+IF($AW$4=WEEKNUM(S391),J391,"")</f>
        <v/>
      </c>
      <c r="AX391" s="59"/>
      <c r="AY391" s="58" t="str">
        <f t="shared" ref="AY391:AY454" si="221">+IF($AY$4=WEEKNUM(S391),J391,"")</f>
        <v/>
      </c>
      <c r="AZ391" s="59"/>
      <c r="BA391" s="58" t="str">
        <f t="shared" ref="BA391:BA454" si="222">+IF($BA$4=WEEKNUM(S391),J391,"")</f>
        <v/>
      </c>
      <c r="BB391" s="59"/>
      <c r="BC391" s="58" t="str">
        <f t="shared" ref="BC391:BC454" si="223">+IF($BC$4=WEEKNUM(S391),J391,"")</f>
        <v/>
      </c>
      <c r="BD391" s="59"/>
      <c r="BE391" s="58" t="str">
        <f t="shared" ref="BE391:BE454" si="224">+IF($BE$4=WEEKNUM(S391),J391,"")</f>
        <v/>
      </c>
      <c r="BF391" s="59"/>
      <c r="BG391" s="58" t="str">
        <f t="shared" ref="BG391:BG454" si="225">+IF($BG$4=WEEKNUM(S391),J391,"")</f>
        <v/>
      </c>
      <c r="BH391" s="59"/>
      <c r="BI391" s="58" t="str">
        <f t="shared" ref="BI391:BI454" si="226">+IF($BI$4=WEEKNUM(S391),J391,"")</f>
        <v/>
      </c>
      <c r="BJ391" s="59"/>
      <c r="BK391" s="58" t="str">
        <f t="shared" ref="BK391:BK454" si="227">+IF($BK$4=WEEKNUM(S391),J391,"")</f>
        <v/>
      </c>
      <c r="BL391" s="59"/>
      <c r="BM391" s="58" t="str">
        <f t="shared" ref="BM391:BM454" si="228">+IF($BM$4=WEEKNUM(S391),J391,"")</f>
        <v/>
      </c>
      <c r="BN391" s="59"/>
      <c r="BO391" s="58" t="str">
        <f t="shared" ref="BO391:BO454" si="229">+IF($BO$4=WEEKNUM(S391),J391,"")</f>
        <v/>
      </c>
      <c r="BP391" s="59"/>
      <c r="BQ391" s="58" t="str">
        <f t="shared" ref="BQ391:BQ454" si="230">+IF($BQ$4=WEEKNUM(S391),J391,"")</f>
        <v/>
      </c>
      <c r="BR391" s="59"/>
      <c r="BS391" s="58" t="str">
        <f t="shared" ref="BS391:BS454" si="231">+IF($BS$4=WEEKNUM(S391),J391,"")</f>
        <v/>
      </c>
      <c r="BT391" s="59"/>
      <c r="BU391" s="58" t="str">
        <f t="shared" ref="BU391:BU454" si="232">+IF($BU$4=WEEKNUM(S391),J391,"")</f>
        <v/>
      </c>
      <c r="BV391" s="59"/>
    </row>
    <row r="392" spans="1:74" ht="14.5">
      <c r="A392" s="51" t="s">
        <v>58</v>
      </c>
      <c r="B392" s="52">
        <v>381</v>
      </c>
      <c r="C392" s="52" t="s">
        <v>188</v>
      </c>
      <c r="D392" s="41">
        <f t="shared" si="205"/>
        <v>5</v>
      </c>
      <c r="E392" s="52" t="s">
        <v>136</v>
      </c>
      <c r="F392" s="52" t="s">
        <v>247</v>
      </c>
      <c r="G392" s="52" t="s">
        <v>163</v>
      </c>
      <c r="H392" s="52" t="s">
        <v>442</v>
      </c>
      <c r="I392" s="53">
        <v>45688</v>
      </c>
      <c r="J392" s="108">
        <v>8160</v>
      </c>
      <c r="K392" s="101"/>
      <c r="L392" s="101"/>
      <c r="M392" s="101">
        <f t="shared" si="206"/>
        <v>8160</v>
      </c>
      <c r="N392" s="54">
        <f t="shared" si="207"/>
        <v>8160</v>
      </c>
      <c r="O392" s="101" t="s">
        <v>443</v>
      </c>
      <c r="P392" s="102">
        <f t="shared" si="208"/>
        <v>4.6628571428571428</v>
      </c>
      <c r="Q392" s="102">
        <v>5</v>
      </c>
      <c r="R392" s="99">
        <v>350</v>
      </c>
      <c r="S392" s="55">
        <f t="shared" si="204"/>
        <v>45656</v>
      </c>
      <c r="T392" s="55"/>
      <c r="U392" s="56">
        <f t="shared" ca="1" si="201"/>
        <v>-184</v>
      </c>
      <c r="V392" s="55">
        <f t="shared" si="202"/>
        <v>45672</v>
      </c>
      <c r="W392" s="55"/>
      <c r="X392" s="56">
        <f t="shared" ca="1" si="203"/>
        <v>-168</v>
      </c>
      <c r="Y392" s="55"/>
      <c r="Z392" s="57"/>
      <c r="AA392" s="58" t="str">
        <f t="shared" si="209"/>
        <v>-</v>
      </c>
      <c r="AB392" s="59"/>
      <c r="AC392" s="58" t="str">
        <f t="shared" si="210"/>
        <v/>
      </c>
      <c r="AD392" s="59"/>
      <c r="AE392" s="58" t="str">
        <f t="shared" si="211"/>
        <v/>
      </c>
      <c r="AF392" s="59"/>
      <c r="AG392" s="58" t="str">
        <f t="shared" si="212"/>
        <v/>
      </c>
      <c r="AH392" s="59"/>
      <c r="AI392" s="58" t="str">
        <f t="shared" si="213"/>
        <v/>
      </c>
      <c r="AJ392" s="59"/>
      <c r="AK392" s="58" t="str">
        <f t="shared" si="214"/>
        <v/>
      </c>
      <c r="AL392" s="59"/>
      <c r="AM392" s="58" t="str">
        <f t="shared" si="215"/>
        <v/>
      </c>
      <c r="AN392" s="59"/>
      <c r="AO392" s="58" t="str">
        <f t="shared" si="216"/>
        <v/>
      </c>
      <c r="AP392" s="59"/>
      <c r="AQ392" s="58" t="str">
        <f t="shared" si="217"/>
        <v/>
      </c>
      <c r="AR392" s="59"/>
      <c r="AS392" s="58" t="str">
        <f t="shared" si="218"/>
        <v/>
      </c>
      <c r="AT392" s="59"/>
      <c r="AU392" s="58" t="str">
        <f t="shared" si="219"/>
        <v/>
      </c>
      <c r="AV392" s="59"/>
      <c r="AW392" s="58" t="str">
        <f t="shared" si="220"/>
        <v/>
      </c>
      <c r="AX392" s="59"/>
      <c r="AY392" s="58" t="str">
        <f t="shared" si="221"/>
        <v/>
      </c>
      <c r="AZ392" s="59"/>
      <c r="BA392" s="58" t="str">
        <f t="shared" si="222"/>
        <v/>
      </c>
      <c r="BB392" s="59"/>
      <c r="BC392" s="58" t="str">
        <f t="shared" si="223"/>
        <v/>
      </c>
      <c r="BD392" s="59"/>
      <c r="BE392" s="58" t="str">
        <f t="shared" si="224"/>
        <v/>
      </c>
      <c r="BF392" s="59"/>
      <c r="BG392" s="58" t="str">
        <f t="shared" si="225"/>
        <v/>
      </c>
      <c r="BH392" s="59"/>
      <c r="BI392" s="58" t="str">
        <f t="shared" si="226"/>
        <v/>
      </c>
      <c r="BJ392" s="59"/>
      <c r="BK392" s="58" t="str">
        <f t="shared" si="227"/>
        <v/>
      </c>
      <c r="BL392" s="59"/>
      <c r="BM392" s="58" t="str">
        <f t="shared" si="228"/>
        <v/>
      </c>
      <c r="BN392" s="59"/>
      <c r="BO392" s="58" t="str">
        <f t="shared" si="229"/>
        <v/>
      </c>
      <c r="BP392" s="59"/>
      <c r="BQ392" s="58" t="str">
        <f t="shared" si="230"/>
        <v/>
      </c>
      <c r="BR392" s="59"/>
      <c r="BS392" s="58" t="str">
        <f t="shared" si="231"/>
        <v/>
      </c>
      <c r="BT392" s="59"/>
      <c r="BU392" s="58" t="str">
        <f t="shared" si="232"/>
        <v/>
      </c>
      <c r="BV392" s="59"/>
    </row>
    <row r="393" spans="1:74" ht="14.5">
      <c r="A393" s="51" t="s">
        <v>58</v>
      </c>
      <c r="B393" s="52">
        <v>381</v>
      </c>
      <c r="C393" s="52" t="s">
        <v>188</v>
      </c>
      <c r="D393" s="41">
        <f t="shared" si="205"/>
        <v>5</v>
      </c>
      <c r="E393" s="52" t="s">
        <v>136</v>
      </c>
      <c r="F393" s="52" t="s">
        <v>247</v>
      </c>
      <c r="G393" s="52" t="s">
        <v>501</v>
      </c>
      <c r="H393" s="52" t="s">
        <v>442</v>
      </c>
      <c r="I393" s="53">
        <v>45688</v>
      </c>
      <c r="J393" s="108">
        <v>8160</v>
      </c>
      <c r="K393" s="101"/>
      <c r="L393" s="101"/>
      <c r="M393" s="101">
        <f t="shared" si="206"/>
        <v>8160</v>
      </c>
      <c r="N393" s="54">
        <f t="shared" si="207"/>
        <v>8160</v>
      </c>
      <c r="O393" s="101" t="s">
        <v>443</v>
      </c>
      <c r="P393" s="102">
        <f t="shared" si="208"/>
        <v>4.6628571428571428</v>
      </c>
      <c r="Q393" s="102">
        <v>5</v>
      </c>
      <c r="R393" s="99">
        <v>350</v>
      </c>
      <c r="S393" s="55">
        <f t="shared" si="204"/>
        <v>45656</v>
      </c>
      <c r="T393" s="55"/>
      <c r="U393" s="56">
        <f t="shared" ca="1" si="201"/>
        <v>-184</v>
      </c>
      <c r="V393" s="55">
        <f t="shared" si="202"/>
        <v>45672</v>
      </c>
      <c r="W393" s="55"/>
      <c r="X393" s="56">
        <f t="shared" ca="1" si="203"/>
        <v>-168</v>
      </c>
      <c r="Y393" s="55"/>
      <c r="Z393" s="57"/>
      <c r="AA393" s="58" t="str">
        <f t="shared" si="209"/>
        <v>-</v>
      </c>
      <c r="AB393" s="59"/>
      <c r="AC393" s="58" t="str">
        <f t="shared" si="210"/>
        <v/>
      </c>
      <c r="AD393" s="59"/>
      <c r="AE393" s="58" t="str">
        <f t="shared" si="211"/>
        <v/>
      </c>
      <c r="AF393" s="59"/>
      <c r="AG393" s="58" t="str">
        <f t="shared" si="212"/>
        <v/>
      </c>
      <c r="AH393" s="59"/>
      <c r="AI393" s="58" t="str">
        <f t="shared" si="213"/>
        <v/>
      </c>
      <c r="AJ393" s="59"/>
      <c r="AK393" s="58" t="str">
        <f t="shared" si="214"/>
        <v/>
      </c>
      <c r="AL393" s="59"/>
      <c r="AM393" s="58" t="str">
        <f t="shared" si="215"/>
        <v/>
      </c>
      <c r="AN393" s="59"/>
      <c r="AO393" s="58" t="str">
        <f t="shared" si="216"/>
        <v/>
      </c>
      <c r="AP393" s="59"/>
      <c r="AQ393" s="58" t="str">
        <f t="shared" si="217"/>
        <v/>
      </c>
      <c r="AR393" s="59"/>
      <c r="AS393" s="58" t="str">
        <f t="shared" si="218"/>
        <v/>
      </c>
      <c r="AT393" s="59"/>
      <c r="AU393" s="58" t="str">
        <f t="shared" si="219"/>
        <v/>
      </c>
      <c r="AV393" s="59"/>
      <c r="AW393" s="58" t="str">
        <f t="shared" si="220"/>
        <v/>
      </c>
      <c r="AX393" s="59"/>
      <c r="AY393" s="58" t="str">
        <f t="shared" si="221"/>
        <v/>
      </c>
      <c r="AZ393" s="59"/>
      <c r="BA393" s="58" t="str">
        <f t="shared" si="222"/>
        <v/>
      </c>
      <c r="BB393" s="59"/>
      <c r="BC393" s="58" t="str">
        <f t="shared" si="223"/>
        <v/>
      </c>
      <c r="BD393" s="59"/>
      <c r="BE393" s="58" t="str">
        <f t="shared" si="224"/>
        <v/>
      </c>
      <c r="BF393" s="59"/>
      <c r="BG393" s="58" t="str">
        <f t="shared" si="225"/>
        <v/>
      </c>
      <c r="BH393" s="59"/>
      <c r="BI393" s="58" t="str">
        <f t="shared" si="226"/>
        <v/>
      </c>
      <c r="BJ393" s="59"/>
      <c r="BK393" s="58" t="str">
        <f t="shared" si="227"/>
        <v/>
      </c>
      <c r="BL393" s="59"/>
      <c r="BM393" s="58" t="str">
        <f t="shared" si="228"/>
        <v/>
      </c>
      <c r="BN393" s="59"/>
      <c r="BO393" s="58" t="str">
        <f t="shared" si="229"/>
        <v/>
      </c>
      <c r="BP393" s="59"/>
      <c r="BQ393" s="58" t="str">
        <f t="shared" si="230"/>
        <v/>
      </c>
      <c r="BR393" s="59"/>
      <c r="BS393" s="58" t="str">
        <f t="shared" si="231"/>
        <v/>
      </c>
      <c r="BT393" s="59"/>
      <c r="BU393" s="58" t="str">
        <f t="shared" si="232"/>
        <v/>
      </c>
      <c r="BV393" s="59"/>
    </row>
    <row r="394" spans="1:74" ht="14.5">
      <c r="A394" s="51" t="s">
        <v>58</v>
      </c>
      <c r="B394" s="52">
        <v>381</v>
      </c>
      <c r="C394" s="52" t="s">
        <v>188</v>
      </c>
      <c r="D394" s="41">
        <f t="shared" si="205"/>
        <v>5</v>
      </c>
      <c r="E394" s="52" t="s">
        <v>201</v>
      </c>
      <c r="F394" s="52" t="s">
        <v>247</v>
      </c>
      <c r="G394" s="52" t="s">
        <v>441</v>
      </c>
      <c r="H394" s="52" t="s">
        <v>442</v>
      </c>
      <c r="I394" s="53">
        <v>45688</v>
      </c>
      <c r="J394" s="108">
        <v>14256</v>
      </c>
      <c r="K394" s="101"/>
      <c r="L394" s="101"/>
      <c r="M394" s="101">
        <f t="shared" si="206"/>
        <v>14256</v>
      </c>
      <c r="N394" s="54">
        <f t="shared" si="207"/>
        <v>14256</v>
      </c>
      <c r="O394" s="101" t="s">
        <v>443</v>
      </c>
      <c r="P394" s="102">
        <f t="shared" si="208"/>
        <v>8.1462857142857139</v>
      </c>
      <c r="Q394" s="102">
        <v>5</v>
      </c>
      <c r="R394" s="99">
        <v>350</v>
      </c>
      <c r="S394" s="55">
        <f t="shared" si="204"/>
        <v>45656</v>
      </c>
      <c r="T394" s="55"/>
      <c r="U394" s="56">
        <f t="shared" ca="1" si="201"/>
        <v>-184</v>
      </c>
      <c r="V394" s="55">
        <f t="shared" si="202"/>
        <v>45672</v>
      </c>
      <c r="W394" s="55"/>
      <c r="X394" s="56">
        <f t="shared" ca="1" si="203"/>
        <v>-168</v>
      </c>
      <c r="Y394" s="55"/>
      <c r="Z394" s="57"/>
      <c r="AA394" s="58" t="str">
        <f t="shared" si="209"/>
        <v>-</v>
      </c>
      <c r="AB394" s="59"/>
      <c r="AC394" s="58" t="str">
        <f t="shared" si="210"/>
        <v/>
      </c>
      <c r="AD394" s="59"/>
      <c r="AE394" s="58" t="str">
        <f t="shared" si="211"/>
        <v/>
      </c>
      <c r="AF394" s="59"/>
      <c r="AG394" s="58" t="str">
        <f t="shared" si="212"/>
        <v/>
      </c>
      <c r="AH394" s="59"/>
      <c r="AI394" s="58" t="str">
        <f t="shared" si="213"/>
        <v/>
      </c>
      <c r="AJ394" s="59"/>
      <c r="AK394" s="58" t="str">
        <f t="shared" si="214"/>
        <v/>
      </c>
      <c r="AL394" s="59"/>
      <c r="AM394" s="58" t="str">
        <f t="shared" si="215"/>
        <v/>
      </c>
      <c r="AN394" s="59"/>
      <c r="AO394" s="58" t="str">
        <f t="shared" si="216"/>
        <v/>
      </c>
      <c r="AP394" s="59"/>
      <c r="AQ394" s="58" t="str">
        <f t="shared" si="217"/>
        <v/>
      </c>
      <c r="AR394" s="59"/>
      <c r="AS394" s="58" t="str">
        <f t="shared" si="218"/>
        <v/>
      </c>
      <c r="AT394" s="59"/>
      <c r="AU394" s="58" t="str">
        <f t="shared" si="219"/>
        <v/>
      </c>
      <c r="AV394" s="59"/>
      <c r="AW394" s="58" t="str">
        <f t="shared" si="220"/>
        <v/>
      </c>
      <c r="AX394" s="59"/>
      <c r="AY394" s="58" t="str">
        <f t="shared" si="221"/>
        <v/>
      </c>
      <c r="AZ394" s="59"/>
      <c r="BA394" s="58" t="str">
        <f t="shared" si="222"/>
        <v/>
      </c>
      <c r="BB394" s="59"/>
      <c r="BC394" s="58" t="str">
        <f t="shared" si="223"/>
        <v/>
      </c>
      <c r="BD394" s="59"/>
      <c r="BE394" s="58" t="str">
        <f t="shared" si="224"/>
        <v/>
      </c>
      <c r="BF394" s="59"/>
      <c r="BG394" s="58" t="str">
        <f t="shared" si="225"/>
        <v/>
      </c>
      <c r="BH394" s="59"/>
      <c r="BI394" s="58" t="str">
        <f t="shared" si="226"/>
        <v/>
      </c>
      <c r="BJ394" s="59"/>
      <c r="BK394" s="58" t="str">
        <f t="shared" si="227"/>
        <v/>
      </c>
      <c r="BL394" s="59"/>
      <c r="BM394" s="58" t="str">
        <f t="shared" si="228"/>
        <v/>
      </c>
      <c r="BN394" s="59"/>
      <c r="BO394" s="58" t="str">
        <f t="shared" si="229"/>
        <v/>
      </c>
      <c r="BP394" s="59"/>
      <c r="BQ394" s="58" t="str">
        <f t="shared" si="230"/>
        <v/>
      </c>
      <c r="BR394" s="59"/>
      <c r="BS394" s="58" t="str">
        <f t="shared" si="231"/>
        <v/>
      </c>
      <c r="BT394" s="59"/>
      <c r="BU394" s="58" t="str">
        <f t="shared" si="232"/>
        <v/>
      </c>
      <c r="BV394" s="59"/>
    </row>
    <row r="395" spans="1:74" ht="14.5">
      <c r="A395" s="51" t="s">
        <v>58</v>
      </c>
      <c r="B395" s="52">
        <v>381</v>
      </c>
      <c r="C395" s="52" t="s">
        <v>188</v>
      </c>
      <c r="D395" s="41">
        <f t="shared" si="205"/>
        <v>5</v>
      </c>
      <c r="E395" s="52" t="s">
        <v>502</v>
      </c>
      <c r="F395" s="52" t="s">
        <v>289</v>
      </c>
      <c r="G395" s="52" t="s">
        <v>155</v>
      </c>
      <c r="H395" s="52" t="s">
        <v>503</v>
      </c>
      <c r="I395" s="53">
        <v>45688</v>
      </c>
      <c r="J395" s="108">
        <v>1860</v>
      </c>
      <c r="K395" s="101"/>
      <c r="L395" s="101"/>
      <c r="M395" s="101">
        <f t="shared" si="206"/>
        <v>1860</v>
      </c>
      <c r="N395" s="54">
        <f t="shared" si="207"/>
        <v>1860</v>
      </c>
      <c r="O395" s="101" t="s">
        <v>504</v>
      </c>
      <c r="P395" s="102">
        <f t="shared" si="208"/>
        <v>9.6875</v>
      </c>
      <c r="Q395" s="102">
        <v>6</v>
      </c>
      <c r="R395" s="99">
        <f>480/15</f>
        <v>32</v>
      </c>
      <c r="S395" s="55">
        <f t="shared" si="204"/>
        <v>45656</v>
      </c>
      <c r="T395" s="55"/>
      <c r="U395" s="56">
        <f t="shared" ca="1" si="201"/>
        <v>-184</v>
      </c>
      <c r="V395" s="55">
        <f t="shared" si="202"/>
        <v>45672</v>
      </c>
      <c r="W395" s="55"/>
      <c r="X395" s="56">
        <f t="shared" ca="1" si="203"/>
        <v>-168</v>
      </c>
      <c r="Y395" s="55"/>
      <c r="Z395" s="57"/>
      <c r="AA395" s="58" t="str">
        <f t="shared" si="209"/>
        <v>-</v>
      </c>
      <c r="AB395" s="59"/>
      <c r="AC395" s="58" t="str">
        <f t="shared" si="210"/>
        <v/>
      </c>
      <c r="AD395" s="59"/>
      <c r="AE395" s="58" t="str">
        <f t="shared" si="211"/>
        <v/>
      </c>
      <c r="AF395" s="59"/>
      <c r="AG395" s="58" t="str">
        <f t="shared" si="212"/>
        <v/>
      </c>
      <c r="AH395" s="59"/>
      <c r="AI395" s="58" t="str">
        <f t="shared" si="213"/>
        <v/>
      </c>
      <c r="AJ395" s="59"/>
      <c r="AK395" s="58" t="str">
        <f t="shared" si="214"/>
        <v/>
      </c>
      <c r="AL395" s="59"/>
      <c r="AM395" s="58" t="str">
        <f t="shared" si="215"/>
        <v/>
      </c>
      <c r="AN395" s="59"/>
      <c r="AO395" s="58" t="str">
        <f t="shared" si="216"/>
        <v/>
      </c>
      <c r="AP395" s="59"/>
      <c r="AQ395" s="58" t="str">
        <f t="shared" si="217"/>
        <v/>
      </c>
      <c r="AR395" s="59"/>
      <c r="AS395" s="58" t="str">
        <f t="shared" si="218"/>
        <v/>
      </c>
      <c r="AT395" s="59"/>
      <c r="AU395" s="58" t="str">
        <f t="shared" si="219"/>
        <v/>
      </c>
      <c r="AV395" s="59"/>
      <c r="AW395" s="58" t="str">
        <f t="shared" si="220"/>
        <v/>
      </c>
      <c r="AX395" s="59"/>
      <c r="AY395" s="58" t="str">
        <f t="shared" si="221"/>
        <v/>
      </c>
      <c r="AZ395" s="59"/>
      <c r="BA395" s="58" t="str">
        <f t="shared" si="222"/>
        <v/>
      </c>
      <c r="BB395" s="59"/>
      <c r="BC395" s="58" t="str">
        <f t="shared" si="223"/>
        <v/>
      </c>
      <c r="BD395" s="59"/>
      <c r="BE395" s="58" t="str">
        <f t="shared" si="224"/>
        <v/>
      </c>
      <c r="BF395" s="59"/>
      <c r="BG395" s="58" t="str">
        <f t="shared" si="225"/>
        <v/>
      </c>
      <c r="BH395" s="59"/>
      <c r="BI395" s="58" t="str">
        <f t="shared" si="226"/>
        <v/>
      </c>
      <c r="BJ395" s="59"/>
      <c r="BK395" s="58" t="str">
        <f t="shared" si="227"/>
        <v/>
      </c>
      <c r="BL395" s="59"/>
      <c r="BM395" s="58" t="str">
        <f t="shared" si="228"/>
        <v/>
      </c>
      <c r="BN395" s="59"/>
      <c r="BO395" s="58" t="str">
        <f t="shared" si="229"/>
        <v/>
      </c>
      <c r="BP395" s="59"/>
      <c r="BQ395" s="58" t="str">
        <f t="shared" si="230"/>
        <v/>
      </c>
      <c r="BR395" s="59"/>
      <c r="BS395" s="58" t="str">
        <f t="shared" si="231"/>
        <v/>
      </c>
      <c r="BT395" s="59"/>
      <c r="BU395" s="58" t="str">
        <f t="shared" si="232"/>
        <v/>
      </c>
      <c r="BV395" s="59"/>
    </row>
    <row r="396" spans="1:74" ht="14.5">
      <c r="A396" s="51" t="s">
        <v>58</v>
      </c>
      <c r="B396" s="52">
        <v>381</v>
      </c>
      <c r="C396" s="52" t="s">
        <v>188</v>
      </c>
      <c r="D396" s="41">
        <f t="shared" si="205"/>
        <v>5</v>
      </c>
      <c r="E396" s="52" t="s">
        <v>502</v>
      </c>
      <c r="F396" s="52" t="s">
        <v>289</v>
      </c>
      <c r="G396" s="52" t="s">
        <v>154</v>
      </c>
      <c r="H396" s="52" t="s">
        <v>503</v>
      </c>
      <c r="I396" s="53">
        <v>45688</v>
      </c>
      <c r="J396" s="108">
        <v>1550</v>
      </c>
      <c r="K396" s="101"/>
      <c r="L396" s="101"/>
      <c r="M396" s="101">
        <f t="shared" si="206"/>
        <v>1550</v>
      </c>
      <c r="N396" s="54">
        <f t="shared" si="207"/>
        <v>1550</v>
      </c>
      <c r="O396" s="101" t="s">
        <v>505</v>
      </c>
      <c r="P396" s="102">
        <f t="shared" si="208"/>
        <v>8.0729166666666661</v>
      </c>
      <c r="Q396" s="102">
        <v>6</v>
      </c>
      <c r="R396" s="99">
        <f>480/15</f>
        <v>32</v>
      </c>
      <c r="S396" s="55">
        <f t="shared" si="204"/>
        <v>45656</v>
      </c>
      <c r="T396" s="55"/>
      <c r="U396" s="56">
        <f t="shared" ca="1" si="201"/>
        <v>-184</v>
      </c>
      <c r="V396" s="55">
        <f t="shared" si="202"/>
        <v>45672</v>
      </c>
      <c r="W396" s="55"/>
      <c r="X396" s="56">
        <f t="shared" ca="1" si="203"/>
        <v>-168</v>
      </c>
      <c r="Y396" s="55"/>
      <c r="Z396" s="57"/>
      <c r="AA396" s="58" t="str">
        <f t="shared" si="209"/>
        <v>-</v>
      </c>
      <c r="AB396" s="59"/>
      <c r="AC396" s="58" t="str">
        <f t="shared" si="210"/>
        <v/>
      </c>
      <c r="AD396" s="59"/>
      <c r="AE396" s="58" t="str">
        <f t="shared" si="211"/>
        <v/>
      </c>
      <c r="AF396" s="59"/>
      <c r="AG396" s="58" t="str">
        <f t="shared" si="212"/>
        <v/>
      </c>
      <c r="AH396" s="59"/>
      <c r="AI396" s="58" t="str">
        <f t="shared" si="213"/>
        <v/>
      </c>
      <c r="AJ396" s="59"/>
      <c r="AK396" s="58" t="str">
        <f t="shared" si="214"/>
        <v/>
      </c>
      <c r="AL396" s="59"/>
      <c r="AM396" s="58" t="str">
        <f t="shared" si="215"/>
        <v/>
      </c>
      <c r="AN396" s="59"/>
      <c r="AO396" s="58" t="str">
        <f t="shared" si="216"/>
        <v/>
      </c>
      <c r="AP396" s="59"/>
      <c r="AQ396" s="58" t="str">
        <f t="shared" si="217"/>
        <v/>
      </c>
      <c r="AR396" s="59"/>
      <c r="AS396" s="58" t="str">
        <f t="shared" si="218"/>
        <v/>
      </c>
      <c r="AT396" s="59"/>
      <c r="AU396" s="58" t="str">
        <f t="shared" si="219"/>
        <v/>
      </c>
      <c r="AV396" s="59"/>
      <c r="AW396" s="58" t="str">
        <f t="shared" si="220"/>
        <v/>
      </c>
      <c r="AX396" s="59"/>
      <c r="AY396" s="58" t="str">
        <f t="shared" si="221"/>
        <v/>
      </c>
      <c r="AZ396" s="59"/>
      <c r="BA396" s="58" t="str">
        <f t="shared" si="222"/>
        <v/>
      </c>
      <c r="BB396" s="59"/>
      <c r="BC396" s="58" t="str">
        <f t="shared" si="223"/>
        <v/>
      </c>
      <c r="BD396" s="59"/>
      <c r="BE396" s="58" t="str">
        <f t="shared" si="224"/>
        <v/>
      </c>
      <c r="BF396" s="59"/>
      <c r="BG396" s="58" t="str">
        <f t="shared" si="225"/>
        <v/>
      </c>
      <c r="BH396" s="59"/>
      <c r="BI396" s="58" t="str">
        <f t="shared" si="226"/>
        <v/>
      </c>
      <c r="BJ396" s="59"/>
      <c r="BK396" s="58" t="str">
        <f t="shared" si="227"/>
        <v/>
      </c>
      <c r="BL396" s="59"/>
      <c r="BM396" s="58" t="str">
        <f t="shared" si="228"/>
        <v/>
      </c>
      <c r="BN396" s="59"/>
      <c r="BO396" s="58" t="str">
        <f t="shared" si="229"/>
        <v/>
      </c>
      <c r="BP396" s="59"/>
      <c r="BQ396" s="58" t="str">
        <f t="shared" si="230"/>
        <v/>
      </c>
      <c r="BR396" s="59"/>
      <c r="BS396" s="58" t="str">
        <f t="shared" si="231"/>
        <v/>
      </c>
      <c r="BT396" s="59"/>
      <c r="BU396" s="58" t="str">
        <f t="shared" si="232"/>
        <v/>
      </c>
      <c r="BV396" s="59"/>
    </row>
    <row r="397" spans="1:74" ht="14.5">
      <c r="A397" s="51" t="s">
        <v>58</v>
      </c>
      <c r="B397" s="52">
        <v>381</v>
      </c>
      <c r="C397" s="52" t="s">
        <v>188</v>
      </c>
      <c r="D397" s="41">
        <f t="shared" si="205"/>
        <v>5</v>
      </c>
      <c r="E397" s="52" t="s">
        <v>502</v>
      </c>
      <c r="F397" s="52" t="s">
        <v>289</v>
      </c>
      <c r="G397" s="52" t="s">
        <v>156</v>
      </c>
      <c r="H397" s="52" t="s">
        <v>503</v>
      </c>
      <c r="I397" s="53">
        <v>45688</v>
      </c>
      <c r="J397" s="108">
        <v>1240</v>
      </c>
      <c r="K397" s="101"/>
      <c r="L397" s="101"/>
      <c r="M397" s="101">
        <f t="shared" si="206"/>
        <v>1240</v>
      </c>
      <c r="N397" s="54">
        <f t="shared" si="207"/>
        <v>1240</v>
      </c>
      <c r="O397" s="101" t="s">
        <v>506</v>
      </c>
      <c r="P397" s="102">
        <f t="shared" si="208"/>
        <v>6.458333333333333</v>
      </c>
      <c r="Q397" s="102">
        <v>6</v>
      </c>
      <c r="R397" s="99">
        <f>480/15</f>
        <v>32</v>
      </c>
      <c r="S397" s="55">
        <f t="shared" si="204"/>
        <v>45656</v>
      </c>
      <c r="T397" s="55"/>
      <c r="U397" s="56">
        <f t="shared" ca="1" si="201"/>
        <v>-184</v>
      </c>
      <c r="V397" s="55">
        <f t="shared" si="202"/>
        <v>45672</v>
      </c>
      <c r="W397" s="55"/>
      <c r="X397" s="56">
        <f t="shared" ca="1" si="203"/>
        <v>-168</v>
      </c>
      <c r="Y397" s="55"/>
      <c r="Z397" s="57"/>
      <c r="AA397" s="58" t="str">
        <f t="shared" si="209"/>
        <v>-</v>
      </c>
      <c r="AB397" s="59"/>
      <c r="AC397" s="58" t="str">
        <f t="shared" si="210"/>
        <v/>
      </c>
      <c r="AD397" s="59"/>
      <c r="AE397" s="58" t="str">
        <f t="shared" si="211"/>
        <v/>
      </c>
      <c r="AF397" s="59"/>
      <c r="AG397" s="58" t="str">
        <f t="shared" si="212"/>
        <v/>
      </c>
      <c r="AH397" s="59"/>
      <c r="AI397" s="58" t="str">
        <f t="shared" si="213"/>
        <v/>
      </c>
      <c r="AJ397" s="59"/>
      <c r="AK397" s="58" t="str">
        <f t="shared" si="214"/>
        <v/>
      </c>
      <c r="AL397" s="59"/>
      <c r="AM397" s="58" t="str">
        <f t="shared" si="215"/>
        <v/>
      </c>
      <c r="AN397" s="59"/>
      <c r="AO397" s="58" t="str">
        <f t="shared" si="216"/>
        <v/>
      </c>
      <c r="AP397" s="59"/>
      <c r="AQ397" s="58" t="str">
        <f t="shared" si="217"/>
        <v/>
      </c>
      <c r="AR397" s="59"/>
      <c r="AS397" s="58" t="str">
        <f t="shared" si="218"/>
        <v/>
      </c>
      <c r="AT397" s="59"/>
      <c r="AU397" s="58" t="str">
        <f t="shared" si="219"/>
        <v/>
      </c>
      <c r="AV397" s="59"/>
      <c r="AW397" s="58" t="str">
        <f t="shared" si="220"/>
        <v/>
      </c>
      <c r="AX397" s="59"/>
      <c r="AY397" s="58" t="str">
        <f t="shared" si="221"/>
        <v/>
      </c>
      <c r="AZ397" s="59"/>
      <c r="BA397" s="58" t="str">
        <f t="shared" si="222"/>
        <v/>
      </c>
      <c r="BB397" s="59"/>
      <c r="BC397" s="58" t="str">
        <f t="shared" si="223"/>
        <v/>
      </c>
      <c r="BD397" s="59"/>
      <c r="BE397" s="58" t="str">
        <f t="shared" si="224"/>
        <v/>
      </c>
      <c r="BF397" s="59"/>
      <c r="BG397" s="58" t="str">
        <f t="shared" si="225"/>
        <v/>
      </c>
      <c r="BH397" s="59"/>
      <c r="BI397" s="58" t="str">
        <f t="shared" si="226"/>
        <v/>
      </c>
      <c r="BJ397" s="59"/>
      <c r="BK397" s="58" t="str">
        <f t="shared" si="227"/>
        <v/>
      </c>
      <c r="BL397" s="59"/>
      <c r="BM397" s="58" t="str">
        <f t="shared" si="228"/>
        <v/>
      </c>
      <c r="BN397" s="59"/>
      <c r="BO397" s="58" t="str">
        <f t="shared" si="229"/>
        <v/>
      </c>
      <c r="BP397" s="59"/>
      <c r="BQ397" s="58" t="str">
        <f t="shared" si="230"/>
        <v/>
      </c>
      <c r="BR397" s="59"/>
      <c r="BS397" s="58" t="str">
        <f t="shared" si="231"/>
        <v/>
      </c>
      <c r="BT397" s="59"/>
      <c r="BU397" s="58" t="str">
        <f t="shared" si="232"/>
        <v/>
      </c>
      <c r="BV397" s="59"/>
    </row>
    <row r="398" spans="1:74" ht="14.5">
      <c r="A398" s="51" t="s">
        <v>58</v>
      </c>
      <c r="B398" s="52">
        <v>381</v>
      </c>
      <c r="C398" s="52" t="s">
        <v>188</v>
      </c>
      <c r="D398" s="41">
        <f t="shared" si="205"/>
        <v>5</v>
      </c>
      <c r="E398" s="52" t="s">
        <v>390</v>
      </c>
      <c r="F398" s="52" t="s">
        <v>242</v>
      </c>
      <c r="G398" s="52" t="s">
        <v>162</v>
      </c>
      <c r="H398" s="52" t="s">
        <v>497</v>
      </c>
      <c r="I398" s="53">
        <v>45688</v>
      </c>
      <c r="J398" s="108">
        <v>1080</v>
      </c>
      <c r="K398" s="101"/>
      <c r="L398" s="101"/>
      <c r="M398" s="101">
        <f t="shared" si="206"/>
        <v>1080</v>
      </c>
      <c r="N398" s="54">
        <f t="shared" si="207"/>
        <v>1080</v>
      </c>
      <c r="O398" s="101" t="s">
        <v>431</v>
      </c>
      <c r="P398" s="102">
        <f t="shared" si="208"/>
        <v>1.5</v>
      </c>
      <c r="Q398" s="102">
        <v>6</v>
      </c>
      <c r="R398" s="99">
        <v>120</v>
      </c>
      <c r="S398" s="55">
        <f t="shared" si="204"/>
        <v>45656</v>
      </c>
      <c r="T398" s="55"/>
      <c r="U398" s="56">
        <f t="shared" ca="1" si="201"/>
        <v>-184</v>
      </c>
      <c r="V398" s="55">
        <f t="shared" si="202"/>
        <v>45672</v>
      </c>
      <c r="W398" s="55"/>
      <c r="X398" s="56">
        <f t="shared" ca="1" si="203"/>
        <v>-168</v>
      </c>
      <c r="Y398" s="55"/>
      <c r="Z398" s="57"/>
      <c r="AA398" s="58" t="str">
        <f t="shared" si="209"/>
        <v>-</v>
      </c>
      <c r="AB398" s="59"/>
      <c r="AC398" s="58" t="str">
        <f t="shared" si="210"/>
        <v/>
      </c>
      <c r="AD398" s="59"/>
      <c r="AE398" s="58" t="str">
        <f t="shared" si="211"/>
        <v/>
      </c>
      <c r="AF398" s="59"/>
      <c r="AG398" s="58" t="str">
        <f t="shared" si="212"/>
        <v/>
      </c>
      <c r="AH398" s="59"/>
      <c r="AI398" s="58" t="str">
        <f t="shared" si="213"/>
        <v/>
      </c>
      <c r="AJ398" s="59"/>
      <c r="AK398" s="58" t="str">
        <f t="shared" si="214"/>
        <v/>
      </c>
      <c r="AL398" s="59"/>
      <c r="AM398" s="58" t="str">
        <f t="shared" si="215"/>
        <v/>
      </c>
      <c r="AN398" s="59"/>
      <c r="AO398" s="58" t="str">
        <f t="shared" si="216"/>
        <v/>
      </c>
      <c r="AP398" s="59"/>
      <c r="AQ398" s="58" t="str">
        <f t="shared" si="217"/>
        <v/>
      </c>
      <c r="AR398" s="59"/>
      <c r="AS398" s="58" t="str">
        <f t="shared" si="218"/>
        <v/>
      </c>
      <c r="AT398" s="59"/>
      <c r="AU398" s="58" t="str">
        <f t="shared" si="219"/>
        <v/>
      </c>
      <c r="AV398" s="59"/>
      <c r="AW398" s="58" t="str">
        <f t="shared" si="220"/>
        <v/>
      </c>
      <c r="AX398" s="59"/>
      <c r="AY398" s="58" t="str">
        <f t="shared" si="221"/>
        <v/>
      </c>
      <c r="AZ398" s="59"/>
      <c r="BA398" s="58" t="str">
        <f t="shared" si="222"/>
        <v/>
      </c>
      <c r="BB398" s="59"/>
      <c r="BC398" s="58" t="str">
        <f t="shared" si="223"/>
        <v/>
      </c>
      <c r="BD398" s="59"/>
      <c r="BE398" s="58" t="str">
        <f t="shared" si="224"/>
        <v/>
      </c>
      <c r="BF398" s="59"/>
      <c r="BG398" s="58" t="str">
        <f t="shared" si="225"/>
        <v/>
      </c>
      <c r="BH398" s="59"/>
      <c r="BI398" s="58" t="str">
        <f t="shared" si="226"/>
        <v/>
      </c>
      <c r="BJ398" s="59"/>
      <c r="BK398" s="58" t="str">
        <f t="shared" si="227"/>
        <v/>
      </c>
      <c r="BL398" s="59"/>
      <c r="BM398" s="58" t="str">
        <f t="shared" si="228"/>
        <v/>
      </c>
      <c r="BN398" s="59"/>
      <c r="BO398" s="58" t="str">
        <f t="shared" si="229"/>
        <v/>
      </c>
      <c r="BP398" s="59"/>
      <c r="BQ398" s="58" t="str">
        <f t="shared" si="230"/>
        <v/>
      </c>
      <c r="BR398" s="59"/>
      <c r="BS398" s="58" t="str">
        <f t="shared" si="231"/>
        <v/>
      </c>
      <c r="BT398" s="59"/>
      <c r="BU398" s="58" t="str">
        <f t="shared" si="232"/>
        <v/>
      </c>
      <c r="BV398" s="59"/>
    </row>
    <row r="399" spans="1:74" ht="14.5">
      <c r="A399" s="51" t="s">
        <v>58</v>
      </c>
      <c r="B399" s="52">
        <v>381</v>
      </c>
      <c r="C399" s="52" t="s">
        <v>188</v>
      </c>
      <c r="D399" s="41">
        <f t="shared" si="205"/>
        <v>5</v>
      </c>
      <c r="E399" s="52" t="s">
        <v>189</v>
      </c>
      <c r="F399" s="52" t="s">
        <v>242</v>
      </c>
      <c r="G399" s="52" t="s">
        <v>162</v>
      </c>
      <c r="H399" s="52" t="s">
        <v>432</v>
      </c>
      <c r="I399" s="53">
        <v>45688</v>
      </c>
      <c r="J399" s="108">
        <v>1412</v>
      </c>
      <c r="K399" s="101"/>
      <c r="L399" s="101"/>
      <c r="M399" s="101">
        <f t="shared" si="206"/>
        <v>1412</v>
      </c>
      <c r="N399" s="54">
        <f t="shared" si="207"/>
        <v>1412</v>
      </c>
      <c r="O399" s="101" t="s">
        <v>178</v>
      </c>
      <c r="P399" s="102">
        <f t="shared" si="208"/>
        <v>1.961111111111111</v>
      </c>
      <c r="Q399" s="102">
        <v>6</v>
      </c>
      <c r="R399" s="99">
        <v>120</v>
      </c>
      <c r="S399" s="55">
        <f t="shared" si="204"/>
        <v>45656</v>
      </c>
      <c r="T399" s="55"/>
      <c r="U399" s="56">
        <f t="shared" ca="1" si="201"/>
        <v>-184</v>
      </c>
      <c r="V399" s="55">
        <f t="shared" si="202"/>
        <v>45672</v>
      </c>
      <c r="W399" s="55"/>
      <c r="X399" s="56">
        <f t="shared" ca="1" si="203"/>
        <v>-168</v>
      </c>
      <c r="Y399" s="55"/>
      <c r="Z399" s="57"/>
      <c r="AA399" s="58" t="str">
        <f t="shared" si="209"/>
        <v>-</v>
      </c>
      <c r="AB399" s="59"/>
      <c r="AC399" s="58" t="str">
        <f t="shared" si="210"/>
        <v/>
      </c>
      <c r="AD399" s="59"/>
      <c r="AE399" s="58" t="str">
        <f t="shared" si="211"/>
        <v/>
      </c>
      <c r="AF399" s="59"/>
      <c r="AG399" s="58" t="str">
        <f t="shared" si="212"/>
        <v/>
      </c>
      <c r="AH399" s="59"/>
      <c r="AI399" s="58" t="str">
        <f t="shared" si="213"/>
        <v/>
      </c>
      <c r="AJ399" s="59"/>
      <c r="AK399" s="58" t="str">
        <f t="shared" si="214"/>
        <v/>
      </c>
      <c r="AL399" s="59"/>
      <c r="AM399" s="58" t="str">
        <f t="shared" si="215"/>
        <v/>
      </c>
      <c r="AN399" s="59"/>
      <c r="AO399" s="58" t="str">
        <f t="shared" si="216"/>
        <v/>
      </c>
      <c r="AP399" s="59"/>
      <c r="AQ399" s="58" t="str">
        <f t="shared" si="217"/>
        <v/>
      </c>
      <c r="AR399" s="59"/>
      <c r="AS399" s="58" t="str">
        <f t="shared" si="218"/>
        <v/>
      </c>
      <c r="AT399" s="59"/>
      <c r="AU399" s="58" t="str">
        <f t="shared" si="219"/>
        <v/>
      </c>
      <c r="AV399" s="59"/>
      <c r="AW399" s="58" t="str">
        <f t="shared" si="220"/>
        <v/>
      </c>
      <c r="AX399" s="59"/>
      <c r="AY399" s="58" t="str">
        <f t="shared" si="221"/>
        <v/>
      </c>
      <c r="AZ399" s="59"/>
      <c r="BA399" s="58" t="str">
        <f t="shared" si="222"/>
        <v/>
      </c>
      <c r="BB399" s="59"/>
      <c r="BC399" s="58" t="str">
        <f t="shared" si="223"/>
        <v/>
      </c>
      <c r="BD399" s="59"/>
      <c r="BE399" s="58" t="str">
        <f t="shared" si="224"/>
        <v/>
      </c>
      <c r="BF399" s="59"/>
      <c r="BG399" s="58" t="str">
        <f t="shared" si="225"/>
        <v/>
      </c>
      <c r="BH399" s="59"/>
      <c r="BI399" s="58" t="str">
        <f t="shared" si="226"/>
        <v/>
      </c>
      <c r="BJ399" s="59"/>
      <c r="BK399" s="58" t="str">
        <f t="shared" si="227"/>
        <v/>
      </c>
      <c r="BL399" s="59"/>
      <c r="BM399" s="58" t="str">
        <f t="shared" si="228"/>
        <v/>
      </c>
      <c r="BN399" s="59"/>
      <c r="BO399" s="58" t="str">
        <f t="shared" si="229"/>
        <v/>
      </c>
      <c r="BP399" s="59"/>
      <c r="BQ399" s="58" t="str">
        <f t="shared" si="230"/>
        <v/>
      </c>
      <c r="BR399" s="59"/>
      <c r="BS399" s="58" t="str">
        <f t="shared" si="231"/>
        <v/>
      </c>
      <c r="BT399" s="59"/>
      <c r="BU399" s="58" t="str">
        <f t="shared" si="232"/>
        <v/>
      </c>
      <c r="BV399" s="59"/>
    </row>
    <row r="400" spans="1:74" ht="14.5">
      <c r="A400" s="51" t="s">
        <v>58</v>
      </c>
      <c r="B400" s="52">
        <v>393</v>
      </c>
      <c r="C400" s="52" t="s">
        <v>188</v>
      </c>
      <c r="D400" s="41">
        <f t="shared" si="205"/>
        <v>5</v>
      </c>
      <c r="E400" s="52" t="s">
        <v>193</v>
      </c>
      <c r="F400" s="52" t="s">
        <v>300</v>
      </c>
      <c r="G400" s="52" t="s">
        <v>162</v>
      </c>
      <c r="H400" s="52" t="s">
        <v>560</v>
      </c>
      <c r="I400" s="53">
        <v>45688</v>
      </c>
      <c r="J400" s="108">
        <v>1120</v>
      </c>
      <c r="K400" s="101"/>
      <c r="L400" s="101"/>
      <c r="M400" s="101">
        <f t="shared" si="206"/>
        <v>1120</v>
      </c>
      <c r="N400" s="54">
        <f t="shared" si="207"/>
        <v>1120</v>
      </c>
      <c r="O400" s="101" t="s">
        <v>178</v>
      </c>
      <c r="P400" s="102">
        <f t="shared" si="208"/>
        <v>1.5555555555555556</v>
      </c>
      <c r="Q400" s="102">
        <v>6</v>
      </c>
      <c r="R400" s="99">
        <v>120</v>
      </c>
      <c r="S400" s="55">
        <f t="shared" si="204"/>
        <v>45656</v>
      </c>
      <c r="T400" s="55"/>
      <c r="U400" s="56">
        <f t="shared" ca="1" si="201"/>
        <v>-184</v>
      </c>
      <c r="V400" s="55">
        <f t="shared" si="202"/>
        <v>45672</v>
      </c>
      <c r="W400" s="55"/>
      <c r="X400" s="56">
        <f t="shared" ca="1" si="203"/>
        <v>-168</v>
      </c>
      <c r="Y400" s="55"/>
      <c r="Z400" s="57"/>
      <c r="AA400" s="58" t="str">
        <f t="shared" si="209"/>
        <v>-</v>
      </c>
      <c r="AB400" s="59"/>
      <c r="AC400" s="58" t="str">
        <f t="shared" si="210"/>
        <v/>
      </c>
      <c r="AD400" s="59"/>
      <c r="AE400" s="58" t="str">
        <f t="shared" si="211"/>
        <v/>
      </c>
      <c r="AF400" s="59"/>
      <c r="AG400" s="58" t="str">
        <f t="shared" si="212"/>
        <v/>
      </c>
      <c r="AH400" s="59"/>
      <c r="AI400" s="58" t="str">
        <f t="shared" si="213"/>
        <v/>
      </c>
      <c r="AJ400" s="59"/>
      <c r="AK400" s="58" t="str">
        <f t="shared" si="214"/>
        <v/>
      </c>
      <c r="AL400" s="59"/>
      <c r="AM400" s="58" t="str">
        <f t="shared" si="215"/>
        <v/>
      </c>
      <c r="AN400" s="59"/>
      <c r="AO400" s="58" t="str">
        <f t="shared" si="216"/>
        <v/>
      </c>
      <c r="AP400" s="59"/>
      <c r="AQ400" s="58" t="str">
        <f t="shared" si="217"/>
        <v/>
      </c>
      <c r="AR400" s="59"/>
      <c r="AS400" s="58" t="str">
        <f t="shared" si="218"/>
        <v/>
      </c>
      <c r="AT400" s="59"/>
      <c r="AU400" s="58" t="str">
        <f t="shared" si="219"/>
        <v/>
      </c>
      <c r="AV400" s="59"/>
      <c r="AW400" s="58" t="str">
        <f t="shared" si="220"/>
        <v/>
      </c>
      <c r="AX400" s="59"/>
      <c r="AY400" s="58" t="str">
        <f t="shared" si="221"/>
        <v/>
      </c>
      <c r="AZ400" s="59"/>
      <c r="BA400" s="58" t="str">
        <f t="shared" si="222"/>
        <v/>
      </c>
      <c r="BB400" s="59"/>
      <c r="BC400" s="58" t="str">
        <f t="shared" si="223"/>
        <v/>
      </c>
      <c r="BD400" s="59"/>
      <c r="BE400" s="58" t="str">
        <f t="shared" si="224"/>
        <v/>
      </c>
      <c r="BF400" s="59"/>
      <c r="BG400" s="58" t="str">
        <f t="shared" si="225"/>
        <v/>
      </c>
      <c r="BH400" s="59"/>
      <c r="BI400" s="58" t="str">
        <f t="shared" si="226"/>
        <v/>
      </c>
      <c r="BJ400" s="59"/>
      <c r="BK400" s="58" t="str">
        <f t="shared" si="227"/>
        <v/>
      </c>
      <c r="BL400" s="59"/>
      <c r="BM400" s="58" t="str">
        <f t="shared" si="228"/>
        <v/>
      </c>
      <c r="BN400" s="59"/>
      <c r="BO400" s="58" t="str">
        <f t="shared" si="229"/>
        <v/>
      </c>
      <c r="BP400" s="59"/>
      <c r="BQ400" s="58" t="str">
        <f t="shared" si="230"/>
        <v/>
      </c>
      <c r="BR400" s="59"/>
      <c r="BS400" s="58" t="str">
        <f t="shared" si="231"/>
        <v/>
      </c>
      <c r="BT400" s="59"/>
      <c r="BU400" s="58" t="str">
        <f t="shared" si="232"/>
        <v/>
      </c>
      <c r="BV400" s="59"/>
    </row>
    <row r="401" spans="1:74" ht="14.5">
      <c r="A401" s="51" t="s">
        <v>58</v>
      </c>
      <c r="B401" s="52">
        <v>393</v>
      </c>
      <c r="C401" s="52" t="s">
        <v>188</v>
      </c>
      <c r="D401" s="41">
        <f t="shared" si="205"/>
        <v>5</v>
      </c>
      <c r="E401" s="52" t="s">
        <v>189</v>
      </c>
      <c r="F401" s="52" t="s">
        <v>242</v>
      </c>
      <c r="G401" s="52" t="s">
        <v>162</v>
      </c>
      <c r="H401" s="52" t="s">
        <v>498</v>
      </c>
      <c r="I401" s="53">
        <v>45688</v>
      </c>
      <c r="J401" s="108">
        <v>3520</v>
      </c>
      <c r="K401" s="101"/>
      <c r="L401" s="101"/>
      <c r="M401" s="101">
        <f t="shared" si="206"/>
        <v>3520</v>
      </c>
      <c r="N401" s="54">
        <f t="shared" si="207"/>
        <v>3520</v>
      </c>
      <c r="O401" s="101" t="s">
        <v>178</v>
      </c>
      <c r="P401" s="102">
        <f t="shared" si="208"/>
        <v>4.8888888888888893</v>
      </c>
      <c r="Q401" s="102">
        <v>6</v>
      </c>
      <c r="R401" s="99">
        <v>120</v>
      </c>
      <c r="S401" s="55">
        <f t="shared" si="204"/>
        <v>45656</v>
      </c>
      <c r="T401" s="55"/>
      <c r="U401" s="56">
        <f t="shared" ca="1" si="201"/>
        <v>-184</v>
      </c>
      <c r="V401" s="55">
        <f t="shared" si="202"/>
        <v>45672</v>
      </c>
      <c r="W401" s="55"/>
      <c r="X401" s="56">
        <f t="shared" ca="1" si="203"/>
        <v>-168</v>
      </c>
      <c r="Y401" s="55"/>
      <c r="Z401" s="57"/>
      <c r="AA401" s="58" t="str">
        <f t="shared" si="209"/>
        <v>-</v>
      </c>
      <c r="AB401" s="59"/>
      <c r="AC401" s="58" t="str">
        <f t="shared" si="210"/>
        <v/>
      </c>
      <c r="AD401" s="59"/>
      <c r="AE401" s="58" t="str">
        <f t="shared" si="211"/>
        <v/>
      </c>
      <c r="AF401" s="59"/>
      <c r="AG401" s="58" t="str">
        <f t="shared" si="212"/>
        <v/>
      </c>
      <c r="AH401" s="59"/>
      <c r="AI401" s="58" t="str">
        <f t="shared" si="213"/>
        <v/>
      </c>
      <c r="AJ401" s="59"/>
      <c r="AK401" s="58" t="str">
        <f t="shared" si="214"/>
        <v/>
      </c>
      <c r="AL401" s="59"/>
      <c r="AM401" s="58" t="str">
        <f t="shared" si="215"/>
        <v/>
      </c>
      <c r="AN401" s="59"/>
      <c r="AO401" s="58" t="str">
        <f t="shared" si="216"/>
        <v/>
      </c>
      <c r="AP401" s="59"/>
      <c r="AQ401" s="58" t="str">
        <f t="shared" si="217"/>
        <v/>
      </c>
      <c r="AR401" s="59"/>
      <c r="AS401" s="58" t="str">
        <f t="shared" si="218"/>
        <v/>
      </c>
      <c r="AT401" s="59"/>
      <c r="AU401" s="58" t="str">
        <f t="shared" si="219"/>
        <v/>
      </c>
      <c r="AV401" s="59"/>
      <c r="AW401" s="58" t="str">
        <f t="shared" si="220"/>
        <v/>
      </c>
      <c r="AX401" s="59"/>
      <c r="AY401" s="58" t="str">
        <f t="shared" si="221"/>
        <v/>
      </c>
      <c r="AZ401" s="59"/>
      <c r="BA401" s="58" t="str">
        <f t="shared" si="222"/>
        <v/>
      </c>
      <c r="BB401" s="59"/>
      <c r="BC401" s="58" t="str">
        <f t="shared" si="223"/>
        <v/>
      </c>
      <c r="BD401" s="59"/>
      <c r="BE401" s="58" t="str">
        <f t="shared" si="224"/>
        <v/>
      </c>
      <c r="BF401" s="59"/>
      <c r="BG401" s="58" t="str">
        <f t="shared" si="225"/>
        <v/>
      </c>
      <c r="BH401" s="59"/>
      <c r="BI401" s="58" t="str">
        <f t="shared" si="226"/>
        <v/>
      </c>
      <c r="BJ401" s="59"/>
      <c r="BK401" s="58" t="str">
        <f t="shared" si="227"/>
        <v/>
      </c>
      <c r="BL401" s="59"/>
      <c r="BM401" s="58" t="str">
        <f t="shared" si="228"/>
        <v/>
      </c>
      <c r="BN401" s="59"/>
      <c r="BO401" s="58" t="str">
        <f t="shared" si="229"/>
        <v/>
      </c>
      <c r="BP401" s="59"/>
      <c r="BQ401" s="58" t="str">
        <f t="shared" si="230"/>
        <v/>
      </c>
      <c r="BR401" s="59"/>
      <c r="BS401" s="58" t="str">
        <f t="shared" si="231"/>
        <v/>
      </c>
      <c r="BT401" s="59"/>
      <c r="BU401" s="58" t="str">
        <f t="shared" si="232"/>
        <v/>
      </c>
      <c r="BV401" s="59"/>
    </row>
    <row r="402" spans="1:74" ht="14.5">
      <c r="A402" s="51" t="s">
        <v>58</v>
      </c>
      <c r="B402" s="52">
        <v>395</v>
      </c>
      <c r="C402" s="52" t="s">
        <v>188</v>
      </c>
      <c r="D402" s="41">
        <f t="shared" si="205"/>
        <v>5</v>
      </c>
      <c r="E402" s="52" t="s">
        <v>201</v>
      </c>
      <c r="F402" s="52" t="s">
        <v>247</v>
      </c>
      <c r="G402" s="52" t="s">
        <v>441</v>
      </c>
      <c r="H402" s="52" t="s">
        <v>442</v>
      </c>
      <c r="I402" s="53">
        <v>45688</v>
      </c>
      <c r="J402" s="108">
        <v>14256</v>
      </c>
      <c r="K402" s="101"/>
      <c r="L402" s="101"/>
      <c r="M402" s="101">
        <f t="shared" si="206"/>
        <v>14256</v>
      </c>
      <c r="N402" s="54">
        <f t="shared" si="207"/>
        <v>14256</v>
      </c>
      <c r="O402" s="101" t="s">
        <v>443</v>
      </c>
      <c r="P402" s="102">
        <f t="shared" si="208"/>
        <v>8.1462857142857139</v>
      </c>
      <c r="Q402" s="102">
        <v>5</v>
      </c>
      <c r="R402" s="99">
        <v>350</v>
      </c>
      <c r="S402" s="55">
        <f t="shared" si="204"/>
        <v>45656</v>
      </c>
      <c r="T402" s="55"/>
      <c r="U402" s="56">
        <f t="shared" ca="1" si="201"/>
        <v>-184</v>
      </c>
      <c r="V402" s="55">
        <f t="shared" ref="V402:V430" si="233">+S402+16</f>
        <v>45672</v>
      </c>
      <c r="W402" s="55"/>
      <c r="X402" s="56">
        <f t="shared" ca="1" si="203"/>
        <v>-168</v>
      </c>
      <c r="Y402" s="55"/>
      <c r="Z402" s="57"/>
      <c r="AA402" s="58" t="str">
        <f t="shared" si="209"/>
        <v>-</v>
      </c>
      <c r="AB402" s="59"/>
      <c r="AC402" s="58" t="str">
        <f t="shared" si="210"/>
        <v/>
      </c>
      <c r="AD402" s="59"/>
      <c r="AE402" s="58" t="str">
        <f t="shared" si="211"/>
        <v/>
      </c>
      <c r="AF402" s="59"/>
      <c r="AG402" s="58" t="str">
        <f t="shared" si="212"/>
        <v/>
      </c>
      <c r="AH402" s="59"/>
      <c r="AI402" s="58" t="str">
        <f t="shared" si="213"/>
        <v/>
      </c>
      <c r="AJ402" s="59"/>
      <c r="AK402" s="58" t="str">
        <f t="shared" si="214"/>
        <v/>
      </c>
      <c r="AL402" s="59"/>
      <c r="AM402" s="58" t="str">
        <f t="shared" si="215"/>
        <v/>
      </c>
      <c r="AN402" s="59"/>
      <c r="AO402" s="58" t="str">
        <f t="shared" si="216"/>
        <v/>
      </c>
      <c r="AP402" s="59"/>
      <c r="AQ402" s="58" t="str">
        <f t="shared" si="217"/>
        <v/>
      </c>
      <c r="AR402" s="59"/>
      <c r="AS402" s="58" t="str">
        <f t="shared" si="218"/>
        <v/>
      </c>
      <c r="AT402" s="59"/>
      <c r="AU402" s="58" t="str">
        <f t="shared" si="219"/>
        <v/>
      </c>
      <c r="AV402" s="59"/>
      <c r="AW402" s="58" t="str">
        <f t="shared" si="220"/>
        <v/>
      </c>
      <c r="AX402" s="59"/>
      <c r="AY402" s="58" t="str">
        <f t="shared" si="221"/>
        <v/>
      </c>
      <c r="AZ402" s="59"/>
      <c r="BA402" s="58" t="str">
        <f t="shared" si="222"/>
        <v/>
      </c>
      <c r="BB402" s="59"/>
      <c r="BC402" s="58" t="str">
        <f t="shared" si="223"/>
        <v/>
      </c>
      <c r="BD402" s="59"/>
      <c r="BE402" s="58" t="str">
        <f t="shared" si="224"/>
        <v/>
      </c>
      <c r="BF402" s="59"/>
      <c r="BG402" s="58" t="str">
        <f t="shared" si="225"/>
        <v/>
      </c>
      <c r="BH402" s="59"/>
      <c r="BI402" s="58" t="str">
        <f t="shared" si="226"/>
        <v/>
      </c>
      <c r="BJ402" s="59"/>
      <c r="BK402" s="58" t="str">
        <f t="shared" si="227"/>
        <v/>
      </c>
      <c r="BL402" s="59"/>
      <c r="BM402" s="58" t="str">
        <f t="shared" si="228"/>
        <v/>
      </c>
      <c r="BN402" s="59"/>
      <c r="BO402" s="58" t="str">
        <f t="shared" si="229"/>
        <v/>
      </c>
      <c r="BP402" s="59"/>
      <c r="BQ402" s="58" t="str">
        <f t="shared" si="230"/>
        <v/>
      </c>
      <c r="BR402" s="59"/>
      <c r="BS402" s="58" t="str">
        <f t="shared" si="231"/>
        <v/>
      </c>
      <c r="BT402" s="59"/>
      <c r="BU402" s="58" t="str">
        <f t="shared" si="232"/>
        <v/>
      </c>
      <c r="BV402" s="59"/>
    </row>
    <row r="403" spans="1:74" ht="14.5">
      <c r="A403" s="51" t="s">
        <v>58</v>
      </c>
      <c r="B403" s="52">
        <v>395</v>
      </c>
      <c r="C403" s="52" t="s">
        <v>188</v>
      </c>
      <c r="D403" s="41">
        <f t="shared" si="205"/>
        <v>5</v>
      </c>
      <c r="E403" s="52" t="s">
        <v>195</v>
      </c>
      <c r="F403" s="52" t="s">
        <v>454</v>
      </c>
      <c r="G403" s="52" t="s">
        <v>162</v>
      </c>
      <c r="H403" s="52" t="s">
        <v>455</v>
      </c>
      <c r="I403" s="53">
        <v>45688</v>
      </c>
      <c r="J403" s="108">
        <v>2820</v>
      </c>
      <c r="K403" s="101"/>
      <c r="L403" s="101"/>
      <c r="M403" s="101">
        <f t="shared" si="206"/>
        <v>2820</v>
      </c>
      <c r="N403" s="54">
        <f t="shared" si="207"/>
        <v>2820</v>
      </c>
      <c r="O403" s="101" t="s">
        <v>178</v>
      </c>
      <c r="P403" s="102">
        <f t="shared" si="208"/>
        <v>3.9166666666666665</v>
      </c>
      <c r="Q403" s="102">
        <v>6</v>
      </c>
      <c r="R403" s="99">
        <v>120</v>
      </c>
      <c r="S403" s="55">
        <f t="shared" si="204"/>
        <v>45656</v>
      </c>
      <c r="T403" s="55"/>
      <c r="U403" s="56">
        <f t="shared" ca="1" si="201"/>
        <v>-184</v>
      </c>
      <c r="V403" s="55">
        <f t="shared" si="233"/>
        <v>45672</v>
      </c>
      <c r="W403" s="55"/>
      <c r="X403" s="56">
        <f t="shared" ca="1" si="203"/>
        <v>-168</v>
      </c>
      <c r="Y403" s="55"/>
      <c r="Z403" s="57"/>
      <c r="AA403" s="58" t="str">
        <f t="shared" si="209"/>
        <v>-</v>
      </c>
      <c r="AB403" s="59"/>
      <c r="AC403" s="58" t="str">
        <f t="shared" si="210"/>
        <v/>
      </c>
      <c r="AD403" s="59"/>
      <c r="AE403" s="58" t="str">
        <f t="shared" si="211"/>
        <v/>
      </c>
      <c r="AF403" s="59"/>
      <c r="AG403" s="58" t="str">
        <f t="shared" si="212"/>
        <v/>
      </c>
      <c r="AH403" s="59"/>
      <c r="AI403" s="58" t="str">
        <f t="shared" si="213"/>
        <v/>
      </c>
      <c r="AJ403" s="59"/>
      <c r="AK403" s="58" t="str">
        <f t="shared" si="214"/>
        <v/>
      </c>
      <c r="AL403" s="59"/>
      <c r="AM403" s="58" t="str">
        <f t="shared" si="215"/>
        <v/>
      </c>
      <c r="AN403" s="59"/>
      <c r="AO403" s="58" t="str">
        <f t="shared" si="216"/>
        <v/>
      </c>
      <c r="AP403" s="59"/>
      <c r="AQ403" s="58" t="str">
        <f t="shared" si="217"/>
        <v/>
      </c>
      <c r="AR403" s="59"/>
      <c r="AS403" s="58" t="str">
        <f t="shared" si="218"/>
        <v/>
      </c>
      <c r="AT403" s="59"/>
      <c r="AU403" s="58" t="str">
        <f t="shared" si="219"/>
        <v/>
      </c>
      <c r="AV403" s="59"/>
      <c r="AW403" s="58" t="str">
        <f t="shared" si="220"/>
        <v/>
      </c>
      <c r="AX403" s="59"/>
      <c r="AY403" s="58" t="str">
        <f t="shared" si="221"/>
        <v/>
      </c>
      <c r="AZ403" s="59"/>
      <c r="BA403" s="58" t="str">
        <f t="shared" si="222"/>
        <v/>
      </c>
      <c r="BB403" s="59"/>
      <c r="BC403" s="58" t="str">
        <f t="shared" si="223"/>
        <v/>
      </c>
      <c r="BD403" s="59"/>
      <c r="BE403" s="58" t="str">
        <f t="shared" si="224"/>
        <v/>
      </c>
      <c r="BF403" s="59"/>
      <c r="BG403" s="58" t="str">
        <f t="shared" si="225"/>
        <v/>
      </c>
      <c r="BH403" s="59"/>
      <c r="BI403" s="58" t="str">
        <f t="shared" si="226"/>
        <v/>
      </c>
      <c r="BJ403" s="59"/>
      <c r="BK403" s="58" t="str">
        <f t="shared" si="227"/>
        <v/>
      </c>
      <c r="BL403" s="59"/>
      <c r="BM403" s="58" t="str">
        <f t="shared" si="228"/>
        <v/>
      </c>
      <c r="BN403" s="59"/>
      <c r="BO403" s="58" t="str">
        <f t="shared" si="229"/>
        <v/>
      </c>
      <c r="BP403" s="59"/>
      <c r="BQ403" s="58" t="str">
        <f t="shared" si="230"/>
        <v/>
      </c>
      <c r="BR403" s="59"/>
      <c r="BS403" s="58" t="str">
        <f t="shared" si="231"/>
        <v/>
      </c>
      <c r="BT403" s="59"/>
      <c r="BU403" s="58" t="str">
        <f t="shared" si="232"/>
        <v/>
      </c>
      <c r="BV403" s="59"/>
    </row>
    <row r="404" spans="1:74" ht="14.5">
      <c r="A404" s="51" t="s">
        <v>58</v>
      </c>
      <c r="B404" s="52">
        <v>395</v>
      </c>
      <c r="C404" s="52" t="s">
        <v>188</v>
      </c>
      <c r="D404" s="41">
        <f t="shared" si="205"/>
        <v>5</v>
      </c>
      <c r="E404" s="52" t="s">
        <v>502</v>
      </c>
      <c r="F404" s="52" t="s">
        <v>289</v>
      </c>
      <c r="G404" s="52" t="s">
        <v>155</v>
      </c>
      <c r="H404" s="52" t="s">
        <v>561</v>
      </c>
      <c r="I404" s="53">
        <v>45688</v>
      </c>
      <c r="J404" s="108">
        <v>2244</v>
      </c>
      <c r="K404" s="101"/>
      <c r="L404" s="101"/>
      <c r="M404" s="101">
        <f t="shared" si="206"/>
        <v>2244</v>
      </c>
      <c r="N404" s="54">
        <f t="shared" si="207"/>
        <v>2244</v>
      </c>
      <c r="O404" s="101" t="s">
        <v>504</v>
      </c>
      <c r="P404" s="102">
        <f t="shared" si="208"/>
        <v>11.6875</v>
      </c>
      <c r="Q404" s="102">
        <v>6</v>
      </c>
      <c r="R404" s="99">
        <f>480/15</f>
        <v>32</v>
      </c>
      <c r="S404" s="55">
        <f t="shared" si="204"/>
        <v>45656</v>
      </c>
      <c r="T404" s="55"/>
      <c r="U404" s="56">
        <f t="shared" ca="1" si="201"/>
        <v>-184</v>
      </c>
      <c r="V404" s="55">
        <f t="shared" si="233"/>
        <v>45672</v>
      </c>
      <c r="W404" s="55"/>
      <c r="X404" s="56">
        <f t="shared" ca="1" si="203"/>
        <v>-168</v>
      </c>
      <c r="Y404" s="55"/>
      <c r="Z404" s="57"/>
      <c r="AA404" s="58" t="str">
        <f t="shared" si="209"/>
        <v>-</v>
      </c>
      <c r="AB404" s="59"/>
      <c r="AC404" s="58" t="str">
        <f t="shared" si="210"/>
        <v/>
      </c>
      <c r="AD404" s="59"/>
      <c r="AE404" s="58" t="str">
        <f t="shared" si="211"/>
        <v/>
      </c>
      <c r="AF404" s="59"/>
      <c r="AG404" s="58" t="str">
        <f t="shared" si="212"/>
        <v/>
      </c>
      <c r="AH404" s="59"/>
      <c r="AI404" s="58" t="str">
        <f t="shared" si="213"/>
        <v/>
      </c>
      <c r="AJ404" s="59"/>
      <c r="AK404" s="58" t="str">
        <f t="shared" si="214"/>
        <v/>
      </c>
      <c r="AL404" s="59"/>
      <c r="AM404" s="58" t="str">
        <f t="shared" si="215"/>
        <v/>
      </c>
      <c r="AN404" s="59"/>
      <c r="AO404" s="58" t="str">
        <f t="shared" si="216"/>
        <v/>
      </c>
      <c r="AP404" s="59"/>
      <c r="AQ404" s="58" t="str">
        <f t="shared" si="217"/>
        <v/>
      </c>
      <c r="AR404" s="59"/>
      <c r="AS404" s="58" t="str">
        <f t="shared" si="218"/>
        <v/>
      </c>
      <c r="AT404" s="59"/>
      <c r="AU404" s="58" t="str">
        <f t="shared" si="219"/>
        <v/>
      </c>
      <c r="AV404" s="59"/>
      <c r="AW404" s="58" t="str">
        <f t="shared" si="220"/>
        <v/>
      </c>
      <c r="AX404" s="59"/>
      <c r="AY404" s="58" t="str">
        <f t="shared" si="221"/>
        <v/>
      </c>
      <c r="AZ404" s="59"/>
      <c r="BA404" s="58" t="str">
        <f t="shared" si="222"/>
        <v/>
      </c>
      <c r="BB404" s="59"/>
      <c r="BC404" s="58" t="str">
        <f t="shared" si="223"/>
        <v/>
      </c>
      <c r="BD404" s="59"/>
      <c r="BE404" s="58" t="str">
        <f t="shared" si="224"/>
        <v/>
      </c>
      <c r="BF404" s="59"/>
      <c r="BG404" s="58" t="str">
        <f t="shared" si="225"/>
        <v/>
      </c>
      <c r="BH404" s="59"/>
      <c r="BI404" s="58" t="str">
        <f t="shared" si="226"/>
        <v/>
      </c>
      <c r="BJ404" s="59"/>
      <c r="BK404" s="58" t="str">
        <f t="shared" si="227"/>
        <v/>
      </c>
      <c r="BL404" s="59"/>
      <c r="BM404" s="58" t="str">
        <f t="shared" si="228"/>
        <v/>
      </c>
      <c r="BN404" s="59"/>
      <c r="BO404" s="58" t="str">
        <f t="shared" si="229"/>
        <v/>
      </c>
      <c r="BP404" s="59"/>
      <c r="BQ404" s="58" t="str">
        <f t="shared" si="230"/>
        <v/>
      </c>
      <c r="BR404" s="59"/>
      <c r="BS404" s="58" t="str">
        <f t="shared" si="231"/>
        <v/>
      </c>
      <c r="BT404" s="59"/>
      <c r="BU404" s="58" t="str">
        <f t="shared" si="232"/>
        <v/>
      </c>
      <c r="BV404" s="59"/>
    </row>
    <row r="405" spans="1:74" ht="14.5">
      <c r="A405" s="51" t="s">
        <v>58</v>
      </c>
      <c r="B405" s="52">
        <v>395</v>
      </c>
      <c r="C405" s="52" t="s">
        <v>188</v>
      </c>
      <c r="D405" s="41">
        <f t="shared" si="205"/>
        <v>5</v>
      </c>
      <c r="E405" s="52" t="s">
        <v>502</v>
      </c>
      <c r="F405" s="52" t="s">
        <v>289</v>
      </c>
      <c r="G405" s="52" t="s">
        <v>154</v>
      </c>
      <c r="H405" s="52" t="s">
        <v>561</v>
      </c>
      <c r="I405" s="53">
        <v>45688</v>
      </c>
      <c r="J405" s="108">
        <v>1870</v>
      </c>
      <c r="K405" s="101"/>
      <c r="L405" s="101"/>
      <c r="M405" s="101">
        <f t="shared" si="206"/>
        <v>1870</v>
      </c>
      <c r="N405" s="54">
        <f t="shared" si="207"/>
        <v>1870</v>
      </c>
      <c r="O405" s="101" t="s">
        <v>505</v>
      </c>
      <c r="P405" s="102">
        <f t="shared" si="208"/>
        <v>9.7395833333333339</v>
      </c>
      <c r="Q405" s="102">
        <v>6</v>
      </c>
      <c r="R405" s="99">
        <f>480/15</f>
        <v>32</v>
      </c>
      <c r="S405" s="55">
        <f t="shared" si="204"/>
        <v>45656</v>
      </c>
      <c r="T405" s="55"/>
      <c r="U405" s="56">
        <f t="shared" ca="1" si="201"/>
        <v>-184</v>
      </c>
      <c r="V405" s="55">
        <f t="shared" si="233"/>
        <v>45672</v>
      </c>
      <c r="W405" s="55"/>
      <c r="X405" s="56">
        <f t="shared" ca="1" si="203"/>
        <v>-168</v>
      </c>
      <c r="Y405" s="55"/>
      <c r="Z405" s="57"/>
      <c r="AA405" s="58" t="str">
        <f t="shared" si="209"/>
        <v>-</v>
      </c>
      <c r="AB405" s="59"/>
      <c r="AC405" s="58" t="str">
        <f t="shared" si="210"/>
        <v/>
      </c>
      <c r="AD405" s="59"/>
      <c r="AE405" s="58" t="str">
        <f t="shared" si="211"/>
        <v/>
      </c>
      <c r="AF405" s="59"/>
      <c r="AG405" s="58" t="str">
        <f t="shared" si="212"/>
        <v/>
      </c>
      <c r="AH405" s="59"/>
      <c r="AI405" s="58" t="str">
        <f t="shared" si="213"/>
        <v/>
      </c>
      <c r="AJ405" s="59"/>
      <c r="AK405" s="58" t="str">
        <f t="shared" si="214"/>
        <v/>
      </c>
      <c r="AL405" s="59"/>
      <c r="AM405" s="58" t="str">
        <f t="shared" si="215"/>
        <v/>
      </c>
      <c r="AN405" s="59"/>
      <c r="AO405" s="58" t="str">
        <f t="shared" si="216"/>
        <v/>
      </c>
      <c r="AP405" s="59"/>
      <c r="AQ405" s="58" t="str">
        <f t="shared" si="217"/>
        <v/>
      </c>
      <c r="AR405" s="59"/>
      <c r="AS405" s="58" t="str">
        <f t="shared" si="218"/>
        <v/>
      </c>
      <c r="AT405" s="59"/>
      <c r="AU405" s="58" t="str">
        <f t="shared" si="219"/>
        <v/>
      </c>
      <c r="AV405" s="59"/>
      <c r="AW405" s="58" t="str">
        <f t="shared" si="220"/>
        <v/>
      </c>
      <c r="AX405" s="59"/>
      <c r="AY405" s="58" t="str">
        <f t="shared" si="221"/>
        <v/>
      </c>
      <c r="AZ405" s="59"/>
      <c r="BA405" s="58" t="str">
        <f t="shared" si="222"/>
        <v/>
      </c>
      <c r="BB405" s="59"/>
      <c r="BC405" s="58" t="str">
        <f t="shared" si="223"/>
        <v/>
      </c>
      <c r="BD405" s="59"/>
      <c r="BE405" s="58" t="str">
        <f t="shared" si="224"/>
        <v/>
      </c>
      <c r="BF405" s="59"/>
      <c r="BG405" s="58" t="str">
        <f t="shared" si="225"/>
        <v/>
      </c>
      <c r="BH405" s="59"/>
      <c r="BI405" s="58" t="str">
        <f t="shared" si="226"/>
        <v/>
      </c>
      <c r="BJ405" s="59"/>
      <c r="BK405" s="58" t="str">
        <f t="shared" si="227"/>
        <v/>
      </c>
      <c r="BL405" s="59"/>
      <c r="BM405" s="58" t="str">
        <f t="shared" si="228"/>
        <v/>
      </c>
      <c r="BN405" s="59"/>
      <c r="BO405" s="58" t="str">
        <f t="shared" si="229"/>
        <v/>
      </c>
      <c r="BP405" s="59"/>
      <c r="BQ405" s="58" t="str">
        <f t="shared" si="230"/>
        <v/>
      </c>
      <c r="BR405" s="59"/>
      <c r="BS405" s="58" t="str">
        <f t="shared" si="231"/>
        <v/>
      </c>
      <c r="BT405" s="59"/>
      <c r="BU405" s="58" t="str">
        <f t="shared" si="232"/>
        <v/>
      </c>
      <c r="BV405" s="59"/>
    </row>
    <row r="406" spans="1:74" ht="14.5">
      <c r="A406" s="51" t="s">
        <v>58</v>
      </c>
      <c r="B406" s="52">
        <v>395</v>
      </c>
      <c r="C406" s="52" t="s">
        <v>188</v>
      </c>
      <c r="D406" s="41">
        <f t="shared" si="205"/>
        <v>5</v>
      </c>
      <c r="E406" s="52" t="s">
        <v>502</v>
      </c>
      <c r="F406" s="52" t="s">
        <v>289</v>
      </c>
      <c r="G406" s="52" t="s">
        <v>156</v>
      </c>
      <c r="H406" s="52" t="s">
        <v>561</v>
      </c>
      <c r="I406" s="53">
        <v>45688</v>
      </c>
      <c r="J406" s="108">
        <v>1496</v>
      </c>
      <c r="K406" s="101"/>
      <c r="L406" s="101"/>
      <c r="M406" s="101">
        <f t="shared" si="206"/>
        <v>1496</v>
      </c>
      <c r="N406" s="54">
        <f t="shared" si="207"/>
        <v>1496</v>
      </c>
      <c r="O406" s="101" t="s">
        <v>506</v>
      </c>
      <c r="P406" s="102">
        <f t="shared" si="208"/>
        <v>7.791666666666667</v>
      </c>
      <c r="Q406" s="102">
        <v>6</v>
      </c>
      <c r="R406" s="99">
        <f>480/15</f>
        <v>32</v>
      </c>
      <c r="S406" s="55">
        <f t="shared" si="204"/>
        <v>45656</v>
      </c>
      <c r="T406" s="55"/>
      <c r="U406" s="56">
        <f t="shared" ca="1" si="201"/>
        <v>-184</v>
      </c>
      <c r="V406" s="55">
        <f t="shared" si="233"/>
        <v>45672</v>
      </c>
      <c r="W406" s="55"/>
      <c r="X406" s="56">
        <f t="shared" ca="1" si="203"/>
        <v>-168</v>
      </c>
      <c r="Y406" s="55"/>
      <c r="Z406" s="57"/>
      <c r="AA406" s="58" t="str">
        <f t="shared" si="209"/>
        <v>-</v>
      </c>
      <c r="AB406" s="59"/>
      <c r="AC406" s="58" t="str">
        <f t="shared" si="210"/>
        <v/>
      </c>
      <c r="AD406" s="59"/>
      <c r="AE406" s="58" t="str">
        <f t="shared" si="211"/>
        <v/>
      </c>
      <c r="AF406" s="59"/>
      <c r="AG406" s="58" t="str">
        <f t="shared" si="212"/>
        <v/>
      </c>
      <c r="AH406" s="59"/>
      <c r="AI406" s="58" t="str">
        <f t="shared" si="213"/>
        <v/>
      </c>
      <c r="AJ406" s="59"/>
      <c r="AK406" s="58" t="str">
        <f t="shared" si="214"/>
        <v/>
      </c>
      <c r="AL406" s="59"/>
      <c r="AM406" s="58" t="str">
        <f t="shared" si="215"/>
        <v/>
      </c>
      <c r="AN406" s="59"/>
      <c r="AO406" s="58" t="str">
        <f t="shared" si="216"/>
        <v/>
      </c>
      <c r="AP406" s="59"/>
      <c r="AQ406" s="58" t="str">
        <f t="shared" si="217"/>
        <v/>
      </c>
      <c r="AR406" s="59"/>
      <c r="AS406" s="58" t="str">
        <f t="shared" si="218"/>
        <v/>
      </c>
      <c r="AT406" s="59"/>
      <c r="AU406" s="58" t="str">
        <f t="shared" si="219"/>
        <v/>
      </c>
      <c r="AV406" s="59"/>
      <c r="AW406" s="58" t="str">
        <f t="shared" si="220"/>
        <v/>
      </c>
      <c r="AX406" s="59"/>
      <c r="AY406" s="58" t="str">
        <f t="shared" si="221"/>
        <v/>
      </c>
      <c r="AZ406" s="59"/>
      <c r="BA406" s="58" t="str">
        <f t="shared" si="222"/>
        <v/>
      </c>
      <c r="BB406" s="59"/>
      <c r="BC406" s="58" t="str">
        <f t="shared" si="223"/>
        <v/>
      </c>
      <c r="BD406" s="59"/>
      <c r="BE406" s="58" t="str">
        <f t="shared" si="224"/>
        <v/>
      </c>
      <c r="BF406" s="59"/>
      <c r="BG406" s="58" t="str">
        <f t="shared" si="225"/>
        <v/>
      </c>
      <c r="BH406" s="59"/>
      <c r="BI406" s="58" t="str">
        <f t="shared" si="226"/>
        <v/>
      </c>
      <c r="BJ406" s="59"/>
      <c r="BK406" s="58" t="str">
        <f t="shared" si="227"/>
        <v/>
      </c>
      <c r="BL406" s="59"/>
      <c r="BM406" s="58" t="str">
        <f t="shared" si="228"/>
        <v/>
      </c>
      <c r="BN406" s="59"/>
      <c r="BO406" s="58" t="str">
        <f t="shared" si="229"/>
        <v/>
      </c>
      <c r="BP406" s="59"/>
      <c r="BQ406" s="58" t="str">
        <f t="shared" si="230"/>
        <v/>
      </c>
      <c r="BR406" s="59"/>
      <c r="BS406" s="58" t="str">
        <f t="shared" si="231"/>
        <v/>
      </c>
      <c r="BT406" s="59"/>
      <c r="BU406" s="58" t="str">
        <f t="shared" si="232"/>
        <v/>
      </c>
      <c r="BV406" s="59"/>
    </row>
    <row r="407" spans="1:74" ht="14.5">
      <c r="A407" s="51" t="s">
        <v>58</v>
      </c>
      <c r="B407" s="52">
        <v>395</v>
      </c>
      <c r="C407" s="52" t="s">
        <v>188</v>
      </c>
      <c r="D407" s="41">
        <f t="shared" si="205"/>
        <v>5</v>
      </c>
      <c r="E407" s="52" t="s">
        <v>390</v>
      </c>
      <c r="F407" s="52" t="s">
        <v>242</v>
      </c>
      <c r="G407" s="52" t="s">
        <v>162</v>
      </c>
      <c r="H407" s="52" t="s">
        <v>497</v>
      </c>
      <c r="I407" s="53">
        <v>45688</v>
      </c>
      <c r="J407" s="108">
        <v>1848</v>
      </c>
      <c r="K407" s="101"/>
      <c r="L407" s="101"/>
      <c r="M407" s="101">
        <f t="shared" si="206"/>
        <v>1848</v>
      </c>
      <c r="N407" s="54">
        <f t="shared" si="207"/>
        <v>1848</v>
      </c>
      <c r="O407" s="101" t="s">
        <v>431</v>
      </c>
      <c r="P407" s="102">
        <f t="shared" si="208"/>
        <v>2.5666666666666669</v>
      </c>
      <c r="Q407" s="102">
        <v>6</v>
      </c>
      <c r="R407" s="99">
        <v>120</v>
      </c>
      <c r="S407" s="55">
        <f t="shared" ref="S407:S430" si="234">+I407-(32)</f>
        <v>45656</v>
      </c>
      <c r="T407" s="55"/>
      <c r="U407" s="56">
        <f t="shared" ca="1" si="201"/>
        <v>-184</v>
      </c>
      <c r="V407" s="55">
        <f t="shared" si="233"/>
        <v>45672</v>
      </c>
      <c r="W407" s="55"/>
      <c r="X407" s="56">
        <f t="shared" ca="1" si="203"/>
        <v>-168</v>
      </c>
      <c r="Y407" s="55"/>
      <c r="Z407" s="57"/>
      <c r="AA407" s="58" t="str">
        <f t="shared" si="209"/>
        <v>-</v>
      </c>
      <c r="AB407" s="59"/>
      <c r="AC407" s="58" t="str">
        <f t="shared" si="210"/>
        <v/>
      </c>
      <c r="AD407" s="59"/>
      <c r="AE407" s="58" t="str">
        <f t="shared" si="211"/>
        <v/>
      </c>
      <c r="AF407" s="59"/>
      <c r="AG407" s="58" t="str">
        <f t="shared" si="212"/>
        <v/>
      </c>
      <c r="AH407" s="59"/>
      <c r="AI407" s="58" t="str">
        <f t="shared" si="213"/>
        <v/>
      </c>
      <c r="AJ407" s="59"/>
      <c r="AK407" s="58" t="str">
        <f t="shared" si="214"/>
        <v/>
      </c>
      <c r="AL407" s="59"/>
      <c r="AM407" s="58" t="str">
        <f t="shared" si="215"/>
        <v/>
      </c>
      <c r="AN407" s="59"/>
      <c r="AO407" s="58" t="str">
        <f t="shared" si="216"/>
        <v/>
      </c>
      <c r="AP407" s="59"/>
      <c r="AQ407" s="58" t="str">
        <f t="shared" si="217"/>
        <v/>
      </c>
      <c r="AR407" s="59"/>
      <c r="AS407" s="58" t="str">
        <f t="shared" si="218"/>
        <v/>
      </c>
      <c r="AT407" s="59"/>
      <c r="AU407" s="58" t="str">
        <f t="shared" si="219"/>
        <v/>
      </c>
      <c r="AV407" s="59"/>
      <c r="AW407" s="58" t="str">
        <f t="shared" si="220"/>
        <v/>
      </c>
      <c r="AX407" s="59"/>
      <c r="AY407" s="58" t="str">
        <f t="shared" si="221"/>
        <v/>
      </c>
      <c r="AZ407" s="59"/>
      <c r="BA407" s="58" t="str">
        <f t="shared" si="222"/>
        <v/>
      </c>
      <c r="BB407" s="59"/>
      <c r="BC407" s="58" t="str">
        <f t="shared" si="223"/>
        <v/>
      </c>
      <c r="BD407" s="59"/>
      <c r="BE407" s="58" t="str">
        <f t="shared" si="224"/>
        <v/>
      </c>
      <c r="BF407" s="59"/>
      <c r="BG407" s="58" t="str">
        <f t="shared" si="225"/>
        <v/>
      </c>
      <c r="BH407" s="59"/>
      <c r="BI407" s="58" t="str">
        <f t="shared" si="226"/>
        <v/>
      </c>
      <c r="BJ407" s="59"/>
      <c r="BK407" s="58" t="str">
        <f t="shared" si="227"/>
        <v/>
      </c>
      <c r="BL407" s="59"/>
      <c r="BM407" s="58" t="str">
        <f t="shared" si="228"/>
        <v/>
      </c>
      <c r="BN407" s="59"/>
      <c r="BO407" s="58" t="str">
        <f t="shared" si="229"/>
        <v/>
      </c>
      <c r="BP407" s="59"/>
      <c r="BQ407" s="58" t="str">
        <f t="shared" si="230"/>
        <v/>
      </c>
      <c r="BR407" s="59"/>
      <c r="BS407" s="58" t="str">
        <f t="shared" si="231"/>
        <v/>
      </c>
      <c r="BT407" s="59"/>
      <c r="BU407" s="58" t="str">
        <f t="shared" si="232"/>
        <v/>
      </c>
      <c r="BV407" s="59"/>
    </row>
    <row r="408" spans="1:74" ht="14.5">
      <c r="A408" s="51" t="s">
        <v>58</v>
      </c>
      <c r="B408" s="52">
        <v>395</v>
      </c>
      <c r="C408" s="52" t="s">
        <v>188</v>
      </c>
      <c r="D408" s="41">
        <f t="shared" si="205"/>
        <v>5</v>
      </c>
      <c r="E408" s="52" t="s">
        <v>158</v>
      </c>
      <c r="F408" s="52" t="s">
        <v>242</v>
      </c>
      <c r="G408" s="52" t="s">
        <v>255</v>
      </c>
      <c r="H408" s="52" t="s">
        <v>432</v>
      </c>
      <c r="I408" s="53">
        <v>45688</v>
      </c>
      <c r="J408" s="108">
        <v>1336</v>
      </c>
      <c r="K408" s="101"/>
      <c r="L408" s="101"/>
      <c r="M408" s="101">
        <f t="shared" si="206"/>
        <v>1336</v>
      </c>
      <c r="N408" s="54">
        <f t="shared" si="207"/>
        <v>1336</v>
      </c>
      <c r="O408" s="101" t="s">
        <v>439</v>
      </c>
      <c r="P408" s="102">
        <f t="shared" si="208"/>
        <v>1.8555555555555556</v>
      </c>
      <c r="Q408" s="102">
        <v>6</v>
      </c>
      <c r="R408" s="99">
        <v>120</v>
      </c>
      <c r="S408" s="55">
        <f t="shared" si="234"/>
        <v>45656</v>
      </c>
      <c r="T408" s="55"/>
      <c r="U408" s="56">
        <f t="shared" ca="1" si="201"/>
        <v>-184</v>
      </c>
      <c r="V408" s="55">
        <f t="shared" si="233"/>
        <v>45672</v>
      </c>
      <c r="W408" s="55"/>
      <c r="X408" s="56">
        <f t="shared" ca="1" si="203"/>
        <v>-168</v>
      </c>
      <c r="Y408" s="55"/>
      <c r="Z408" s="57"/>
      <c r="AA408" s="58" t="str">
        <f t="shared" si="209"/>
        <v>-</v>
      </c>
      <c r="AB408" s="59"/>
      <c r="AC408" s="58" t="str">
        <f t="shared" si="210"/>
        <v/>
      </c>
      <c r="AD408" s="59"/>
      <c r="AE408" s="58" t="str">
        <f t="shared" si="211"/>
        <v/>
      </c>
      <c r="AF408" s="59"/>
      <c r="AG408" s="58" t="str">
        <f t="shared" si="212"/>
        <v/>
      </c>
      <c r="AH408" s="59"/>
      <c r="AI408" s="58" t="str">
        <f t="shared" si="213"/>
        <v/>
      </c>
      <c r="AJ408" s="59"/>
      <c r="AK408" s="58" t="str">
        <f t="shared" si="214"/>
        <v/>
      </c>
      <c r="AL408" s="59"/>
      <c r="AM408" s="58" t="str">
        <f t="shared" si="215"/>
        <v/>
      </c>
      <c r="AN408" s="59"/>
      <c r="AO408" s="58" t="str">
        <f t="shared" si="216"/>
        <v/>
      </c>
      <c r="AP408" s="59"/>
      <c r="AQ408" s="58" t="str">
        <f t="shared" si="217"/>
        <v/>
      </c>
      <c r="AR408" s="59"/>
      <c r="AS408" s="58" t="str">
        <f t="shared" si="218"/>
        <v/>
      </c>
      <c r="AT408" s="59"/>
      <c r="AU408" s="58" t="str">
        <f t="shared" si="219"/>
        <v/>
      </c>
      <c r="AV408" s="59"/>
      <c r="AW408" s="58" t="str">
        <f t="shared" si="220"/>
        <v/>
      </c>
      <c r="AX408" s="59"/>
      <c r="AY408" s="58" t="str">
        <f t="shared" si="221"/>
        <v/>
      </c>
      <c r="AZ408" s="59"/>
      <c r="BA408" s="58" t="str">
        <f t="shared" si="222"/>
        <v/>
      </c>
      <c r="BB408" s="59"/>
      <c r="BC408" s="58" t="str">
        <f t="shared" si="223"/>
        <v/>
      </c>
      <c r="BD408" s="59"/>
      <c r="BE408" s="58" t="str">
        <f t="shared" si="224"/>
        <v/>
      </c>
      <c r="BF408" s="59"/>
      <c r="BG408" s="58" t="str">
        <f t="shared" si="225"/>
        <v/>
      </c>
      <c r="BH408" s="59"/>
      <c r="BI408" s="58" t="str">
        <f t="shared" si="226"/>
        <v/>
      </c>
      <c r="BJ408" s="59"/>
      <c r="BK408" s="58" t="str">
        <f t="shared" si="227"/>
        <v/>
      </c>
      <c r="BL408" s="59"/>
      <c r="BM408" s="58" t="str">
        <f t="shared" si="228"/>
        <v/>
      </c>
      <c r="BN408" s="59"/>
      <c r="BO408" s="58" t="str">
        <f t="shared" si="229"/>
        <v/>
      </c>
      <c r="BP408" s="59"/>
      <c r="BQ408" s="58" t="str">
        <f t="shared" si="230"/>
        <v/>
      </c>
      <c r="BR408" s="59"/>
      <c r="BS408" s="58" t="str">
        <f t="shared" si="231"/>
        <v/>
      </c>
      <c r="BT408" s="59"/>
      <c r="BU408" s="58" t="str">
        <f t="shared" si="232"/>
        <v/>
      </c>
      <c r="BV408" s="59"/>
    </row>
    <row r="409" spans="1:74" ht="14.5">
      <c r="A409" s="51" t="s">
        <v>58</v>
      </c>
      <c r="B409" s="52">
        <v>396</v>
      </c>
      <c r="C409" s="52" t="s">
        <v>188</v>
      </c>
      <c r="D409" s="41">
        <f t="shared" si="205"/>
        <v>5</v>
      </c>
      <c r="E409" s="52" t="s">
        <v>193</v>
      </c>
      <c r="F409" s="52" t="s">
        <v>300</v>
      </c>
      <c r="G409" s="52" t="s">
        <v>162</v>
      </c>
      <c r="H409" s="52" t="s">
        <v>440</v>
      </c>
      <c r="I409" s="53">
        <v>45688</v>
      </c>
      <c r="J409" s="108">
        <v>1980</v>
      </c>
      <c r="K409" s="101"/>
      <c r="L409" s="101"/>
      <c r="M409" s="101">
        <f t="shared" si="206"/>
        <v>1980</v>
      </c>
      <c r="N409" s="54">
        <f t="shared" si="207"/>
        <v>1980</v>
      </c>
      <c r="O409" s="101" t="s">
        <v>178</v>
      </c>
      <c r="P409" s="102">
        <f t="shared" si="208"/>
        <v>2.75</v>
      </c>
      <c r="Q409" s="102">
        <v>6</v>
      </c>
      <c r="R409" s="99">
        <v>120</v>
      </c>
      <c r="S409" s="55">
        <f t="shared" si="234"/>
        <v>45656</v>
      </c>
      <c r="T409" s="55"/>
      <c r="U409" s="56">
        <f t="shared" ca="1" si="201"/>
        <v>-184</v>
      </c>
      <c r="V409" s="55">
        <f t="shared" si="233"/>
        <v>45672</v>
      </c>
      <c r="W409" s="55"/>
      <c r="X409" s="56">
        <f t="shared" ca="1" si="203"/>
        <v>-168</v>
      </c>
      <c r="Y409" s="55"/>
      <c r="Z409" s="57"/>
      <c r="AA409" s="58" t="str">
        <f t="shared" si="209"/>
        <v>-</v>
      </c>
      <c r="AB409" s="59"/>
      <c r="AC409" s="58" t="str">
        <f t="shared" si="210"/>
        <v/>
      </c>
      <c r="AD409" s="59"/>
      <c r="AE409" s="58" t="str">
        <f t="shared" si="211"/>
        <v/>
      </c>
      <c r="AF409" s="59"/>
      <c r="AG409" s="58" t="str">
        <f t="shared" si="212"/>
        <v/>
      </c>
      <c r="AH409" s="59"/>
      <c r="AI409" s="58" t="str">
        <f t="shared" si="213"/>
        <v/>
      </c>
      <c r="AJ409" s="59"/>
      <c r="AK409" s="58" t="str">
        <f t="shared" si="214"/>
        <v/>
      </c>
      <c r="AL409" s="59"/>
      <c r="AM409" s="58" t="str">
        <f t="shared" si="215"/>
        <v/>
      </c>
      <c r="AN409" s="59"/>
      <c r="AO409" s="58" t="str">
        <f t="shared" si="216"/>
        <v/>
      </c>
      <c r="AP409" s="59"/>
      <c r="AQ409" s="58" t="str">
        <f t="shared" si="217"/>
        <v/>
      </c>
      <c r="AR409" s="59"/>
      <c r="AS409" s="58" t="str">
        <f t="shared" si="218"/>
        <v/>
      </c>
      <c r="AT409" s="59"/>
      <c r="AU409" s="58" t="str">
        <f t="shared" si="219"/>
        <v/>
      </c>
      <c r="AV409" s="59"/>
      <c r="AW409" s="58" t="str">
        <f t="shared" si="220"/>
        <v/>
      </c>
      <c r="AX409" s="59"/>
      <c r="AY409" s="58" t="str">
        <f t="shared" si="221"/>
        <v/>
      </c>
      <c r="AZ409" s="59"/>
      <c r="BA409" s="58" t="str">
        <f t="shared" si="222"/>
        <v/>
      </c>
      <c r="BB409" s="59"/>
      <c r="BC409" s="58" t="str">
        <f t="shared" si="223"/>
        <v/>
      </c>
      <c r="BD409" s="59"/>
      <c r="BE409" s="58" t="str">
        <f t="shared" si="224"/>
        <v/>
      </c>
      <c r="BF409" s="59"/>
      <c r="BG409" s="58" t="str">
        <f t="shared" si="225"/>
        <v/>
      </c>
      <c r="BH409" s="59"/>
      <c r="BI409" s="58" t="str">
        <f t="shared" si="226"/>
        <v/>
      </c>
      <c r="BJ409" s="59"/>
      <c r="BK409" s="58" t="str">
        <f t="shared" si="227"/>
        <v/>
      </c>
      <c r="BL409" s="59"/>
      <c r="BM409" s="58" t="str">
        <f t="shared" si="228"/>
        <v/>
      </c>
      <c r="BN409" s="59"/>
      <c r="BO409" s="58" t="str">
        <f t="shared" si="229"/>
        <v/>
      </c>
      <c r="BP409" s="59"/>
      <c r="BQ409" s="58" t="str">
        <f t="shared" si="230"/>
        <v/>
      </c>
      <c r="BR409" s="59"/>
      <c r="BS409" s="58" t="str">
        <f t="shared" si="231"/>
        <v/>
      </c>
      <c r="BT409" s="59"/>
      <c r="BU409" s="58" t="str">
        <f t="shared" si="232"/>
        <v/>
      </c>
      <c r="BV409" s="59"/>
    </row>
    <row r="410" spans="1:74" ht="14.5">
      <c r="A410" s="51" t="s">
        <v>58</v>
      </c>
      <c r="B410" s="52">
        <v>396</v>
      </c>
      <c r="C410" s="52" t="s">
        <v>188</v>
      </c>
      <c r="D410" s="41">
        <f t="shared" si="205"/>
        <v>5</v>
      </c>
      <c r="E410" s="52" t="s">
        <v>193</v>
      </c>
      <c r="F410" s="52" t="s">
        <v>246</v>
      </c>
      <c r="G410" s="52" t="s">
        <v>162</v>
      </c>
      <c r="H410" s="52" t="s">
        <v>434</v>
      </c>
      <c r="I410" s="53">
        <v>45688</v>
      </c>
      <c r="J410" s="108">
        <f>2385*2</f>
        <v>4770</v>
      </c>
      <c r="K410" s="101"/>
      <c r="L410" s="101"/>
      <c r="M410" s="101">
        <f t="shared" si="206"/>
        <v>4770</v>
      </c>
      <c r="N410" s="54">
        <f t="shared" si="207"/>
        <v>4770</v>
      </c>
      <c r="O410" s="101" t="s">
        <v>443</v>
      </c>
      <c r="P410" s="102">
        <f t="shared" si="208"/>
        <v>13.628571428571428</v>
      </c>
      <c r="Q410" s="102">
        <v>1</v>
      </c>
      <c r="R410" s="99">
        <v>350</v>
      </c>
      <c r="S410" s="55">
        <f t="shared" si="234"/>
        <v>45656</v>
      </c>
      <c r="T410" s="55"/>
      <c r="U410" s="56">
        <f t="shared" ca="1" si="201"/>
        <v>-184</v>
      </c>
      <c r="V410" s="55">
        <f t="shared" si="233"/>
        <v>45672</v>
      </c>
      <c r="W410" s="55"/>
      <c r="X410" s="56">
        <f t="shared" ca="1" si="203"/>
        <v>-168</v>
      </c>
      <c r="Y410" s="55"/>
      <c r="Z410" s="57"/>
      <c r="AA410" s="58" t="str">
        <f t="shared" si="209"/>
        <v>-</v>
      </c>
      <c r="AB410" s="59"/>
      <c r="AC410" s="58" t="str">
        <f t="shared" si="210"/>
        <v/>
      </c>
      <c r="AD410" s="59"/>
      <c r="AE410" s="58" t="str">
        <f t="shared" si="211"/>
        <v/>
      </c>
      <c r="AF410" s="59"/>
      <c r="AG410" s="58" t="str">
        <f t="shared" si="212"/>
        <v/>
      </c>
      <c r="AH410" s="59"/>
      <c r="AI410" s="58" t="str">
        <f t="shared" si="213"/>
        <v/>
      </c>
      <c r="AJ410" s="59"/>
      <c r="AK410" s="58" t="str">
        <f t="shared" si="214"/>
        <v/>
      </c>
      <c r="AL410" s="59"/>
      <c r="AM410" s="58" t="str">
        <f t="shared" si="215"/>
        <v/>
      </c>
      <c r="AN410" s="59"/>
      <c r="AO410" s="58" t="str">
        <f t="shared" si="216"/>
        <v/>
      </c>
      <c r="AP410" s="59"/>
      <c r="AQ410" s="58" t="str">
        <f t="shared" si="217"/>
        <v/>
      </c>
      <c r="AR410" s="59"/>
      <c r="AS410" s="58" t="str">
        <f t="shared" si="218"/>
        <v/>
      </c>
      <c r="AT410" s="59"/>
      <c r="AU410" s="58" t="str">
        <f t="shared" si="219"/>
        <v/>
      </c>
      <c r="AV410" s="59"/>
      <c r="AW410" s="58" t="str">
        <f t="shared" si="220"/>
        <v/>
      </c>
      <c r="AX410" s="59"/>
      <c r="AY410" s="58" t="str">
        <f t="shared" si="221"/>
        <v/>
      </c>
      <c r="AZ410" s="59"/>
      <c r="BA410" s="58" t="str">
        <f t="shared" si="222"/>
        <v/>
      </c>
      <c r="BB410" s="59"/>
      <c r="BC410" s="58" t="str">
        <f t="shared" si="223"/>
        <v/>
      </c>
      <c r="BD410" s="59"/>
      <c r="BE410" s="58" t="str">
        <f t="shared" si="224"/>
        <v/>
      </c>
      <c r="BF410" s="59"/>
      <c r="BG410" s="58" t="str">
        <f t="shared" si="225"/>
        <v/>
      </c>
      <c r="BH410" s="59"/>
      <c r="BI410" s="58" t="str">
        <f t="shared" si="226"/>
        <v/>
      </c>
      <c r="BJ410" s="59"/>
      <c r="BK410" s="58" t="str">
        <f t="shared" si="227"/>
        <v/>
      </c>
      <c r="BL410" s="59"/>
      <c r="BM410" s="58" t="str">
        <f t="shared" si="228"/>
        <v/>
      </c>
      <c r="BN410" s="59"/>
      <c r="BO410" s="58" t="str">
        <f t="shared" si="229"/>
        <v/>
      </c>
      <c r="BP410" s="59"/>
      <c r="BQ410" s="58" t="str">
        <f t="shared" si="230"/>
        <v/>
      </c>
      <c r="BR410" s="59"/>
      <c r="BS410" s="58" t="str">
        <f t="shared" si="231"/>
        <v/>
      </c>
      <c r="BT410" s="59"/>
      <c r="BU410" s="58" t="str">
        <f t="shared" si="232"/>
        <v/>
      </c>
      <c r="BV410" s="59"/>
    </row>
    <row r="411" spans="1:74" ht="14.5">
      <c r="A411" s="51" t="s">
        <v>58</v>
      </c>
      <c r="B411" s="52">
        <v>396</v>
      </c>
      <c r="C411" s="52" t="s">
        <v>188</v>
      </c>
      <c r="D411" s="41">
        <f t="shared" si="205"/>
        <v>5</v>
      </c>
      <c r="E411" s="52" t="s">
        <v>136</v>
      </c>
      <c r="F411" s="52" t="s">
        <v>247</v>
      </c>
      <c r="G411" s="52" t="s">
        <v>162</v>
      </c>
      <c r="H411" s="52" t="s">
        <v>500</v>
      </c>
      <c r="I411" s="53">
        <v>45688</v>
      </c>
      <c r="J411" s="108">
        <v>3712</v>
      </c>
      <c r="K411" s="101"/>
      <c r="L411" s="101"/>
      <c r="M411" s="101">
        <f t="shared" si="206"/>
        <v>3712</v>
      </c>
      <c r="N411" s="54">
        <f t="shared" si="207"/>
        <v>3712</v>
      </c>
      <c r="O411" s="101" t="s">
        <v>443</v>
      </c>
      <c r="P411" s="102">
        <f t="shared" si="208"/>
        <v>2.121142857142857</v>
      </c>
      <c r="Q411" s="102">
        <v>5</v>
      </c>
      <c r="R411" s="99">
        <v>350</v>
      </c>
      <c r="S411" s="55">
        <f t="shared" si="234"/>
        <v>45656</v>
      </c>
      <c r="T411" s="55"/>
      <c r="U411" s="56">
        <f t="shared" ca="1" si="201"/>
        <v>-184</v>
      </c>
      <c r="V411" s="55">
        <f t="shared" si="233"/>
        <v>45672</v>
      </c>
      <c r="W411" s="55"/>
      <c r="X411" s="56">
        <f t="shared" ca="1" si="203"/>
        <v>-168</v>
      </c>
      <c r="Y411" s="55"/>
      <c r="Z411" s="57"/>
      <c r="AA411" s="58" t="str">
        <f t="shared" si="209"/>
        <v>-</v>
      </c>
      <c r="AB411" s="59"/>
      <c r="AC411" s="58" t="str">
        <f t="shared" si="210"/>
        <v/>
      </c>
      <c r="AD411" s="59"/>
      <c r="AE411" s="58" t="str">
        <f t="shared" si="211"/>
        <v/>
      </c>
      <c r="AF411" s="59"/>
      <c r="AG411" s="58" t="str">
        <f t="shared" si="212"/>
        <v/>
      </c>
      <c r="AH411" s="59"/>
      <c r="AI411" s="58" t="str">
        <f t="shared" si="213"/>
        <v/>
      </c>
      <c r="AJ411" s="59"/>
      <c r="AK411" s="58" t="str">
        <f t="shared" si="214"/>
        <v/>
      </c>
      <c r="AL411" s="59"/>
      <c r="AM411" s="58" t="str">
        <f t="shared" si="215"/>
        <v/>
      </c>
      <c r="AN411" s="59"/>
      <c r="AO411" s="58" t="str">
        <f t="shared" si="216"/>
        <v/>
      </c>
      <c r="AP411" s="59"/>
      <c r="AQ411" s="58" t="str">
        <f t="shared" si="217"/>
        <v/>
      </c>
      <c r="AR411" s="59"/>
      <c r="AS411" s="58" t="str">
        <f t="shared" si="218"/>
        <v/>
      </c>
      <c r="AT411" s="59"/>
      <c r="AU411" s="58" t="str">
        <f t="shared" si="219"/>
        <v/>
      </c>
      <c r="AV411" s="59"/>
      <c r="AW411" s="58" t="str">
        <f t="shared" si="220"/>
        <v/>
      </c>
      <c r="AX411" s="59"/>
      <c r="AY411" s="58" t="str">
        <f t="shared" si="221"/>
        <v/>
      </c>
      <c r="AZ411" s="59"/>
      <c r="BA411" s="58" t="str">
        <f t="shared" si="222"/>
        <v/>
      </c>
      <c r="BB411" s="59"/>
      <c r="BC411" s="58" t="str">
        <f t="shared" si="223"/>
        <v/>
      </c>
      <c r="BD411" s="59"/>
      <c r="BE411" s="58" t="str">
        <f t="shared" si="224"/>
        <v/>
      </c>
      <c r="BF411" s="59"/>
      <c r="BG411" s="58" t="str">
        <f t="shared" si="225"/>
        <v/>
      </c>
      <c r="BH411" s="59"/>
      <c r="BI411" s="58" t="str">
        <f t="shared" si="226"/>
        <v/>
      </c>
      <c r="BJ411" s="59"/>
      <c r="BK411" s="58" t="str">
        <f t="shared" si="227"/>
        <v/>
      </c>
      <c r="BL411" s="59"/>
      <c r="BM411" s="58" t="str">
        <f t="shared" si="228"/>
        <v/>
      </c>
      <c r="BN411" s="59"/>
      <c r="BO411" s="58" t="str">
        <f t="shared" si="229"/>
        <v/>
      </c>
      <c r="BP411" s="59"/>
      <c r="BQ411" s="58" t="str">
        <f t="shared" si="230"/>
        <v/>
      </c>
      <c r="BR411" s="59"/>
      <c r="BS411" s="58" t="str">
        <f t="shared" si="231"/>
        <v/>
      </c>
      <c r="BT411" s="59"/>
      <c r="BU411" s="58" t="str">
        <f t="shared" si="232"/>
        <v/>
      </c>
      <c r="BV411" s="59"/>
    </row>
    <row r="412" spans="1:74" ht="14.5">
      <c r="A412" s="51" t="s">
        <v>58</v>
      </c>
      <c r="B412" s="52">
        <v>396</v>
      </c>
      <c r="C412" s="52" t="s">
        <v>188</v>
      </c>
      <c r="D412" s="41">
        <f t="shared" si="205"/>
        <v>5</v>
      </c>
      <c r="E412" s="52" t="s">
        <v>136</v>
      </c>
      <c r="F412" s="52" t="s">
        <v>247</v>
      </c>
      <c r="G412" s="52" t="s">
        <v>163</v>
      </c>
      <c r="H412" s="52" t="s">
        <v>500</v>
      </c>
      <c r="I412" s="53">
        <v>45688</v>
      </c>
      <c r="J412" s="108">
        <v>3712</v>
      </c>
      <c r="K412" s="101"/>
      <c r="L412" s="101"/>
      <c r="M412" s="101">
        <f t="shared" si="206"/>
        <v>3712</v>
      </c>
      <c r="N412" s="54">
        <f t="shared" si="207"/>
        <v>3712</v>
      </c>
      <c r="O412" s="101" t="s">
        <v>443</v>
      </c>
      <c r="P412" s="102">
        <f t="shared" si="208"/>
        <v>2.121142857142857</v>
      </c>
      <c r="Q412" s="102">
        <v>5</v>
      </c>
      <c r="R412" s="99">
        <v>350</v>
      </c>
      <c r="S412" s="55">
        <f t="shared" si="234"/>
        <v>45656</v>
      </c>
      <c r="T412" s="55"/>
      <c r="U412" s="56">
        <f t="shared" ca="1" si="201"/>
        <v>-184</v>
      </c>
      <c r="V412" s="55">
        <f t="shared" si="233"/>
        <v>45672</v>
      </c>
      <c r="W412" s="55"/>
      <c r="X412" s="56">
        <f t="shared" ca="1" si="203"/>
        <v>-168</v>
      </c>
      <c r="Y412" s="55"/>
      <c r="Z412" s="57"/>
      <c r="AA412" s="58" t="str">
        <f t="shared" si="209"/>
        <v>-</v>
      </c>
      <c r="AB412" s="59"/>
      <c r="AC412" s="58" t="str">
        <f t="shared" si="210"/>
        <v/>
      </c>
      <c r="AD412" s="59"/>
      <c r="AE412" s="58" t="str">
        <f t="shared" si="211"/>
        <v/>
      </c>
      <c r="AF412" s="59"/>
      <c r="AG412" s="58" t="str">
        <f t="shared" si="212"/>
        <v/>
      </c>
      <c r="AH412" s="59"/>
      <c r="AI412" s="58" t="str">
        <f t="shared" si="213"/>
        <v/>
      </c>
      <c r="AJ412" s="59"/>
      <c r="AK412" s="58" t="str">
        <f t="shared" si="214"/>
        <v/>
      </c>
      <c r="AL412" s="59"/>
      <c r="AM412" s="58" t="str">
        <f t="shared" si="215"/>
        <v/>
      </c>
      <c r="AN412" s="59"/>
      <c r="AO412" s="58" t="str">
        <f t="shared" si="216"/>
        <v/>
      </c>
      <c r="AP412" s="59"/>
      <c r="AQ412" s="58" t="str">
        <f t="shared" si="217"/>
        <v/>
      </c>
      <c r="AR412" s="59"/>
      <c r="AS412" s="58" t="str">
        <f t="shared" si="218"/>
        <v/>
      </c>
      <c r="AT412" s="59"/>
      <c r="AU412" s="58" t="str">
        <f t="shared" si="219"/>
        <v/>
      </c>
      <c r="AV412" s="59"/>
      <c r="AW412" s="58" t="str">
        <f t="shared" si="220"/>
        <v/>
      </c>
      <c r="AX412" s="59"/>
      <c r="AY412" s="58" t="str">
        <f t="shared" si="221"/>
        <v/>
      </c>
      <c r="AZ412" s="59"/>
      <c r="BA412" s="58" t="str">
        <f t="shared" si="222"/>
        <v/>
      </c>
      <c r="BB412" s="59"/>
      <c r="BC412" s="58" t="str">
        <f t="shared" si="223"/>
        <v/>
      </c>
      <c r="BD412" s="59"/>
      <c r="BE412" s="58" t="str">
        <f t="shared" si="224"/>
        <v/>
      </c>
      <c r="BF412" s="59"/>
      <c r="BG412" s="58" t="str">
        <f t="shared" si="225"/>
        <v/>
      </c>
      <c r="BH412" s="59"/>
      <c r="BI412" s="58" t="str">
        <f t="shared" si="226"/>
        <v/>
      </c>
      <c r="BJ412" s="59"/>
      <c r="BK412" s="58" t="str">
        <f t="shared" si="227"/>
        <v/>
      </c>
      <c r="BL412" s="59"/>
      <c r="BM412" s="58" t="str">
        <f t="shared" si="228"/>
        <v/>
      </c>
      <c r="BN412" s="59"/>
      <c r="BO412" s="58" t="str">
        <f t="shared" si="229"/>
        <v/>
      </c>
      <c r="BP412" s="59"/>
      <c r="BQ412" s="58" t="str">
        <f t="shared" si="230"/>
        <v/>
      </c>
      <c r="BR412" s="59"/>
      <c r="BS412" s="58" t="str">
        <f t="shared" si="231"/>
        <v/>
      </c>
      <c r="BT412" s="59"/>
      <c r="BU412" s="58" t="str">
        <f t="shared" si="232"/>
        <v/>
      </c>
      <c r="BV412" s="59"/>
    </row>
    <row r="413" spans="1:74" ht="14.5">
      <c r="A413" s="51" t="s">
        <v>58</v>
      </c>
      <c r="B413" s="52">
        <v>396</v>
      </c>
      <c r="C413" s="52" t="s">
        <v>188</v>
      </c>
      <c r="D413" s="41">
        <f t="shared" si="205"/>
        <v>5</v>
      </c>
      <c r="E413" s="52" t="s">
        <v>136</v>
      </c>
      <c r="F413" s="52" t="s">
        <v>247</v>
      </c>
      <c r="G413" s="52" t="s">
        <v>501</v>
      </c>
      <c r="H413" s="52" t="s">
        <v>500</v>
      </c>
      <c r="I413" s="53">
        <v>45688</v>
      </c>
      <c r="J413" s="108">
        <v>3712</v>
      </c>
      <c r="K413" s="101"/>
      <c r="L413" s="101"/>
      <c r="M413" s="101">
        <f t="shared" si="206"/>
        <v>3712</v>
      </c>
      <c r="N413" s="54">
        <f t="shared" si="207"/>
        <v>3712</v>
      </c>
      <c r="O413" s="101" t="s">
        <v>443</v>
      </c>
      <c r="P413" s="102">
        <f t="shared" si="208"/>
        <v>2.121142857142857</v>
      </c>
      <c r="Q413" s="102">
        <v>5</v>
      </c>
      <c r="R413" s="99">
        <v>350</v>
      </c>
      <c r="S413" s="55">
        <f t="shared" si="234"/>
        <v>45656</v>
      </c>
      <c r="T413" s="55"/>
      <c r="U413" s="56">
        <f t="shared" ca="1" si="201"/>
        <v>-184</v>
      </c>
      <c r="V413" s="55">
        <f t="shared" si="233"/>
        <v>45672</v>
      </c>
      <c r="W413" s="55"/>
      <c r="X413" s="56">
        <f t="shared" ca="1" si="203"/>
        <v>-168</v>
      </c>
      <c r="Y413" s="55"/>
      <c r="Z413" s="57"/>
      <c r="AA413" s="58" t="str">
        <f t="shared" si="209"/>
        <v>-</v>
      </c>
      <c r="AB413" s="59"/>
      <c r="AC413" s="58" t="str">
        <f t="shared" si="210"/>
        <v/>
      </c>
      <c r="AD413" s="59"/>
      <c r="AE413" s="58" t="str">
        <f t="shared" si="211"/>
        <v/>
      </c>
      <c r="AF413" s="59"/>
      <c r="AG413" s="58" t="str">
        <f t="shared" si="212"/>
        <v/>
      </c>
      <c r="AH413" s="59"/>
      <c r="AI413" s="58" t="str">
        <f t="shared" si="213"/>
        <v/>
      </c>
      <c r="AJ413" s="59"/>
      <c r="AK413" s="58" t="str">
        <f t="shared" si="214"/>
        <v/>
      </c>
      <c r="AL413" s="59"/>
      <c r="AM413" s="58" t="str">
        <f t="shared" si="215"/>
        <v/>
      </c>
      <c r="AN413" s="59"/>
      <c r="AO413" s="58" t="str">
        <f t="shared" si="216"/>
        <v/>
      </c>
      <c r="AP413" s="59"/>
      <c r="AQ413" s="58" t="str">
        <f t="shared" si="217"/>
        <v/>
      </c>
      <c r="AR413" s="59"/>
      <c r="AS413" s="58" t="str">
        <f t="shared" si="218"/>
        <v/>
      </c>
      <c r="AT413" s="59"/>
      <c r="AU413" s="58" t="str">
        <f t="shared" si="219"/>
        <v/>
      </c>
      <c r="AV413" s="59"/>
      <c r="AW413" s="58" t="str">
        <f t="shared" si="220"/>
        <v/>
      </c>
      <c r="AX413" s="59"/>
      <c r="AY413" s="58" t="str">
        <f t="shared" si="221"/>
        <v/>
      </c>
      <c r="AZ413" s="59"/>
      <c r="BA413" s="58" t="str">
        <f t="shared" si="222"/>
        <v/>
      </c>
      <c r="BB413" s="59"/>
      <c r="BC413" s="58" t="str">
        <f t="shared" si="223"/>
        <v/>
      </c>
      <c r="BD413" s="59"/>
      <c r="BE413" s="58" t="str">
        <f t="shared" si="224"/>
        <v/>
      </c>
      <c r="BF413" s="59"/>
      <c r="BG413" s="58" t="str">
        <f t="shared" si="225"/>
        <v/>
      </c>
      <c r="BH413" s="59"/>
      <c r="BI413" s="58" t="str">
        <f t="shared" si="226"/>
        <v/>
      </c>
      <c r="BJ413" s="59"/>
      <c r="BK413" s="58" t="str">
        <f t="shared" si="227"/>
        <v/>
      </c>
      <c r="BL413" s="59"/>
      <c r="BM413" s="58" t="str">
        <f t="shared" si="228"/>
        <v/>
      </c>
      <c r="BN413" s="59"/>
      <c r="BO413" s="58" t="str">
        <f t="shared" si="229"/>
        <v/>
      </c>
      <c r="BP413" s="59"/>
      <c r="BQ413" s="58" t="str">
        <f t="shared" si="230"/>
        <v/>
      </c>
      <c r="BR413" s="59"/>
      <c r="BS413" s="58" t="str">
        <f t="shared" si="231"/>
        <v/>
      </c>
      <c r="BT413" s="59"/>
      <c r="BU413" s="58" t="str">
        <f t="shared" si="232"/>
        <v/>
      </c>
      <c r="BV413" s="59"/>
    </row>
    <row r="414" spans="1:74" ht="14.5">
      <c r="A414" s="51" t="s">
        <v>58</v>
      </c>
      <c r="B414" s="52">
        <v>396</v>
      </c>
      <c r="C414" s="52" t="s">
        <v>188</v>
      </c>
      <c r="D414" s="41">
        <f t="shared" si="205"/>
        <v>5</v>
      </c>
      <c r="E414" s="52" t="s">
        <v>201</v>
      </c>
      <c r="F414" s="52" t="s">
        <v>247</v>
      </c>
      <c r="G414" s="52" t="s">
        <v>441</v>
      </c>
      <c r="H414" s="52" t="s">
        <v>442</v>
      </c>
      <c r="I414" s="53">
        <v>45688</v>
      </c>
      <c r="J414" s="108">
        <v>14256</v>
      </c>
      <c r="K414" s="101"/>
      <c r="L414" s="101"/>
      <c r="M414" s="101">
        <f t="shared" si="206"/>
        <v>14256</v>
      </c>
      <c r="N414" s="54">
        <f t="shared" si="207"/>
        <v>14256</v>
      </c>
      <c r="O414" s="101" t="s">
        <v>443</v>
      </c>
      <c r="P414" s="102">
        <f t="shared" si="208"/>
        <v>8.1462857142857139</v>
      </c>
      <c r="Q414" s="102">
        <v>5</v>
      </c>
      <c r="R414" s="99">
        <v>350</v>
      </c>
      <c r="S414" s="55">
        <f t="shared" si="234"/>
        <v>45656</v>
      </c>
      <c r="T414" s="55"/>
      <c r="U414" s="56">
        <f t="shared" ca="1" si="201"/>
        <v>-184</v>
      </c>
      <c r="V414" s="55">
        <f t="shared" si="233"/>
        <v>45672</v>
      </c>
      <c r="W414" s="55"/>
      <c r="X414" s="56">
        <f t="shared" ca="1" si="203"/>
        <v>-168</v>
      </c>
      <c r="Y414" s="55"/>
      <c r="Z414" s="57"/>
      <c r="AA414" s="58" t="str">
        <f t="shared" si="209"/>
        <v>-</v>
      </c>
      <c r="AB414" s="59"/>
      <c r="AC414" s="58" t="str">
        <f t="shared" si="210"/>
        <v/>
      </c>
      <c r="AD414" s="59"/>
      <c r="AE414" s="58" t="str">
        <f t="shared" si="211"/>
        <v/>
      </c>
      <c r="AF414" s="59"/>
      <c r="AG414" s="58" t="str">
        <f t="shared" si="212"/>
        <v/>
      </c>
      <c r="AH414" s="59"/>
      <c r="AI414" s="58" t="str">
        <f t="shared" si="213"/>
        <v/>
      </c>
      <c r="AJ414" s="59"/>
      <c r="AK414" s="58" t="str">
        <f t="shared" si="214"/>
        <v/>
      </c>
      <c r="AL414" s="59"/>
      <c r="AM414" s="58" t="str">
        <f t="shared" si="215"/>
        <v/>
      </c>
      <c r="AN414" s="59"/>
      <c r="AO414" s="58" t="str">
        <f t="shared" si="216"/>
        <v/>
      </c>
      <c r="AP414" s="59"/>
      <c r="AQ414" s="58" t="str">
        <f t="shared" si="217"/>
        <v/>
      </c>
      <c r="AR414" s="59"/>
      <c r="AS414" s="58" t="str">
        <f t="shared" si="218"/>
        <v/>
      </c>
      <c r="AT414" s="59"/>
      <c r="AU414" s="58" t="str">
        <f t="shared" si="219"/>
        <v/>
      </c>
      <c r="AV414" s="59"/>
      <c r="AW414" s="58" t="str">
        <f t="shared" si="220"/>
        <v/>
      </c>
      <c r="AX414" s="59"/>
      <c r="AY414" s="58" t="str">
        <f t="shared" si="221"/>
        <v/>
      </c>
      <c r="AZ414" s="59"/>
      <c r="BA414" s="58" t="str">
        <f t="shared" si="222"/>
        <v/>
      </c>
      <c r="BB414" s="59"/>
      <c r="BC414" s="58" t="str">
        <f t="shared" si="223"/>
        <v/>
      </c>
      <c r="BD414" s="59"/>
      <c r="BE414" s="58" t="str">
        <f t="shared" si="224"/>
        <v/>
      </c>
      <c r="BF414" s="59"/>
      <c r="BG414" s="58" t="str">
        <f t="shared" si="225"/>
        <v/>
      </c>
      <c r="BH414" s="59"/>
      <c r="BI414" s="58" t="str">
        <f t="shared" si="226"/>
        <v/>
      </c>
      <c r="BJ414" s="59"/>
      <c r="BK414" s="58" t="str">
        <f t="shared" si="227"/>
        <v/>
      </c>
      <c r="BL414" s="59"/>
      <c r="BM414" s="58" t="str">
        <f t="shared" si="228"/>
        <v/>
      </c>
      <c r="BN414" s="59"/>
      <c r="BO414" s="58" t="str">
        <f t="shared" si="229"/>
        <v/>
      </c>
      <c r="BP414" s="59"/>
      <c r="BQ414" s="58" t="str">
        <f t="shared" si="230"/>
        <v/>
      </c>
      <c r="BR414" s="59"/>
      <c r="BS414" s="58" t="str">
        <f t="shared" si="231"/>
        <v/>
      </c>
      <c r="BT414" s="59"/>
      <c r="BU414" s="58" t="str">
        <f t="shared" si="232"/>
        <v/>
      </c>
      <c r="BV414" s="59"/>
    </row>
    <row r="415" spans="1:74" ht="14.5">
      <c r="A415" s="51" t="s">
        <v>58</v>
      </c>
      <c r="B415" s="52">
        <v>396</v>
      </c>
      <c r="C415" s="52" t="s">
        <v>188</v>
      </c>
      <c r="D415" s="41">
        <f t="shared" si="205"/>
        <v>5</v>
      </c>
      <c r="E415" s="52" t="s">
        <v>81</v>
      </c>
      <c r="F415" s="52" t="s">
        <v>290</v>
      </c>
      <c r="G415" s="52" t="s">
        <v>291</v>
      </c>
      <c r="H415" s="52" t="s">
        <v>435</v>
      </c>
      <c r="I415" s="53">
        <v>45688</v>
      </c>
      <c r="J415" s="108">
        <v>4728</v>
      </c>
      <c r="K415" s="101"/>
      <c r="L415" s="101"/>
      <c r="M415" s="101">
        <f t="shared" si="206"/>
        <v>4728</v>
      </c>
      <c r="N415" s="54">
        <f t="shared" si="207"/>
        <v>4728</v>
      </c>
      <c r="O415" s="101" t="s">
        <v>436</v>
      </c>
      <c r="P415" s="102">
        <f t="shared" si="208"/>
        <v>0.16666666666666666</v>
      </c>
      <c r="Q415" s="102">
        <v>6</v>
      </c>
      <c r="R415" s="100">
        <v>4728</v>
      </c>
      <c r="S415" s="55">
        <f t="shared" si="234"/>
        <v>45656</v>
      </c>
      <c r="T415" s="55"/>
      <c r="U415" s="56">
        <f t="shared" ca="1" si="201"/>
        <v>-184</v>
      </c>
      <c r="V415" s="55">
        <f t="shared" si="233"/>
        <v>45672</v>
      </c>
      <c r="W415" s="55"/>
      <c r="X415" s="56">
        <f t="shared" ca="1" si="203"/>
        <v>-168</v>
      </c>
      <c r="Y415" s="55"/>
      <c r="Z415" s="57"/>
      <c r="AA415" s="58" t="str">
        <f t="shared" si="209"/>
        <v>-</v>
      </c>
      <c r="AB415" s="59"/>
      <c r="AC415" s="58" t="str">
        <f t="shared" si="210"/>
        <v/>
      </c>
      <c r="AD415" s="59"/>
      <c r="AE415" s="58" t="str">
        <f t="shared" si="211"/>
        <v/>
      </c>
      <c r="AF415" s="59"/>
      <c r="AG415" s="58" t="str">
        <f t="shared" si="212"/>
        <v/>
      </c>
      <c r="AH415" s="59"/>
      <c r="AI415" s="58" t="str">
        <f t="shared" si="213"/>
        <v/>
      </c>
      <c r="AJ415" s="59"/>
      <c r="AK415" s="58" t="str">
        <f t="shared" si="214"/>
        <v/>
      </c>
      <c r="AL415" s="59"/>
      <c r="AM415" s="58" t="str">
        <f t="shared" si="215"/>
        <v/>
      </c>
      <c r="AN415" s="59"/>
      <c r="AO415" s="58" t="str">
        <f t="shared" si="216"/>
        <v/>
      </c>
      <c r="AP415" s="59"/>
      <c r="AQ415" s="58" t="str">
        <f t="shared" si="217"/>
        <v/>
      </c>
      <c r="AR415" s="59"/>
      <c r="AS415" s="58" t="str">
        <f t="shared" si="218"/>
        <v/>
      </c>
      <c r="AT415" s="59"/>
      <c r="AU415" s="58" t="str">
        <f t="shared" si="219"/>
        <v/>
      </c>
      <c r="AV415" s="59"/>
      <c r="AW415" s="58" t="str">
        <f t="shared" si="220"/>
        <v/>
      </c>
      <c r="AX415" s="59"/>
      <c r="AY415" s="58" t="str">
        <f t="shared" si="221"/>
        <v/>
      </c>
      <c r="AZ415" s="59"/>
      <c r="BA415" s="58" t="str">
        <f t="shared" si="222"/>
        <v/>
      </c>
      <c r="BB415" s="59"/>
      <c r="BC415" s="58" t="str">
        <f t="shared" si="223"/>
        <v/>
      </c>
      <c r="BD415" s="59"/>
      <c r="BE415" s="58" t="str">
        <f t="shared" si="224"/>
        <v/>
      </c>
      <c r="BF415" s="59"/>
      <c r="BG415" s="58" t="str">
        <f t="shared" si="225"/>
        <v/>
      </c>
      <c r="BH415" s="59"/>
      <c r="BI415" s="58" t="str">
        <f t="shared" si="226"/>
        <v/>
      </c>
      <c r="BJ415" s="59"/>
      <c r="BK415" s="58" t="str">
        <f t="shared" si="227"/>
        <v/>
      </c>
      <c r="BL415" s="59"/>
      <c r="BM415" s="58" t="str">
        <f t="shared" si="228"/>
        <v/>
      </c>
      <c r="BN415" s="59"/>
      <c r="BO415" s="58" t="str">
        <f t="shared" si="229"/>
        <v/>
      </c>
      <c r="BP415" s="59"/>
      <c r="BQ415" s="58" t="str">
        <f t="shared" si="230"/>
        <v/>
      </c>
      <c r="BR415" s="59"/>
      <c r="BS415" s="58" t="str">
        <f t="shared" si="231"/>
        <v/>
      </c>
      <c r="BT415" s="59"/>
      <c r="BU415" s="58" t="str">
        <f t="shared" si="232"/>
        <v/>
      </c>
      <c r="BV415" s="59"/>
    </row>
    <row r="416" spans="1:74" ht="14.5">
      <c r="A416" s="51" t="s">
        <v>58</v>
      </c>
      <c r="B416" s="52">
        <v>396</v>
      </c>
      <c r="C416" s="52" t="s">
        <v>188</v>
      </c>
      <c r="D416" s="41">
        <f t="shared" si="205"/>
        <v>5</v>
      </c>
      <c r="E416" s="52" t="s">
        <v>81</v>
      </c>
      <c r="F416" s="52" t="s">
        <v>290</v>
      </c>
      <c r="G416" s="52" t="s">
        <v>293</v>
      </c>
      <c r="H416" s="52" t="s">
        <v>435</v>
      </c>
      <c r="I416" s="53">
        <v>45688</v>
      </c>
      <c r="J416" s="108">
        <v>4728</v>
      </c>
      <c r="K416" s="101"/>
      <c r="L416" s="101"/>
      <c r="M416" s="101">
        <f t="shared" si="206"/>
        <v>4728</v>
      </c>
      <c r="N416" s="54">
        <f t="shared" si="207"/>
        <v>4728</v>
      </c>
      <c r="O416" s="101" t="s">
        <v>436</v>
      </c>
      <c r="P416" s="102">
        <f t="shared" si="208"/>
        <v>0.16666666666666666</v>
      </c>
      <c r="Q416" s="102">
        <v>6</v>
      </c>
      <c r="R416" s="100">
        <v>4728</v>
      </c>
      <c r="S416" s="55">
        <f t="shared" si="234"/>
        <v>45656</v>
      </c>
      <c r="T416" s="55"/>
      <c r="U416" s="56">
        <f t="shared" ca="1" si="201"/>
        <v>-184</v>
      </c>
      <c r="V416" s="55">
        <f t="shared" si="233"/>
        <v>45672</v>
      </c>
      <c r="W416" s="55"/>
      <c r="X416" s="56">
        <f t="shared" ca="1" si="203"/>
        <v>-168</v>
      </c>
      <c r="Y416" s="55"/>
      <c r="Z416" s="57"/>
      <c r="AA416" s="58" t="str">
        <f t="shared" si="209"/>
        <v>-</v>
      </c>
      <c r="AB416" s="59"/>
      <c r="AC416" s="58" t="str">
        <f t="shared" si="210"/>
        <v/>
      </c>
      <c r="AD416" s="59"/>
      <c r="AE416" s="58" t="str">
        <f t="shared" si="211"/>
        <v/>
      </c>
      <c r="AF416" s="59"/>
      <c r="AG416" s="58" t="str">
        <f t="shared" si="212"/>
        <v/>
      </c>
      <c r="AH416" s="59"/>
      <c r="AI416" s="58" t="str">
        <f t="shared" si="213"/>
        <v/>
      </c>
      <c r="AJ416" s="59"/>
      <c r="AK416" s="58" t="str">
        <f t="shared" si="214"/>
        <v/>
      </c>
      <c r="AL416" s="59"/>
      <c r="AM416" s="58" t="str">
        <f t="shared" si="215"/>
        <v/>
      </c>
      <c r="AN416" s="59"/>
      <c r="AO416" s="58" t="str">
        <f t="shared" si="216"/>
        <v/>
      </c>
      <c r="AP416" s="59"/>
      <c r="AQ416" s="58" t="str">
        <f t="shared" si="217"/>
        <v/>
      </c>
      <c r="AR416" s="59"/>
      <c r="AS416" s="58" t="str">
        <f t="shared" si="218"/>
        <v/>
      </c>
      <c r="AT416" s="59"/>
      <c r="AU416" s="58" t="str">
        <f t="shared" si="219"/>
        <v/>
      </c>
      <c r="AV416" s="59"/>
      <c r="AW416" s="58" t="str">
        <f t="shared" si="220"/>
        <v/>
      </c>
      <c r="AX416" s="59"/>
      <c r="AY416" s="58" t="str">
        <f t="shared" si="221"/>
        <v/>
      </c>
      <c r="AZ416" s="59"/>
      <c r="BA416" s="58" t="str">
        <f t="shared" si="222"/>
        <v/>
      </c>
      <c r="BB416" s="59"/>
      <c r="BC416" s="58" t="str">
        <f t="shared" si="223"/>
        <v/>
      </c>
      <c r="BD416" s="59"/>
      <c r="BE416" s="58" t="str">
        <f t="shared" si="224"/>
        <v/>
      </c>
      <c r="BF416" s="59"/>
      <c r="BG416" s="58" t="str">
        <f t="shared" si="225"/>
        <v/>
      </c>
      <c r="BH416" s="59"/>
      <c r="BI416" s="58" t="str">
        <f t="shared" si="226"/>
        <v/>
      </c>
      <c r="BJ416" s="59"/>
      <c r="BK416" s="58" t="str">
        <f t="shared" si="227"/>
        <v/>
      </c>
      <c r="BL416" s="59"/>
      <c r="BM416" s="58" t="str">
        <f t="shared" si="228"/>
        <v/>
      </c>
      <c r="BN416" s="59"/>
      <c r="BO416" s="58" t="str">
        <f t="shared" si="229"/>
        <v/>
      </c>
      <c r="BP416" s="59"/>
      <c r="BQ416" s="58" t="str">
        <f t="shared" si="230"/>
        <v/>
      </c>
      <c r="BR416" s="59"/>
      <c r="BS416" s="58" t="str">
        <f t="shared" si="231"/>
        <v/>
      </c>
      <c r="BT416" s="59"/>
      <c r="BU416" s="58" t="str">
        <f t="shared" si="232"/>
        <v/>
      </c>
      <c r="BV416" s="59"/>
    </row>
    <row r="417" spans="1:74" ht="14.5">
      <c r="A417" s="51" t="s">
        <v>58</v>
      </c>
      <c r="B417" s="52">
        <v>396</v>
      </c>
      <c r="C417" s="52" t="s">
        <v>188</v>
      </c>
      <c r="D417" s="41">
        <f t="shared" si="205"/>
        <v>5</v>
      </c>
      <c r="E417" s="52" t="s">
        <v>81</v>
      </c>
      <c r="F417" s="52" t="s">
        <v>290</v>
      </c>
      <c r="G417" s="52" t="s">
        <v>294</v>
      </c>
      <c r="H417" s="52" t="s">
        <v>435</v>
      </c>
      <c r="I417" s="53">
        <v>45688</v>
      </c>
      <c r="J417" s="108">
        <v>4728</v>
      </c>
      <c r="K417" s="101"/>
      <c r="L417" s="101"/>
      <c r="M417" s="101">
        <f t="shared" si="206"/>
        <v>4728</v>
      </c>
      <c r="N417" s="54">
        <f t="shared" si="207"/>
        <v>4728</v>
      </c>
      <c r="O417" s="101" t="s">
        <v>436</v>
      </c>
      <c r="P417" s="102">
        <f t="shared" si="208"/>
        <v>0.16666666666666666</v>
      </c>
      <c r="Q417" s="102">
        <v>6</v>
      </c>
      <c r="R417" s="100">
        <v>4728</v>
      </c>
      <c r="S417" s="55">
        <f t="shared" si="234"/>
        <v>45656</v>
      </c>
      <c r="T417" s="55"/>
      <c r="U417" s="56">
        <f t="shared" ca="1" si="201"/>
        <v>-184</v>
      </c>
      <c r="V417" s="55">
        <f t="shared" si="233"/>
        <v>45672</v>
      </c>
      <c r="W417" s="55"/>
      <c r="X417" s="56">
        <f t="shared" ca="1" si="203"/>
        <v>-168</v>
      </c>
      <c r="Y417" s="55"/>
      <c r="Z417" s="57"/>
      <c r="AA417" s="58" t="str">
        <f t="shared" si="209"/>
        <v>-</v>
      </c>
      <c r="AB417" s="59"/>
      <c r="AC417" s="58" t="str">
        <f t="shared" si="210"/>
        <v/>
      </c>
      <c r="AD417" s="59"/>
      <c r="AE417" s="58" t="str">
        <f t="shared" si="211"/>
        <v/>
      </c>
      <c r="AF417" s="59"/>
      <c r="AG417" s="58" t="str">
        <f t="shared" si="212"/>
        <v/>
      </c>
      <c r="AH417" s="59"/>
      <c r="AI417" s="58" t="str">
        <f t="shared" si="213"/>
        <v/>
      </c>
      <c r="AJ417" s="59"/>
      <c r="AK417" s="58" t="str">
        <f t="shared" si="214"/>
        <v/>
      </c>
      <c r="AL417" s="59"/>
      <c r="AM417" s="58" t="str">
        <f t="shared" si="215"/>
        <v/>
      </c>
      <c r="AN417" s="59"/>
      <c r="AO417" s="58" t="str">
        <f t="shared" si="216"/>
        <v/>
      </c>
      <c r="AP417" s="59"/>
      <c r="AQ417" s="58" t="str">
        <f t="shared" si="217"/>
        <v/>
      </c>
      <c r="AR417" s="59"/>
      <c r="AS417" s="58" t="str">
        <f t="shared" si="218"/>
        <v/>
      </c>
      <c r="AT417" s="59"/>
      <c r="AU417" s="58" t="str">
        <f t="shared" si="219"/>
        <v/>
      </c>
      <c r="AV417" s="59"/>
      <c r="AW417" s="58" t="str">
        <f t="shared" si="220"/>
        <v/>
      </c>
      <c r="AX417" s="59"/>
      <c r="AY417" s="58" t="str">
        <f t="shared" si="221"/>
        <v/>
      </c>
      <c r="AZ417" s="59"/>
      <c r="BA417" s="58" t="str">
        <f t="shared" si="222"/>
        <v/>
      </c>
      <c r="BB417" s="59"/>
      <c r="BC417" s="58" t="str">
        <f t="shared" si="223"/>
        <v/>
      </c>
      <c r="BD417" s="59"/>
      <c r="BE417" s="58" t="str">
        <f t="shared" si="224"/>
        <v/>
      </c>
      <c r="BF417" s="59"/>
      <c r="BG417" s="58" t="str">
        <f t="shared" si="225"/>
        <v/>
      </c>
      <c r="BH417" s="59"/>
      <c r="BI417" s="58" t="str">
        <f t="shared" si="226"/>
        <v/>
      </c>
      <c r="BJ417" s="59"/>
      <c r="BK417" s="58" t="str">
        <f t="shared" si="227"/>
        <v/>
      </c>
      <c r="BL417" s="59"/>
      <c r="BM417" s="58" t="str">
        <f t="shared" si="228"/>
        <v/>
      </c>
      <c r="BN417" s="59"/>
      <c r="BO417" s="58" t="str">
        <f t="shared" si="229"/>
        <v/>
      </c>
      <c r="BP417" s="59"/>
      <c r="BQ417" s="58" t="str">
        <f t="shared" si="230"/>
        <v/>
      </c>
      <c r="BR417" s="59"/>
      <c r="BS417" s="58" t="str">
        <f t="shared" si="231"/>
        <v/>
      </c>
      <c r="BT417" s="59"/>
      <c r="BU417" s="58" t="str">
        <f t="shared" si="232"/>
        <v/>
      </c>
      <c r="BV417" s="59"/>
    </row>
    <row r="418" spans="1:74" ht="14.5">
      <c r="A418" s="51" t="s">
        <v>58</v>
      </c>
      <c r="B418" s="52">
        <v>396</v>
      </c>
      <c r="C418" s="52" t="s">
        <v>188</v>
      </c>
      <c r="D418" s="41">
        <f t="shared" si="205"/>
        <v>5</v>
      </c>
      <c r="E418" s="52" t="s">
        <v>158</v>
      </c>
      <c r="F418" s="52" t="s">
        <v>242</v>
      </c>
      <c r="G418" s="52" t="s">
        <v>154</v>
      </c>
      <c r="H418" s="52" t="s">
        <v>432</v>
      </c>
      <c r="I418" s="53">
        <v>45688</v>
      </c>
      <c r="J418" s="108">
        <v>892</v>
      </c>
      <c r="K418" s="101"/>
      <c r="L418" s="101"/>
      <c r="M418" s="101">
        <f t="shared" si="206"/>
        <v>892</v>
      </c>
      <c r="N418" s="54">
        <f t="shared" si="207"/>
        <v>892</v>
      </c>
      <c r="O418" s="101" t="s">
        <v>439</v>
      </c>
      <c r="P418" s="102">
        <f t="shared" si="208"/>
        <v>1.2388888888888889</v>
      </c>
      <c r="Q418" s="102">
        <v>6</v>
      </c>
      <c r="R418" s="99">
        <v>120</v>
      </c>
      <c r="S418" s="55">
        <f t="shared" si="234"/>
        <v>45656</v>
      </c>
      <c r="T418" s="55"/>
      <c r="U418" s="56">
        <f t="shared" ca="1" si="201"/>
        <v>-184</v>
      </c>
      <c r="V418" s="55">
        <f t="shared" si="233"/>
        <v>45672</v>
      </c>
      <c r="W418" s="55"/>
      <c r="X418" s="56">
        <f t="shared" ca="1" si="203"/>
        <v>-168</v>
      </c>
      <c r="Y418" s="55"/>
      <c r="Z418" s="57"/>
      <c r="AA418" s="58" t="str">
        <f t="shared" si="209"/>
        <v>-</v>
      </c>
      <c r="AB418" s="59"/>
      <c r="AC418" s="58" t="str">
        <f t="shared" si="210"/>
        <v/>
      </c>
      <c r="AD418" s="59"/>
      <c r="AE418" s="58" t="str">
        <f t="shared" si="211"/>
        <v/>
      </c>
      <c r="AF418" s="59"/>
      <c r="AG418" s="58" t="str">
        <f t="shared" si="212"/>
        <v/>
      </c>
      <c r="AH418" s="59"/>
      <c r="AI418" s="58" t="str">
        <f t="shared" si="213"/>
        <v/>
      </c>
      <c r="AJ418" s="59"/>
      <c r="AK418" s="58" t="str">
        <f t="shared" si="214"/>
        <v/>
      </c>
      <c r="AL418" s="59"/>
      <c r="AM418" s="58" t="str">
        <f t="shared" si="215"/>
        <v/>
      </c>
      <c r="AN418" s="59"/>
      <c r="AO418" s="58" t="str">
        <f t="shared" si="216"/>
        <v/>
      </c>
      <c r="AP418" s="59"/>
      <c r="AQ418" s="58" t="str">
        <f t="shared" si="217"/>
        <v/>
      </c>
      <c r="AR418" s="59"/>
      <c r="AS418" s="58" t="str">
        <f t="shared" si="218"/>
        <v/>
      </c>
      <c r="AT418" s="59"/>
      <c r="AU418" s="58" t="str">
        <f t="shared" si="219"/>
        <v/>
      </c>
      <c r="AV418" s="59"/>
      <c r="AW418" s="58" t="str">
        <f t="shared" si="220"/>
        <v/>
      </c>
      <c r="AX418" s="59"/>
      <c r="AY418" s="58" t="str">
        <f t="shared" si="221"/>
        <v/>
      </c>
      <c r="AZ418" s="59"/>
      <c r="BA418" s="58" t="str">
        <f t="shared" si="222"/>
        <v/>
      </c>
      <c r="BB418" s="59"/>
      <c r="BC418" s="58" t="str">
        <f t="shared" si="223"/>
        <v/>
      </c>
      <c r="BD418" s="59"/>
      <c r="BE418" s="58" t="str">
        <f t="shared" si="224"/>
        <v/>
      </c>
      <c r="BF418" s="59"/>
      <c r="BG418" s="58" t="str">
        <f t="shared" si="225"/>
        <v/>
      </c>
      <c r="BH418" s="59"/>
      <c r="BI418" s="58" t="str">
        <f t="shared" si="226"/>
        <v/>
      </c>
      <c r="BJ418" s="59"/>
      <c r="BK418" s="58" t="str">
        <f t="shared" si="227"/>
        <v/>
      </c>
      <c r="BL418" s="59"/>
      <c r="BM418" s="58" t="str">
        <f t="shared" si="228"/>
        <v/>
      </c>
      <c r="BN418" s="59"/>
      <c r="BO418" s="58" t="str">
        <f t="shared" si="229"/>
        <v/>
      </c>
      <c r="BP418" s="59"/>
      <c r="BQ418" s="58" t="str">
        <f t="shared" si="230"/>
        <v/>
      </c>
      <c r="BR418" s="59"/>
      <c r="BS418" s="58" t="str">
        <f t="shared" si="231"/>
        <v/>
      </c>
      <c r="BT418" s="59"/>
      <c r="BU418" s="58" t="str">
        <f t="shared" si="232"/>
        <v/>
      </c>
      <c r="BV418" s="59"/>
    </row>
    <row r="419" spans="1:74" ht="14.5">
      <c r="A419" s="51" t="s">
        <v>58</v>
      </c>
      <c r="B419" s="52">
        <v>396</v>
      </c>
      <c r="C419" s="52" t="s">
        <v>188</v>
      </c>
      <c r="D419" s="41">
        <f t="shared" si="205"/>
        <v>5</v>
      </c>
      <c r="E419" s="52" t="s">
        <v>158</v>
      </c>
      <c r="F419" s="52" t="s">
        <v>242</v>
      </c>
      <c r="G419" s="52" t="s">
        <v>155</v>
      </c>
      <c r="H419" s="52" t="s">
        <v>432</v>
      </c>
      <c r="I419" s="53">
        <v>45688</v>
      </c>
      <c r="J419" s="108">
        <v>172</v>
      </c>
      <c r="K419" s="101"/>
      <c r="L419" s="101"/>
      <c r="M419" s="101">
        <f t="shared" si="206"/>
        <v>172</v>
      </c>
      <c r="N419" s="54">
        <f t="shared" si="207"/>
        <v>172</v>
      </c>
      <c r="O419" s="101" t="s">
        <v>439</v>
      </c>
      <c r="P419" s="102">
        <f t="shared" si="208"/>
        <v>0.2388888888888889</v>
      </c>
      <c r="Q419" s="102">
        <v>6</v>
      </c>
      <c r="R419" s="99">
        <v>120</v>
      </c>
      <c r="S419" s="55">
        <f t="shared" si="234"/>
        <v>45656</v>
      </c>
      <c r="T419" s="55"/>
      <c r="U419" s="56">
        <f t="shared" ca="1" si="201"/>
        <v>-184</v>
      </c>
      <c r="V419" s="55">
        <f t="shared" si="233"/>
        <v>45672</v>
      </c>
      <c r="W419" s="55"/>
      <c r="X419" s="56">
        <f t="shared" ca="1" si="203"/>
        <v>-168</v>
      </c>
      <c r="Y419" s="55"/>
      <c r="Z419" s="57"/>
      <c r="AA419" s="58" t="str">
        <f t="shared" si="209"/>
        <v>-</v>
      </c>
      <c r="AB419" s="59"/>
      <c r="AC419" s="58" t="str">
        <f t="shared" si="210"/>
        <v/>
      </c>
      <c r="AD419" s="59"/>
      <c r="AE419" s="58" t="str">
        <f t="shared" si="211"/>
        <v/>
      </c>
      <c r="AF419" s="59"/>
      <c r="AG419" s="58" t="str">
        <f t="shared" si="212"/>
        <v/>
      </c>
      <c r="AH419" s="59"/>
      <c r="AI419" s="58" t="str">
        <f t="shared" si="213"/>
        <v/>
      </c>
      <c r="AJ419" s="59"/>
      <c r="AK419" s="58" t="str">
        <f t="shared" si="214"/>
        <v/>
      </c>
      <c r="AL419" s="59"/>
      <c r="AM419" s="58" t="str">
        <f t="shared" si="215"/>
        <v/>
      </c>
      <c r="AN419" s="59"/>
      <c r="AO419" s="58" t="str">
        <f t="shared" si="216"/>
        <v/>
      </c>
      <c r="AP419" s="59"/>
      <c r="AQ419" s="58" t="str">
        <f t="shared" si="217"/>
        <v/>
      </c>
      <c r="AR419" s="59"/>
      <c r="AS419" s="58" t="str">
        <f t="shared" si="218"/>
        <v/>
      </c>
      <c r="AT419" s="59"/>
      <c r="AU419" s="58" t="str">
        <f t="shared" si="219"/>
        <v/>
      </c>
      <c r="AV419" s="59"/>
      <c r="AW419" s="58" t="str">
        <f t="shared" si="220"/>
        <v/>
      </c>
      <c r="AX419" s="59"/>
      <c r="AY419" s="58" t="str">
        <f t="shared" si="221"/>
        <v/>
      </c>
      <c r="AZ419" s="59"/>
      <c r="BA419" s="58" t="str">
        <f t="shared" si="222"/>
        <v/>
      </c>
      <c r="BB419" s="59"/>
      <c r="BC419" s="58" t="str">
        <f t="shared" si="223"/>
        <v/>
      </c>
      <c r="BD419" s="59"/>
      <c r="BE419" s="58" t="str">
        <f t="shared" si="224"/>
        <v/>
      </c>
      <c r="BF419" s="59"/>
      <c r="BG419" s="58" t="str">
        <f t="shared" si="225"/>
        <v/>
      </c>
      <c r="BH419" s="59"/>
      <c r="BI419" s="58" t="str">
        <f t="shared" si="226"/>
        <v/>
      </c>
      <c r="BJ419" s="59"/>
      <c r="BK419" s="58" t="str">
        <f t="shared" si="227"/>
        <v/>
      </c>
      <c r="BL419" s="59"/>
      <c r="BM419" s="58" t="str">
        <f t="shared" si="228"/>
        <v/>
      </c>
      <c r="BN419" s="59"/>
      <c r="BO419" s="58" t="str">
        <f t="shared" si="229"/>
        <v/>
      </c>
      <c r="BP419" s="59"/>
      <c r="BQ419" s="58" t="str">
        <f t="shared" si="230"/>
        <v/>
      </c>
      <c r="BR419" s="59"/>
      <c r="BS419" s="58" t="str">
        <f t="shared" si="231"/>
        <v/>
      </c>
      <c r="BT419" s="59"/>
      <c r="BU419" s="58" t="str">
        <f t="shared" si="232"/>
        <v/>
      </c>
      <c r="BV419" s="59"/>
    </row>
    <row r="420" spans="1:74" ht="14.5">
      <c r="A420" s="51" t="s">
        <v>58</v>
      </c>
      <c r="B420" s="52">
        <v>396</v>
      </c>
      <c r="C420" s="52" t="s">
        <v>188</v>
      </c>
      <c r="D420" s="41">
        <f t="shared" si="205"/>
        <v>5</v>
      </c>
      <c r="E420" s="52" t="s">
        <v>195</v>
      </c>
      <c r="F420" s="52" t="s">
        <v>286</v>
      </c>
      <c r="G420" s="52" t="s">
        <v>162</v>
      </c>
      <c r="H420" s="52" t="s">
        <v>508</v>
      </c>
      <c r="I420" s="53">
        <v>45688</v>
      </c>
      <c r="J420" s="108">
        <v>4464</v>
      </c>
      <c r="K420" s="101"/>
      <c r="L420" s="101"/>
      <c r="M420" s="101">
        <f t="shared" si="206"/>
        <v>4464</v>
      </c>
      <c r="N420" s="54">
        <f t="shared" si="207"/>
        <v>4464</v>
      </c>
      <c r="O420" s="101" t="s">
        <v>431</v>
      </c>
      <c r="P420" s="102">
        <f t="shared" si="208"/>
        <v>6.2</v>
      </c>
      <c r="Q420" s="102">
        <v>6</v>
      </c>
      <c r="R420" s="99">
        <v>120</v>
      </c>
      <c r="S420" s="55">
        <f t="shared" si="234"/>
        <v>45656</v>
      </c>
      <c r="T420" s="55"/>
      <c r="U420" s="56">
        <f t="shared" ca="1" si="201"/>
        <v>-184</v>
      </c>
      <c r="V420" s="55">
        <f t="shared" si="233"/>
        <v>45672</v>
      </c>
      <c r="W420" s="55"/>
      <c r="X420" s="56">
        <f t="shared" ca="1" si="203"/>
        <v>-168</v>
      </c>
      <c r="Y420" s="55"/>
      <c r="Z420" s="57"/>
      <c r="AA420" s="58" t="str">
        <f t="shared" si="209"/>
        <v>-</v>
      </c>
      <c r="AB420" s="59"/>
      <c r="AC420" s="58" t="str">
        <f t="shared" si="210"/>
        <v/>
      </c>
      <c r="AD420" s="59"/>
      <c r="AE420" s="58" t="str">
        <f t="shared" si="211"/>
        <v/>
      </c>
      <c r="AF420" s="59"/>
      <c r="AG420" s="58" t="str">
        <f t="shared" si="212"/>
        <v/>
      </c>
      <c r="AH420" s="59"/>
      <c r="AI420" s="58" t="str">
        <f t="shared" si="213"/>
        <v/>
      </c>
      <c r="AJ420" s="59"/>
      <c r="AK420" s="58" t="str">
        <f t="shared" si="214"/>
        <v/>
      </c>
      <c r="AL420" s="59"/>
      <c r="AM420" s="58" t="str">
        <f t="shared" si="215"/>
        <v/>
      </c>
      <c r="AN420" s="59"/>
      <c r="AO420" s="58" t="str">
        <f t="shared" si="216"/>
        <v/>
      </c>
      <c r="AP420" s="59"/>
      <c r="AQ420" s="58" t="str">
        <f t="shared" si="217"/>
        <v/>
      </c>
      <c r="AR420" s="59"/>
      <c r="AS420" s="58" t="str">
        <f t="shared" si="218"/>
        <v/>
      </c>
      <c r="AT420" s="59"/>
      <c r="AU420" s="58" t="str">
        <f t="shared" si="219"/>
        <v/>
      </c>
      <c r="AV420" s="59"/>
      <c r="AW420" s="58" t="str">
        <f t="shared" si="220"/>
        <v/>
      </c>
      <c r="AX420" s="59"/>
      <c r="AY420" s="58" t="str">
        <f t="shared" si="221"/>
        <v/>
      </c>
      <c r="AZ420" s="59"/>
      <c r="BA420" s="58" t="str">
        <f t="shared" si="222"/>
        <v/>
      </c>
      <c r="BB420" s="59"/>
      <c r="BC420" s="58" t="str">
        <f t="shared" si="223"/>
        <v/>
      </c>
      <c r="BD420" s="59"/>
      <c r="BE420" s="58" t="str">
        <f t="shared" si="224"/>
        <v/>
      </c>
      <c r="BF420" s="59"/>
      <c r="BG420" s="58" t="str">
        <f t="shared" si="225"/>
        <v/>
      </c>
      <c r="BH420" s="59"/>
      <c r="BI420" s="58" t="str">
        <f t="shared" si="226"/>
        <v/>
      </c>
      <c r="BJ420" s="59"/>
      <c r="BK420" s="58" t="str">
        <f t="shared" si="227"/>
        <v/>
      </c>
      <c r="BL420" s="59"/>
      <c r="BM420" s="58" t="str">
        <f t="shared" si="228"/>
        <v/>
      </c>
      <c r="BN420" s="59"/>
      <c r="BO420" s="58" t="str">
        <f t="shared" si="229"/>
        <v/>
      </c>
      <c r="BP420" s="59"/>
      <c r="BQ420" s="58" t="str">
        <f t="shared" si="230"/>
        <v/>
      </c>
      <c r="BR420" s="59"/>
      <c r="BS420" s="58" t="str">
        <f t="shared" si="231"/>
        <v/>
      </c>
      <c r="BT420" s="59"/>
      <c r="BU420" s="58" t="str">
        <f t="shared" si="232"/>
        <v/>
      </c>
      <c r="BV420" s="59"/>
    </row>
    <row r="421" spans="1:74" ht="14.5">
      <c r="A421" s="51" t="s">
        <v>58</v>
      </c>
      <c r="B421" s="52">
        <v>396</v>
      </c>
      <c r="C421" s="52" t="s">
        <v>188</v>
      </c>
      <c r="D421" s="41">
        <f t="shared" si="205"/>
        <v>5</v>
      </c>
      <c r="E421" s="52" t="s">
        <v>158</v>
      </c>
      <c r="F421" s="52" t="s">
        <v>242</v>
      </c>
      <c r="G421" s="52" t="s">
        <v>255</v>
      </c>
      <c r="H421" s="52" t="s">
        <v>445</v>
      </c>
      <c r="I421" s="53">
        <v>45688</v>
      </c>
      <c r="J421" s="108">
        <v>1336</v>
      </c>
      <c r="K421" s="101"/>
      <c r="L421" s="101"/>
      <c r="M421" s="101">
        <f t="shared" si="206"/>
        <v>1336</v>
      </c>
      <c r="N421" s="54">
        <f t="shared" si="207"/>
        <v>1336</v>
      </c>
      <c r="O421" s="101" t="s">
        <v>439</v>
      </c>
      <c r="P421" s="102">
        <f t="shared" si="208"/>
        <v>1.8555555555555556</v>
      </c>
      <c r="Q421" s="102">
        <v>6</v>
      </c>
      <c r="R421" s="99">
        <v>120</v>
      </c>
      <c r="S421" s="55">
        <f t="shared" si="234"/>
        <v>45656</v>
      </c>
      <c r="T421" s="55"/>
      <c r="U421" s="56">
        <f t="shared" ca="1" si="201"/>
        <v>-184</v>
      </c>
      <c r="V421" s="55">
        <f t="shared" si="233"/>
        <v>45672</v>
      </c>
      <c r="W421" s="55"/>
      <c r="X421" s="56">
        <f t="shared" ca="1" si="203"/>
        <v>-168</v>
      </c>
      <c r="Y421" s="55"/>
      <c r="Z421" s="57"/>
      <c r="AA421" s="58" t="str">
        <f t="shared" si="209"/>
        <v>-</v>
      </c>
      <c r="AB421" s="59"/>
      <c r="AC421" s="58" t="str">
        <f t="shared" si="210"/>
        <v/>
      </c>
      <c r="AD421" s="59"/>
      <c r="AE421" s="58" t="str">
        <f t="shared" si="211"/>
        <v/>
      </c>
      <c r="AF421" s="59"/>
      <c r="AG421" s="58" t="str">
        <f t="shared" si="212"/>
        <v/>
      </c>
      <c r="AH421" s="59"/>
      <c r="AI421" s="58" t="str">
        <f t="shared" si="213"/>
        <v/>
      </c>
      <c r="AJ421" s="59"/>
      <c r="AK421" s="58" t="str">
        <f t="shared" si="214"/>
        <v/>
      </c>
      <c r="AL421" s="59"/>
      <c r="AM421" s="58" t="str">
        <f t="shared" si="215"/>
        <v/>
      </c>
      <c r="AN421" s="59"/>
      <c r="AO421" s="58" t="str">
        <f t="shared" si="216"/>
        <v/>
      </c>
      <c r="AP421" s="59"/>
      <c r="AQ421" s="58" t="str">
        <f t="shared" si="217"/>
        <v/>
      </c>
      <c r="AR421" s="59"/>
      <c r="AS421" s="58" t="str">
        <f t="shared" si="218"/>
        <v/>
      </c>
      <c r="AT421" s="59"/>
      <c r="AU421" s="58" t="str">
        <f t="shared" si="219"/>
        <v/>
      </c>
      <c r="AV421" s="59"/>
      <c r="AW421" s="58" t="str">
        <f t="shared" si="220"/>
        <v/>
      </c>
      <c r="AX421" s="59"/>
      <c r="AY421" s="58" t="str">
        <f t="shared" si="221"/>
        <v/>
      </c>
      <c r="AZ421" s="59"/>
      <c r="BA421" s="58" t="str">
        <f t="shared" si="222"/>
        <v/>
      </c>
      <c r="BB421" s="59"/>
      <c r="BC421" s="58" t="str">
        <f t="shared" si="223"/>
        <v/>
      </c>
      <c r="BD421" s="59"/>
      <c r="BE421" s="58" t="str">
        <f t="shared" si="224"/>
        <v/>
      </c>
      <c r="BF421" s="59"/>
      <c r="BG421" s="58" t="str">
        <f t="shared" si="225"/>
        <v/>
      </c>
      <c r="BH421" s="59"/>
      <c r="BI421" s="58" t="str">
        <f t="shared" si="226"/>
        <v/>
      </c>
      <c r="BJ421" s="59"/>
      <c r="BK421" s="58" t="str">
        <f t="shared" si="227"/>
        <v/>
      </c>
      <c r="BL421" s="59"/>
      <c r="BM421" s="58" t="str">
        <f t="shared" si="228"/>
        <v/>
      </c>
      <c r="BN421" s="59"/>
      <c r="BO421" s="58" t="str">
        <f t="shared" si="229"/>
        <v/>
      </c>
      <c r="BP421" s="59"/>
      <c r="BQ421" s="58" t="str">
        <f t="shared" si="230"/>
        <v/>
      </c>
      <c r="BR421" s="59"/>
      <c r="BS421" s="58" t="str">
        <f t="shared" si="231"/>
        <v/>
      </c>
      <c r="BT421" s="59"/>
      <c r="BU421" s="58" t="str">
        <f t="shared" si="232"/>
        <v/>
      </c>
      <c r="BV421" s="59"/>
    </row>
    <row r="422" spans="1:74" ht="14.5">
      <c r="A422" s="51" t="s">
        <v>58</v>
      </c>
      <c r="B422" s="52">
        <v>397</v>
      </c>
      <c r="C422" s="52" t="s">
        <v>188</v>
      </c>
      <c r="D422" s="41">
        <f t="shared" si="205"/>
        <v>5</v>
      </c>
      <c r="E422" s="52" t="s">
        <v>201</v>
      </c>
      <c r="F422" s="52" t="s">
        <v>247</v>
      </c>
      <c r="G422" s="52" t="s">
        <v>155</v>
      </c>
      <c r="H422" s="52" t="s">
        <v>442</v>
      </c>
      <c r="I422" s="53">
        <v>45688</v>
      </c>
      <c r="J422" s="108">
        <v>14256</v>
      </c>
      <c r="K422" s="101"/>
      <c r="L422" s="101"/>
      <c r="M422" s="101">
        <f t="shared" si="206"/>
        <v>14256</v>
      </c>
      <c r="N422" s="54">
        <f t="shared" si="207"/>
        <v>14256</v>
      </c>
      <c r="O422" s="101" t="s">
        <v>443</v>
      </c>
      <c r="P422" s="102">
        <f t="shared" si="208"/>
        <v>8.1462857142857139</v>
      </c>
      <c r="Q422" s="102">
        <v>5</v>
      </c>
      <c r="R422" s="99">
        <v>350</v>
      </c>
      <c r="S422" s="55">
        <f t="shared" si="234"/>
        <v>45656</v>
      </c>
      <c r="T422" s="55"/>
      <c r="U422" s="56">
        <f t="shared" ca="1" si="201"/>
        <v>-184</v>
      </c>
      <c r="V422" s="55">
        <f t="shared" si="233"/>
        <v>45672</v>
      </c>
      <c r="W422" s="55"/>
      <c r="X422" s="56">
        <f t="shared" ca="1" si="203"/>
        <v>-168</v>
      </c>
      <c r="Y422" s="55"/>
      <c r="Z422" s="57"/>
      <c r="AA422" s="58" t="str">
        <f t="shared" si="209"/>
        <v>-</v>
      </c>
      <c r="AB422" s="59"/>
      <c r="AC422" s="58" t="str">
        <f t="shared" si="210"/>
        <v/>
      </c>
      <c r="AD422" s="59"/>
      <c r="AE422" s="58" t="str">
        <f t="shared" si="211"/>
        <v/>
      </c>
      <c r="AF422" s="59"/>
      <c r="AG422" s="58" t="str">
        <f t="shared" si="212"/>
        <v/>
      </c>
      <c r="AH422" s="59"/>
      <c r="AI422" s="58" t="str">
        <f t="shared" si="213"/>
        <v/>
      </c>
      <c r="AJ422" s="59"/>
      <c r="AK422" s="58" t="str">
        <f t="shared" si="214"/>
        <v/>
      </c>
      <c r="AL422" s="59"/>
      <c r="AM422" s="58" t="str">
        <f t="shared" si="215"/>
        <v/>
      </c>
      <c r="AN422" s="59"/>
      <c r="AO422" s="58" t="str">
        <f t="shared" si="216"/>
        <v/>
      </c>
      <c r="AP422" s="59"/>
      <c r="AQ422" s="58" t="str">
        <f t="shared" si="217"/>
        <v/>
      </c>
      <c r="AR422" s="59"/>
      <c r="AS422" s="58" t="str">
        <f t="shared" si="218"/>
        <v/>
      </c>
      <c r="AT422" s="59"/>
      <c r="AU422" s="58" t="str">
        <f t="shared" si="219"/>
        <v/>
      </c>
      <c r="AV422" s="59"/>
      <c r="AW422" s="58" t="str">
        <f t="shared" si="220"/>
        <v/>
      </c>
      <c r="AX422" s="59"/>
      <c r="AY422" s="58" t="str">
        <f t="shared" si="221"/>
        <v/>
      </c>
      <c r="AZ422" s="59"/>
      <c r="BA422" s="58" t="str">
        <f t="shared" si="222"/>
        <v/>
      </c>
      <c r="BB422" s="59"/>
      <c r="BC422" s="58" t="str">
        <f t="shared" si="223"/>
        <v/>
      </c>
      <c r="BD422" s="59"/>
      <c r="BE422" s="58" t="str">
        <f t="shared" si="224"/>
        <v/>
      </c>
      <c r="BF422" s="59"/>
      <c r="BG422" s="58" t="str">
        <f t="shared" si="225"/>
        <v/>
      </c>
      <c r="BH422" s="59"/>
      <c r="BI422" s="58" t="str">
        <f t="shared" si="226"/>
        <v/>
      </c>
      <c r="BJ422" s="59"/>
      <c r="BK422" s="58" t="str">
        <f t="shared" si="227"/>
        <v/>
      </c>
      <c r="BL422" s="59"/>
      <c r="BM422" s="58" t="str">
        <f t="shared" si="228"/>
        <v/>
      </c>
      <c r="BN422" s="59"/>
      <c r="BO422" s="58" t="str">
        <f t="shared" si="229"/>
        <v/>
      </c>
      <c r="BP422" s="59"/>
      <c r="BQ422" s="58" t="str">
        <f t="shared" si="230"/>
        <v/>
      </c>
      <c r="BR422" s="59"/>
      <c r="BS422" s="58" t="str">
        <f t="shared" si="231"/>
        <v/>
      </c>
      <c r="BT422" s="59"/>
      <c r="BU422" s="58" t="str">
        <f t="shared" si="232"/>
        <v/>
      </c>
      <c r="BV422" s="59"/>
    </row>
    <row r="423" spans="1:74" ht="14.5">
      <c r="A423" s="51" t="s">
        <v>58</v>
      </c>
      <c r="B423" s="52">
        <v>397</v>
      </c>
      <c r="C423" s="52" t="s">
        <v>188</v>
      </c>
      <c r="D423" s="41">
        <f t="shared" si="205"/>
        <v>5</v>
      </c>
      <c r="E423" s="52" t="s">
        <v>390</v>
      </c>
      <c r="F423" s="52" t="s">
        <v>242</v>
      </c>
      <c r="G423" s="52" t="s">
        <v>162</v>
      </c>
      <c r="H423" s="52" t="s">
        <v>430</v>
      </c>
      <c r="I423" s="53">
        <v>45688</v>
      </c>
      <c r="J423" s="108">
        <v>1782</v>
      </c>
      <c r="K423" s="101"/>
      <c r="L423" s="101"/>
      <c r="M423" s="101">
        <f t="shared" si="206"/>
        <v>1782</v>
      </c>
      <c r="N423" s="54">
        <f t="shared" si="207"/>
        <v>1782</v>
      </c>
      <c r="O423" s="101" t="s">
        <v>431</v>
      </c>
      <c r="P423" s="102">
        <f t="shared" si="208"/>
        <v>2.4750000000000001</v>
      </c>
      <c r="Q423" s="102">
        <v>6</v>
      </c>
      <c r="R423" s="99">
        <v>120</v>
      </c>
      <c r="S423" s="55">
        <f t="shared" si="234"/>
        <v>45656</v>
      </c>
      <c r="T423" s="55"/>
      <c r="U423" s="56">
        <f t="shared" ca="1" si="201"/>
        <v>-184</v>
      </c>
      <c r="V423" s="55">
        <f t="shared" si="233"/>
        <v>45672</v>
      </c>
      <c r="W423" s="55"/>
      <c r="X423" s="56">
        <f t="shared" ca="1" si="203"/>
        <v>-168</v>
      </c>
      <c r="Y423" s="55"/>
      <c r="Z423" s="57"/>
      <c r="AA423" s="58" t="str">
        <f t="shared" si="209"/>
        <v>-</v>
      </c>
      <c r="AB423" s="59"/>
      <c r="AC423" s="58" t="str">
        <f t="shared" si="210"/>
        <v/>
      </c>
      <c r="AD423" s="59"/>
      <c r="AE423" s="58" t="str">
        <f t="shared" si="211"/>
        <v/>
      </c>
      <c r="AF423" s="59"/>
      <c r="AG423" s="58" t="str">
        <f t="shared" si="212"/>
        <v/>
      </c>
      <c r="AH423" s="59"/>
      <c r="AI423" s="58" t="str">
        <f t="shared" si="213"/>
        <v/>
      </c>
      <c r="AJ423" s="59"/>
      <c r="AK423" s="58" t="str">
        <f t="shared" si="214"/>
        <v/>
      </c>
      <c r="AL423" s="59"/>
      <c r="AM423" s="58" t="str">
        <f t="shared" si="215"/>
        <v/>
      </c>
      <c r="AN423" s="59"/>
      <c r="AO423" s="58" t="str">
        <f t="shared" si="216"/>
        <v/>
      </c>
      <c r="AP423" s="59"/>
      <c r="AQ423" s="58" t="str">
        <f t="shared" si="217"/>
        <v/>
      </c>
      <c r="AR423" s="59"/>
      <c r="AS423" s="58" t="str">
        <f t="shared" si="218"/>
        <v/>
      </c>
      <c r="AT423" s="59"/>
      <c r="AU423" s="58" t="str">
        <f t="shared" si="219"/>
        <v/>
      </c>
      <c r="AV423" s="59"/>
      <c r="AW423" s="58" t="str">
        <f t="shared" si="220"/>
        <v/>
      </c>
      <c r="AX423" s="59"/>
      <c r="AY423" s="58" t="str">
        <f t="shared" si="221"/>
        <v/>
      </c>
      <c r="AZ423" s="59"/>
      <c r="BA423" s="58" t="str">
        <f t="shared" si="222"/>
        <v/>
      </c>
      <c r="BB423" s="59"/>
      <c r="BC423" s="58" t="str">
        <f t="shared" si="223"/>
        <v/>
      </c>
      <c r="BD423" s="59"/>
      <c r="BE423" s="58" t="str">
        <f t="shared" si="224"/>
        <v/>
      </c>
      <c r="BF423" s="59"/>
      <c r="BG423" s="58" t="str">
        <f t="shared" si="225"/>
        <v/>
      </c>
      <c r="BH423" s="59"/>
      <c r="BI423" s="58" t="str">
        <f t="shared" si="226"/>
        <v/>
      </c>
      <c r="BJ423" s="59"/>
      <c r="BK423" s="58" t="str">
        <f t="shared" si="227"/>
        <v/>
      </c>
      <c r="BL423" s="59"/>
      <c r="BM423" s="58" t="str">
        <f t="shared" si="228"/>
        <v/>
      </c>
      <c r="BN423" s="59"/>
      <c r="BO423" s="58" t="str">
        <f t="shared" si="229"/>
        <v/>
      </c>
      <c r="BP423" s="59"/>
      <c r="BQ423" s="58" t="str">
        <f t="shared" si="230"/>
        <v/>
      </c>
      <c r="BR423" s="59"/>
      <c r="BS423" s="58" t="str">
        <f t="shared" si="231"/>
        <v/>
      </c>
      <c r="BT423" s="59"/>
      <c r="BU423" s="58" t="str">
        <f t="shared" si="232"/>
        <v/>
      </c>
      <c r="BV423" s="59"/>
    </row>
    <row r="424" spans="1:74" ht="14.5">
      <c r="A424" s="51" t="s">
        <v>58</v>
      </c>
      <c r="B424" s="52">
        <v>397</v>
      </c>
      <c r="C424" s="52" t="s">
        <v>188</v>
      </c>
      <c r="D424" s="41">
        <f t="shared" si="205"/>
        <v>5</v>
      </c>
      <c r="E424" s="52" t="s">
        <v>391</v>
      </c>
      <c r="F424" s="52" t="s">
        <v>392</v>
      </c>
      <c r="G424" s="52" t="s">
        <v>393</v>
      </c>
      <c r="H424" s="52" t="s">
        <v>433</v>
      </c>
      <c r="I424" s="53">
        <v>45688</v>
      </c>
      <c r="J424" s="108">
        <v>1488</v>
      </c>
      <c r="K424" s="101"/>
      <c r="L424" s="101"/>
      <c r="M424" s="101">
        <f t="shared" si="206"/>
        <v>1488</v>
      </c>
      <c r="N424" s="54">
        <f t="shared" si="207"/>
        <v>1488</v>
      </c>
      <c r="O424" s="101" t="s">
        <v>178</v>
      </c>
      <c r="P424" s="102">
        <f t="shared" si="208"/>
        <v>3.1</v>
      </c>
      <c r="Q424" s="102">
        <v>6</v>
      </c>
      <c r="R424" s="99">
        <v>80</v>
      </c>
      <c r="S424" s="55">
        <f t="shared" si="234"/>
        <v>45656</v>
      </c>
      <c r="T424" s="55"/>
      <c r="U424" s="56">
        <f t="shared" ca="1" si="201"/>
        <v>-184</v>
      </c>
      <c r="V424" s="55">
        <f t="shared" si="233"/>
        <v>45672</v>
      </c>
      <c r="W424" s="55"/>
      <c r="X424" s="56">
        <f t="shared" ca="1" si="203"/>
        <v>-168</v>
      </c>
      <c r="Y424" s="55"/>
      <c r="Z424" s="57"/>
      <c r="AA424" s="58" t="str">
        <f t="shared" si="209"/>
        <v>-</v>
      </c>
      <c r="AB424" s="59"/>
      <c r="AC424" s="58" t="str">
        <f t="shared" si="210"/>
        <v/>
      </c>
      <c r="AD424" s="59"/>
      <c r="AE424" s="58" t="str">
        <f t="shared" si="211"/>
        <v/>
      </c>
      <c r="AF424" s="59"/>
      <c r="AG424" s="58" t="str">
        <f t="shared" si="212"/>
        <v/>
      </c>
      <c r="AH424" s="59"/>
      <c r="AI424" s="58" t="str">
        <f t="shared" si="213"/>
        <v/>
      </c>
      <c r="AJ424" s="59"/>
      <c r="AK424" s="58" t="str">
        <f t="shared" si="214"/>
        <v/>
      </c>
      <c r="AL424" s="59"/>
      <c r="AM424" s="58" t="str">
        <f t="shared" si="215"/>
        <v/>
      </c>
      <c r="AN424" s="59"/>
      <c r="AO424" s="58" t="str">
        <f t="shared" si="216"/>
        <v/>
      </c>
      <c r="AP424" s="59"/>
      <c r="AQ424" s="58" t="str">
        <f t="shared" si="217"/>
        <v/>
      </c>
      <c r="AR424" s="59"/>
      <c r="AS424" s="58" t="str">
        <f t="shared" si="218"/>
        <v/>
      </c>
      <c r="AT424" s="59"/>
      <c r="AU424" s="58" t="str">
        <f t="shared" si="219"/>
        <v/>
      </c>
      <c r="AV424" s="59"/>
      <c r="AW424" s="58" t="str">
        <f t="shared" si="220"/>
        <v/>
      </c>
      <c r="AX424" s="59"/>
      <c r="AY424" s="58" t="str">
        <f t="shared" si="221"/>
        <v/>
      </c>
      <c r="AZ424" s="59"/>
      <c r="BA424" s="58" t="str">
        <f t="shared" si="222"/>
        <v/>
      </c>
      <c r="BB424" s="59"/>
      <c r="BC424" s="58" t="str">
        <f t="shared" si="223"/>
        <v/>
      </c>
      <c r="BD424" s="59"/>
      <c r="BE424" s="58" t="str">
        <f t="shared" si="224"/>
        <v/>
      </c>
      <c r="BF424" s="59"/>
      <c r="BG424" s="58" t="str">
        <f t="shared" si="225"/>
        <v/>
      </c>
      <c r="BH424" s="59"/>
      <c r="BI424" s="58" t="str">
        <f t="shared" si="226"/>
        <v/>
      </c>
      <c r="BJ424" s="59"/>
      <c r="BK424" s="58" t="str">
        <f t="shared" si="227"/>
        <v/>
      </c>
      <c r="BL424" s="59"/>
      <c r="BM424" s="58" t="str">
        <f t="shared" si="228"/>
        <v/>
      </c>
      <c r="BN424" s="59"/>
      <c r="BO424" s="58" t="str">
        <f t="shared" si="229"/>
        <v/>
      </c>
      <c r="BP424" s="59"/>
      <c r="BQ424" s="58" t="str">
        <f t="shared" si="230"/>
        <v/>
      </c>
      <c r="BR424" s="59"/>
      <c r="BS424" s="58" t="str">
        <f t="shared" si="231"/>
        <v/>
      </c>
      <c r="BT424" s="59"/>
      <c r="BU424" s="58" t="str">
        <f t="shared" si="232"/>
        <v/>
      </c>
      <c r="BV424" s="59"/>
    </row>
    <row r="425" spans="1:74" ht="14.5">
      <c r="A425" s="51" t="s">
        <v>58</v>
      </c>
      <c r="B425" s="52">
        <v>397</v>
      </c>
      <c r="C425" s="52" t="s">
        <v>188</v>
      </c>
      <c r="D425" s="41">
        <f t="shared" si="205"/>
        <v>5</v>
      </c>
      <c r="E425" s="52" t="s">
        <v>190</v>
      </c>
      <c r="F425" s="52" t="s">
        <v>562</v>
      </c>
      <c r="G425" s="52" t="s">
        <v>244</v>
      </c>
      <c r="H425" s="52" t="s">
        <v>438</v>
      </c>
      <c r="I425" s="53">
        <v>45688</v>
      </c>
      <c r="J425" s="108">
        <v>1416</v>
      </c>
      <c r="K425" s="101"/>
      <c r="L425" s="101"/>
      <c r="M425" s="101">
        <f t="shared" si="206"/>
        <v>1416</v>
      </c>
      <c r="N425" s="54">
        <f t="shared" si="207"/>
        <v>1416</v>
      </c>
      <c r="O425" s="101" t="s">
        <v>439</v>
      </c>
      <c r="P425" s="102">
        <f t="shared" si="208"/>
        <v>1.9666666666666666</v>
      </c>
      <c r="Q425" s="102">
        <v>6</v>
      </c>
      <c r="R425" s="99">
        <v>120</v>
      </c>
      <c r="S425" s="55">
        <f t="shared" si="234"/>
        <v>45656</v>
      </c>
      <c r="T425" s="55"/>
      <c r="U425" s="56">
        <f t="shared" ca="1" si="201"/>
        <v>-184</v>
      </c>
      <c r="V425" s="55">
        <f t="shared" si="233"/>
        <v>45672</v>
      </c>
      <c r="W425" s="55"/>
      <c r="X425" s="56">
        <f t="shared" ca="1" si="203"/>
        <v>-168</v>
      </c>
      <c r="Y425" s="55"/>
      <c r="Z425" s="57"/>
      <c r="AA425" s="58" t="str">
        <f t="shared" si="209"/>
        <v>-</v>
      </c>
      <c r="AB425" s="59"/>
      <c r="AC425" s="58" t="str">
        <f t="shared" si="210"/>
        <v/>
      </c>
      <c r="AD425" s="59"/>
      <c r="AE425" s="58" t="str">
        <f t="shared" si="211"/>
        <v/>
      </c>
      <c r="AF425" s="59"/>
      <c r="AG425" s="58" t="str">
        <f t="shared" si="212"/>
        <v/>
      </c>
      <c r="AH425" s="59"/>
      <c r="AI425" s="58" t="str">
        <f t="shared" si="213"/>
        <v/>
      </c>
      <c r="AJ425" s="59"/>
      <c r="AK425" s="58" t="str">
        <f t="shared" si="214"/>
        <v/>
      </c>
      <c r="AL425" s="59"/>
      <c r="AM425" s="58" t="str">
        <f t="shared" si="215"/>
        <v/>
      </c>
      <c r="AN425" s="59"/>
      <c r="AO425" s="58" t="str">
        <f t="shared" si="216"/>
        <v/>
      </c>
      <c r="AP425" s="59"/>
      <c r="AQ425" s="58" t="str">
        <f t="shared" si="217"/>
        <v/>
      </c>
      <c r="AR425" s="59"/>
      <c r="AS425" s="58" t="str">
        <f t="shared" si="218"/>
        <v/>
      </c>
      <c r="AT425" s="59"/>
      <c r="AU425" s="58" t="str">
        <f t="shared" si="219"/>
        <v/>
      </c>
      <c r="AV425" s="59"/>
      <c r="AW425" s="58" t="str">
        <f t="shared" si="220"/>
        <v/>
      </c>
      <c r="AX425" s="59"/>
      <c r="AY425" s="58" t="str">
        <f t="shared" si="221"/>
        <v/>
      </c>
      <c r="AZ425" s="59"/>
      <c r="BA425" s="58" t="str">
        <f t="shared" si="222"/>
        <v/>
      </c>
      <c r="BB425" s="59"/>
      <c r="BC425" s="58" t="str">
        <f t="shared" si="223"/>
        <v/>
      </c>
      <c r="BD425" s="59"/>
      <c r="BE425" s="58" t="str">
        <f t="shared" si="224"/>
        <v/>
      </c>
      <c r="BF425" s="59"/>
      <c r="BG425" s="58" t="str">
        <f t="shared" si="225"/>
        <v/>
      </c>
      <c r="BH425" s="59"/>
      <c r="BI425" s="58" t="str">
        <f t="shared" si="226"/>
        <v/>
      </c>
      <c r="BJ425" s="59"/>
      <c r="BK425" s="58" t="str">
        <f t="shared" si="227"/>
        <v/>
      </c>
      <c r="BL425" s="59"/>
      <c r="BM425" s="58" t="str">
        <f t="shared" si="228"/>
        <v/>
      </c>
      <c r="BN425" s="59"/>
      <c r="BO425" s="58" t="str">
        <f t="shared" si="229"/>
        <v/>
      </c>
      <c r="BP425" s="59"/>
      <c r="BQ425" s="58" t="str">
        <f t="shared" si="230"/>
        <v/>
      </c>
      <c r="BR425" s="59"/>
      <c r="BS425" s="58" t="str">
        <f t="shared" si="231"/>
        <v/>
      </c>
      <c r="BT425" s="59"/>
      <c r="BU425" s="58" t="str">
        <f t="shared" si="232"/>
        <v/>
      </c>
      <c r="BV425" s="59"/>
    </row>
    <row r="426" spans="1:74" ht="14.5">
      <c r="A426" s="51" t="s">
        <v>58</v>
      </c>
      <c r="B426" s="52">
        <v>398</v>
      </c>
      <c r="C426" s="52" t="s">
        <v>188</v>
      </c>
      <c r="D426" s="41">
        <f t="shared" si="205"/>
        <v>5</v>
      </c>
      <c r="E426" s="52" t="s">
        <v>502</v>
      </c>
      <c r="F426" s="52" t="s">
        <v>289</v>
      </c>
      <c r="G426" s="52" t="s">
        <v>155</v>
      </c>
      <c r="H426" s="52" t="s">
        <v>561</v>
      </c>
      <c r="I426" s="53">
        <v>45688</v>
      </c>
      <c r="J426" s="108">
        <v>2304</v>
      </c>
      <c r="K426" s="101"/>
      <c r="L426" s="101"/>
      <c r="M426" s="101">
        <f t="shared" si="206"/>
        <v>2304</v>
      </c>
      <c r="N426" s="54">
        <f t="shared" si="207"/>
        <v>2304</v>
      </c>
      <c r="O426" s="101" t="s">
        <v>504</v>
      </c>
      <c r="P426" s="102">
        <f t="shared" si="208"/>
        <v>12</v>
      </c>
      <c r="Q426" s="102">
        <v>6</v>
      </c>
      <c r="R426" s="99">
        <f>480/15</f>
        <v>32</v>
      </c>
      <c r="S426" s="55">
        <f t="shared" si="234"/>
        <v>45656</v>
      </c>
      <c r="T426" s="55"/>
      <c r="U426" s="56">
        <f t="shared" ca="1" si="201"/>
        <v>-184</v>
      </c>
      <c r="V426" s="55">
        <f t="shared" si="233"/>
        <v>45672</v>
      </c>
      <c r="W426" s="55"/>
      <c r="X426" s="56">
        <f t="shared" ca="1" si="203"/>
        <v>-168</v>
      </c>
      <c r="Y426" s="55"/>
      <c r="Z426" s="57"/>
      <c r="AA426" s="58" t="str">
        <f t="shared" si="209"/>
        <v>-</v>
      </c>
      <c r="AB426" s="59"/>
      <c r="AC426" s="58" t="str">
        <f t="shared" si="210"/>
        <v/>
      </c>
      <c r="AD426" s="59"/>
      <c r="AE426" s="58" t="str">
        <f t="shared" si="211"/>
        <v/>
      </c>
      <c r="AF426" s="59"/>
      <c r="AG426" s="58" t="str">
        <f t="shared" si="212"/>
        <v/>
      </c>
      <c r="AH426" s="59"/>
      <c r="AI426" s="58" t="str">
        <f t="shared" si="213"/>
        <v/>
      </c>
      <c r="AJ426" s="59"/>
      <c r="AK426" s="58" t="str">
        <f t="shared" si="214"/>
        <v/>
      </c>
      <c r="AL426" s="59"/>
      <c r="AM426" s="58" t="str">
        <f t="shared" si="215"/>
        <v/>
      </c>
      <c r="AN426" s="59"/>
      <c r="AO426" s="58" t="str">
        <f t="shared" si="216"/>
        <v/>
      </c>
      <c r="AP426" s="59"/>
      <c r="AQ426" s="58" t="str">
        <f t="shared" si="217"/>
        <v/>
      </c>
      <c r="AR426" s="59"/>
      <c r="AS426" s="58" t="str">
        <f t="shared" si="218"/>
        <v/>
      </c>
      <c r="AT426" s="59"/>
      <c r="AU426" s="58" t="str">
        <f t="shared" si="219"/>
        <v/>
      </c>
      <c r="AV426" s="59"/>
      <c r="AW426" s="58" t="str">
        <f t="shared" si="220"/>
        <v/>
      </c>
      <c r="AX426" s="59"/>
      <c r="AY426" s="58" t="str">
        <f t="shared" si="221"/>
        <v/>
      </c>
      <c r="AZ426" s="59"/>
      <c r="BA426" s="58" t="str">
        <f t="shared" si="222"/>
        <v/>
      </c>
      <c r="BB426" s="59"/>
      <c r="BC426" s="58" t="str">
        <f t="shared" si="223"/>
        <v/>
      </c>
      <c r="BD426" s="59"/>
      <c r="BE426" s="58" t="str">
        <f t="shared" si="224"/>
        <v/>
      </c>
      <c r="BF426" s="59"/>
      <c r="BG426" s="58" t="str">
        <f t="shared" si="225"/>
        <v/>
      </c>
      <c r="BH426" s="59"/>
      <c r="BI426" s="58" t="str">
        <f t="shared" si="226"/>
        <v/>
      </c>
      <c r="BJ426" s="59"/>
      <c r="BK426" s="58" t="str">
        <f t="shared" si="227"/>
        <v/>
      </c>
      <c r="BL426" s="59"/>
      <c r="BM426" s="58" t="str">
        <f t="shared" si="228"/>
        <v/>
      </c>
      <c r="BN426" s="59"/>
      <c r="BO426" s="58" t="str">
        <f t="shared" si="229"/>
        <v/>
      </c>
      <c r="BP426" s="59"/>
      <c r="BQ426" s="58" t="str">
        <f t="shared" si="230"/>
        <v/>
      </c>
      <c r="BR426" s="59"/>
      <c r="BS426" s="58" t="str">
        <f t="shared" si="231"/>
        <v/>
      </c>
      <c r="BT426" s="59"/>
      <c r="BU426" s="58" t="str">
        <f t="shared" si="232"/>
        <v/>
      </c>
      <c r="BV426" s="59"/>
    </row>
    <row r="427" spans="1:74" ht="14.5">
      <c r="A427" s="51" t="s">
        <v>58</v>
      </c>
      <c r="B427" s="52">
        <v>398</v>
      </c>
      <c r="C427" s="52" t="s">
        <v>188</v>
      </c>
      <c r="D427" s="41">
        <f t="shared" si="205"/>
        <v>5</v>
      </c>
      <c r="E427" s="52" t="s">
        <v>502</v>
      </c>
      <c r="F427" s="52" t="s">
        <v>289</v>
      </c>
      <c r="G427" s="52" t="s">
        <v>154</v>
      </c>
      <c r="H427" s="52" t="s">
        <v>561</v>
      </c>
      <c r="I427" s="53">
        <v>45688</v>
      </c>
      <c r="J427" s="108">
        <v>1920</v>
      </c>
      <c r="K427" s="101"/>
      <c r="L427" s="101"/>
      <c r="M427" s="101">
        <f t="shared" si="206"/>
        <v>1920</v>
      </c>
      <c r="N427" s="54">
        <f t="shared" si="207"/>
        <v>1920</v>
      </c>
      <c r="O427" s="101" t="s">
        <v>505</v>
      </c>
      <c r="P427" s="102">
        <f t="shared" si="208"/>
        <v>10</v>
      </c>
      <c r="Q427" s="102">
        <v>6</v>
      </c>
      <c r="R427" s="99">
        <f>480/15</f>
        <v>32</v>
      </c>
      <c r="S427" s="55">
        <f t="shared" si="234"/>
        <v>45656</v>
      </c>
      <c r="T427" s="55"/>
      <c r="U427" s="56">
        <f t="shared" ca="1" si="201"/>
        <v>-184</v>
      </c>
      <c r="V427" s="55">
        <f t="shared" si="233"/>
        <v>45672</v>
      </c>
      <c r="W427" s="55"/>
      <c r="X427" s="56">
        <f t="shared" ca="1" si="203"/>
        <v>-168</v>
      </c>
      <c r="Y427" s="55"/>
      <c r="Z427" s="57"/>
      <c r="AA427" s="58" t="str">
        <f t="shared" si="209"/>
        <v>-</v>
      </c>
      <c r="AB427" s="59"/>
      <c r="AC427" s="58" t="str">
        <f t="shared" si="210"/>
        <v/>
      </c>
      <c r="AD427" s="59"/>
      <c r="AE427" s="58" t="str">
        <f t="shared" si="211"/>
        <v/>
      </c>
      <c r="AF427" s="59"/>
      <c r="AG427" s="58" t="str">
        <f t="shared" si="212"/>
        <v/>
      </c>
      <c r="AH427" s="59"/>
      <c r="AI427" s="58" t="str">
        <f t="shared" si="213"/>
        <v/>
      </c>
      <c r="AJ427" s="59"/>
      <c r="AK427" s="58" t="str">
        <f t="shared" si="214"/>
        <v/>
      </c>
      <c r="AL427" s="59"/>
      <c r="AM427" s="58" t="str">
        <f t="shared" si="215"/>
        <v/>
      </c>
      <c r="AN427" s="59"/>
      <c r="AO427" s="58" t="str">
        <f t="shared" si="216"/>
        <v/>
      </c>
      <c r="AP427" s="59"/>
      <c r="AQ427" s="58" t="str">
        <f t="shared" si="217"/>
        <v/>
      </c>
      <c r="AR427" s="59"/>
      <c r="AS427" s="58" t="str">
        <f t="shared" si="218"/>
        <v/>
      </c>
      <c r="AT427" s="59"/>
      <c r="AU427" s="58" t="str">
        <f t="shared" si="219"/>
        <v/>
      </c>
      <c r="AV427" s="59"/>
      <c r="AW427" s="58" t="str">
        <f t="shared" si="220"/>
        <v/>
      </c>
      <c r="AX427" s="59"/>
      <c r="AY427" s="58" t="str">
        <f t="shared" si="221"/>
        <v/>
      </c>
      <c r="AZ427" s="59"/>
      <c r="BA427" s="58" t="str">
        <f t="shared" si="222"/>
        <v/>
      </c>
      <c r="BB427" s="59"/>
      <c r="BC427" s="58" t="str">
        <f t="shared" si="223"/>
        <v/>
      </c>
      <c r="BD427" s="59"/>
      <c r="BE427" s="58" t="str">
        <f t="shared" si="224"/>
        <v/>
      </c>
      <c r="BF427" s="59"/>
      <c r="BG427" s="58" t="str">
        <f t="shared" si="225"/>
        <v/>
      </c>
      <c r="BH427" s="59"/>
      <c r="BI427" s="58" t="str">
        <f t="shared" si="226"/>
        <v/>
      </c>
      <c r="BJ427" s="59"/>
      <c r="BK427" s="58" t="str">
        <f t="shared" si="227"/>
        <v/>
      </c>
      <c r="BL427" s="59"/>
      <c r="BM427" s="58" t="str">
        <f t="shared" si="228"/>
        <v/>
      </c>
      <c r="BN427" s="59"/>
      <c r="BO427" s="58" t="str">
        <f t="shared" si="229"/>
        <v/>
      </c>
      <c r="BP427" s="59"/>
      <c r="BQ427" s="58" t="str">
        <f t="shared" si="230"/>
        <v/>
      </c>
      <c r="BR427" s="59"/>
      <c r="BS427" s="58" t="str">
        <f t="shared" si="231"/>
        <v/>
      </c>
      <c r="BT427" s="59"/>
      <c r="BU427" s="58" t="str">
        <f t="shared" si="232"/>
        <v/>
      </c>
      <c r="BV427" s="59"/>
    </row>
    <row r="428" spans="1:74" ht="14.5">
      <c r="A428" s="51" t="s">
        <v>58</v>
      </c>
      <c r="B428" s="52">
        <v>398</v>
      </c>
      <c r="C428" s="52" t="s">
        <v>188</v>
      </c>
      <c r="D428" s="41">
        <f t="shared" si="205"/>
        <v>5</v>
      </c>
      <c r="E428" s="52" t="s">
        <v>502</v>
      </c>
      <c r="F428" s="52" t="s">
        <v>289</v>
      </c>
      <c r="G428" s="52" t="s">
        <v>156</v>
      </c>
      <c r="H428" s="52" t="s">
        <v>561</v>
      </c>
      <c r="I428" s="53">
        <v>45688</v>
      </c>
      <c r="J428" s="108">
        <v>1536</v>
      </c>
      <c r="K428" s="101"/>
      <c r="L428" s="101"/>
      <c r="M428" s="101">
        <f t="shared" si="206"/>
        <v>1536</v>
      </c>
      <c r="N428" s="54">
        <f t="shared" si="207"/>
        <v>1536</v>
      </c>
      <c r="O428" s="101" t="s">
        <v>506</v>
      </c>
      <c r="P428" s="102">
        <f t="shared" si="208"/>
        <v>8</v>
      </c>
      <c r="Q428" s="102">
        <v>6</v>
      </c>
      <c r="R428" s="99">
        <f>480/15</f>
        <v>32</v>
      </c>
      <c r="S428" s="55">
        <f t="shared" si="234"/>
        <v>45656</v>
      </c>
      <c r="T428" s="55"/>
      <c r="U428" s="56">
        <f t="shared" ca="1" si="201"/>
        <v>-184</v>
      </c>
      <c r="V428" s="55">
        <f t="shared" si="233"/>
        <v>45672</v>
      </c>
      <c r="W428" s="55"/>
      <c r="X428" s="56">
        <f t="shared" ca="1" si="203"/>
        <v>-168</v>
      </c>
      <c r="Y428" s="55"/>
      <c r="Z428" s="57"/>
      <c r="AA428" s="58" t="str">
        <f t="shared" si="209"/>
        <v>-</v>
      </c>
      <c r="AB428" s="59"/>
      <c r="AC428" s="58" t="str">
        <f t="shared" si="210"/>
        <v/>
      </c>
      <c r="AD428" s="59"/>
      <c r="AE428" s="58" t="str">
        <f t="shared" si="211"/>
        <v/>
      </c>
      <c r="AF428" s="59"/>
      <c r="AG428" s="58" t="str">
        <f t="shared" si="212"/>
        <v/>
      </c>
      <c r="AH428" s="59"/>
      <c r="AI428" s="58" t="str">
        <f t="shared" si="213"/>
        <v/>
      </c>
      <c r="AJ428" s="59"/>
      <c r="AK428" s="58" t="str">
        <f t="shared" si="214"/>
        <v/>
      </c>
      <c r="AL428" s="59"/>
      <c r="AM428" s="58" t="str">
        <f t="shared" si="215"/>
        <v/>
      </c>
      <c r="AN428" s="59"/>
      <c r="AO428" s="58" t="str">
        <f t="shared" si="216"/>
        <v/>
      </c>
      <c r="AP428" s="59"/>
      <c r="AQ428" s="58" t="str">
        <f t="shared" si="217"/>
        <v/>
      </c>
      <c r="AR428" s="59"/>
      <c r="AS428" s="58" t="str">
        <f t="shared" si="218"/>
        <v/>
      </c>
      <c r="AT428" s="59"/>
      <c r="AU428" s="58" t="str">
        <f t="shared" si="219"/>
        <v/>
      </c>
      <c r="AV428" s="59"/>
      <c r="AW428" s="58" t="str">
        <f t="shared" si="220"/>
        <v/>
      </c>
      <c r="AX428" s="59"/>
      <c r="AY428" s="58" t="str">
        <f t="shared" si="221"/>
        <v/>
      </c>
      <c r="AZ428" s="59"/>
      <c r="BA428" s="58" t="str">
        <f t="shared" si="222"/>
        <v/>
      </c>
      <c r="BB428" s="59"/>
      <c r="BC428" s="58" t="str">
        <f t="shared" si="223"/>
        <v/>
      </c>
      <c r="BD428" s="59"/>
      <c r="BE428" s="58" t="str">
        <f t="shared" si="224"/>
        <v/>
      </c>
      <c r="BF428" s="59"/>
      <c r="BG428" s="58" t="str">
        <f t="shared" si="225"/>
        <v/>
      </c>
      <c r="BH428" s="59"/>
      <c r="BI428" s="58" t="str">
        <f t="shared" si="226"/>
        <v/>
      </c>
      <c r="BJ428" s="59"/>
      <c r="BK428" s="58" t="str">
        <f t="shared" si="227"/>
        <v/>
      </c>
      <c r="BL428" s="59"/>
      <c r="BM428" s="58" t="str">
        <f t="shared" si="228"/>
        <v/>
      </c>
      <c r="BN428" s="59"/>
      <c r="BO428" s="58" t="str">
        <f t="shared" si="229"/>
        <v/>
      </c>
      <c r="BP428" s="59"/>
      <c r="BQ428" s="58" t="str">
        <f t="shared" si="230"/>
        <v/>
      </c>
      <c r="BR428" s="59"/>
      <c r="BS428" s="58" t="str">
        <f t="shared" si="231"/>
        <v/>
      </c>
      <c r="BT428" s="59"/>
      <c r="BU428" s="58" t="str">
        <f t="shared" si="232"/>
        <v/>
      </c>
      <c r="BV428" s="59"/>
    </row>
    <row r="429" spans="1:74" ht="14.5">
      <c r="A429" s="51" t="s">
        <v>58</v>
      </c>
      <c r="B429" s="52">
        <v>398</v>
      </c>
      <c r="C429" s="52" t="s">
        <v>188</v>
      </c>
      <c r="D429" s="41">
        <f t="shared" si="205"/>
        <v>5</v>
      </c>
      <c r="E429" s="52" t="s">
        <v>158</v>
      </c>
      <c r="F429" s="52" t="s">
        <v>242</v>
      </c>
      <c r="G429" s="52" t="s">
        <v>154</v>
      </c>
      <c r="H429" s="52" t="s">
        <v>432</v>
      </c>
      <c r="I429" s="53">
        <v>45688</v>
      </c>
      <c r="J429" s="108">
        <v>1336</v>
      </c>
      <c r="K429" s="101"/>
      <c r="L429" s="101"/>
      <c r="M429" s="101">
        <f t="shared" si="206"/>
        <v>1336</v>
      </c>
      <c r="N429" s="54">
        <f t="shared" si="207"/>
        <v>1336</v>
      </c>
      <c r="O429" s="101" t="s">
        <v>439</v>
      </c>
      <c r="P429" s="102">
        <f t="shared" si="208"/>
        <v>1.8555555555555556</v>
      </c>
      <c r="Q429" s="102">
        <v>6</v>
      </c>
      <c r="R429" s="99">
        <v>120</v>
      </c>
      <c r="S429" s="55">
        <f t="shared" si="234"/>
        <v>45656</v>
      </c>
      <c r="T429" s="55"/>
      <c r="U429" s="56">
        <f t="shared" ca="1" si="201"/>
        <v>-184</v>
      </c>
      <c r="V429" s="55">
        <f t="shared" si="233"/>
        <v>45672</v>
      </c>
      <c r="W429" s="55"/>
      <c r="X429" s="56">
        <f t="shared" ca="1" si="203"/>
        <v>-168</v>
      </c>
      <c r="Y429" s="55"/>
      <c r="Z429" s="57"/>
      <c r="AA429" s="58" t="str">
        <f t="shared" si="209"/>
        <v>-</v>
      </c>
      <c r="AB429" s="59"/>
      <c r="AC429" s="58" t="str">
        <f t="shared" si="210"/>
        <v/>
      </c>
      <c r="AD429" s="59"/>
      <c r="AE429" s="58" t="str">
        <f t="shared" si="211"/>
        <v/>
      </c>
      <c r="AF429" s="59"/>
      <c r="AG429" s="58" t="str">
        <f t="shared" si="212"/>
        <v/>
      </c>
      <c r="AH429" s="59"/>
      <c r="AI429" s="58" t="str">
        <f t="shared" si="213"/>
        <v/>
      </c>
      <c r="AJ429" s="59"/>
      <c r="AK429" s="58" t="str">
        <f t="shared" si="214"/>
        <v/>
      </c>
      <c r="AL429" s="59"/>
      <c r="AM429" s="58" t="str">
        <f t="shared" si="215"/>
        <v/>
      </c>
      <c r="AN429" s="59"/>
      <c r="AO429" s="58" t="str">
        <f t="shared" si="216"/>
        <v/>
      </c>
      <c r="AP429" s="59"/>
      <c r="AQ429" s="58" t="str">
        <f t="shared" si="217"/>
        <v/>
      </c>
      <c r="AR429" s="59"/>
      <c r="AS429" s="58" t="str">
        <f t="shared" si="218"/>
        <v/>
      </c>
      <c r="AT429" s="59"/>
      <c r="AU429" s="58" t="str">
        <f t="shared" si="219"/>
        <v/>
      </c>
      <c r="AV429" s="59"/>
      <c r="AW429" s="58" t="str">
        <f t="shared" si="220"/>
        <v/>
      </c>
      <c r="AX429" s="59"/>
      <c r="AY429" s="58" t="str">
        <f t="shared" si="221"/>
        <v/>
      </c>
      <c r="AZ429" s="59"/>
      <c r="BA429" s="58" t="str">
        <f t="shared" si="222"/>
        <v/>
      </c>
      <c r="BB429" s="59"/>
      <c r="BC429" s="58" t="str">
        <f t="shared" si="223"/>
        <v/>
      </c>
      <c r="BD429" s="59"/>
      <c r="BE429" s="58" t="str">
        <f t="shared" si="224"/>
        <v/>
      </c>
      <c r="BF429" s="59"/>
      <c r="BG429" s="58" t="str">
        <f t="shared" si="225"/>
        <v/>
      </c>
      <c r="BH429" s="59"/>
      <c r="BI429" s="58" t="str">
        <f t="shared" si="226"/>
        <v/>
      </c>
      <c r="BJ429" s="59"/>
      <c r="BK429" s="58" t="str">
        <f t="shared" si="227"/>
        <v/>
      </c>
      <c r="BL429" s="59"/>
      <c r="BM429" s="58" t="str">
        <f t="shared" si="228"/>
        <v/>
      </c>
      <c r="BN429" s="59"/>
      <c r="BO429" s="58" t="str">
        <f t="shared" si="229"/>
        <v/>
      </c>
      <c r="BP429" s="59"/>
      <c r="BQ429" s="58" t="str">
        <f t="shared" si="230"/>
        <v/>
      </c>
      <c r="BR429" s="59"/>
      <c r="BS429" s="58" t="str">
        <f t="shared" si="231"/>
        <v/>
      </c>
      <c r="BT429" s="59"/>
      <c r="BU429" s="58" t="str">
        <f t="shared" si="232"/>
        <v/>
      </c>
      <c r="BV429" s="59"/>
    </row>
    <row r="430" spans="1:74" ht="14.5">
      <c r="A430" s="51" t="s">
        <v>58</v>
      </c>
      <c r="B430" s="52">
        <v>398</v>
      </c>
      <c r="C430" s="52" t="s">
        <v>188</v>
      </c>
      <c r="D430" s="41">
        <f t="shared" si="205"/>
        <v>5</v>
      </c>
      <c r="E430" s="52" t="s">
        <v>189</v>
      </c>
      <c r="F430" s="52" t="s">
        <v>242</v>
      </c>
      <c r="G430" s="52" t="s">
        <v>162</v>
      </c>
      <c r="H430" s="52" t="s">
        <v>432</v>
      </c>
      <c r="I430" s="53">
        <v>45688</v>
      </c>
      <c r="J430" s="108">
        <v>2152</v>
      </c>
      <c r="K430" s="101"/>
      <c r="L430" s="101"/>
      <c r="M430" s="101">
        <f t="shared" si="206"/>
        <v>2152</v>
      </c>
      <c r="N430" s="54">
        <f t="shared" si="207"/>
        <v>2152</v>
      </c>
      <c r="O430" s="101" t="s">
        <v>178</v>
      </c>
      <c r="P430" s="102">
        <f t="shared" si="208"/>
        <v>2.9888888888888889</v>
      </c>
      <c r="Q430" s="102">
        <v>6</v>
      </c>
      <c r="R430" s="99">
        <v>120</v>
      </c>
      <c r="S430" s="55">
        <f t="shared" si="234"/>
        <v>45656</v>
      </c>
      <c r="T430" s="55"/>
      <c r="U430" s="56">
        <f t="shared" ca="1" si="201"/>
        <v>-184</v>
      </c>
      <c r="V430" s="55">
        <f t="shared" si="233"/>
        <v>45672</v>
      </c>
      <c r="W430" s="55"/>
      <c r="X430" s="56">
        <f t="shared" ca="1" si="203"/>
        <v>-168</v>
      </c>
      <c r="Y430" s="55"/>
      <c r="Z430" s="57"/>
      <c r="AA430" s="58" t="str">
        <f t="shared" si="209"/>
        <v>-</v>
      </c>
      <c r="AB430" s="59"/>
      <c r="AC430" s="58" t="str">
        <f t="shared" si="210"/>
        <v/>
      </c>
      <c r="AD430" s="59"/>
      <c r="AE430" s="58" t="str">
        <f t="shared" si="211"/>
        <v/>
      </c>
      <c r="AF430" s="59"/>
      <c r="AG430" s="58" t="str">
        <f t="shared" si="212"/>
        <v/>
      </c>
      <c r="AH430" s="59"/>
      <c r="AI430" s="58" t="str">
        <f t="shared" si="213"/>
        <v/>
      </c>
      <c r="AJ430" s="59"/>
      <c r="AK430" s="58" t="str">
        <f t="shared" si="214"/>
        <v/>
      </c>
      <c r="AL430" s="59"/>
      <c r="AM430" s="58" t="str">
        <f t="shared" si="215"/>
        <v/>
      </c>
      <c r="AN430" s="59"/>
      <c r="AO430" s="58" t="str">
        <f t="shared" si="216"/>
        <v/>
      </c>
      <c r="AP430" s="59"/>
      <c r="AQ430" s="58" t="str">
        <f t="shared" si="217"/>
        <v/>
      </c>
      <c r="AR430" s="59"/>
      <c r="AS430" s="58" t="str">
        <f t="shared" si="218"/>
        <v/>
      </c>
      <c r="AT430" s="59"/>
      <c r="AU430" s="58" t="str">
        <f t="shared" si="219"/>
        <v/>
      </c>
      <c r="AV430" s="59"/>
      <c r="AW430" s="58" t="str">
        <f t="shared" si="220"/>
        <v/>
      </c>
      <c r="AX430" s="59"/>
      <c r="AY430" s="58" t="str">
        <f t="shared" si="221"/>
        <v/>
      </c>
      <c r="AZ430" s="59"/>
      <c r="BA430" s="58" t="str">
        <f t="shared" si="222"/>
        <v/>
      </c>
      <c r="BB430" s="59"/>
      <c r="BC430" s="58" t="str">
        <f t="shared" si="223"/>
        <v/>
      </c>
      <c r="BD430" s="59"/>
      <c r="BE430" s="58" t="str">
        <f t="shared" si="224"/>
        <v/>
      </c>
      <c r="BF430" s="59"/>
      <c r="BG430" s="58" t="str">
        <f t="shared" si="225"/>
        <v/>
      </c>
      <c r="BH430" s="59"/>
      <c r="BI430" s="58" t="str">
        <f t="shared" si="226"/>
        <v/>
      </c>
      <c r="BJ430" s="59"/>
      <c r="BK430" s="58" t="str">
        <f t="shared" si="227"/>
        <v/>
      </c>
      <c r="BL430" s="59"/>
      <c r="BM430" s="58" t="str">
        <f t="shared" si="228"/>
        <v/>
      </c>
      <c r="BN430" s="59"/>
      <c r="BO430" s="58" t="str">
        <f t="shared" si="229"/>
        <v/>
      </c>
      <c r="BP430" s="59"/>
      <c r="BQ430" s="58" t="str">
        <f t="shared" si="230"/>
        <v/>
      </c>
      <c r="BR430" s="59"/>
      <c r="BS430" s="58" t="str">
        <f t="shared" si="231"/>
        <v/>
      </c>
      <c r="BT430" s="59"/>
      <c r="BU430" s="58" t="str">
        <f t="shared" si="232"/>
        <v/>
      </c>
      <c r="BV430" s="59"/>
    </row>
    <row r="431" spans="1:74" ht="14.5">
      <c r="A431" s="51" t="s">
        <v>446</v>
      </c>
      <c r="B431" s="52">
        <v>418</v>
      </c>
      <c r="C431" s="52" t="s">
        <v>563</v>
      </c>
      <c r="D431" s="41">
        <f t="shared" si="205"/>
        <v>6</v>
      </c>
      <c r="E431" s="52" t="s">
        <v>553</v>
      </c>
      <c r="F431" s="52" t="s">
        <v>475</v>
      </c>
      <c r="G431" s="52" t="s">
        <v>155</v>
      </c>
      <c r="H431" s="52" t="s">
        <v>507</v>
      </c>
      <c r="I431" s="53">
        <v>45691</v>
      </c>
      <c r="J431" s="108">
        <v>110000</v>
      </c>
      <c r="K431" s="101"/>
      <c r="L431" s="101"/>
      <c r="M431" s="101">
        <f t="shared" si="206"/>
        <v>110000</v>
      </c>
      <c r="N431" s="54">
        <f t="shared" si="207"/>
        <v>110000</v>
      </c>
      <c r="O431" s="101" t="s">
        <v>178</v>
      </c>
      <c r="P431" s="102">
        <f t="shared" si="208"/>
        <v>36.184210526315788</v>
      </c>
      <c r="Q431" s="102">
        <v>38</v>
      </c>
      <c r="R431" s="99">
        <v>80</v>
      </c>
      <c r="S431" s="55">
        <f>+I431-(38)</f>
        <v>45653</v>
      </c>
      <c r="T431" s="55"/>
      <c r="U431" s="56">
        <f t="shared" ca="1" si="201"/>
        <v>-187</v>
      </c>
      <c r="V431" s="55">
        <f>+S431+Q431</f>
        <v>45691</v>
      </c>
      <c r="W431" s="55"/>
      <c r="X431" s="56">
        <f t="shared" ca="1" si="203"/>
        <v>-149</v>
      </c>
      <c r="Y431" s="55"/>
      <c r="Z431" s="57"/>
      <c r="AA431" s="58" t="str">
        <f t="shared" si="209"/>
        <v>-</v>
      </c>
      <c r="AB431" s="59"/>
      <c r="AC431" s="58" t="str">
        <f t="shared" si="210"/>
        <v/>
      </c>
      <c r="AD431" s="59"/>
      <c r="AE431" s="58" t="str">
        <f t="shared" si="211"/>
        <v/>
      </c>
      <c r="AF431" s="59"/>
      <c r="AG431" s="58" t="str">
        <f t="shared" si="212"/>
        <v/>
      </c>
      <c r="AH431" s="59"/>
      <c r="AI431" s="58" t="str">
        <f t="shared" si="213"/>
        <v/>
      </c>
      <c r="AJ431" s="59"/>
      <c r="AK431" s="58" t="str">
        <f t="shared" si="214"/>
        <v/>
      </c>
      <c r="AL431" s="59"/>
      <c r="AM431" s="58" t="str">
        <f t="shared" si="215"/>
        <v/>
      </c>
      <c r="AN431" s="59"/>
      <c r="AO431" s="58" t="str">
        <f t="shared" si="216"/>
        <v/>
      </c>
      <c r="AP431" s="59"/>
      <c r="AQ431" s="58" t="str">
        <f t="shared" si="217"/>
        <v/>
      </c>
      <c r="AR431" s="59"/>
      <c r="AS431" s="58" t="str">
        <f t="shared" si="218"/>
        <v/>
      </c>
      <c r="AT431" s="59"/>
      <c r="AU431" s="58" t="str">
        <f t="shared" si="219"/>
        <v/>
      </c>
      <c r="AV431" s="59"/>
      <c r="AW431" s="58">
        <f t="shared" si="220"/>
        <v>110000</v>
      </c>
      <c r="AX431" s="59"/>
      <c r="AY431" s="58" t="str">
        <f t="shared" si="221"/>
        <v/>
      </c>
      <c r="AZ431" s="59"/>
      <c r="BA431" s="58" t="str">
        <f t="shared" si="222"/>
        <v/>
      </c>
      <c r="BB431" s="59"/>
      <c r="BC431" s="58" t="str">
        <f t="shared" si="223"/>
        <v/>
      </c>
      <c r="BD431" s="59"/>
      <c r="BE431" s="58" t="str">
        <f t="shared" si="224"/>
        <v/>
      </c>
      <c r="BF431" s="59"/>
      <c r="BG431" s="58" t="str">
        <f t="shared" si="225"/>
        <v/>
      </c>
      <c r="BH431" s="59"/>
      <c r="BI431" s="58" t="str">
        <f t="shared" si="226"/>
        <v/>
      </c>
      <c r="BJ431" s="59"/>
      <c r="BK431" s="58" t="str">
        <f t="shared" si="227"/>
        <v/>
      </c>
      <c r="BL431" s="59"/>
      <c r="BM431" s="58" t="str">
        <f t="shared" si="228"/>
        <v/>
      </c>
      <c r="BN431" s="59"/>
      <c r="BO431" s="58" t="str">
        <f t="shared" si="229"/>
        <v/>
      </c>
      <c r="BP431" s="59"/>
      <c r="BQ431" s="58" t="str">
        <f t="shared" si="230"/>
        <v/>
      </c>
      <c r="BR431" s="59"/>
      <c r="BS431" s="58" t="str">
        <f t="shared" si="231"/>
        <v/>
      </c>
      <c r="BT431" s="59"/>
      <c r="BU431" s="58" t="str">
        <f t="shared" si="232"/>
        <v/>
      </c>
      <c r="BV431" s="59"/>
    </row>
    <row r="432" spans="1:74" ht="14.5">
      <c r="A432" s="51" t="s">
        <v>446</v>
      </c>
      <c r="B432" s="52" t="s">
        <v>564</v>
      </c>
      <c r="C432" s="52" t="s">
        <v>60</v>
      </c>
      <c r="D432" s="41">
        <f t="shared" si="205"/>
        <v>6</v>
      </c>
      <c r="E432" s="52" t="s">
        <v>187</v>
      </c>
      <c r="F432" s="52" t="s">
        <v>448</v>
      </c>
      <c r="G432" s="52" t="s">
        <v>164</v>
      </c>
      <c r="H432" s="52" t="s">
        <v>449</v>
      </c>
      <c r="I432" s="53">
        <v>45692</v>
      </c>
      <c r="J432" s="108">
        <v>9000</v>
      </c>
      <c r="K432" s="101"/>
      <c r="L432" s="101"/>
      <c r="M432" s="101">
        <f t="shared" si="206"/>
        <v>9000</v>
      </c>
      <c r="N432" s="54">
        <f t="shared" si="207"/>
        <v>9000</v>
      </c>
      <c r="O432" s="101" t="s">
        <v>429</v>
      </c>
      <c r="P432" s="102">
        <f t="shared" si="208"/>
        <v>1.3636363636363635</v>
      </c>
      <c r="Q432" s="102">
        <v>6</v>
      </c>
      <c r="R432" s="99">
        <v>1100</v>
      </c>
      <c r="S432" s="55">
        <f>+I432-(28)</f>
        <v>45664</v>
      </c>
      <c r="T432" s="55"/>
      <c r="U432" s="56">
        <f t="shared" ca="1" si="201"/>
        <v>-176</v>
      </c>
      <c r="V432" s="55">
        <f t="shared" ref="V432:V495" si="235">+S432+16</f>
        <v>45680</v>
      </c>
      <c r="W432" s="55"/>
      <c r="X432" s="56">
        <f t="shared" ca="1" si="203"/>
        <v>-160</v>
      </c>
      <c r="Y432" s="55"/>
      <c r="Z432" s="57"/>
      <c r="AA432" s="58" t="str">
        <f t="shared" si="209"/>
        <v>-</v>
      </c>
      <c r="AB432" s="59"/>
      <c r="AC432" s="58" t="str">
        <f t="shared" si="210"/>
        <v/>
      </c>
      <c r="AD432" s="59"/>
      <c r="AE432" s="58" t="str">
        <f t="shared" si="211"/>
        <v/>
      </c>
      <c r="AF432" s="59"/>
      <c r="AG432" s="58" t="str">
        <f t="shared" si="212"/>
        <v/>
      </c>
      <c r="AH432" s="59"/>
      <c r="AI432" s="58" t="str">
        <f t="shared" si="213"/>
        <v/>
      </c>
      <c r="AJ432" s="59"/>
      <c r="AK432" s="58" t="str">
        <f t="shared" si="214"/>
        <v/>
      </c>
      <c r="AL432" s="59"/>
      <c r="AM432" s="58" t="str">
        <f t="shared" si="215"/>
        <v/>
      </c>
      <c r="AN432" s="59"/>
      <c r="AO432" s="58" t="str">
        <f t="shared" si="216"/>
        <v/>
      </c>
      <c r="AP432" s="59"/>
      <c r="AQ432" s="58" t="str">
        <f t="shared" si="217"/>
        <v/>
      </c>
      <c r="AR432" s="59"/>
      <c r="AS432" s="58" t="str">
        <f t="shared" si="218"/>
        <v/>
      </c>
      <c r="AT432" s="59"/>
      <c r="AU432" s="58" t="str">
        <f t="shared" si="219"/>
        <v/>
      </c>
      <c r="AV432" s="59"/>
      <c r="AW432" s="58" t="str">
        <f t="shared" si="220"/>
        <v/>
      </c>
      <c r="AX432" s="59"/>
      <c r="AY432" s="58" t="str">
        <f t="shared" si="221"/>
        <v/>
      </c>
      <c r="AZ432" s="59"/>
      <c r="BA432" s="58">
        <f t="shared" si="222"/>
        <v>9000</v>
      </c>
      <c r="BB432" s="59"/>
      <c r="BC432" s="58" t="str">
        <f t="shared" si="223"/>
        <v/>
      </c>
      <c r="BD432" s="59"/>
      <c r="BE432" s="58" t="str">
        <f t="shared" si="224"/>
        <v/>
      </c>
      <c r="BF432" s="59"/>
      <c r="BG432" s="58" t="str">
        <f t="shared" si="225"/>
        <v/>
      </c>
      <c r="BH432" s="59"/>
      <c r="BI432" s="58" t="str">
        <f t="shared" si="226"/>
        <v/>
      </c>
      <c r="BJ432" s="59"/>
      <c r="BK432" s="58" t="str">
        <f t="shared" si="227"/>
        <v/>
      </c>
      <c r="BL432" s="59"/>
      <c r="BM432" s="58" t="str">
        <f t="shared" si="228"/>
        <v/>
      </c>
      <c r="BN432" s="59"/>
      <c r="BO432" s="58" t="str">
        <f t="shared" si="229"/>
        <v/>
      </c>
      <c r="BP432" s="59"/>
      <c r="BQ432" s="58" t="str">
        <f t="shared" si="230"/>
        <v/>
      </c>
      <c r="BR432" s="59"/>
      <c r="BS432" s="58" t="str">
        <f t="shared" si="231"/>
        <v/>
      </c>
      <c r="BT432" s="59"/>
      <c r="BU432" s="58" t="str">
        <f t="shared" si="232"/>
        <v/>
      </c>
      <c r="BV432" s="59"/>
    </row>
    <row r="433" spans="1:74" ht="14.5">
      <c r="A433" s="51" t="s">
        <v>446</v>
      </c>
      <c r="B433" s="52" t="s">
        <v>564</v>
      </c>
      <c r="C433" s="52" t="s">
        <v>60</v>
      </c>
      <c r="D433" s="41">
        <f t="shared" si="205"/>
        <v>6</v>
      </c>
      <c r="E433" s="52" t="s">
        <v>187</v>
      </c>
      <c r="F433" s="52" t="s">
        <v>448</v>
      </c>
      <c r="G433" s="52" t="s">
        <v>155</v>
      </c>
      <c r="H433" s="52" t="s">
        <v>449</v>
      </c>
      <c r="I433" s="53">
        <v>45692</v>
      </c>
      <c r="J433" s="108">
        <v>9000</v>
      </c>
      <c r="K433" s="101"/>
      <c r="L433" s="101"/>
      <c r="M433" s="101">
        <f t="shared" si="206"/>
        <v>9000</v>
      </c>
      <c r="N433" s="54">
        <f t="shared" si="207"/>
        <v>9000</v>
      </c>
      <c r="O433" s="101" t="s">
        <v>429</v>
      </c>
      <c r="P433" s="102">
        <f t="shared" si="208"/>
        <v>1.3636363636363635</v>
      </c>
      <c r="Q433" s="102">
        <v>6</v>
      </c>
      <c r="R433" s="99">
        <v>1100</v>
      </c>
      <c r="S433" s="55">
        <f>+I433-(28)</f>
        <v>45664</v>
      </c>
      <c r="T433" s="55"/>
      <c r="U433" s="56">
        <f t="shared" ca="1" si="201"/>
        <v>-176</v>
      </c>
      <c r="V433" s="55">
        <f t="shared" si="235"/>
        <v>45680</v>
      </c>
      <c r="W433" s="55"/>
      <c r="X433" s="56">
        <f t="shared" ca="1" si="203"/>
        <v>-160</v>
      </c>
      <c r="Y433" s="55"/>
      <c r="Z433" s="57"/>
      <c r="AA433" s="58" t="str">
        <f t="shared" si="209"/>
        <v>-</v>
      </c>
      <c r="AB433" s="59"/>
      <c r="AC433" s="58" t="str">
        <f t="shared" si="210"/>
        <v/>
      </c>
      <c r="AD433" s="59"/>
      <c r="AE433" s="58" t="str">
        <f t="shared" si="211"/>
        <v/>
      </c>
      <c r="AF433" s="59"/>
      <c r="AG433" s="58" t="str">
        <f t="shared" si="212"/>
        <v/>
      </c>
      <c r="AH433" s="59"/>
      <c r="AI433" s="58" t="str">
        <f t="shared" si="213"/>
        <v/>
      </c>
      <c r="AJ433" s="59"/>
      <c r="AK433" s="58" t="str">
        <f t="shared" si="214"/>
        <v/>
      </c>
      <c r="AL433" s="59"/>
      <c r="AM433" s="58" t="str">
        <f t="shared" si="215"/>
        <v/>
      </c>
      <c r="AN433" s="59"/>
      <c r="AO433" s="58" t="str">
        <f t="shared" si="216"/>
        <v/>
      </c>
      <c r="AP433" s="59"/>
      <c r="AQ433" s="58" t="str">
        <f t="shared" si="217"/>
        <v/>
      </c>
      <c r="AR433" s="59"/>
      <c r="AS433" s="58" t="str">
        <f t="shared" si="218"/>
        <v/>
      </c>
      <c r="AT433" s="59"/>
      <c r="AU433" s="58" t="str">
        <f t="shared" si="219"/>
        <v/>
      </c>
      <c r="AV433" s="59"/>
      <c r="AW433" s="58" t="str">
        <f t="shared" si="220"/>
        <v/>
      </c>
      <c r="AX433" s="59"/>
      <c r="AY433" s="58" t="str">
        <f t="shared" si="221"/>
        <v/>
      </c>
      <c r="AZ433" s="59"/>
      <c r="BA433" s="58">
        <f t="shared" si="222"/>
        <v>9000</v>
      </c>
      <c r="BB433" s="59"/>
      <c r="BC433" s="58" t="str">
        <f t="shared" si="223"/>
        <v/>
      </c>
      <c r="BD433" s="59"/>
      <c r="BE433" s="58" t="str">
        <f t="shared" si="224"/>
        <v/>
      </c>
      <c r="BF433" s="59"/>
      <c r="BG433" s="58" t="str">
        <f t="shared" si="225"/>
        <v/>
      </c>
      <c r="BH433" s="59"/>
      <c r="BI433" s="58" t="str">
        <f t="shared" si="226"/>
        <v/>
      </c>
      <c r="BJ433" s="59"/>
      <c r="BK433" s="58" t="str">
        <f t="shared" si="227"/>
        <v/>
      </c>
      <c r="BL433" s="59"/>
      <c r="BM433" s="58" t="str">
        <f t="shared" si="228"/>
        <v/>
      </c>
      <c r="BN433" s="59"/>
      <c r="BO433" s="58" t="str">
        <f t="shared" si="229"/>
        <v/>
      </c>
      <c r="BP433" s="59"/>
      <c r="BQ433" s="58" t="str">
        <f t="shared" si="230"/>
        <v/>
      </c>
      <c r="BR433" s="59"/>
      <c r="BS433" s="58" t="str">
        <f t="shared" si="231"/>
        <v/>
      </c>
      <c r="BT433" s="59"/>
      <c r="BU433" s="58" t="str">
        <f t="shared" si="232"/>
        <v/>
      </c>
      <c r="BV433" s="59"/>
    </row>
    <row r="434" spans="1:74" ht="14.5">
      <c r="A434" s="51" t="s">
        <v>446</v>
      </c>
      <c r="B434" s="52" t="s">
        <v>564</v>
      </c>
      <c r="C434" s="52" t="s">
        <v>60</v>
      </c>
      <c r="D434" s="41">
        <f t="shared" si="205"/>
        <v>6</v>
      </c>
      <c r="E434" s="52" t="s">
        <v>187</v>
      </c>
      <c r="F434" s="52" t="s">
        <v>448</v>
      </c>
      <c r="G434" s="52" t="s">
        <v>450</v>
      </c>
      <c r="H434" s="52" t="s">
        <v>449</v>
      </c>
      <c r="I434" s="53">
        <v>45692</v>
      </c>
      <c r="J434" s="108">
        <v>6000</v>
      </c>
      <c r="K434" s="101"/>
      <c r="L434" s="101"/>
      <c r="M434" s="101">
        <f t="shared" si="206"/>
        <v>6000</v>
      </c>
      <c r="N434" s="54">
        <f t="shared" si="207"/>
        <v>6000</v>
      </c>
      <c r="O434" s="101" t="s">
        <v>429</v>
      </c>
      <c r="P434" s="102">
        <f t="shared" si="208"/>
        <v>0.90909090909090906</v>
      </c>
      <c r="Q434" s="102">
        <v>6</v>
      </c>
      <c r="R434" s="99">
        <v>1100</v>
      </c>
      <c r="S434" s="55">
        <f>+I434-(28)</f>
        <v>45664</v>
      </c>
      <c r="T434" s="55"/>
      <c r="U434" s="56">
        <f t="shared" ref="U434:U497" ca="1" si="236">+IF(T434="",S434-TODAY(),S434-T434)</f>
        <v>-176</v>
      </c>
      <c r="V434" s="55">
        <f t="shared" si="235"/>
        <v>45680</v>
      </c>
      <c r="W434" s="55"/>
      <c r="X434" s="56">
        <f t="shared" ref="X434:X497" ca="1" si="237">+IF(W434="",V434-TODAY(),V434-W434)</f>
        <v>-160</v>
      </c>
      <c r="Y434" s="55"/>
      <c r="Z434" s="57"/>
      <c r="AA434" s="58" t="str">
        <f t="shared" si="209"/>
        <v>-</v>
      </c>
      <c r="AB434" s="59"/>
      <c r="AC434" s="58" t="str">
        <f t="shared" si="210"/>
        <v/>
      </c>
      <c r="AD434" s="59"/>
      <c r="AE434" s="58" t="str">
        <f t="shared" si="211"/>
        <v/>
      </c>
      <c r="AF434" s="59"/>
      <c r="AG434" s="58" t="str">
        <f t="shared" si="212"/>
        <v/>
      </c>
      <c r="AH434" s="59"/>
      <c r="AI434" s="58" t="str">
        <f t="shared" si="213"/>
        <v/>
      </c>
      <c r="AJ434" s="59"/>
      <c r="AK434" s="58" t="str">
        <f t="shared" si="214"/>
        <v/>
      </c>
      <c r="AL434" s="59"/>
      <c r="AM434" s="58" t="str">
        <f t="shared" si="215"/>
        <v/>
      </c>
      <c r="AN434" s="59"/>
      <c r="AO434" s="58" t="str">
        <f t="shared" si="216"/>
        <v/>
      </c>
      <c r="AP434" s="59"/>
      <c r="AQ434" s="58" t="str">
        <f t="shared" si="217"/>
        <v/>
      </c>
      <c r="AR434" s="59"/>
      <c r="AS434" s="58" t="str">
        <f t="shared" si="218"/>
        <v/>
      </c>
      <c r="AT434" s="59"/>
      <c r="AU434" s="58" t="str">
        <f t="shared" si="219"/>
        <v/>
      </c>
      <c r="AV434" s="59"/>
      <c r="AW434" s="58" t="str">
        <f t="shared" si="220"/>
        <v/>
      </c>
      <c r="AX434" s="59"/>
      <c r="AY434" s="58" t="str">
        <f t="shared" si="221"/>
        <v/>
      </c>
      <c r="AZ434" s="59"/>
      <c r="BA434" s="58">
        <f t="shared" si="222"/>
        <v>6000</v>
      </c>
      <c r="BB434" s="59"/>
      <c r="BC434" s="58" t="str">
        <f t="shared" si="223"/>
        <v/>
      </c>
      <c r="BD434" s="59"/>
      <c r="BE434" s="58" t="str">
        <f t="shared" si="224"/>
        <v/>
      </c>
      <c r="BF434" s="59"/>
      <c r="BG434" s="58" t="str">
        <f t="shared" si="225"/>
        <v/>
      </c>
      <c r="BH434" s="59"/>
      <c r="BI434" s="58" t="str">
        <f t="shared" si="226"/>
        <v/>
      </c>
      <c r="BJ434" s="59"/>
      <c r="BK434" s="58" t="str">
        <f t="shared" si="227"/>
        <v/>
      </c>
      <c r="BL434" s="59"/>
      <c r="BM434" s="58" t="str">
        <f t="shared" si="228"/>
        <v/>
      </c>
      <c r="BN434" s="59"/>
      <c r="BO434" s="58" t="str">
        <f t="shared" si="229"/>
        <v/>
      </c>
      <c r="BP434" s="59"/>
      <c r="BQ434" s="58" t="str">
        <f t="shared" si="230"/>
        <v/>
      </c>
      <c r="BR434" s="59"/>
      <c r="BS434" s="58" t="str">
        <f t="shared" si="231"/>
        <v/>
      </c>
      <c r="BT434" s="59"/>
      <c r="BU434" s="58" t="str">
        <f t="shared" si="232"/>
        <v/>
      </c>
      <c r="BV434" s="59"/>
    </row>
    <row r="435" spans="1:74" ht="14.5">
      <c r="A435" s="51" t="s">
        <v>58</v>
      </c>
      <c r="B435" s="52">
        <v>382</v>
      </c>
      <c r="C435" s="52" t="s">
        <v>188</v>
      </c>
      <c r="D435" s="41">
        <f t="shared" si="205"/>
        <v>6</v>
      </c>
      <c r="E435" s="52" t="s">
        <v>157</v>
      </c>
      <c r="F435" s="52" t="s">
        <v>243</v>
      </c>
      <c r="G435" s="52" t="s">
        <v>155</v>
      </c>
      <c r="H435" s="52" t="s">
        <v>428</v>
      </c>
      <c r="I435" s="53">
        <v>45695</v>
      </c>
      <c r="J435" s="108">
        <v>1758</v>
      </c>
      <c r="K435" s="101"/>
      <c r="L435" s="101"/>
      <c r="M435" s="101">
        <f t="shared" si="206"/>
        <v>1758</v>
      </c>
      <c r="N435" s="54">
        <f t="shared" si="207"/>
        <v>1758</v>
      </c>
      <c r="O435" s="101" t="s">
        <v>429</v>
      </c>
      <c r="P435" s="102">
        <f t="shared" si="208"/>
        <v>0.29299999999999998</v>
      </c>
      <c r="Q435" s="102">
        <v>6</v>
      </c>
      <c r="R435" s="99">
        <v>1000</v>
      </c>
      <c r="S435" s="55">
        <f t="shared" ref="S435:S478" si="238">+I435-(32)</f>
        <v>45663</v>
      </c>
      <c r="T435" s="55"/>
      <c r="U435" s="56">
        <f t="shared" ca="1" si="236"/>
        <v>-177</v>
      </c>
      <c r="V435" s="55">
        <f t="shared" si="235"/>
        <v>45679</v>
      </c>
      <c r="W435" s="55"/>
      <c r="X435" s="56">
        <f t="shared" ca="1" si="237"/>
        <v>-161</v>
      </c>
      <c r="Y435" s="55"/>
      <c r="Z435" s="57"/>
      <c r="AA435" s="58" t="str">
        <f t="shared" si="209"/>
        <v>-</v>
      </c>
      <c r="AB435" s="59"/>
      <c r="AC435" s="58" t="str">
        <f t="shared" si="210"/>
        <v/>
      </c>
      <c r="AD435" s="59"/>
      <c r="AE435" s="58" t="str">
        <f t="shared" si="211"/>
        <v/>
      </c>
      <c r="AF435" s="59"/>
      <c r="AG435" s="58" t="str">
        <f t="shared" si="212"/>
        <v/>
      </c>
      <c r="AH435" s="59"/>
      <c r="AI435" s="58" t="str">
        <f t="shared" si="213"/>
        <v/>
      </c>
      <c r="AJ435" s="59"/>
      <c r="AK435" s="58" t="str">
        <f t="shared" si="214"/>
        <v/>
      </c>
      <c r="AL435" s="59"/>
      <c r="AM435" s="58" t="str">
        <f t="shared" si="215"/>
        <v/>
      </c>
      <c r="AN435" s="59"/>
      <c r="AO435" s="58" t="str">
        <f t="shared" si="216"/>
        <v/>
      </c>
      <c r="AP435" s="59"/>
      <c r="AQ435" s="58" t="str">
        <f t="shared" si="217"/>
        <v/>
      </c>
      <c r="AR435" s="59"/>
      <c r="AS435" s="58" t="str">
        <f t="shared" si="218"/>
        <v/>
      </c>
      <c r="AT435" s="59"/>
      <c r="AU435" s="58" t="str">
        <f t="shared" si="219"/>
        <v/>
      </c>
      <c r="AV435" s="59"/>
      <c r="AW435" s="58" t="str">
        <f t="shared" si="220"/>
        <v/>
      </c>
      <c r="AX435" s="59"/>
      <c r="AY435" s="58" t="str">
        <f t="shared" si="221"/>
        <v/>
      </c>
      <c r="AZ435" s="59"/>
      <c r="BA435" s="58">
        <f t="shared" si="222"/>
        <v>1758</v>
      </c>
      <c r="BB435" s="59"/>
      <c r="BC435" s="58" t="str">
        <f t="shared" si="223"/>
        <v/>
      </c>
      <c r="BD435" s="59"/>
      <c r="BE435" s="58" t="str">
        <f t="shared" si="224"/>
        <v/>
      </c>
      <c r="BF435" s="59"/>
      <c r="BG435" s="58" t="str">
        <f t="shared" si="225"/>
        <v/>
      </c>
      <c r="BH435" s="59"/>
      <c r="BI435" s="58" t="str">
        <f t="shared" si="226"/>
        <v/>
      </c>
      <c r="BJ435" s="59"/>
      <c r="BK435" s="58" t="str">
        <f t="shared" si="227"/>
        <v/>
      </c>
      <c r="BL435" s="59"/>
      <c r="BM435" s="58" t="str">
        <f t="shared" si="228"/>
        <v/>
      </c>
      <c r="BN435" s="59"/>
      <c r="BO435" s="58" t="str">
        <f t="shared" si="229"/>
        <v/>
      </c>
      <c r="BP435" s="59"/>
      <c r="BQ435" s="58" t="str">
        <f t="shared" si="230"/>
        <v/>
      </c>
      <c r="BR435" s="59"/>
      <c r="BS435" s="58" t="str">
        <f t="shared" si="231"/>
        <v/>
      </c>
      <c r="BT435" s="59"/>
      <c r="BU435" s="58" t="str">
        <f t="shared" si="232"/>
        <v/>
      </c>
      <c r="BV435" s="59"/>
    </row>
    <row r="436" spans="1:74" ht="14.5">
      <c r="A436" s="51" t="s">
        <v>58</v>
      </c>
      <c r="B436" s="52">
        <v>382</v>
      </c>
      <c r="C436" s="52" t="s">
        <v>188</v>
      </c>
      <c r="D436" s="41">
        <f t="shared" si="205"/>
        <v>6</v>
      </c>
      <c r="E436" s="52" t="s">
        <v>158</v>
      </c>
      <c r="F436" s="52" t="s">
        <v>242</v>
      </c>
      <c r="G436" s="52" t="s">
        <v>155</v>
      </c>
      <c r="H436" s="52" t="s">
        <v>432</v>
      </c>
      <c r="I436" s="53">
        <v>45695</v>
      </c>
      <c r="J436" s="108">
        <v>1396</v>
      </c>
      <c r="K436" s="101"/>
      <c r="L436" s="101"/>
      <c r="M436" s="101">
        <f t="shared" si="206"/>
        <v>1396</v>
      </c>
      <c r="N436" s="54">
        <f t="shared" si="207"/>
        <v>1396</v>
      </c>
      <c r="O436" s="101" t="s">
        <v>437</v>
      </c>
      <c r="P436" s="102">
        <f t="shared" si="208"/>
        <v>1.9388888888888889</v>
      </c>
      <c r="Q436" s="102">
        <v>6</v>
      </c>
      <c r="R436" s="99">
        <v>120</v>
      </c>
      <c r="S436" s="55">
        <f t="shared" si="238"/>
        <v>45663</v>
      </c>
      <c r="T436" s="55"/>
      <c r="U436" s="56">
        <f t="shared" ca="1" si="236"/>
        <v>-177</v>
      </c>
      <c r="V436" s="55">
        <f t="shared" si="235"/>
        <v>45679</v>
      </c>
      <c r="W436" s="55"/>
      <c r="X436" s="56">
        <f t="shared" ca="1" si="237"/>
        <v>-161</v>
      </c>
      <c r="Y436" s="55"/>
      <c r="Z436" s="57"/>
      <c r="AA436" s="58" t="str">
        <f t="shared" si="209"/>
        <v>-</v>
      </c>
      <c r="AB436" s="59"/>
      <c r="AC436" s="58" t="str">
        <f t="shared" si="210"/>
        <v/>
      </c>
      <c r="AD436" s="59"/>
      <c r="AE436" s="58" t="str">
        <f t="shared" si="211"/>
        <v/>
      </c>
      <c r="AF436" s="59"/>
      <c r="AG436" s="58" t="str">
        <f t="shared" si="212"/>
        <v/>
      </c>
      <c r="AH436" s="59"/>
      <c r="AI436" s="58" t="str">
        <f t="shared" si="213"/>
        <v/>
      </c>
      <c r="AJ436" s="59"/>
      <c r="AK436" s="58" t="str">
        <f t="shared" si="214"/>
        <v/>
      </c>
      <c r="AL436" s="59"/>
      <c r="AM436" s="58" t="str">
        <f t="shared" si="215"/>
        <v/>
      </c>
      <c r="AN436" s="59"/>
      <c r="AO436" s="58" t="str">
        <f t="shared" si="216"/>
        <v/>
      </c>
      <c r="AP436" s="59"/>
      <c r="AQ436" s="58" t="str">
        <f t="shared" si="217"/>
        <v/>
      </c>
      <c r="AR436" s="59"/>
      <c r="AS436" s="58" t="str">
        <f t="shared" si="218"/>
        <v/>
      </c>
      <c r="AT436" s="59"/>
      <c r="AU436" s="58" t="str">
        <f t="shared" si="219"/>
        <v/>
      </c>
      <c r="AV436" s="59"/>
      <c r="AW436" s="58" t="str">
        <f t="shared" si="220"/>
        <v/>
      </c>
      <c r="AX436" s="59"/>
      <c r="AY436" s="58" t="str">
        <f t="shared" si="221"/>
        <v/>
      </c>
      <c r="AZ436" s="59"/>
      <c r="BA436" s="58">
        <f t="shared" si="222"/>
        <v>1396</v>
      </c>
      <c r="BB436" s="59"/>
      <c r="BC436" s="58" t="str">
        <f t="shared" si="223"/>
        <v/>
      </c>
      <c r="BD436" s="59"/>
      <c r="BE436" s="58" t="str">
        <f t="shared" si="224"/>
        <v/>
      </c>
      <c r="BF436" s="59"/>
      <c r="BG436" s="58" t="str">
        <f t="shared" si="225"/>
        <v/>
      </c>
      <c r="BH436" s="59"/>
      <c r="BI436" s="58" t="str">
        <f t="shared" si="226"/>
        <v/>
      </c>
      <c r="BJ436" s="59"/>
      <c r="BK436" s="58" t="str">
        <f t="shared" si="227"/>
        <v/>
      </c>
      <c r="BL436" s="59"/>
      <c r="BM436" s="58" t="str">
        <f t="shared" si="228"/>
        <v/>
      </c>
      <c r="BN436" s="59"/>
      <c r="BO436" s="58" t="str">
        <f t="shared" si="229"/>
        <v/>
      </c>
      <c r="BP436" s="59"/>
      <c r="BQ436" s="58" t="str">
        <f t="shared" si="230"/>
        <v/>
      </c>
      <c r="BR436" s="59"/>
      <c r="BS436" s="58" t="str">
        <f t="shared" si="231"/>
        <v/>
      </c>
      <c r="BT436" s="59"/>
      <c r="BU436" s="58" t="str">
        <f t="shared" si="232"/>
        <v/>
      </c>
      <c r="BV436" s="59"/>
    </row>
    <row r="437" spans="1:74" ht="14.5">
      <c r="A437" s="51" t="s">
        <v>58</v>
      </c>
      <c r="B437" s="52">
        <v>382</v>
      </c>
      <c r="C437" s="52" t="s">
        <v>188</v>
      </c>
      <c r="D437" s="41">
        <f t="shared" si="205"/>
        <v>6</v>
      </c>
      <c r="E437" s="52" t="s">
        <v>195</v>
      </c>
      <c r="F437" s="52" t="s">
        <v>286</v>
      </c>
      <c r="G437" s="52" t="s">
        <v>162</v>
      </c>
      <c r="H437" s="52" t="s">
        <v>434</v>
      </c>
      <c r="I437" s="53">
        <v>45695</v>
      </c>
      <c r="J437" s="108">
        <v>4464</v>
      </c>
      <c r="K437" s="101"/>
      <c r="L437" s="101"/>
      <c r="M437" s="101">
        <f t="shared" si="206"/>
        <v>4464</v>
      </c>
      <c r="N437" s="54">
        <f t="shared" si="207"/>
        <v>4464</v>
      </c>
      <c r="O437" s="101" t="s">
        <v>431</v>
      </c>
      <c r="P437" s="102">
        <f t="shared" si="208"/>
        <v>6.2</v>
      </c>
      <c r="Q437" s="102">
        <v>6</v>
      </c>
      <c r="R437" s="99">
        <v>120</v>
      </c>
      <c r="S437" s="55">
        <f t="shared" si="238"/>
        <v>45663</v>
      </c>
      <c r="T437" s="55"/>
      <c r="U437" s="56">
        <f t="shared" ca="1" si="236"/>
        <v>-177</v>
      </c>
      <c r="V437" s="55">
        <f t="shared" si="235"/>
        <v>45679</v>
      </c>
      <c r="W437" s="55"/>
      <c r="X437" s="56">
        <f t="shared" ca="1" si="237"/>
        <v>-161</v>
      </c>
      <c r="Y437" s="55"/>
      <c r="Z437" s="57"/>
      <c r="AA437" s="58" t="str">
        <f t="shared" si="209"/>
        <v>-</v>
      </c>
      <c r="AB437" s="59"/>
      <c r="AC437" s="58" t="str">
        <f t="shared" si="210"/>
        <v/>
      </c>
      <c r="AD437" s="59"/>
      <c r="AE437" s="58" t="str">
        <f t="shared" si="211"/>
        <v/>
      </c>
      <c r="AF437" s="59"/>
      <c r="AG437" s="58" t="str">
        <f t="shared" si="212"/>
        <v/>
      </c>
      <c r="AH437" s="59"/>
      <c r="AI437" s="58" t="str">
        <f t="shared" si="213"/>
        <v/>
      </c>
      <c r="AJ437" s="59"/>
      <c r="AK437" s="58" t="str">
        <f t="shared" si="214"/>
        <v/>
      </c>
      <c r="AL437" s="59"/>
      <c r="AM437" s="58" t="str">
        <f t="shared" si="215"/>
        <v/>
      </c>
      <c r="AN437" s="59"/>
      <c r="AO437" s="58" t="str">
        <f t="shared" si="216"/>
        <v/>
      </c>
      <c r="AP437" s="59"/>
      <c r="AQ437" s="58" t="str">
        <f t="shared" si="217"/>
        <v/>
      </c>
      <c r="AR437" s="59"/>
      <c r="AS437" s="58" t="str">
        <f t="shared" si="218"/>
        <v/>
      </c>
      <c r="AT437" s="59"/>
      <c r="AU437" s="58" t="str">
        <f t="shared" si="219"/>
        <v/>
      </c>
      <c r="AV437" s="59"/>
      <c r="AW437" s="58" t="str">
        <f t="shared" si="220"/>
        <v/>
      </c>
      <c r="AX437" s="59"/>
      <c r="AY437" s="58" t="str">
        <f t="shared" si="221"/>
        <v/>
      </c>
      <c r="AZ437" s="59"/>
      <c r="BA437" s="58">
        <f t="shared" si="222"/>
        <v>4464</v>
      </c>
      <c r="BB437" s="59"/>
      <c r="BC437" s="58" t="str">
        <f t="shared" si="223"/>
        <v/>
      </c>
      <c r="BD437" s="59"/>
      <c r="BE437" s="58" t="str">
        <f t="shared" si="224"/>
        <v/>
      </c>
      <c r="BF437" s="59"/>
      <c r="BG437" s="58" t="str">
        <f t="shared" si="225"/>
        <v/>
      </c>
      <c r="BH437" s="59"/>
      <c r="BI437" s="58" t="str">
        <f t="shared" si="226"/>
        <v/>
      </c>
      <c r="BJ437" s="59"/>
      <c r="BK437" s="58" t="str">
        <f t="shared" si="227"/>
        <v/>
      </c>
      <c r="BL437" s="59"/>
      <c r="BM437" s="58" t="str">
        <f t="shared" si="228"/>
        <v/>
      </c>
      <c r="BN437" s="59"/>
      <c r="BO437" s="58" t="str">
        <f t="shared" si="229"/>
        <v/>
      </c>
      <c r="BP437" s="59"/>
      <c r="BQ437" s="58" t="str">
        <f t="shared" si="230"/>
        <v/>
      </c>
      <c r="BR437" s="59"/>
      <c r="BS437" s="58" t="str">
        <f t="shared" si="231"/>
        <v/>
      </c>
      <c r="BT437" s="59"/>
      <c r="BU437" s="58" t="str">
        <f t="shared" si="232"/>
        <v/>
      </c>
      <c r="BV437" s="59"/>
    </row>
    <row r="438" spans="1:74" ht="14.5">
      <c r="A438" s="51" t="s">
        <v>58</v>
      </c>
      <c r="B438" s="52">
        <v>382</v>
      </c>
      <c r="C438" s="52" t="s">
        <v>188</v>
      </c>
      <c r="D438" s="41">
        <f t="shared" si="205"/>
        <v>6</v>
      </c>
      <c r="E438" s="52" t="s">
        <v>189</v>
      </c>
      <c r="F438" s="52" t="s">
        <v>242</v>
      </c>
      <c r="G438" s="52" t="s">
        <v>162</v>
      </c>
      <c r="H438" s="52" t="s">
        <v>432</v>
      </c>
      <c r="I438" s="53">
        <v>45695</v>
      </c>
      <c r="J438" s="108">
        <v>1560</v>
      </c>
      <c r="K438" s="101"/>
      <c r="L438" s="101"/>
      <c r="M438" s="101">
        <f t="shared" si="206"/>
        <v>1560</v>
      </c>
      <c r="N438" s="54">
        <f t="shared" si="207"/>
        <v>1560</v>
      </c>
      <c r="O438" s="101" t="s">
        <v>178</v>
      </c>
      <c r="P438" s="102">
        <f t="shared" si="208"/>
        <v>2.1666666666666665</v>
      </c>
      <c r="Q438" s="102">
        <v>6</v>
      </c>
      <c r="R438" s="99">
        <v>120</v>
      </c>
      <c r="S438" s="55">
        <f t="shared" si="238"/>
        <v>45663</v>
      </c>
      <c r="T438" s="55"/>
      <c r="U438" s="56">
        <f t="shared" ca="1" si="236"/>
        <v>-177</v>
      </c>
      <c r="V438" s="55">
        <f t="shared" si="235"/>
        <v>45679</v>
      </c>
      <c r="W438" s="55"/>
      <c r="X438" s="56">
        <f t="shared" ca="1" si="237"/>
        <v>-161</v>
      </c>
      <c r="Y438" s="55"/>
      <c r="Z438" s="57"/>
      <c r="AA438" s="58" t="str">
        <f t="shared" si="209"/>
        <v>-</v>
      </c>
      <c r="AB438" s="59"/>
      <c r="AC438" s="58" t="str">
        <f t="shared" si="210"/>
        <v/>
      </c>
      <c r="AD438" s="59"/>
      <c r="AE438" s="58" t="str">
        <f t="shared" si="211"/>
        <v/>
      </c>
      <c r="AF438" s="59"/>
      <c r="AG438" s="58" t="str">
        <f t="shared" si="212"/>
        <v/>
      </c>
      <c r="AH438" s="59"/>
      <c r="AI438" s="58" t="str">
        <f t="shared" si="213"/>
        <v/>
      </c>
      <c r="AJ438" s="59"/>
      <c r="AK438" s="58" t="str">
        <f t="shared" si="214"/>
        <v/>
      </c>
      <c r="AL438" s="59"/>
      <c r="AM438" s="58" t="str">
        <f t="shared" si="215"/>
        <v/>
      </c>
      <c r="AN438" s="59"/>
      <c r="AO438" s="58" t="str">
        <f t="shared" si="216"/>
        <v/>
      </c>
      <c r="AP438" s="59"/>
      <c r="AQ438" s="58" t="str">
        <f t="shared" si="217"/>
        <v/>
      </c>
      <c r="AR438" s="59"/>
      <c r="AS438" s="58" t="str">
        <f t="shared" si="218"/>
        <v/>
      </c>
      <c r="AT438" s="59"/>
      <c r="AU438" s="58" t="str">
        <f t="shared" si="219"/>
        <v/>
      </c>
      <c r="AV438" s="59"/>
      <c r="AW438" s="58" t="str">
        <f t="shared" si="220"/>
        <v/>
      </c>
      <c r="AX438" s="59"/>
      <c r="AY438" s="58" t="str">
        <f t="shared" si="221"/>
        <v/>
      </c>
      <c r="AZ438" s="59"/>
      <c r="BA438" s="58">
        <f t="shared" si="222"/>
        <v>1560</v>
      </c>
      <c r="BB438" s="59"/>
      <c r="BC438" s="58" t="str">
        <f t="shared" si="223"/>
        <v/>
      </c>
      <c r="BD438" s="59"/>
      <c r="BE438" s="58" t="str">
        <f t="shared" si="224"/>
        <v/>
      </c>
      <c r="BF438" s="59"/>
      <c r="BG438" s="58" t="str">
        <f t="shared" si="225"/>
        <v/>
      </c>
      <c r="BH438" s="59"/>
      <c r="BI438" s="58" t="str">
        <f t="shared" si="226"/>
        <v/>
      </c>
      <c r="BJ438" s="59"/>
      <c r="BK438" s="58" t="str">
        <f t="shared" si="227"/>
        <v/>
      </c>
      <c r="BL438" s="59"/>
      <c r="BM438" s="58" t="str">
        <f t="shared" si="228"/>
        <v/>
      </c>
      <c r="BN438" s="59"/>
      <c r="BO438" s="58" t="str">
        <f t="shared" si="229"/>
        <v/>
      </c>
      <c r="BP438" s="59"/>
      <c r="BQ438" s="58" t="str">
        <f t="shared" si="230"/>
        <v/>
      </c>
      <c r="BR438" s="59"/>
      <c r="BS438" s="58" t="str">
        <f t="shared" si="231"/>
        <v/>
      </c>
      <c r="BT438" s="59"/>
      <c r="BU438" s="58" t="str">
        <f t="shared" si="232"/>
        <v/>
      </c>
      <c r="BV438" s="59"/>
    </row>
    <row r="439" spans="1:74" ht="14.5">
      <c r="A439" s="51" t="s">
        <v>58</v>
      </c>
      <c r="B439" s="52">
        <v>383</v>
      </c>
      <c r="C439" s="52" t="s">
        <v>188</v>
      </c>
      <c r="D439" s="41">
        <f t="shared" si="205"/>
        <v>6</v>
      </c>
      <c r="E439" s="52" t="s">
        <v>502</v>
      </c>
      <c r="F439" s="52" t="s">
        <v>289</v>
      </c>
      <c r="G439" s="52" t="s">
        <v>155</v>
      </c>
      <c r="H439" s="52" t="s">
        <v>503</v>
      </c>
      <c r="I439" s="53">
        <v>45695</v>
      </c>
      <c r="J439" s="108">
        <v>2160</v>
      </c>
      <c r="K439" s="101"/>
      <c r="L439" s="101"/>
      <c r="M439" s="101">
        <f t="shared" si="206"/>
        <v>2160</v>
      </c>
      <c r="N439" s="54">
        <f t="shared" si="207"/>
        <v>2160</v>
      </c>
      <c r="O439" s="101" t="s">
        <v>506</v>
      </c>
      <c r="P439" s="102">
        <f t="shared" si="208"/>
        <v>11.25</v>
      </c>
      <c r="Q439" s="102">
        <v>6</v>
      </c>
      <c r="R439" s="99">
        <f>480/15</f>
        <v>32</v>
      </c>
      <c r="S439" s="55">
        <f t="shared" si="238"/>
        <v>45663</v>
      </c>
      <c r="T439" s="55"/>
      <c r="U439" s="56">
        <f t="shared" ca="1" si="236"/>
        <v>-177</v>
      </c>
      <c r="V439" s="55">
        <f t="shared" si="235"/>
        <v>45679</v>
      </c>
      <c r="W439" s="55"/>
      <c r="X439" s="56">
        <f t="shared" ca="1" si="237"/>
        <v>-161</v>
      </c>
      <c r="Y439" s="55"/>
      <c r="Z439" s="57"/>
      <c r="AA439" s="58" t="str">
        <f t="shared" si="209"/>
        <v>-</v>
      </c>
      <c r="AB439" s="59"/>
      <c r="AC439" s="58" t="str">
        <f t="shared" si="210"/>
        <v/>
      </c>
      <c r="AD439" s="59"/>
      <c r="AE439" s="58" t="str">
        <f t="shared" si="211"/>
        <v/>
      </c>
      <c r="AF439" s="59"/>
      <c r="AG439" s="58" t="str">
        <f t="shared" si="212"/>
        <v/>
      </c>
      <c r="AH439" s="59"/>
      <c r="AI439" s="58" t="str">
        <f t="shared" si="213"/>
        <v/>
      </c>
      <c r="AJ439" s="59"/>
      <c r="AK439" s="58" t="str">
        <f t="shared" si="214"/>
        <v/>
      </c>
      <c r="AL439" s="59"/>
      <c r="AM439" s="58" t="str">
        <f t="shared" si="215"/>
        <v/>
      </c>
      <c r="AN439" s="59"/>
      <c r="AO439" s="58" t="str">
        <f t="shared" si="216"/>
        <v/>
      </c>
      <c r="AP439" s="59"/>
      <c r="AQ439" s="58" t="str">
        <f t="shared" si="217"/>
        <v/>
      </c>
      <c r="AR439" s="59"/>
      <c r="AS439" s="58" t="str">
        <f t="shared" si="218"/>
        <v/>
      </c>
      <c r="AT439" s="59"/>
      <c r="AU439" s="58" t="str">
        <f t="shared" si="219"/>
        <v/>
      </c>
      <c r="AV439" s="59"/>
      <c r="AW439" s="58" t="str">
        <f t="shared" si="220"/>
        <v/>
      </c>
      <c r="AX439" s="59"/>
      <c r="AY439" s="58" t="str">
        <f t="shared" si="221"/>
        <v/>
      </c>
      <c r="AZ439" s="59"/>
      <c r="BA439" s="58">
        <f t="shared" si="222"/>
        <v>2160</v>
      </c>
      <c r="BB439" s="59"/>
      <c r="BC439" s="58" t="str">
        <f t="shared" si="223"/>
        <v/>
      </c>
      <c r="BD439" s="59"/>
      <c r="BE439" s="58" t="str">
        <f t="shared" si="224"/>
        <v/>
      </c>
      <c r="BF439" s="59"/>
      <c r="BG439" s="58" t="str">
        <f t="shared" si="225"/>
        <v/>
      </c>
      <c r="BH439" s="59"/>
      <c r="BI439" s="58" t="str">
        <f t="shared" si="226"/>
        <v/>
      </c>
      <c r="BJ439" s="59"/>
      <c r="BK439" s="58" t="str">
        <f t="shared" si="227"/>
        <v/>
      </c>
      <c r="BL439" s="59"/>
      <c r="BM439" s="58" t="str">
        <f t="shared" si="228"/>
        <v/>
      </c>
      <c r="BN439" s="59"/>
      <c r="BO439" s="58" t="str">
        <f t="shared" si="229"/>
        <v/>
      </c>
      <c r="BP439" s="59"/>
      <c r="BQ439" s="58" t="str">
        <f t="shared" si="230"/>
        <v/>
      </c>
      <c r="BR439" s="59"/>
      <c r="BS439" s="58" t="str">
        <f t="shared" si="231"/>
        <v/>
      </c>
      <c r="BT439" s="59"/>
      <c r="BU439" s="58" t="str">
        <f t="shared" si="232"/>
        <v/>
      </c>
      <c r="BV439" s="59"/>
    </row>
    <row r="440" spans="1:74" ht="14.5">
      <c r="A440" s="51" t="s">
        <v>58</v>
      </c>
      <c r="B440" s="52">
        <v>383</v>
      </c>
      <c r="C440" s="52" t="s">
        <v>188</v>
      </c>
      <c r="D440" s="41">
        <f t="shared" si="205"/>
        <v>6</v>
      </c>
      <c r="E440" s="52" t="s">
        <v>502</v>
      </c>
      <c r="F440" s="52" t="s">
        <v>289</v>
      </c>
      <c r="G440" s="52" t="s">
        <v>154</v>
      </c>
      <c r="H440" s="52" t="s">
        <v>503</v>
      </c>
      <c r="I440" s="53">
        <v>45695</v>
      </c>
      <c r="J440" s="108">
        <v>1800</v>
      </c>
      <c r="K440" s="101"/>
      <c r="L440" s="101"/>
      <c r="M440" s="101">
        <f t="shared" si="206"/>
        <v>1800</v>
      </c>
      <c r="N440" s="54">
        <f t="shared" si="207"/>
        <v>1800</v>
      </c>
      <c r="O440" s="101" t="s">
        <v>506</v>
      </c>
      <c r="P440" s="102">
        <f t="shared" si="208"/>
        <v>9.375</v>
      </c>
      <c r="Q440" s="102">
        <v>6</v>
      </c>
      <c r="R440" s="99">
        <f>480/15</f>
        <v>32</v>
      </c>
      <c r="S440" s="55">
        <f t="shared" si="238"/>
        <v>45663</v>
      </c>
      <c r="T440" s="55"/>
      <c r="U440" s="56">
        <f t="shared" ca="1" si="236"/>
        <v>-177</v>
      </c>
      <c r="V440" s="55">
        <f t="shared" si="235"/>
        <v>45679</v>
      </c>
      <c r="W440" s="55"/>
      <c r="X440" s="56">
        <f t="shared" ca="1" si="237"/>
        <v>-161</v>
      </c>
      <c r="Y440" s="55"/>
      <c r="Z440" s="57"/>
      <c r="AA440" s="58" t="str">
        <f t="shared" si="209"/>
        <v>-</v>
      </c>
      <c r="AB440" s="59"/>
      <c r="AC440" s="58" t="str">
        <f t="shared" si="210"/>
        <v/>
      </c>
      <c r="AD440" s="59"/>
      <c r="AE440" s="58" t="str">
        <f t="shared" si="211"/>
        <v/>
      </c>
      <c r="AF440" s="59"/>
      <c r="AG440" s="58" t="str">
        <f t="shared" si="212"/>
        <v/>
      </c>
      <c r="AH440" s="59"/>
      <c r="AI440" s="58" t="str">
        <f t="shared" si="213"/>
        <v/>
      </c>
      <c r="AJ440" s="59"/>
      <c r="AK440" s="58" t="str">
        <f t="shared" si="214"/>
        <v/>
      </c>
      <c r="AL440" s="59"/>
      <c r="AM440" s="58" t="str">
        <f t="shared" si="215"/>
        <v/>
      </c>
      <c r="AN440" s="59"/>
      <c r="AO440" s="58" t="str">
        <f t="shared" si="216"/>
        <v/>
      </c>
      <c r="AP440" s="59"/>
      <c r="AQ440" s="58" t="str">
        <f t="shared" si="217"/>
        <v/>
      </c>
      <c r="AR440" s="59"/>
      <c r="AS440" s="58" t="str">
        <f t="shared" si="218"/>
        <v/>
      </c>
      <c r="AT440" s="59"/>
      <c r="AU440" s="58" t="str">
        <f t="shared" si="219"/>
        <v/>
      </c>
      <c r="AV440" s="59"/>
      <c r="AW440" s="58" t="str">
        <f t="shared" si="220"/>
        <v/>
      </c>
      <c r="AX440" s="59"/>
      <c r="AY440" s="58" t="str">
        <f t="shared" si="221"/>
        <v/>
      </c>
      <c r="AZ440" s="59"/>
      <c r="BA440" s="58">
        <f t="shared" si="222"/>
        <v>1800</v>
      </c>
      <c r="BB440" s="59"/>
      <c r="BC440" s="58" t="str">
        <f t="shared" si="223"/>
        <v/>
      </c>
      <c r="BD440" s="59"/>
      <c r="BE440" s="58" t="str">
        <f t="shared" si="224"/>
        <v/>
      </c>
      <c r="BF440" s="59"/>
      <c r="BG440" s="58" t="str">
        <f t="shared" si="225"/>
        <v/>
      </c>
      <c r="BH440" s="59"/>
      <c r="BI440" s="58" t="str">
        <f t="shared" si="226"/>
        <v/>
      </c>
      <c r="BJ440" s="59"/>
      <c r="BK440" s="58" t="str">
        <f t="shared" si="227"/>
        <v/>
      </c>
      <c r="BL440" s="59"/>
      <c r="BM440" s="58" t="str">
        <f t="shared" si="228"/>
        <v/>
      </c>
      <c r="BN440" s="59"/>
      <c r="BO440" s="58" t="str">
        <f t="shared" si="229"/>
        <v/>
      </c>
      <c r="BP440" s="59"/>
      <c r="BQ440" s="58" t="str">
        <f t="shared" si="230"/>
        <v/>
      </c>
      <c r="BR440" s="59"/>
      <c r="BS440" s="58" t="str">
        <f t="shared" si="231"/>
        <v/>
      </c>
      <c r="BT440" s="59"/>
      <c r="BU440" s="58" t="str">
        <f t="shared" si="232"/>
        <v/>
      </c>
      <c r="BV440" s="59"/>
    </row>
    <row r="441" spans="1:74" ht="14.5">
      <c r="A441" s="51" t="s">
        <v>58</v>
      </c>
      <c r="B441" s="52">
        <v>383</v>
      </c>
      <c r="C441" s="52" t="s">
        <v>188</v>
      </c>
      <c r="D441" s="41">
        <f t="shared" si="205"/>
        <v>6</v>
      </c>
      <c r="E441" s="52" t="s">
        <v>502</v>
      </c>
      <c r="F441" s="52" t="s">
        <v>289</v>
      </c>
      <c r="G441" s="52" t="s">
        <v>156</v>
      </c>
      <c r="H441" s="52" t="s">
        <v>503</v>
      </c>
      <c r="I441" s="53">
        <v>45695</v>
      </c>
      <c r="J441" s="108">
        <v>1440</v>
      </c>
      <c r="K441" s="101"/>
      <c r="L441" s="101"/>
      <c r="M441" s="101">
        <f t="shared" si="206"/>
        <v>1440</v>
      </c>
      <c r="N441" s="54">
        <f t="shared" si="207"/>
        <v>1440</v>
      </c>
      <c r="O441" s="101" t="s">
        <v>506</v>
      </c>
      <c r="P441" s="102">
        <f t="shared" si="208"/>
        <v>7.5</v>
      </c>
      <c r="Q441" s="102">
        <v>6</v>
      </c>
      <c r="R441" s="99">
        <f>480/15</f>
        <v>32</v>
      </c>
      <c r="S441" s="55">
        <f t="shared" si="238"/>
        <v>45663</v>
      </c>
      <c r="T441" s="55"/>
      <c r="U441" s="56">
        <f t="shared" ca="1" si="236"/>
        <v>-177</v>
      </c>
      <c r="V441" s="55">
        <f t="shared" si="235"/>
        <v>45679</v>
      </c>
      <c r="W441" s="55"/>
      <c r="X441" s="56">
        <f t="shared" ca="1" si="237"/>
        <v>-161</v>
      </c>
      <c r="Y441" s="55"/>
      <c r="Z441" s="57"/>
      <c r="AA441" s="58" t="str">
        <f t="shared" si="209"/>
        <v>-</v>
      </c>
      <c r="AB441" s="59"/>
      <c r="AC441" s="58" t="str">
        <f t="shared" si="210"/>
        <v/>
      </c>
      <c r="AD441" s="59"/>
      <c r="AE441" s="58" t="str">
        <f t="shared" si="211"/>
        <v/>
      </c>
      <c r="AF441" s="59"/>
      <c r="AG441" s="58" t="str">
        <f t="shared" si="212"/>
        <v/>
      </c>
      <c r="AH441" s="59"/>
      <c r="AI441" s="58" t="str">
        <f t="shared" si="213"/>
        <v/>
      </c>
      <c r="AJ441" s="59"/>
      <c r="AK441" s="58" t="str">
        <f t="shared" si="214"/>
        <v/>
      </c>
      <c r="AL441" s="59"/>
      <c r="AM441" s="58" t="str">
        <f t="shared" si="215"/>
        <v/>
      </c>
      <c r="AN441" s="59"/>
      <c r="AO441" s="58" t="str">
        <f t="shared" si="216"/>
        <v/>
      </c>
      <c r="AP441" s="59"/>
      <c r="AQ441" s="58" t="str">
        <f t="shared" si="217"/>
        <v/>
      </c>
      <c r="AR441" s="59"/>
      <c r="AS441" s="58" t="str">
        <f t="shared" si="218"/>
        <v/>
      </c>
      <c r="AT441" s="59"/>
      <c r="AU441" s="58" t="str">
        <f t="shared" si="219"/>
        <v/>
      </c>
      <c r="AV441" s="59"/>
      <c r="AW441" s="58" t="str">
        <f t="shared" si="220"/>
        <v/>
      </c>
      <c r="AX441" s="59"/>
      <c r="AY441" s="58" t="str">
        <f t="shared" si="221"/>
        <v/>
      </c>
      <c r="AZ441" s="59"/>
      <c r="BA441" s="58">
        <f t="shared" si="222"/>
        <v>1440</v>
      </c>
      <c r="BB441" s="59"/>
      <c r="BC441" s="58" t="str">
        <f t="shared" si="223"/>
        <v/>
      </c>
      <c r="BD441" s="59"/>
      <c r="BE441" s="58" t="str">
        <f t="shared" si="224"/>
        <v/>
      </c>
      <c r="BF441" s="59"/>
      <c r="BG441" s="58" t="str">
        <f t="shared" si="225"/>
        <v/>
      </c>
      <c r="BH441" s="59"/>
      <c r="BI441" s="58" t="str">
        <f t="shared" si="226"/>
        <v/>
      </c>
      <c r="BJ441" s="59"/>
      <c r="BK441" s="58" t="str">
        <f t="shared" si="227"/>
        <v/>
      </c>
      <c r="BL441" s="59"/>
      <c r="BM441" s="58" t="str">
        <f t="shared" si="228"/>
        <v/>
      </c>
      <c r="BN441" s="59"/>
      <c r="BO441" s="58" t="str">
        <f t="shared" si="229"/>
        <v/>
      </c>
      <c r="BP441" s="59"/>
      <c r="BQ441" s="58" t="str">
        <f t="shared" si="230"/>
        <v/>
      </c>
      <c r="BR441" s="59"/>
      <c r="BS441" s="58" t="str">
        <f t="shared" si="231"/>
        <v/>
      </c>
      <c r="BT441" s="59"/>
      <c r="BU441" s="58" t="str">
        <f t="shared" si="232"/>
        <v/>
      </c>
      <c r="BV441" s="59"/>
    </row>
    <row r="442" spans="1:74" ht="14.5">
      <c r="A442" s="51" t="s">
        <v>58</v>
      </c>
      <c r="B442" s="52">
        <v>383</v>
      </c>
      <c r="C442" s="52" t="s">
        <v>188</v>
      </c>
      <c r="D442" s="41">
        <f t="shared" si="205"/>
        <v>6</v>
      </c>
      <c r="E442" s="52" t="s">
        <v>189</v>
      </c>
      <c r="F442" s="52" t="s">
        <v>242</v>
      </c>
      <c r="G442" s="52" t="s">
        <v>162</v>
      </c>
      <c r="H442" s="52" t="s">
        <v>432</v>
      </c>
      <c r="I442" s="53">
        <v>45695</v>
      </c>
      <c r="J442" s="108">
        <v>1400</v>
      </c>
      <c r="K442" s="101"/>
      <c r="L442" s="101"/>
      <c r="M442" s="101">
        <f t="shared" si="206"/>
        <v>1400</v>
      </c>
      <c r="N442" s="54">
        <f t="shared" si="207"/>
        <v>1400</v>
      </c>
      <c r="O442" s="101" t="s">
        <v>178</v>
      </c>
      <c r="P442" s="102">
        <f t="shared" si="208"/>
        <v>1.9444444444444444</v>
      </c>
      <c r="Q442" s="102">
        <v>6</v>
      </c>
      <c r="R442" s="99">
        <v>120</v>
      </c>
      <c r="S442" s="55">
        <f t="shared" si="238"/>
        <v>45663</v>
      </c>
      <c r="T442" s="55"/>
      <c r="U442" s="56">
        <f t="shared" ca="1" si="236"/>
        <v>-177</v>
      </c>
      <c r="V442" s="55">
        <f t="shared" si="235"/>
        <v>45679</v>
      </c>
      <c r="W442" s="55"/>
      <c r="X442" s="56">
        <f t="shared" ca="1" si="237"/>
        <v>-161</v>
      </c>
      <c r="Y442" s="55"/>
      <c r="Z442" s="57"/>
      <c r="AA442" s="58" t="str">
        <f t="shared" si="209"/>
        <v>-</v>
      </c>
      <c r="AB442" s="59"/>
      <c r="AC442" s="58" t="str">
        <f t="shared" si="210"/>
        <v/>
      </c>
      <c r="AD442" s="59"/>
      <c r="AE442" s="58" t="str">
        <f t="shared" si="211"/>
        <v/>
      </c>
      <c r="AF442" s="59"/>
      <c r="AG442" s="58" t="str">
        <f t="shared" si="212"/>
        <v/>
      </c>
      <c r="AH442" s="59"/>
      <c r="AI442" s="58" t="str">
        <f t="shared" si="213"/>
        <v/>
      </c>
      <c r="AJ442" s="59"/>
      <c r="AK442" s="58" t="str">
        <f t="shared" si="214"/>
        <v/>
      </c>
      <c r="AL442" s="59"/>
      <c r="AM442" s="58" t="str">
        <f t="shared" si="215"/>
        <v/>
      </c>
      <c r="AN442" s="59"/>
      <c r="AO442" s="58" t="str">
        <f t="shared" si="216"/>
        <v/>
      </c>
      <c r="AP442" s="59"/>
      <c r="AQ442" s="58" t="str">
        <f t="shared" si="217"/>
        <v/>
      </c>
      <c r="AR442" s="59"/>
      <c r="AS442" s="58" t="str">
        <f t="shared" si="218"/>
        <v/>
      </c>
      <c r="AT442" s="59"/>
      <c r="AU442" s="58" t="str">
        <f t="shared" si="219"/>
        <v/>
      </c>
      <c r="AV442" s="59"/>
      <c r="AW442" s="58" t="str">
        <f t="shared" si="220"/>
        <v/>
      </c>
      <c r="AX442" s="59"/>
      <c r="AY442" s="58" t="str">
        <f t="shared" si="221"/>
        <v/>
      </c>
      <c r="AZ442" s="59"/>
      <c r="BA442" s="58">
        <f t="shared" si="222"/>
        <v>1400</v>
      </c>
      <c r="BB442" s="59"/>
      <c r="BC442" s="58" t="str">
        <f t="shared" si="223"/>
        <v/>
      </c>
      <c r="BD442" s="59"/>
      <c r="BE442" s="58" t="str">
        <f t="shared" si="224"/>
        <v/>
      </c>
      <c r="BF442" s="59"/>
      <c r="BG442" s="58" t="str">
        <f t="shared" si="225"/>
        <v/>
      </c>
      <c r="BH442" s="59"/>
      <c r="BI442" s="58" t="str">
        <f t="shared" si="226"/>
        <v/>
      </c>
      <c r="BJ442" s="59"/>
      <c r="BK442" s="58" t="str">
        <f t="shared" si="227"/>
        <v/>
      </c>
      <c r="BL442" s="59"/>
      <c r="BM442" s="58" t="str">
        <f t="shared" si="228"/>
        <v/>
      </c>
      <c r="BN442" s="59"/>
      <c r="BO442" s="58" t="str">
        <f t="shared" si="229"/>
        <v/>
      </c>
      <c r="BP442" s="59"/>
      <c r="BQ442" s="58" t="str">
        <f t="shared" si="230"/>
        <v/>
      </c>
      <c r="BR442" s="59"/>
      <c r="BS442" s="58" t="str">
        <f t="shared" si="231"/>
        <v/>
      </c>
      <c r="BT442" s="59"/>
      <c r="BU442" s="58" t="str">
        <f t="shared" si="232"/>
        <v/>
      </c>
      <c r="BV442" s="59"/>
    </row>
    <row r="443" spans="1:74" ht="14.5">
      <c r="A443" s="51" t="s">
        <v>58</v>
      </c>
      <c r="B443" s="52">
        <v>399</v>
      </c>
      <c r="C443" s="52" t="s">
        <v>188</v>
      </c>
      <c r="D443" s="41">
        <f t="shared" si="205"/>
        <v>6</v>
      </c>
      <c r="E443" s="52" t="s">
        <v>81</v>
      </c>
      <c r="F443" s="52" t="s">
        <v>290</v>
      </c>
      <c r="G443" s="52" t="s">
        <v>291</v>
      </c>
      <c r="H443" s="52" t="s">
        <v>435</v>
      </c>
      <c r="I443" s="53">
        <v>45695</v>
      </c>
      <c r="J443" s="108">
        <v>1704</v>
      </c>
      <c r="K443" s="101"/>
      <c r="L443" s="101"/>
      <c r="M443" s="101">
        <f t="shared" si="206"/>
        <v>1704</v>
      </c>
      <c r="N443" s="54">
        <f t="shared" si="207"/>
        <v>1704</v>
      </c>
      <c r="O443" s="101" t="s">
        <v>436</v>
      </c>
      <c r="P443" s="102">
        <f t="shared" si="208"/>
        <v>0.16666666666666666</v>
      </c>
      <c r="Q443" s="102">
        <v>6</v>
      </c>
      <c r="R443" s="100">
        <v>1704</v>
      </c>
      <c r="S443" s="55">
        <f t="shared" si="238"/>
        <v>45663</v>
      </c>
      <c r="T443" s="55"/>
      <c r="U443" s="56">
        <f t="shared" ca="1" si="236"/>
        <v>-177</v>
      </c>
      <c r="V443" s="55">
        <f t="shared" si="235"/>
        <v>45679</v>
      </c>
      <c r="W443" s="55"/>
      <c r="X443" s="56">
        <f t="shared" ca="1" si="237"/>
        <v>-161</v>
      </c>
      <c r="Y443" s="55"/>
      <c r="Z443" s="57"/>
      <c r="AA443" s="58" t="str">
        <f t="shared" si="209"/>
        <v>-</v>
      </c>
      <c r="AB443" s="59"/>
      <c r="AC443" s="58" t="str">
        <f t="shared" si="210"/>
        <v/>
      </c>
      <c r="AD443" s="59"/>
      <c r="AE443" s="58" t="str">
        <f t="shared" si="211"/>
        <v/>
      </c>
      <c r="AF443" s="59"/>
      <c r="AG443" s="58" t="str">
        <f t="shared" si="212"/>
        <v/>
      </c>
      <c r="AH443" s="59"/>
      <c r="AI443" s="58" t="str">
        <f t="shared" si="213"/>
        <v/>
      </c>
      <c r="AJ443" s="59"/>
      <c r="AK443" s="58" t="str">
        <f t="shared" si="214"/>
        <v/>
      </c>
      <c r="AL443" s="59"/>
      <c r="AM443" s="58" t="str">
        <f t="shared" si="215"/>
        <v/>
      </c>
      <c r="AN443" s="59"/>
      <c r="AO443" s="58" t="str">
        <f t="shared" si="216"/>
        <v/>
      </c>
      <c r="AP443" s="59"/>
      <c r="AQ443" s="58" t="str">
        <f t="shared" si="217"/>
        <v/>
      </c>
      <c r="AR443" s="59"/>
      <c r="AS443" s="58" t="str">
        <f t="shared" si="218"/>
        <v/>
      </c>
      <c r="AT443" s="59"/>
      <c r="AU443" s="58" t="str">
        <f t="shared" si="219"/>
        <v/>
      </c>
      <c r="AV443" s="59"/>
      <c r="AW443" s="58" t="str">
        <f t="shared" si="220"/>
        <v/>
      </c>
      <c r="AX443" s="59"/>
      <c r="AY443" s="58" t="str">
        <f t="shared" si="221"/>
        <v/>
      </c>
      <c r="AZ443" s="59"/>
      <c r="BA443" s="58">
        <f t="shared" si="222"/>
        <v>1704</v>
      </c>
      <c r="BB443" s="59"/>
      <c r="BC443" s="58" t="str">
        <f t="shared" si="223"/>
        <v/>
      </c>
      <c r="BD443" s="59"/>
      <c r="BE443" s="58" t="str">
        <f t="shared" si="224"/>
        <v/>
      </c>
      <c r="BF443" s="59"/>
      <c r="BG443" s="58" t="str">
        <f t="shared" si="225"/>
        <v/>
      </c>
      <c r="BH443" s="59"/>
      <c r="BI443" s="58" t="str">
        <f t="shared" si="226"/>
        <v/>
      </c>
      <c r="BJ443" s="59"/>
      <c r="BK443" s="58" t="str">
        <f t="shared" si="227"/>
        <v/>
      </c>
      <c r="BL443" s="59"/>
      <c r="BM443" s="58" t="str">
        <f t="shared" si="228"/>
        <v/>
      </c>
      <c r="BN443" s="59"/>
      <c r="BO443" s="58" t="str">
        <f t="shared" si="229"/>
        <v/>
      </c>
      <c r="BP443" s="59"/>
      <c r="BQ443" s="58" t="str">
        <f t="shared" si="230"/>
        <v/>
      </c>
      <c r="BR443" s="59"/>
      <c r="BS443" s="58" t="str">
        <f t="shared" si="231"/>
        <v/>
      </c>
      <c r="BT443" s="59"/>
      <c r="BU443" s="58" t="str">
        <f t="shared" si="232"/>
        <v/>
      </c>
      <c r="BV443" s="59"/>
    </row>
    <row r="444" spans="1:74" ht="14.5">
      <c r="A444" s="51" t="s">
        <v>58</v>
      </c>
      <c r="B444" s="52">
        <v>399</v>
      </c>
      <c r="C444" s="52" t="s">
        <v>188</v>
      </c>
      <c r="D444" s="41">
        <f t="shared" si="205"/>
        <v>6</v>
      </c>
      <c r="E444" s="52" t="s">
        <v>81</v>
      </c>
      <c r="F444" s="52" t="s">
        <v>290</v>
      </c>
      <c r="G444" s="52" t="s">
        <v>293</v>
      </c>
      <c r="H444" s="52" t="s">
        <v>435</v>
      </c>
      <c r="I444" s="53">
        <v>45695</v>
      </c>
      <c r="J444" s="108">
        <v>1704</v>
      </c>
      <c r="K444" s="101"/>
      <c r="L444" s="101"/>
      <c r="M444" s="101">
        <f t="shared" si="206"/>
        <v>1704</v>
      </c>
      <c r="N444" s="54">
        <f t="shared" si="207"/>
        <v>1704</v>
      </c>
      <c r="O444" s="101" t="s">
        <v>436</v>
      </c>
      <c r="P444" s="102">
        <f t="shared" si="208"/>
        <v>0.16666666666666666</v>
      </c>
      <c r="Q444" s="102">
        <v>6</v>
      </c>
      <c r="R444" s="100">
        <v>1704</v>
      </c>
      <c r="S444" s="55">
        <f t="shared" si="238"/>
        <v>45663</v>
      </c>
      <c r="T444" s="55"/>
      <c r="U444" s="56">
        <f t="shared" ca="1" si="236"/>
        <v>-177</v>
      </c>
      <c r="V444" s="55">
        <f t="shared" si="235"/>
        <v>45679</v>
      </c>
      <c r="W444" s="55"/>
      <c r="X444" s="56">
        <f t="shared" ca="1" si="237"/>
        <v>-161</v>
      </c>
      <c r="Y444" s="55"/>
      <c r="Z444" s="57"/>
      <c r="AA444" s="58" t="str">
        <f t="shared" si="209"/>
        <v>-</v>
      </c>
      <c r="AB444" s="59"/>
      <c r="AC444" s="58" t="str">
        <f t="shared" si="210"/>
        <v/>
      </c>
      <c r="AD444" s="59"/>
      <c r="AE444" s="58" t="str">
        <f t="shared" si="211"/>
        <v/>
      </c>
      <c r="AF444" s="59"/>
      <c r="AG444" s="58" t="str">
        <f t="shared" si="212"/>
        <v/>
      </c>
      <c r="AH444" s="59"/>
      <c r="AI444" s="58" t="str">
        <f t="shared" si="213"/>
        <v/>
      </c>
      <c r="AJ444" s="59"/>
      <c r="AK444" s="58" t="str">
        <f t="shared" si="214"/>
        <v/>
      </c>
      <c r="AL444" s="59"/>
      <c r="AM444" s="58" t="str">
        <f t="shared" si="215"/>
        <v/>
      </c>
      <c r="AN444" s="59"/>
      <c r="AO444" s="58" t="str">
        <f t="shared" si="216"/>
        <v/>
      </c>
      <c r="AP444" s="59"/>
      <c r="AQ444" s="58" t="str">
        <f t="shared" si="217"/>
        <v/>
      </c>
      <c r="AR444" s="59"/>
      <c r="AS444" s="58" t="str">
        <f t="shared" si="218"/>
        <v/>
      </c>
      <c r="AT444" s="59"/>
      <c r="AU444" s="58" t="str">
        <f t="shared" si="219"/>
        <v/>
      </c>
      <c r="AV444" s="59"/>
      <c r="AW444" s="58" t="str">
        <f t="shared" si="220"/>
        <v/>
      </c>
      <c r="AX444" s="59"/>
      <c r="AY444" s="58" t="str">
        <f t="shared" si="221"/>
        <v/>
      </c>
      <c r="AZ444" s="59"/>
      <c r="BA444" s="58">
        <f t="shared" si="222"/>
        <v>1704</v>
      </c>
      <c r="BB444" s="59"/>
      <c r="BC444" s="58" t="str">
        <f t="shared" si="223"/>
        <v/>
      </c>
      <c r="BD444" s="59"/>
      <c r="BE444" s="58" t="str">
        <f t="shared" si="224"/>
        <v/>
      </c>
      <c r="BF444" s="59"/>
      <c r="BG444" s="58" t="str">
        <f t="shared" si="225"/>
        <v/>
      </c>
      <c r="BH444" s="59"/>
      <c r="BI444" s="58" t="str">
        <f t="shared" si="226"/>
        <v/>
      </c>
      <c r="BJ444" s="59"/>
      <c r="BK444" s="58" t="str">
        <f t="shared" si="227"/>
        <v/>
      </c>
      <c r="BL444" s="59"/>
      <c r="BM444" s="58" t="str">
        <f t="shared" si="228"/>
        <v/>
      </c>
      <c r="BN444" s="59"/>
      <c r="BO444" s="58" t="str">
        <f t="shared" si="229"/>
        <v/>
      </c>
      <c r="BP444" s="59"/>
      <c r="BQ444" s="58" t="str">
        <f t="shared" si="230"/>
        <v/>
      </c>
      <c r="BR444" s="59"/>
      <c r="BS444" s="58" t="str">
        <f t="shared" si="231"/>
        <v/>
      </c>
      <c r="BT444" s="59"/>
      <c r="BU444" s="58" t="str">
        <f t="shared" si="232"/>
        <v/>
      </c>
      <c r="BV444" s="59"/>
    </row>
    <row r="445" spans="1:74" ht="14.5">
      <c r="A445" s="51" t="s">
        <v>58</v>
      </c>
      <c r="B445" s="52">
        <v>399</v>
      </c>
      <c r="C445" s="52" t="s">
        <v>188</v>
      </c>
      <c r="D445" s="41">
        <f t="shared" si="205"/>
        <v>6</v>
      </c>
      <c r="E445" s="52" t="s">
        <v>81</v>
      </c>
      <c r="F445" s="52" t="s">
        <v>290</v>
      </c>
      <c r="G445" s="52" t="s">
        <v>294</v>
      </c>
      <c r="H445" s="52" t="s">
        <v>435</v>
      </c>
      <c r="I445" s="53">
        <v>45695</v>
      </c>
      <c r="J445" s="108">
        <v>1704</v>
      </c>
      <c r="K445" s="101"/>
      <c r="L445" s="101"/>
      <c r="M445" s="101">
        <f t="shared" si="206"/>
        <v>1704</v>
      </c>
      <c r="N445" s="54">
        <f t="shared" si="207"/>
        <v>1704</v>
      </c>
      <c r="O445" s="101" t="s">
        <v>436</v>
      </c>
      <c r="P445" s="102">
        <f t="shared" si="208"/>
        <v>0.16666666666666666</v>
      </c>
      <c r="Q445" s="102">
        <v>6</v>
      </c>
      <c r="R445" s="100">
        <v>1704</v>
      </c>
      <c r="S445" s="55">
        <f t="shared" si="238"/>
        <v>45663</v>
      </c>
      <c r="T445" s="55"/>
      <c r="U445" s="56">
        <f t="shared" ca="1" si="236"/>
        <v>-177</v>
      </c>
      <c r="V445" s="55">
        <f t="shared" si="235"/>
        <v>45679</v>
      </c>
      <c r="W445" s="55"/>
      <c r="X445" s="56">
        <f t="shared" ca="1" si="237"/>
        <v>-161</v>
      </c>
      <c r="Y445" s="55"/>
      <c r="Z445" s="57"/>
      <c r="AA445" s="58" t="str">
        <f t="shared" si="209"/>
        <v>-</v>
      </c>
      <c r="AB445" s="59"/>
      <c r="AC445" s="58" t="str">
        <f t="shared" si="210"/>
        <v/>
      </c>
      <c r="AD445" s="59"/>
      <c r="AE445" s="58" t="str">
        <f t="shared" si="211"/>
        <v/>
      </c>
      <c r="AF445" s="59"/>
      <c r="AG445" s="58" t="str">
        <f t="shared" si="212"/>
        <v/>
      </c>
      <c r="AH445" s="59"/>
      <c r="AI445" s="58" t="str">
        <f t="shared" si="213"/>
        <v/>
      </c>
      <c r="AJ445" s="59"/>
      <c r="AK445" s="58" t="str">
        <f t="shared" si="214"/>
        <v/>
      </c>
      <c r="AL445" s="59"/>
      <c r="AM445" s="58" t="str">
        <f t="shared" si="215"/>
        <v/>
      </c>
      <c r="AN445" s="59"/>
      <c r="AO445" s="58" t="str">
        <f t="shared" si="216"/>
        <v/>
      </c>
      <c r="AP445" s="59"/>
      <c r="AQ445" s="58" t="str">
        <f t="shared" si="217"/>
        <v/>
      </c>
      <c r="AR445" s="59"/>
      <c r="AS445" s="58" t="str">
        <f t="shared" si="218"/>
        <v/>
      </c>
      <c r="AT445" s="59"/>
      <c r="AU445" s="58" t="str">
        <f t="shared" si="219"/>
        <v/>
      </c>
      <c r="AV445" s="59"/>
      <c r="AW445" s="58" t="str">
        <f t="shared" si="220"/>
        <v/>
      </c>
      <c r="AX445" s="59"/>
      <c r="AY445" s="58" t="str">
        <f t="shared" si="221"/>
        <v/>
      </c>
      <c r="AZ445" s="59"/>
      <c r="BA445" s="58">
        <f t="shared" si="222"/>
        <v>1704</v>
      </c>
      <c r="BB445" s="59"/>
      <c r="BC445" s="58" t="str">
        <f t="shared" si="223"/>
        <v/>
      </c>
      <c r="BD445" s="59"/>
      <c r="BE445" s="58" t="str">
        <f t="shared" si="224"/>
        <v/>
      </c>
      <c r="BF445" s="59"/>
      <c r="BG445" s="58" t="str">
        <f t="shared" si="225"/>
        <v/>
      </c>
      <c r="BH445" s="59"/>
      <c r="BI445" s="58" t="str">
        <f t="shared" si="226"/>
        <v/>
      </c>
      <c r="BJ445" s="59"/>
      <c r="BK445" s="58" t="str">
        <f t="shared" si="227"/>
        <v/>
      </c>
      <c r="BL445" s="59"/>
      <c r="BM445" s="58" t="str">
        <f t="shared" si="228"/>
        <v/>
      </c>
      <c r="BN445" s="59"/>
      <c r="BO445" s="58" t="str">
        <f t="shared" si="229"/>
        <v/>
      </c>
      <c r="BP445" s="59"/>
      <c r="BQ445" s="58" t="str">
        <f t="shared" si="230"/>
        <v/>
      </c>
      <c r="BR445" s="59"/>
      <c r="BS445" s="58" t="str">
        <f t="shared" si="231"/>
        <v/>
      </c>
      <c r="BT445" s="59"/>
      <c r="BU445" s="58" t="str">
        <f t="shared" si="232"/>
        <v/>
      </c>
      <c r="BV445" s="59"/>
    </row>
    <row r="446" spans="1:74" ht="14.5">
      <c r="A446" s="51" t="s">
        <v>58</v>
      </c>
      <c r="B446" s="52">
        <v>399</v>
      </c>
      <c r="C446" s="52" t="s">
        <v>188</v>
      </c>
      <c r="D446" s="41">
        <f t="shared" si="205"/>
        <v>6</v>
      </c>
      <c r="E446" s="52" t="s">
        <v>502</v>
      </c>
      <c r="F446" s="52" t="s">
        <v>289</v>
      </c>
      <c r="G446" s="52" t="s">
        <v>155</v>
      </c>
      <c r="H446" s="52" t="s">
        <v>561</v>
      </c>
      <c r="I446" s="53">
        <v>45695</v>
      </c>
      <c r="J446" s="108">
        <v>2244</v>
      </c>
      <c r="K446" s="101"/>
      <c r="L446" s="101"/>
      <c r="M446" s="101">
        <f t="shared" si="206"/>
        <v>2244</v>
      </c>
      <c r="N446" s="54">
        <f t="shared" si="207"/>
        <v>2244</v>
      </c>
      <c r="O446" s="101" t="s">
        <v>565</v>
      </c>
      <c r="P446" s="102">
        <f t="shared" si="208"/>
        <v>11.6875</v>
      </c>
      <c r="Q446" s="102">
        <v>6</v>
      </c>
      <c r="R446" s="99">
        <f>480/15</f>
        <v>32</v>
      </c>
      <c r="S446" s="55">
        <f t="shared" si="238"/>
        <v>45663</v>
      </c>
      <c r="T446" s="55"/>
      <c r="U446" s="56">
        <f t="shared" ca="1" si="236"/>
        <v>-177</v>
      </c>
      <c r="V446" s="55">
        <f t="shared" si="235"/>
        <v>45679</v>
      </c>
      <c r="W446" s="55"/>
      <c r="X446" s="56">
        <f t="shared" ca="1" si="237"/>
        <v>-161</v>
      </c>
      <c r="Y446" s="55"/>
      <c r="Z446" s="57"/>
      <c r="AA446" s="58" t="str">
        <f t="shared" si="209"/>
        <v>-</v>
      </c>
      <c r="AB446" s="59"/>
      <c r="AC446" s="58" t="str">
        <f t="shared" si="210"/>
        <v/>
      </c>
      <c r="AD446" s="59"/>
      <c r="AE446" s="58" t="str">
        <f t="shared" si="211"/>
        <v/>
      </c>
      <c r="AF446" s="59"/>
      <c r="AG446" s="58" t="str">
        <f t="shared" si="212"/>
        <v/>
      </c>
      <c r="AH446" s="59"/>
      <c r="AI446" s="58" t="str">
        <f t="shared" si="213"/>
        <v/>
      </c>
      <c r="AJ446" s="59"/>
      <c r="AK446" s="58" t="str">
        <f t="shared" si="214"/>
        <v/>
      </c>
      <c r="AL446" s="59"/>
      <c r="AM446" s="58" t="str">
        <f t="shared" si="215"/>
        <v/>
      </c>
      <c r="AN446" s="59"/>
      <c r="AO446" s="58" t="str">
        <f t="shared" si="216"/>
        <v/>
      </c>
      <c r="AP446" s="59"/>
      <c r="AQ446" s="58" t="str">
        <f t="shared" si="217"/>
        <v/>
      </c>
      <c r="AR446" s="59"/>
      <c r="AS446" s="58" t="str">
        <f t="shared" si="218"/>
        <v/>
      </c>
      <c r="AT446" s="59"/>
      <c r="AU446" s="58" t="str">
        <f t="shared" si="219"/>
        <v/>
      </c>
      <c r="AV446" s="59"/>
      <c r="AW446" s="58" t="str">
        <f t="shared" si="220"/>
        <v/>
      </c>
      <c r="AX446" s="59"/>
      <c r="AY446" s="58" t="str">
        <f t="shared" si="221"/>
        <v/>
      </c>
      <c r="AZ446" s="59"/>
      <c r="BA446" s="58">
        <f t="shared" si="222"/>
        <v>2244</v>
      </c>
      <c r="BB446" s="59"/>
      <c r="BC446" s="58" t="str">
        <f t="shared" si="223"/>
        <v/>
      </c>
      <c r="BD446" s="59"/>
      <c r="BE446" s="58" t="str">
        <f t="shared" si="224"/>
        <v/>
      </c>
      <c r="BF446" s="59"/>
      <c r="BG446" s="58" t="str">
        <f t="shared" si="225"/>
        <v/>
      </c>
      <c r="BH446" s="59"/>
      <c r="BI446" s="58" t="str">
        <f t="shared" si="226"/>
        <v/>
      </c>
      <c r="BJ446" s="59"/>
      <c r="BK446" s="58" t="str">
        <f t="shared" si="227"/>
        <v/>
      </c>
      <c r="BL446" s="59"/>
      <c r="BM446" s="58" t="str">
        <f t="shared" si="228"/>
        <v/>
      </c>
      <c r="BN446" s="59"/>
      <c r="BO446" s="58" t="str">
        <f t="shared" si="229"/>
        <v/>
      </c>
      <c r="BP446" s="59"/>
      <c r="BQ446" s="58" t="str">
        <f t="shared" si="230"/>
        <v/>
      </c>
      <c r="BR446" s="59"/>
      <c r="BS446" s="58" t="str">
        <f t="shared" si="231"/>
        <v/>
      </c>
      <c r="BT446" s="59"/>
      <c r="BU446" s="58" t="str">
        <f t="shared" si="232"/>
        <v/>
      </c>
      <c r="BV446" s="59"/>
    </row>
    <row r="447" spans="1:74" ht="14.5">
      <c r="A447" s="51" t="s">
        <v>58</v>
      </c>
      <c r="B447" s="52">
        <v>399</v>
      </c>
      <c r="C447" s="52" t="s">
        <v>188</v>
      </c>
      <c r="D447" s="41">
        <f t="shared" si="205"/>
        <v>6</v>
      </c>
      <c r="E447" s="52" t="s">
        <v>502</v>
      </c>
      <c r="F447" s="52" t="s">
        <v>289</v>
      </c>
      <c r="G447" s="52" t="s">
        <v>154</v>
      </c>
      <c r="H447" s="52" t="s">
        <v>561</v>
      </c>
      <c r="I447" s="53">
        <v>45695</v>
      </c>
      <c r="J447" s="108">
        <v>1870</v>
      </c>
      <c r="K447" s="101"/>
      <c r="L447" s="101"/>
      <c r="M447" s="101">
        <f t="shared" si="206"/>
        <v>1870</v>
      </c>
      <c r="N447" s="54">
        <f t="shared" si="207"/>
        <v>1870</v>
      </c>
      <c r="O447" s="101" t="s">
        <v>565</v>
      </c>
      <c r="P447" s="102">
        <f t="shared" si="208"/>
        <v>9.7395833333333339</v>
      </c>
      <c r="Q447" s="102">
        <v>6</v>
      </c>
      <c r="R447" s="99">
        <f>480/15</f>
        <v>32</v>
      </c>
      <c r="S447" s="55">
        <f t="shared" si="238"/>
        <v>45663</v>
      </c>
      <c r="T447" s="55"/>
      <c r="U447" s="56">
        <f t="shared" ca="1" si="236"/>
        <v>-177</v>
      </c>
      <c r="V447" s="55">
        <f t="shared" si="235"/>
        <v>45679</v>
      </c>
      <c r="W447" s="55"/>
      <c r="X447" s="56">
        <f t="shared" ca="1" si="237"/>
        <v>-161</v>
      </c>
      <c r="Y447" s="55"/>
      <c r="Z447" s="57"/>
      <c r="AA447" s="58" t="str">
        <f t="shared" si="209"/>
        <v>-</v>
      </c>
      <c r="AB447" s="59"/>
      <c r="AC447" s="58" t="str">
        <f t="shared" si="210"/>
        <v/>
      </c>
      <c r="AD447" s="59"/>
      <c r="AE447" s="58" t="str">
        <f t="shared" si="211"/>
        <v/>
      </c>
      <c r="AF447" s="59"/>
      <c r="AG447" s="58" t="str">
        <f t="shared" si="212"/>
        <v/>
      </c>
      <c r="AH447" s="59"/>
      <c r="AI447" s="58" t="str">
        <f t="shared" si="213"/>
        <v/>
      </c>
      <c r="AJ447" s="59"/>
      <c r="AK447" s="58" t="str">
        <f t="shared" si="214"/>
        <v/>
      </c>
      <c r="AL447" s="59"/>
      <c r="AM447" s="58" t="str">
        <f t="shared" si="215"/>
        <v/>
      </c>
      <c r="AN447" s="59"/>
      <c r="AO447" s="58" t="str">
        <f t="shared" si="216"/>
        <v/>
      </c>
      <c r="AP447" s="59"/>
      <c r="AQ447" s="58" t="str">
        <f t="shared" si="217"/>
        <v/>
      </c>
      <c r="AR447" s="59"/>
      <c r="AS447" s="58" t="str">
        <f t="shared" si="218"/>
        <v/>
      </c>
      <c r="AT447" s="59"/>
      <c r="AU447" s="58" t="str">
        <f t="shared" si="219"/>
        <v/>
      </c>
      <c r="AV447" s="59"/>
      <c r="AW447" s="58" t="str">
        <f t="shared" si="220"/>
        <v/>
      </c>
      <c r="AX447" s="59"/>
      <c r="AY447" s="58" t="str">
        <f t="shared" si="221"/>
        <v/>
      </c>
      <c r="AZ447" s="59"/>
      <c r="BA447" s="58">
        <f t="shared" si="222"/>
        <v>1870</v>
      </c>
      <c r="BB447" s="59"/>
      <c r="BC447" s="58" t="str">
        <f t="shared" si="223"/>
        <v/>
      </c>
      <c r="BD447" s="59"/>
      <c r="BE447" s="58" t="str">
        <f t="shared" si="224"/>
        <v/>
      </c>
      <c r="BF447" s="59"/>
      <c r="BG447" s="58" t="str">
        <f t="shared" si="225"/>
        <v/>
      </c>
      <c r="BH447" s="59"/>
      <c r="BI447" s="58" t="str">
        <f t="shared" si="226"/>
        <v/>
      </c>
      <c r="BJ447" s="59"/>
      <c r="BK447" s="58" t="str">
        <f t="shared" si="227"/>
        <v/>
      </c>
      <c r="BL447" s="59"/>
      <c r="BM447" s="58" t="str">
        <f t="shared" si="228"/>
        <v/>
      </c>
      <c r="BN447" s="59"/>
      <c r="BO447" s="58" t="str">
        <f t="shared" si="229"/>
        <v/>
      </c>
      <c r="BP447" s="59"/>
      <c r="BQ447" s="58" t="str">
        <f t="shared" si="230"/>
        <v/>
      </c>
      <c r="BR447" s="59"/>
      <c r="BS447" s="58" t="str">
        <f t="shared" si="231"/>
        <v/>
      </c>
      <c r="BT447" s="59"/>
      <c r="BU447" s="58" t="str">
        <f t="shared" si="232"/>
        <v/>
      </c>
      <c r="BV447" s="59"/>
    </row>
    <row r="448" spans="1:74" ht="14.5">
      <c r="A448" s="51" t="s">
        <v>58</v>
      </c>
      <c r="B448" s="52">
        <v>399</v>
      </c>
      <c r="C448" s="52" t="s">
        <v>188</v>
      </c>
      <c r="D448" s="41">
        <f t="shared" si="205"/>
        <v>6</v>
      </c>
      <c r="E448" s="52" t="s">
        <v>502</v>
      </c>
      <c r="F448" s="52" t="s">
        <v>289</v>
      </c>
      <c r="G448" s="52" t="s">
        <v>156</v>
      </c>
      <c r="H448" s="52" t="s">
        <v>561</v>
      </c>
      <c r="I448" s="53">
        <v>45695</v>
      </c>
      <c r="J448" s="108">
        <v>1496</v>
      </c>
      <c r="K448" s="101"/>
      <c r="L448" s="101"/>
      <c r="M448" s="101">
        <f t="shared" si="206"/>
        <v>1496</v>
      </c>
      <c r="N448" s="54">
        <f t="shared" si="207"/>
        <v>1496</v>
      </c>
      <c r="O448" s="101" t="s">
        <v>565</v>
      </c>
      <c r="P448" s="102">
        <f t="shared" si="208"/>
        <v>7.791666666666667</v>
      </c>
      <c r="Q448" s="102">
        <v>6</v>
      </c>
      <c r="R448" s="99">
        <f>480/15</f>
        <v>32</v>
      </c>
      <c r="S448" s="55">
        <f t="shared" si="238"/>
        <v>45663</v>
      </c>
      <c r="T448" s="55"/>
      <c r="U448" s="56">
        <f t="shared" ca="1" si="236"/>
        <v>-177</v>
      </c>
      <c r="V448" s="55">
        <f t="shared" si="235"/>
        <v>45679</v>
      </c>
      <c r="W448" s="55"/>
      <c r="X448" s="56">
        <f t="shared" ca="1" si="237"/>
        <v>-161</v>
      </c>
      <c r="Y448" s="55"/>
      <c r="Z448" s="57"/>
      <c r="AA448" s="58" t="str">
        <f t="shared" si="209"/>
        <v>-</v>
      </c>
      <c r="AB448" s="59"/>
      <c r="AC448" s="58" t="str">
        <f t="shared" si="210"/>
        <v/>
      </c>
      <c r="AD448" s="59"/>
      <c r="AE448" s="58" t="str">
        <f t="shared" si="211"/>
        <v/>
      </c>
      <c r="AF448" s="59"/>
      <c r="AG448" s="58" t="str">
        <f t="shared" si="212"/>
        <v/>
      </c>
      <c r="AH448" s="59"/>
      <c r="AI448" s="58" t="str">
        <f t="shared" si="213"/>
        <v/>
      </c>
      <c r="AJ448" s="59"/>
      <c r="AK448" s="58" t="str">
        <f t="shared" si="214"/>
        <v/>
      </c>
      <c r="AL448" s="59"/>
      <c r="AM448" s="58" t="str">
        <f t="shared" si="215"/>
        <v/>
      </c>
      <c r="AN448" s="59"/>
      <c r="AO448" s="58" t="str">
        <f t="shared" si="216"/>
        <v/>
      </c>
      <c r="AP448" s="59"/>
      <c r="AQ448" s="58" t="str">
        <f t="shared" si="217"/>
        <v/>
      </c>
      <c r="AR448" s="59"/>
      <c r="AS448" s="58" t="str">
        <f t="shared" si="218"/>
        <v/>
      </c>
      <c r="AT448" s="59"/>
      <c r="AU448" s="58" t="str">
        <f t="shared" si="219"/>
        <v/>
      </c>
      <c r="AV448" s="59"/>
      <c r="AW448" s="58" t="str">
        <f t="shared" si="220"/>
        <v/>
      </c>
      <c r="AX448" s="59"/>
      <c r="AY448" s="58" t="str">
        <f t="shared" si="221"/>
        <v/>
      </c>
      <c r="AZ448" s="59"/>
      <c r="BA448" s="58">
        <f t="shared" si="222"/>
        <v>1496</v>
      </c>
      <c r="BB448" s="59"/>
      <c r="BC448" s="58" t="str">
        <f t="shared" si="223"/>
        <v/>
      </c>
      <c r="BD448" s="59"/>
      <c r="BE448" s="58" t="str">
        <f t="shared" si="224"/>
        <v/>
      </c>
      <c r="BF448" s="59"/>
      <c r="BG448" s="58" t="str">
        <f t="shared" si="225"/>
        <v/>
      </c>
      <c r="BH448" s="59"/>
      <c r="BI448" s="58" t="str">
        <f t="shared" si="226"/>
        <v/>
      </c>
      <c r="BJ448" s="59"/>
      <c r="BK448" s="58" t="str">
        <f t="shared" si="227"/>
        <v/>
      </c>
      <c r="BL448" s="59"/>
      <c r="BM448" s="58" t="str">
        <f t="shared" si="228"/>
        <v/>
      </c>
      <c r="BN448" s="59"/>
      <c r="BO448" s="58" t="str">
        <f t="shared" si="229"/>
        <v/>
      </c>
      <c r="BP448" s="59"/>
      <c r="BQ448" s="58" t="str">
        <f t="shared" si="230"/>
        <v/>
      </c>
      <c r="BR448" s="59"/>
      <c r="BS448" s="58" t="str">
        <f t="shared" si="231"/>
        <v/>
      </c>
      <c r="BT448" s="59"/>
      <c r="BU448" s="58" t="str">
        <f t="shared" si="232"/>
        <v/>
      </c>
      <c r="BV448" s="59"/>
    </row>
    <row r="449" spans="1:74" ht="14.5">
      <c r="A449" s="51" t="s">
        <v>58</v>
      </c>
      <c r="B449" s="52">
        <v>399</v>
      </c>
      <c r="C449" s="52" t="s">
        <v>188</v>
      </c>
      <c r="D449" s="41">
        <f t="shared" si="205"/>
        <v>6</v>
      </c>
      <c r="E449" s="52" t="s">
        <v>189</v>
      </c>
      <c r="F449" s="52" t="s">
        <v>242</v>
      </c>
      <c r="G449" s="52" t="s">
        <v>162</v>
      </c>
      <c r="H449" s="52" t="s">
        <v>432</v>
      </c>
      <c r="I449" s="53">
        <v>45695</v>
      </c>
      <c r="J449" s="108">
        <v>1336</v>
      </c>
      <c r="K449" s="101"/>
      <c r="L449" s="101"/>
      <c r="M449" s="101">
        <f t="shared" si="206"/>
        <v>1336</v>
      </c>
      <c r="N449" s="54">
        <f t="shared" si="207"/>
        <v>1336</v>
      </c>
      <c r="O449" s="101" t="s">
        <v>178</v>
      </c>
      <c r="P449" s="102">
        <f t="shared" si="208"/>
        <v>1.8555555555555556</v>
      </c>
      <c r="Q449" s="102">
        <v>6</v>
      </c>
      <c r="R449" s="99">
        <v>120</v>
      </c>
      <c r="S449" s="55">
        <f t="shared" si="238"/>
        <v>45663</v>
      </c>
      <c r="T449" s="55"/>
      <c r="U449" s="56">
        <f t="shared" ca="1" si="236"/>
        <v>-177</v>
      </c>
      <c r="V449" s="55">
        <f t="shared" si="235"/>
        <v>45679</v>
      </c>
      <c r="W449" s="55"/>
      <c r="X449" s="56">
        <f t="shared" ca="1" si="237"/>
        <v>-161</v>
      </c>
      <c r="Y449" s="55"/>
      <c r="Z449" s="57"/>
      <c r="AA449" s="58" t="str">
        <f t="shared" si="209"/>
        <v>-</v>
      </c>
      <c r="AB449" s="59"/>
      <c r="AC449" s="58" t="str">
        <f t="shared" si="210"/>
        <v/>
      </c>
      <c r="AD449" s="59"/>
      <c r="AE449" s="58" t="str">
        <f t="shared" si="211"/>
        <v/>
      </c>
      <c r="AF449" s="59"/>
      <c r="AG449" s="58" t="str">
        <f t="shared" si="212"/>
        <v/>
      </c>
      <c r="AH449" s="59"/>
      <c r="AI449" s="58" t="str">
        <f t="shared" si="213"/>
        <v/>
      </c>
      <c r="AJ449" s="59"/>
      <c r="AK449" s="58" t="str">
        <f t="shared" si="214"/>
        <v/>
      </c>
      <c r="AL449" s="59"/>
      <c r="AM449" s="58" t="str">
        <f t="shared" si="215"/>
        <v/>
      </c>
      <c r="AN449" s="59"/>
      <c r="AO449" s="58" t="str">
        <f t="shared" si="216"/>
        <v/>
      </c>
      <c r="AP449" s="59"/>
      <c r="AQ449" s="58" t="str">
        <f t="shared" si="217"/>
        <v/>
      </c>
      <c r="AR449" s="59"/>
      <c r="AS449" s="58" t="str">
        <f t="shared" si="218"/>
        <v/>
      </c>
      <c r="AT449" s="59"/>
      <c r="AU449" s="58" t="str">
        <f t="shared" si="219"/>
        <v/>
      </c>
      <c r="AV449" s="59"/>
      <c r="AW449" s="58" t="str">
        <f t="shared" si="220"/>
        <v/>
      </c>
      <c r="AX449" s="59"/>
      <c r="AY449" s="58" t="str">
        <f t="shared" si="221"/>
        <v/>
      </c>
      <c r="AZ449" s="59"/>
      <c r="BA449" s="58">
        <f t="shared" si="222"/>
        <v>1336</v>
      </c>
      <c r="BB449" s="59"/>
      <c r="BC449" s="58" t="str">
        <f t="shared" si="223"/>
        <v/>
      </c>
      <c r="BD449" s="59"/>
      <c r="BE449" s="58" t="str">
        <f t="shared" si="224"/>
        <v/>
      </c>
      <c r="BF449" s="59"/>
      <c r="BG449" s="58" t="str">
        <f t="shared" si="225"/>
        <v/>
      </c>
      <c r="BH449" s="59"/>
      <c r="BI449" s="58" t="str">
        <f t="shared" si="226"/>
        <v/>
      </c>
      <c r="BJ449" s="59"/>
      <c r="BK449" s="58" t="str">
        <f t="shared" si="227"/>
        <v/>
      </c>
      <c r="BL449" s="59"/>
      <c r="BM449" s="58" t="str">
        <f t="shared" si="228"/>
        <v/>
      </c>
      <c r="BN449" s="59"/>
      <c r="BO449" s="58" t="str">
        <f t="shared" si="229"/>
        <v/>
      </c>
      <c r="BP449" s="59"/>
      <c r="BQ449" s="58" t="str">
        <f t="shared" si="230"/>
        <v/>
      </c>
      <c r="BR449" s="59"/>
      <c r="BS449" s="58" t="str">
        <f t="shared" si="231"/>
        <v/>
      </c>
      <c r="BT449" s="59"/>
      <c r="BU449" s="58" t="str">
        <f t="shared" si="232"/>
        <v/>
      </c>
      <c r="BV449" s="59"/>
    </row>
    <row r="450" spans="1:74" s="103" customFormat="1" ht="14.5">
      <c r="A450" s="51" t="s">
        <v>58</v>
      </c>
      <c r="B450" s="52">
        <v>399</v>
      </c>
      <c r="C450" s="52" t="s">
        <v>188</v>
      </c>
      <c r="D450" s="41">
        <f t="shared" si="205"/>
        <v>6</v>
      </c>
      <c r="E450" s="52" t="s">
        <v>190</v>
      </c>
      <c r="F450" s="52" t="s">
        <v>562</v>
      </c>
      <c r="G450" s="52" t="s">
        <v>244</v>
      </c>
      <c r="H450" s="52" t="s">
        <v>438</v>
      </c>
      <c r="I450" s="53">
        <v>45695</v>
      </c>
      <c r="J450" s="108">
        <v>2152</v>
      </c>
      <c r="K450" s="101"/>
      <c r="L450" s="101"/>
      <c r="M450" s="101">
        <f t="shared" si="206"/>
        <v>2152</v>
      </c>
      <c r="N450" s="54">
        <f t="shared" si="207"/>
        <v>2152</v>
      </c>
      <c r="O450" s="101" t="s">
        <v>431</v>
      </c>
      <c r="P450" s="102">
        <f t="shared" si="208"/>
        <v>2.9888888888888889</v>
      </c>
      <c r="Q450" s="102">
        <v>6</v>
      </c>
      <c r="R450" s="99">
        <v>120</v>
      </c>
      <c r="S450" s="55">
        <f t="shared" si="238"/>
        <v>45663</v>
      </c>
      <c r="T450" s="55"/>
      <c r="U450" s="56">
        <f t="shared" ca="1" si="236"/>
        <v>-177</v>
      </c>
      <c r="V450" s="55">
        <f t="shared" si="235"/>
        <v>45679</v>
      </c>
      <c r="W450" s="55"/>
      <c r="X450" s="56">
        <f t="shared" ca="1" si="237"/>
        <v>-161</v>
      </c>
      <c r="Y450" s="55"/>
      <c r="Z450" s="57"/>
      <c r="AA450" s="58" t="str">
        <f t="shared" si="209"/>
        <v>-</v>
      </c>
      <c r="AB450" s="59"/>
      <c r="AC450" s="58" t="str">
        <f t="shared" si="210"/>
        <v/>
      </c>
      <c r="AD450" s="59"/>
      <c r="AE450" s="58" t="str">
        <f t="shared" si="211"/>
        <v/>
      </c>
      <c r="AF450" s="59"/>
      <c r="AG450" s="58" t="str">
        <f t="shared" si="212"/>
        <v/>
      </c>
      <c r="AH450" s="59"/>
      <c r="AI450" s="58" t="str">
        <f t="shared" si="213"/>
        <v/>
      </c>
      <c r="AJ450" s="59"/>
      <c r="AK450" s="58" t="str">
        <f t="shared" si="214"/>
        <v/>
      </c>
      <c r="AL450" s="59"/>
      <c r="AM450" s="58" t="str">
        <f t="shared" si="215"/>
        <v/>
      </c>
      <c r="AN450" s="59"/>
      <c r="AO450" s="58" t="str">
        <f t="shared" si="216"/>
        <v/>
      </c>
      <c r="AP450" s="59"/>
      <c r="AQ450" s="58" t="str">
        <f t="shared" si="217"/>
        <v/>
      </c>
      <c r="AR450" s="59"/>
      <c r="AS450" s="58" t="str">
        <f t="shared" si="218"/>
        <v/>
      </c>
      <c r="AT450" s="59"/>
      <c r="AU450" s="58" t="str">
        <f t="shared" si="219"/>
        <v/>
      </c>
      <c r="AV450" s="59"/>
      <c r="AW450" s="58" t="str">
        <f t="shared" si="220"/>
        <v/>
      </c>
      <c r="AX450" s="59"/>
      <c r="AY450" s="58" t="str">
        <f t="shared" si="221"/>
        <v/>
      </c>
      <c r="AZ450" s="59"/>
      <c r="BA450" s="58">
        <f t="shared" si="222"/>
        <v>2152</v>
      </c>
      <c r="BB450" s="59"/>
      <c r="BC450" s="58" t="str">
        <f t="shared" si="223"/>
        <v/>
      </c>
      <c r="BD450" s="59"/>
      <c r="BE450" s="58" t="str">
        <f t="shared" si="224"/>
        <v/>
      </c>
      <c r="BF450" s="59"/>
      <c r="BG450" s="58" t="str">
        <f t="shared" si="225"/>
        <v/>
      </c>
      <c r="BH450" s="59"/>
      <c r="BI450" s="58" t="str">
        <f t="shared" si="226"/>
        <v/>
      </c>
      <c r="BJ450" s="59"/>
      <c r="BK450" s="58" t="str">
        <f t="shared" si="227"/>
        <v/>
      </c>
      <c r="BL450" s="59"/>
      <c r="BM450" s="58" t="str">
        <f t="shared" si="228"/>
        <v/>
      </c>
      <c r="BN450" s="59"/>
      <c r="BO450" s="58" t="str">
        <f t="shared" si="229"/>
        <v/>
      </c>
      <c r="BP450" s="59"/>
      <c r="BQ450" s="58" t="str">
        <f t="shared" si="230"/>
        <v/>
      </c>
      <c r="BR450" s="59"/>
      <c r="BS450" s="58" t="str">
        <f t="shared" si="231"/>
        <v/>
      </c>
      <c r="BT450" s="59"/>
      <c r="BU450" s="58" t="str">
        <f t="shared" si="232"/>
        <v/>
      </c>
      <c r="BV450" s="59"/>
    </row>
    <row r="451" spans="1:74" ht="14.5">
      <c r="A451" s="51" t="s">
        <v>58</v>
      </c>
      <c r="B451" s="52">
        <v>400</v>
      </c>
      <c r="C451" s="52" t="s">
        <v>188</v>
      </c>
      <c r="D451" s="41">
        <f t="shared" si="205"/>
        <v>6</v>
      </c>
      <c r="E451" s="52" t="s">
        <v>193</v>
      </c>
      <c r="F451" s="52" t="s">
        <v>300</v>
      </c>
      <c r="G451" s="52" t="s">
        <v>162</v>
      </c>
      <c r="H451" s="52" t="s">
        <v>440</v>
      </c>
      <c r="I451" s="53">
        <v>45695</v>
      </c>
      <c r="J451" s="108">
        <v>2040</v>
      </c>
      <c r="K451" s="101"/>
      <c r="L451" s="101"/>
      <c r="M451" s="101">
        <f t="shared" si="206"/>
        <v>2040</v>
      </c>
      <c r="N451" s="54">
        <f t="shared" si="207"/>
        <v>2040</v>
      </c>
      <c r="O451" s="101" t="s">
        <v>178</v>
      </c>
      <c r="P451" s="102">
        <f t="shared" si="208"/>
        <v>2.8333333333333335</v>
      </c>
      <c r="Q451" s="102">
        <v>6</v>
      </c>
      <c r="R451" s="99">
        <v>120</v>
      </c>
      <c r="S451" s="55">
        <f t="shared" si="238"/>
        <v>45663</v>
      </c>
      <c r="T451" s="55"/>
      <c r="U451" s="56">
        <f t="shared" ca="1" si="236"/>
        <v>-177</v>
      </c>
      <c r="V451" s="55">
        <f t="shared" si="235"/>
        <v>45679</v>
      </c>
      <c r="W451" s="55"/>
      <c r="X451" s="56">
        <f t="shared" ca="1" si="237"/>
        <v>-161</v>
      </c>
      <c r="Y451" s="55"/>
      <c r="Z451" s="57"/>
      <c r="AA451" s="58" t="str">
        <f t="shared" si="209"/>
        <v>-</v>
      </c>
      <c r="AB451" s="59"/>
      <c r="AC451" s="58" t="str">
        <f t="shared" si="210"/>
        <v/>
      </c>
      <c r="AD451" s="59"/>
      <c r="AE451" s="58" t="str">
        <f t="shared" si="211"/>
        <v/>
      </c>
      <c r="AF451" s="59"/>
      <c r="AG451" s="58" t="str">
        <f t="shared" si="212"/>
        <v/>
      </c>
      <c r="AH451" s="59"/>
      <c r="AI451" s="58" t="str">
        <f t="shared" si="213"/>
        <v/>
      </c>
      <c r="AJ451" s="59"/>
      <c r="AK451" s="58" t="str">
        <f t="shared" si="214"/>
        <v/>
      </c>
      <c r="AL451" s="59"/>
      <c r="AM451" s="58" t="str">
        <f t="shared" si="215"/>
        <v/>
      </c>
      <c r="AN451" s="59"/>
      <c r="AO451" s="58" t="str">
        <f t="shared" si="216"/>
        <v/>
      </c>
      <c r="AP451" s="59"/>
      <c r="AQ451" s="58" t="str">
        <f t="shared" si="217"/>
        <v/>
      </c>
      <c r="AR451" s="59"/>
      <c r="AS451" s="58" t="str">
        <f t="shared" si="218"/>
        <v/>
      </c>
      <c r="AT451" s="59"/>
      <c r="AU451" s="58" t="str">
        <f t="shared" si="219"/>
        <v/>
      </c>
      <c r="AV451" s="59"/>
      <c r="AW451" s="58" t="str">
        <f t="shared" si="220"/>
        <v/>
      </c>
      <c r="AX451" s="59"/>
      <c r="AY451" s="58" t="str">
        <f t="shared" si="221"/>
        <v/>
      </c>
      <c r="AZ451" s="59"/>
      <c r="BA451" s="58">
        <f t="shared" si="222"/>
        <v>2040</v>
      </c>
      <c r="BB451" s="59"/>
      <c r="BC451" s="58" t="str">
        <f t="shared" si="223"/>
        <v/>
      </c>
      <c r="BD451" s="59"/>
      <c r="BE451" s="58" t="str">
        <f t="shared" si="224"/>
        <v/>
      </c>
      <c r="BF451" s="59"/>
      <c r="BG451" s="58" t="str">
        <f t="shared" si="225"/>
        <v/>
      </c>
      <c r="BH451" s="59"/>
      <c r="BI451" s="58" t="str">
        <f t="shared" si="226"/>
        <v/>
      </c>
      <c r="BJ451" s="59"/>
      <c r="BK451" s="58" t="str">
        <f t="shared" si="227"/>
        <v/>
      </c>
      <c r="BL451" s="59"/>
      <c r="BM451" s="58" t="str">
        <f t="shared" si="228"/>
        <v/>
      </c>
      <c r="BN451" s="59"/>
      <c r="BO451" s="58" t="str">
        <f t="shared" si="229"/>
        <v/>
      </c>
      <c r="BP451" s="59"/>
      <c r="BQ451" s="58" t="str">
        <f t="shared" si="230"/>
        <v/>
      </c>
      <c r="BR451" s="59"/>
      <c r="BS451" s="58" t="str">
        <f t="shared" si="231"/>
        <v/>
      </c>
      <c r="BT451" s="59"/>
      <c r="BU451" s="58" t="str">
        <f t="shared" si="232"/>
        <v/>
      </c>
      <c r="BV451" s="59"/>
    </row>
    <row r="452" spans="1:74" ht="14.5">
      <c r="A452" s="51" t="s">
        <v>58</v>
      </c>
      <c r="B452" s="52">
        <v>400</v>
      </c>
      <c r="C452" s="52" t="s">
        <v>188</v>
      </c>
      <c r="D452" s="41">
        <f t="shared" si="205"/>
        <v>6</v>
      </c>
      <c r="E452" s="52" t="s">
        <v>81</v>
      </c>
      <c r="F452" s="52" t="s">
        <v>290</v>
      </c>
      <c r="G452" s="52" t="s">
        <v>291</v>
      </c>
      <c r="H452" s="52" t="s">
        <v>435</v>
      </c>
      <c r="I452" s="53">
        <v>45695</v>
      </c>
      <c r="J452" s="108">
        <v>1584</v>
      </c>
      <c r="K452" s="101"/>
      <c r="L452" s="101"/>
      <c r="M452" s="101">
        <f t="shared" si="206"/>
        <v>1584</v>
      </c>
      <c r="N452" s="54">
        <f t="shared" si="207"/>
        <v>1584</v>
      </c>
      <c r="O452" s="101" t="s">
        <v>436</v>
      </c>
      <c r="P452" s="102">
        <f t="shared" si="208"/>
        <v>0.16666666666666666</v>
      </c>
      <c r="Q452" s="102">
        <v>6</v>
      </c>
      <c r="R452" s="100">
        <v>1584</v>
      </c>
      <c r="S452" s="55">
        <f t="shared" si="238"/>
        <v>45663</v>
      </c>
      <c r="T452" s="55"/>
      <c r="U452" s="56">
        <f t="shared" ca="1" si="236"/>
        <v>-177</v>
      </c>
      <c r="V452" s="55">
        <f t="shared" si="235"/>
        <v>45679</v>
      </c>
      <c r="W452" s="55"/>
      <c r="X452" s="56">
        <f t="shared" ca="1" si="237"/>
        <v>-161</v>
      </c>
      <c r="Y452" s="55"/>
      <c r="Z452" s="57"/>
      <c r="AA452" s="58" t="str">
        <f t="shared" si="209"/>
        <v>-</v>
      </c>
      <c r="AB452" s="59"/>
      <c r="AC452" s="58" t="str">
        <f t="shared" si="210"/>
        <v/>
      </c>
      <c r="AD452" s="59"/>
      <c r="AE452" s="58" t="str">
        <f t="shared" si="211"/>
        <v/>
      </c>
      <c r="AF452" s="59"/>
      <c r="AG452" s="58" t="str">
        <f t="shared" si="212"/>
        <v/>
      </c>
      <c r="AH452" s="59"/>
      <c r="AI452" s="58" t="str">
        <f t="shared" si="213"/>
        <v/>
      </c>
      <c r="AJ452" s="59"/>
      <c r="AK452" s="58" t="str">
        <f t="shared" si="214"/>
        <v/>
      </c>
      <c r="AL452" s="59"/>
      <c r="AM452" s="58" t="str">
        <f t="shared" si="215"/>
        <v/>
      </c>
      <c r="AN452" s="59"/>
      <c r="AO452" s="58" t="str">
        <f t="shared" si="216"/>
        <v/>
      </c>
      <c r="AP452" s="59"/>
      <c r="AQ452" s="58" t="str">
        <f t="shared" si="217"/>
        <v/>
      </c>
      <c r="AR452" s="59"/>
      <c r="AS452" s="58" t="str">
        <f t="shared" si="218"/>
        <v/>
      </c>
      <c r="AT452" s="59"/>
      <c r="AU452" s="58" t="str">
        <f t="shared" si="219"/>
        <v/>
      </c>
      <c r="AV452" s="59"/>
      <c r="AW452" s="58" t="str">
        <f t="shared" si="220"/>
        <v/>
      </c>
      <c r="AX452" s="59"/>
      <c r="AY452" s="58" t="str">
        <f t="shared" si="221"/>
        <v/>
      </c>
      <c r="AZ452" s="59"/>
      <c r="BA452" s="58">
        <f t="shared" si="222"/>
        <v>1584</v>
      </c>
      <c r="BB452" s="59"/>
      <c r="BC452" s="58" t="str">
        <f t="shared" si="223"/>
        <v/>
      </c>
      <c r="BD452" s="59"/>
      <c r="BE452" s="58" t="str">
        <f t="shared" si="224"/>
        <v/>
      </c>
      <c r="BF452" s="59"/>
      <c r="BG452" s="58" t="str">
        <f t="shared" si="225"/>
        <v/>
      </c>
      <c r="BH452" s="59"/>
      <c r="BI452" s="58" t="str">
        <f t="shared" si="226"/>
        <v/>
      </c>
      <c r="BJ452" s="59"/>
      <c r="BK452" s="58" t="str">
        <f t="shared" si="227"/>
        <v/>
      </c>
      <c r="BL452" s="59"/>
      <c r="BM452" s="58" t="str">
        <f t="shared" si="228"/>
        <v/>
      </c>
      <c r="BN452" s="59"/>
      <c r="BO452" s="58" t="str">
        <f t="shared" si="229"/>
        <v/>
      </c>
      <c r="BP452" s="59"/>
      <c r="BQ452" s="58" t="str">
        <f t="shared" si="230"/>
        <v/>
      </c>
      <c r="BR452" s="59"/>
      <c r="BS452" s="58" t="str">
        <f t="shared" si="231"/>
        <v/>
      </c>
      <c r="BT452" s="59"/>
      <c r="BU452" s="58" t="str">
        <f t="shared" si="232"/>
        <v/>
      </c>
      <c r="BV452" s="59"/>
    </row>
    <row r="453" spans="1:74" ht="14.5">
      <c r="A453" s="51" t="s">
        <v>58</v>
      </c>
      <c r="B453" s="52">
        <v>400</v>
      </c>
      <c r="C453" s="52" t="s">
        <v>188</v>
      </c>
      <c r="D453" s="41">
        <f t="shared" si="205"/>
        <v>6</v>
      </c>
      <c r="E453" s="52" t="s">
        <v>81</v>
      </c>
      <c r="F453" s="52" t="s">
        <v>290</v>
      </c>
      <c r="G453" s="52" t="s">
        <v>293</v>
      </c>
      <c r="H453" s="52" t="s">
        <v>435</v>
      </c>
      <c r="I453" s="53">
        <v>45695</v>
      </c>
      <c r="J453" s="108">
        <v>1584</v>
      </c>
      <c r="K453" s="101"/>
      <c r="L453" s="101"/>
      <c r="M453" s="101">
        <f t="shared" si="206"/>
        <v>1584</v>
      </c>
      <c r="N453" s="54">
        <f t="shared" si="207"/>
        <v>1584</v>
      </c>
      <c r="O453" s="101" t="s">
        <v>436</v>
      </c>
      <c r="P453" s="102">
        <f t="shared" si="208"/>
        <v>0.16666666666666666</v>
      </c>
      <c r="Q453" s="102">
        <v>6</v>
      </c>
      <c r="R453" s="100">
        <v>1584</v>
      </c>
      <c r="S453" s="55">
        <f t="shared" si="238"/>
        <v>45663</v>
      </c>
      <c r="T453" s="55"/>
      <c r="U453" s="56">
        <f t="shared" ca="1" si="236"/>
        <v>-177</v>
      </c>
      <c r="V453" s="55">
        <f t="shared" si="235"/>
        <v>45679</v>
      </c>
      <c r="W453" s="55"/>
      <c r="X453" s="56">
        <f t="shared" ca="1" si="237"/>
        <v>-161</v>
      </c>
      <c r="Y453" s="55"/>
      <c r="Z453" s="57"/>
      <c r="AA453" s="58" t="str">
        <f t="shared" si="209"/>
        <v>-</v>
      </c>
      <c r="AB453" s="59"/>
      <c r="AC453" s="58" t="str">
        <f t="shared" si="210"/>
        <v/>
      </c>
      <c r="AD453" s="59"/>
      <c r="AE453" s="58" t="str">
        <f t="shared" si="211"/>
        <v/>
      </c>
      <c r="AF453" s="59"/>
      <c r="AG453" s="58" t="str">
        <f t="shared" si="212"/>
        <v/>
      </c>
      <c r="AH453" s="59"/>
      <c r="AI453" s="58" t="str">
        <f t="shared" si="213"/>
        <v/>
      </c>
      <c r="AJ453" s="59"/>
      <c r="AK453" s="58" t="str">
        <f t="shared" si="214"/>
        <v/>
      </c>
      <c r="AL453" s="59"/>
      <c r="AM453" s="58" t="str">
        <f t="shared" si="215"/>
        <v/>
      </c>
      <c r="AN453" s="59"/>
      <c r="AO453" s="58" t="str">
        <f t="shared" si="216"/>
        <v/>
      </c>
      <c r="AP453" s="59"/>
      <c r="AQ453" s="58" t="str">
        <f t="shared" si="217"/>
        <v/>
      </c>
      <c r="AR453" s="59"/>
      <c r="AS453" s="58" t="str">
        <f t="shared" si="218"/>
        <v/>
      </c>
      <c r="AT453" s="59"/>
      <c r="AU453" s="58" t="str">
        <f t="shared" si="219"/>
        <v/>
      </c>
      <c r="AV453" s="59"/>
      <c r="AW453" s="58" t="str">
        <f t="shared" si="220"/>
        <v/>
      </c>
      <c r="AX453" s="59"/>
      <c r="AY453" s="58" t="str">
        <f t="shared" si="221"/>
        <v/>
      </c>
      <c r="AZ453" s="59"/>
      <c r="BA453" s="58">
        <f t="shared" si="222"/>
        <v>1584</v>
      </c>
      <c r="BB453" s="59"/>
      <c r="BC453" s="58" t="str">
        <f t="shared" si="223"/>
        <v/>
      </c>
      <c r="BD453" s="59"/>
      <c r="BE453" s="58" t="str">
        <f t="shared" si="224"/>
        <v/>
      </c>
      <c r="BF453" s="59"/>
      <c r="BG453" s="58" t="str">
        <f t="shared" si="225"/>
        <v/>
      </c>
      <c r="BH453" s="59"/>
      <c r="BI453" s="58" t="str">
        <f t="shared" si="226"/>
        <v/>
      </c>
      <c r="BJ453" s="59"/>
      <c r="BK453" s="58" t="str">
        <f t="shared" si="227"/>
        <v/>
      </c>
      <c r="BL453" s="59"/>
      <c r="BM453" s="58" t="str">
        <f t="shared" si="228"/>
        <v/>
      </c>
      <c r="BN453" s="59"/>
      <c r="BO453" s="58" t="str">
        <f t="shared" si="229"/>
        <v/>
      </c>
      <c r="BP453" s="59"/>
      <c r="BQ453" s="58" t="str">
        <f t="shared" si="230"/>
        <v/>
      </c>
      <c r="BR453" s="59"/>
      <c r="BS453" s="58" t="str">
        <f t="shared" si="231"/>
        <v/>
      </c>
      <c r="BT453" s="59"/>
      <c r="BU453" s="58" t="str">
        <f t="shared" si="232"/>
        <v/>
      </c>
      <c r="BV453" s="59"/>
    </row>
    <row r="454" spans="1:74" ht="14.5">
      <c r="A454" s="51" t="s">
        <v>58</v>
      </c>
      <c r="B454" s="52">
        <v>400</v>
      </c>
      <c r="C454" s="52" t="s">
        <v>188</v>
      </c>
      <c r="D454" s="41">
        <f t="shared" si="205"/>
        <v>6</v>
      </c>
      <c r="E454" s="52" t="s">
        <v>81</v>
      </c>
      <c r="F454" s="52" t="s">
        <v>290</v>
      </c>
      <c r="G454" s="52" t="s">
        <v>294</v>
      </c>
      <c r="H454" s="52" t="s">
        <v>435</v>
      </c>
      <c r="I454" s="53">
        <v>45695</v>
      </c>
      <c r="J454" s="108">
        <v>1584</v>
      </c>
      <c r="K454" s="101"/>
      <c r="L454" s="101"/>
      <c r="M454" s="101">
        <f t="shared" si="206"/>
        <v>1584</v>
      </c>
      <c r="N454" s="54">
        <f t="shared" si="207"/>
        <v>1584</v>
      </c>
      <c r="O454" s="101" t="s">
        <v>436</v>
      </c>
      <c r="P454" s="102">
        <f t="shared" si="208"/>
        <v>0.16666666666666666</v>
      </c>
      <c r="Q454" s="102">
        <v>6</v>
      </c>
      <c r="R454" s="100">
        <v>1584</v>
      </c>
      <c r="S454" s="55">
        <f t="shared" si="238"/>
        <v>45663</v>
      </c>
      <c r="T454" s="55"/>
      <c r="U454" s="56">
        <f t="shared" ca="1" si="236"/>
        <v>-177</v>
      </c>
      <c r="V454" s="55">
        <f t="shared" si="235"/>
        <v>45679</v>
      </c>
      <c r="W454" s="55"/>
      <c r="X454" s="56">
        <f t="shared" ca="1" si="237"/>
        <v>-161</v>
      </c>
      <c r="Y454" s="55"/>
      <c r="Z454" s="57"/>
      <c r="AA454" s="58" t="str">
        <f t="shared" si="209"/>
        <v>-</v>
      </c>
      <c r="AB454" s="59"/>
      <c r="AC454" s="58" t="str">
        <f t="shared" si="210"/>
        <v/>
      </c>
      <c r="AD454" s="59"/>
      <c r="AE454" s="58" t="str">
        <f t="shared" si="211"/>
        <v/>
      </c>
      <c r="AF454" s="59"/>
      <c r="AG454" s="58" t="str">
        <f t="shared" si="212"/>
        <v/>
      </c>
      <c r="AH454" s="59"/>
      <c r="AI454" s="58" t="str">
        <f t="shared" si="213"/>
        <v/>
      </c>
      <c r="AJ454" s="59"/>
      <c r="AK454" s="58" t="str">
        <f t="shared" si="214"/>
        <v/>
      </c>
      <c r="AL454" s="59"/>
      <c r="AM454" s="58" t="str">
        <f t="shared" si="215"/>
        <v/>
      </c>
      <c r="AN454" s="59"/>
      <c r="AO454" s="58" t="str">
        <f t="shared" si="216"/>
        <v/>
      </c>
      <c r="AP454" s="59"/>
      <c r="AQ454" s="58" t="str">
        <f t="shared" si="217"/>
        <v/>
      </c>
      <c r="AR454" s="59"/>
      <c r="AS454" s="58" t="str">
        <f t="shared" si="218"/>
        <v/>
      </c>
      <c r="AT454" s="59"/>
      <c r="AU454" s="58" t="str">
        <f t="shared" si="219"/>
        <v/>
      </c>
      <c r="AV454" s="59"/>
      <c r="AW454" s="58" t="str">
        <f t="shared" si="220"/>
        <v/>
      </c>
      <c r="AX454" s="59"/>
      <c r="AY454" s="58" t="str">
        <f t="shared" si="221"/>
        <v/>
      </c>
      <c r="AZ454" s="59"/>
      <c r="BA454" s="58">
        <f t="shared" si="222"/>
        <v>1584</v>
      </c>
      <c r="BB454" s="59"/>
      <c r="BC454" s="58" t="str">
        <f t="shared" si="223"/>
        <v/>
      </c>
      <c r="BD454" s="59"/>
      <c r="BE454" s="58" t="str">
        <f t="shared" si="224"/>
        <v/>
      </c>
      <c r="BF454" s="59"/>
      <c r="BG454" s="58" t="str">
        <f t="shared" si="225"/>
        <v/>
      </c>
      <c r="BH454" s="59"/>
      <c r="BI454" s="58" t="str">
        <f t="shared" si="226"/>
        <v/>
      </c>
      <c r="BJ454" s="59"/>
      <c r="BK454" s="58" t="str">
        <f t="shared" si="227"/>
        <v/>
      </c>
      <c r="BL454" s="59"/>
      <c r="BM454" s="58" t="str">
        <f t="shared" si="228"/>
        <v/>
      </c>
      <c r="BN454" s="59"/>
      <c r="BO454" s="58" t="str">
        <f t="shared" si="229"/>
        <v/>
      </c>
      <c r="BP454" s="59"/>
      <c r="BQ454" s="58" t="str">
        <f t="shared" si="230"/>
        <v/>
      </c>
      <c r="BR454" s="59"/>
      <c r="BS454" s="58" t="str">
        <f t="shared" si="231"/>
        <v/>
      </c>
      <c r="BT454" s="59"/>
      <c r="BU454" s="58" t="str">
        <f t="shared" si="232"/>
        <v/>
      </c>
      <c r="BV454" s="59"/>
    </row>
    <row r="455" spans="1:74" ht="14.5">
      <c r="A455" s="51" t="s">
        <v>58</v>
      </c>
      <c r="B455" s="52">
        <v>400</v>
      </c>
      <c r="C455" s="52" t="s">
        <v>188</v>
      </c>
      <c r="D455" s="41">
        <f t="shared" ref="D455:D518" si="239">+WEEKNUM(I455)</f>
        <v>6</v>
      </c>
      <c r="E455" s="52" t="s">
        <v>502</v>
      </c>
      <c r="F455" s="52" t="s">
        <v>289</v>
      </c>
      <c r="G455" s="52" t="s">
        <v>155</v>
      </c>
      <c r="H455" s="52" t="s">
        <v>561</v>
      </c>
      <c r="I455" s="53">
        <v>45695</v>
      </c>
      <c r="J455" s="108">
        <v>2100</v>
      </c>
      <c r="K455" s="101"/>
      <c r="L455" s="101"/>
      <c r="M455" s="101">
        <f t="shared" ref="M455:M518" si="240">+J455-L455</f>
        <v>2100</v>
      </c>
      <c r="N455" s="54">
        <f t="shared" ref="N455:N518" si="241">+J455-K455</f>
        <v>2100</v>
      </c>
      <c r="O455" s="101" t="s">
        <v>506</v>
      </c>
      <c r="P455" s="102">
        <f t="shared" ref="P455:P518" si="242">J455/(R455*Q455)</f>
        <v>10.9375</v>
      </c>
      <c r="Q455" s="102">
        <v>6</v>
      </c>
      <c r="R455" s="99">
        <f>480/15</f>
        <v>32</v>
      </c>
      <c r="S455" s="55">
        <f t="shared" si="238"/>
        <v>45663</v>
      </c>
      <c r="T455" s="55"/>
      <c r="U455" s="56">
        <f t="shared" ca="1" si="236"/>
        <v>-177</v>
      </c>
      <c r="V455" s="55">
        <f t="shared" si="235"/>
        <v>45679</v>
      </c>
      <c r="W455" s="55"/>
      <c r="X455" s="56">
        <f t="shared" ca="1" si="237"/>
        <v>-161</v>
      </c>
      <c r="Y455" s="55"/>
      <c r="Z455" s="57"/>
      <c r="AA455" s="58" t="str">
        <f t="shared" ref="AA455:AA515" si="243">+IF($AA$4=WEEKNUM(S455),J455,"-")</f>
        <v>-</v>
      </c>
      <c r="AB455" s="59"/>
      <c r="AC455" s="58" t="str">
        <f t="shared" ref="AC455:AC515" si="244">+IF($AC$4=WEEKNUM(S455),J455,"")</f>
        <v/>
      </c>
      <c r="AD455" s="59"/>
      <c r="AE455" s="58" t="str">
        <f t="shared" ref="AE455:AE515" si="245">+IF($AE$4=WEEKNUM(S455),J455,"")</f>
        <v/>
      </c>
      <c r="AF455" s="59"/>
      <c r="AG455" s="58" t="str">
        <f t="shared" ref="AG455:AG515" si="246">+IF($AG$4=WEEKNUM(S455),J455,"")</f>
        <v/>
      </c>
      <c r="AH455" s="59"/>
      <c r="AI455" s="58" t="str">
        <f t="shared" ref="AI455:AI515" si="247">+IF($AI$4=WEEKNUM(S455),J455,"")</f>
        <v/>
      </c>
      <c r="AJ455" s="59"/>
      <c r="AK455" s="58" t="str">
        <f t="shared" ref="AK455:AK515" si="248">+IF($AK$4=WEEKNUM(S455),J455,"")</f>
        <v/>
      </c>
      <c r="AL455" s="59"/>
      <c r="AM455" s="58" t="str">
        <f t="shared" ref="AM455:AM515" si="249">+IF($AM$4=WEEKNUM(S455),J455,"")</f>
        <v/>
      </c>
      <c r="AN455" s="59"/>
      <c r="AO455" s="58" t="str">
        <f t="shared" ref="AO455:AO515" si="250">+IF($AO$4=WEEKNUM(S455),J455,"")</f>
        <v/>
      </c>
      <c r="AP455" s="59"/>
      <c r="AQ455" s="58" t="str">
        <f t="shared" ref="AQ455:AQ515" si="251">+IF($AQ$4=WEEKNUM(S455),J455,"")</f>
        <v/>
      </c>
      <c r="AR455" s="59"/>
      <c r="AS455" s="58" t="str">
        <f t="shared" ref="AS455:AS515" si="252">+IF($AS$4=WEEKNUM(S455),J455,"")</f>
        <v/>
      </c>
      <c r="AT455" s="59"/>
      <c r="AU455" s="58" t="str">
        <f t="shared" ref="AU455:AU515" si="253">+IF($AU$4=WEEKNUM(S455),J455,"")</f>
        <v/>
      </c>
      <c r="AV455" s="59"/>
      <c r="AW455" s="58" t="str">
        <f t="shared" ref="AW455:AW515" si="254">+IF($AW$4=WEEKNUM(S455),J455,"")</f>
        <v/>
      </c>
      <c r="AX455" s="59"/>
      <c r="AY455" s="58" t="str">
        <f t="shared" ref="AY455:AY515" si="255">+IF($AY$4=WEEKNUM(S455),J455,"")</f>
        <v/>
      </c>
      <c r="AZ455" s="59"/>
      <c r="BA455" s="58">
        <f t="shared" ref="BA455:BA515" si="256">+IF($BA$4=WEEKNUM(S455),J455,"")</f>
        <v>2100</v>
      </c>
      <c r="BB455" s="59"/>
      <c r="BC455" s="58" t="str">
        <f t="shared" ref="BC455:BC515" si="257">+IF($BC$4=WEEKNUM(S455),J455,"")</f>
        <v/>
      </c>
      <c r="BD455" s="59"/>
      <c r="BE455" s="58" t="str">
        <f t="shared" ref="BE455:BE515" si="258">+IF($BE$4=WEEKNUM(S455),J455,"")</f>
        <v/>
      </c>
      <c r="BF455" s="59"/>
      <c r="BG455" s="58" t="str">
        <f t="shared" ref="BG455:BG515" si="259">+IF($BG$4=WEEKNUM(S455),J455,"")</f>
        <v/>
      </c>
      <c r="BH455" s="59"/>
      <c r="BI455" s="58" t="str">
        <f t="shared" ref="BI455:BI515" si="260">+IF($BI$4=WEEKNUM(S455),J455,"")</f>
        <v/>
      </c>
      <c r="BJ455" s="59"/>
      <c r="BK455" s="58" t="str">
        <f t="shared" ref="BK455:BK515" si="261">+IF($BK$4=WEEKNUM(S455),J455,"")</f>
        <v/>
      </c>
      <c r="BL455" s="59"/>
      <c r="BM455" s="58" t="str">
        <f t="shared" ref="BM455:BM515" si="262">+IF($BM$4=WEEKNUM(S455),J455,"")</f>
        <v/>
      </c>
      <c r="BN455" s="59"/>
      <c r="BO455" s="58" t="str">
        <f t="shared" ref="BO455:BO515" si="263">+IF($BO$4=WEEKNUM(S455),J455,"")</f>
        <v/>
      </c>
      <c r="BP455" s="59"/>
      <c r="BQ455" s="58" t="str">
        <f t="shared" ref="BQ455:BQ515" si="264">+IF($BQ$4=WEEKNUM(S455),J455,"")</f>
        <v/>
      </c>
      <c r="BR455" s="59"/>
      <c r="BS455" s="58" t="str">
        <f t="shared" ref="BS455:BS515" si="265">+IF($BS$4=WEEKNUM(S455),J455,"")</f>
        <v/>
      </c>
      <c r="BT455" s="59"/>
      <c r="BU455" s="58" t="str">
        <f t="shared" ref="BU455:BU515" si="266">+IF($BU$4=WEEKNUM(S455),J455,"")</f>
        <v/>
      </c>
      <c r="BV455" s="59"/>
    </row>
    <row r="456" spans="1:74" ht="14.5">
      <c r="A456" s="51" t="s">
        <v>58</v>
      </c>
      <c r="B456" s="52">
        <v>400</v>
      </c>
      <c r="C456" s="52" t="s">
        <v>188</v>
      </c>
      <c r="D456" s="41">
        <f t="shared" si="239"/>
        <v>6</v>
      </c>
      <c r="E456" s="52" t="s">
        <v>502</v>
      </c>
      <c r="F456" s="52" t="s">
        <v>289</v>
      </c>
      <c r="G456" s="52" t="s">
        <v>154</v>
      </c>
      <c r="H456" s="52" t="s">
        <v>561</v>
      </c>
      <c r="I456" s="53">
        <v>45695</v>
      </c>
      <c r="J456" s="108">
        <v>1750</v>
      </c>
      <c r="K456" s="101"/>
      <c r="L456" s="101"/>
      <c r="M456" s="101">
        <f t="shared" si="240"/>
        <v>1750</v>
      </c>
      <c r="N456" s="54">
        <f t="shared" si="241"/>
        <v>1750</v>
      </c>
      <c r="O456" s="101" t="s">
        <v>506</v>
      </c>
      <c r="P456" s="102">
        <f t="shared" si="242"/>
        <v>9.1145833333333339</v>
      </c>
      <c r="Q456" s="102">
        <v>6</v>
      </c>
      <c r="R456" s="99">
        <f>480/15</f>
        <v>32</v>
      </c>
      <c r="S456" s="55">
        <f t="shared" si="238"/>
        <v>45663</v>
      </c>
      <c r="T456" s="55"/>
      <c r="U456" s="56">
        <f t="shared" ca="1" si="236"/>
        <v>-177</v>
      </c>
      <c r="V456" s="55">
        <f t="shared" si="235"/>
        <v>45679</v>
      </c>
      <c r="W456" s="55"/>
      <c r="X456" s="56">
        <f t="shared" ca="1" si="237"/>
        <v>-161</v>
      </c>
      <c r="Y456" s="55"/>
      <c r="Z456" s="57"/>
      <c r="AA456" s="58" t="str">
        <f t="shared" si="243"/>
        <v>-</v>
      </c>
      <c r="AB456" s="59"/>
      <c r="AC456" s="58" t="str">
        <f t="shared" si="244"/>
        <v/>
      </c>
      <c r="AD456" s="59"/>
      <c r="AE456" s="58" t="str">
        <f t="shared" si="245"/>
        <v/>
      </c>
      <c r="AF456" s="59"/>
      <c r="AG456" s="58" t="str">
        <f t="shared" si="246"/>
        <v/>
      </c>
      <c r="AH456" s="59"/>
      <c r="AI456" s="58" t="str">
        <f t="shared" si="247"/>
        <v/>
      </c>
      <c r="AJ456" s="59"/>
      <c r="AK456" s="58" t="str">
        <f t="shared" si="248"/>
        <v/>
      </c>
      <c r="AL456" s="59"/>
      <c r="AM456" s="58" t="str">
        <f t="shared" si="249"/>
        <v/>
      </c>
      <c r="AN456" s="59"/>
      <c r="AO456" s="58" t="str">
        <f t="shared" si="250"/>
        <v/>
      </c>
      <c r="AP456" s="59"/>
      <c r="AQ456" s="58" t="str">
        <f t="shared" si="251"/>
        <v/>
      </c>
      <c r="AR456" s="59"/>
      <c r="AS456" s="58" t="str">
        <f t="shared" si="252"/>
        <v/>
      </c>
      <c r="AT456" s="59"/>
      <c r="AU456" s="58" t="str">
        <f t="shared" si="253"/>
        <v/>
      </c>
      <c r="AV456" s="59"/>
      <c r="AW456" s="58" t="str">
        <f t="shared" si="254"/>
        <v/>
      </c>
      <c r="AX456" s="59"/>
      <c r="AY456" s="58" t="str">
        <f t="shared" si="255"/>
        <v/>
      </c>
      <c r="AZ456" s="59"/>
      <c r="BA456" s="58">
        <f t="shared" si="256"/>
        <v>1750</v>
      </c>
      <c r="BB456" s="59"/>
      <c r="BC456" s="58" t="str">
        <f t="shared" si="257"/>
        <v/>
      </c>
      <c r="BD456" s="59"/>
      <c r="BE456" s="58" t="str">
        <f t="shared" si="258"/>
        <v/>
      </c>
      <c r="BF456" s="59"/>
      <c r="BG456" s="58" t="str">
        <f t="shared" si="259"/>
        <v/>
      </c>
      <c r="BH456" s="59"/>
      <c r="BI456" s="58" t="str">
        <f t="shared" si="260"/>
        <v/>
      </c>
      <c r="BJ456" s="59"/>
      <c r="BK456" s="58" t="str">
        <f t="shared" si="261"/>
        <v/>
      </c>
      <c r="BL456" s="59"/>
      <c r="BM456" s="58" t="str">
        <f t="shared" si="262"/>
        <v/>
      </c>
      <c r="BN456" s="59"/>
      <c r="BO456" s="58" t="str">
        <f t="shared" si="263"/>
        <v/>
      </c>
      <c r="BP456" s="59"/>
      <c r="BQ456" s="58" t="str">
        <f t="shared" si="264"/>
        <v/>
      </c>
      <c r="BR456" s="59"/>
      <c r="BS456" s="58" t="str">
        <f t="shared" si="265"/>
        <v/>
      </c>
      <c r="BT456" s="59"/>
      <c r="BU456" s="58" t="str">
        <f t="shared" si="266"/>
        <v/>
      </c>
      <c r="BV456" s="59"/>
    </row>
    <row r="457" spans="1:74" ht="14.5">
      <c r="A457" s="51" t="s">
        <v>58</v>
      </c>
      <c r="B457" s="52">
        <v>400</v>
      </c>
      <c r="C457" s="52" t="s">
        <v>188</v>
      </c>
      <c r="D457" s="41">
        <f t="shared" si="239"/>
        <v>6</v>
      </c>
      <c r="E457" s="52" t="s">
        <v>502</v>
      </c>
      <c r="F457" s="52" t="s">
        <v>289</v>
      </c>
      <c r="G457" s="52" t="s">
        <v>156</v>
      </c>
      <c r="H457" s="52" t="s">
        <v>561</v>
      </c>
      <c r="I457" s="53">
        <v>45695</v>
      </c>
      <c r="J457" s="108">
        <v>1400</v>
      </c>
      <c r="K457" s="101"/>
      <c r="L457" s="101"/>
      <c r="M457" s="101">
        <f t="shared" si="240"/>
        <v>1400</v>
      </c>
      <c r="N457" s="54">
        <f t="shared" si="241"/>
        <v>1400</v>
      </c>
      <c r="O457" s="101" t="s">
        <v>506</v>
      </c>
      <c r="P457" s="102">
        <f t="shared" si="242"/>
        <v>7.291666666666667</v>
      </c>
      <c r="Q457" s="102">
        <v>6</v>
      </c>
      <c r="R457" s="99">
        <f>480/15</f>
        <v>32</v>
      </c>
      <c r="S457" s="55">
        <f t="shared" si="238"/>
        <v>45663</v>
      </c>
      <c r="T457" s="55"/>
      <c r="U457" s="56">
        <f t="shared" ca="1" si="236"/>
        <v>-177</v>
      </c>
      <c r="V457" s="55">
        <f t="shared" si="235"/>
        <v>45679</v>
      </c>
      <c r="W457" s="55"/>
      <c r="X457" s="56">
        <f t="shared" ca="1" si="237"/>
        <v>-161</v>
      </c>
      <c r="Y457" s="55"/>
      <c r="Z457" s="57"/>
      <c r="AA457" s="58" t="str">
        <f t="shared" si="243"/>
        <v>-</v>
      </c>
      <c r="AB457" s="59"/>
      <c r="AC457" s="58" t="str">
        <f t="shared" si="244"/>
        <v/>
      </c>
      <c r="AD457" s="59"/>
      <c r="AE457" s="58" t="str">
        <f t="shared" si="245"/>
        <v/>
      </c>
      <c r="AF457" s="59"/>
      <c r="AG457" s="58" t="str">
        <f t="shared" si="246"/>
        <v/>
      </c>
      <c r="AH457" s="59"/>
      <c r="AI457" s="58" t="str">
        <f t="shared" si="247"/>
        <v/>
      </c>
      <c r="AJ457" s="59"/>
      <c r="AK457" s="58" t="str">
        <f t="shared" si="248"/>
        <v/>
      </c>
      <c r="AL457" s="59"/>
      <c r="AM457" s="58" t="str">
        <f t="shared" si="249"/>
        <v/>
      </c>
      <c r="AN457" s="59"/>
      <c r="AO457" s="58" t="str">
        <f t="shared" si="250"/>
        <v/>
      </c>
      <c r="AP457" s="59"/>
      <c r="AQ457" s="58" t="str">
        <f t="shared" si="251"/>
        <v/>
      </c>
      <c r="AR457" s="59"/>
      <c r="AS457" s="58" t="str">
        <f t="shared" si="252"/>
        <v/>
      </c>
      <c r="AT457" s="59"/>
      <c r="AU457" s="58" t="str">
        <f t="shared" si="253"/>
        <v/>
      </c>
      <c r="AV457" s="59"/>
      <c r="AW457" s="58" t="str">
        <f t="shared" si="254"/>
        <v/>
      </c>
      <c r="AX457" s="59"/>
      <c r="AY457" s="58" t="str">
        <f t="shared" si="255"/>
        <v/>
      </c>
      <c r="AZ457" s="59"/>
      <c r="BA457" s="58">
        <f t="shared" si="256"/>
        <v>1400</v>
      </c>
      <c r="BB457" s="59"/>
      <c r="BC457" s="58" t="str">
        <f t="shared" si="257"/>
        <v/>
      </c>
      <c r="BD457" s="59"/>
      <c r="BE457" s="58" t="str">
        <f t="shared" si="258"/>
        <v/>
      </c>
      <c r="BF457" s="59"/>
      <c r="BG457" s="58" t="str">
        <f t="shared" si="259"/>
        <v/>
      </c>
      <c r="BH457" s="59"/>
      <c r="BI457" s="58" t="str">
        <f t="shared" si="260"/>
        <v/>
      </c>
      <c r="BJ457" s="59"/>
      <c r="BK457" s="58" t="str">
        <f t="shared" si="261"/>
        <v/>
      </c>
      <c r="BL457" s="59"/>
      <c r="BM457" s="58" t="str">
        <f t="shared" si="262"/>
        <v/>
      </c>
      <c r="BN457" s="59"/>
      <c r="BO457" s="58" t="str">
        <f t="shared" si="263"/>
        <v/>
      </c>
      <c r="BP457" s="59"/>
      <c r="BQ457" s="58" t="str">
        <f t="shared" si="264"/>
        <v/>
      </c>
      <c r="BR457" s="59"/>
      <c r="BS457" s="58" t="str">
        <f t="shared" si="265"/>
        <v/>
      </c>
      <c r="BT457" s="59"/>
      <c r="BU457" s="58" t="str">
        <f t="shared" si="266"/>
        <v/>
      </c>
      <c r="BV457" s="59"/>
    </row>
    <row r="458" spans="1:74" ht="14.5">
      <c r="A458" s="51" t="s">
        <v>58</v>
      </c>
      <c r="B458" s="52">
        <v>400</v>
      </c>
      <c r="C458" s="52" t="s">
        <v>188</v>
      </c>
      <c r="D458" s="41">
        <f t="shared" si="239"/>
        <v>6</v>
      </c>
      <c r="E458" s="52" t="s">
        <v>157</v>
      </c>
      <c r="F458" s="52" t="s">
        <v>243</v>
      </c>
      <c r="G458" s="52" t="s">
        <v>162</v>
      </c>
      <c r="H458" s="52" t="s">
        <v>428</v>
      </c>
      <c r="I458" s="53">
        <v>45695</v>
      </c>
      <c r="J458" s="108">
        <v>3708</v>
      </c>
      <c r="K458" s="101"/>
      <c r="L458" s="101"/>
      <c r="M458" s="101">
        <f t="shared" si="240"/>
        <v>3708</v>
      </c>
      <c r="N458" s="54">
        <f t="shared" si="241"/>
        <v>3708</v>
      </c>
      <c r="O458" s="101" t="s">
        <v>429</v>
      </c>
      <c r="P458" s="102">
        <f t="shared" si="242"/>
        <v>0.61799999999999999</v>
      </c>
      <c r="Q458" s="102">
        <v>6</v>
      </c>
      <c r="R458" s="99">
        <v>1000</v>
      </c>
      <c r="S458" s="55">
        <f t="shared" si="238"/>
        <v>45663</v>
      </c>
      <c r="T458" s="55"/>
      <c r="U458" s="56">
        <f t="shared" ca="1" si="236"/>
        <v>-177</v>
      </c>
      <c r="V458" s="55">
        <f t="shared" si="235"/>
        <v>45679</v>
      </c>
      <c r="W458" s="55"/>
      <c r="X458" s="56">
        <f t="shared" ca="1" si="237"/>
        <v>-161</v>
      </c>
      <c r="Y458" s="55"/>
      <c r="Z458" s="57"/>
      <c r="AA458" s="58" t="str">
        <f t="shared" si="243"/>
        <v>-</v>
      </c>
      <c r="AB458" s="59"/>
      <c r="AC458" s="58" t="str">
        <f t="shared" si="244"/>
        <v/>
      </c>
      <c r="AD458" s="59"/>
      <c r="AE458" s="58" t="str">
        <f t="shared" si="245"/>
        <v/>
      </c>
      <c r="AF458" s="59"/>
      <c r="AG458" s="58" t="str">
        <f t="shared" si="246"/>
        <v/>
      </c>
      <c r="AH458" s="59"/>
      <c r="AI458" s="58" t="str">
        <f t="shared" si="247"/>
        <v/>
      </c>
      <c r="AJ458" s="59"/>
      <c r="AK458" s="58" t="str">
        <f t="shared" si="248"/>
        <v/>
      </c>
      <c r="AL458" s="59"/>
      <c r="AM458" s="58" t="str">
        <f t="shared" si="249"/>
        <v/>
      </c>
      <c r="AN458" s="59"/>
      <c r="AO458" s="58" t="str">
        <f t="shared" si="250"/>
        <v/>
      </c>
      <c r="AP458" s="59"/>
      <c r="AQ458" s="58" t="str">
        <f t="shared" si="251"/>
        <v/>
      </c>
      <c r="AR458" s="59"/>
      <c r="AS458" s="58" t="str">
        <f t="shared" si="252"/>
        <v/>
      </c>
      <c r="AT458" s="59"/>
      <c r="AU458" s="58" t="str">
        <f t="shared" si="253"/>
        <v/>
      </c>
      <c r="AV458" s="59"/>
      <c r="AW458" s="58" t="str">
        <f t="shared" si="254"/>
        <v/>
      </c>
      <c r="AX458" s="59"/>
      <c r="AY458" s="58" t="str">
        <f t="shared" si="255"/>
        <v/>
      </c>
      <c r="AZ458" s="59"/>
      <c r="BA458" s="58">
        <f t="shared" si="256"/>
        <v>3708</v>
      </c>
      <c r="BB458" s="59"/>
      <c r="BC458" s="58" t="str">
        <f t="shared" si="257"/>
        <v/>
      </c>
      <c r="BD458" s="59"/>
      <c r="BE458" s="58" t="str">
        <f t="shared" si="258"/>
        <v/>
      </c>
      <c r="BF458" s="59"/>
      <c r="BG458" s="58" t="str">
        <f t="shared" si="259"/>
        <v/>
      </c>
      <c r="BH458" s="59"/>
      <c r="BI458" s="58" t="str">
        <f t="shared" si="260"/>
        <v/>
      </c>
      <c r="BJ458" s="59"/>
      <c r="BK458" s="58" t="str">
        <f t="shared" si="261"/>
        <v/>
      </c>
      <c r="BL458" s="59"/>
      <c r="BM458" s="58" t="str">
        <f t="shared" si="262"/>
        <v/>
      </c>
      <c r="BN458" s="59"/>
      <c r="BO458" s="58" t="str">
        <f t="shared" si="263"/>
        <v/>
      </c>
      <c r="BP458" s="59"/>
      <c r="BQ458" s="58" t="str">
        <f t="shared" si="264"/>
        <v/>
      </c>
      <c r="BR458" s="59"/>
      <c r="BS458" s="58" t="str">
        <f t="shared" si="265"/>
        <v/>
      </c>
      <c r="BT458" s="59"/>
      <c r="BU458" s="58" t="str">
        <f t="shared" si="266"/>
        <v/>
      </c>
      <c r="BV458" s="59"/>
    </row>
    <row r="459" spans="1:74" ht="14.5">
      <c r="A459" s="51" t="s">
        <v>58</v>
      </c>
      <c r="B459" s="52">
        <v>400</v>
      </c>
      <c r="C459" s="52" t="s">
        <v>188</v>
      </c>
      <c r="D459" s="41">
        <f t="shared" si="239"/>
        <v>6</v>
      </c>
      <c r="E459" s="52" t="s">
        <v>158</v>
      </c>
      <c r="F459" s="52" t="s">
        <v>242</v>
      </c>
      <c r="G459" s="52" t="s">
        <v>155</v>
      </c>
      <c r="H459" s="52" t="s">
        <v>432</v>
      </c>
      <c r="I459" s="53">
        <v>45695</v>
      </c>
      <c r="J459" s="108">
        <v>1336</v>
      </c>
      <c r="K459" s="101"/>
      <c r="L459" s="101"/>
      <c r="M459" s="101">
        <f t="shared" si="240"/>
        <v>1336</v>
      </c>
      <c r="N459" s="54">
        <f t="shared" si="241"/>
        <v>1336</v>
      </c>
      <c r="O459" s="101" t="s">
        <v>437</v>
      </c>
      <c r="P459" s="102">
        <f t="shared" si="242"/>
        <v>1.8555555555555556</v>
      </c>
      <c r="Q459" s="102">
        <v>6</v>
      </c>
      <c r="R459" s="99">
        <v>120</v>
      </c>
      <c r="S459" s="55">
        <f t="shared" si="238"/>
        <v>45663</v>
      </c>
      <c r="T459" s="55"/>
      <c r="U459" s="56">
        <f t="shared" ca="1" si="236"/>
        <v>-177</v>
      </c>
      <c r="V459" s="55">
        <f t="shared" si="235"/>
        <v>45679</v>
      </c>
      <c r="W459" s="55"/>
      <c r="X459" s="56">
        <f t="shared" ca="1" si="237"/>
        <v>-161</v>
      </c>
      <c r="Y459" s="55"/>
      <c r="Z459" s="57"/>
      <c r="AA459" s="58" t="str">
        <f t="shared" si="243"/>
        <v>-</v>
      </c>
      <c r="AB459" s="59"/>
      <c r="AC459" s="58" t="str">
        <f t="shared" si="244"/>
        <v/>
      </c>
      <c r="AD459" s="59"/>
      <c r="AE459" s="58" t="str">
        <f t="shared" si="245"/>
        <v/>
      </c>
      <c r="AF459" s="59"/>
      <c r="AG459" s="58" t="str">
        <f t="shared" si="246"/>
        <v/>
      </c>
      <c r="AH459" s="59"/>
      <c r="AI459" s="58" t="str">
        <f t="shared" si="247"/>
        <v/>
      </c>
      <c r="AJ459" s="59"/>
      <c r="AK459" s="58" t="str">
        <f t="shared" si="248"/>
        <v/>
      </c>
      <c r="AL459" s="59"/>
      <c r="AM459" s="58" t="str">
        <f t="shared" si="249"/>
        <v/>
      </c>
      <c r="AN459" s="59"/>
      <c r="AO459" s="58" t="str">
        <f t="shared" si="250"/>
        <v/>
      </c>
      <c r="AP459" s="59"/>
      <c r="AQ459" s="58" t="str">
        <f t="shared" si="251"/>
        <v/>
      </c>
      <c r="AR459" s="59"/>
      <c r="AS459" s="58" t="str">
        <f t="shared" si="252"/>
        <v/>
      </c>
      <c r="AT459" s="59"/>
      <c r="AU459" s="58" t="str">
        <f t="shared" si="253"/>
        <v/>
      </c>
      <c r="AV459" s="59"/>
      <c r="AW459" s="58" t="str">
        <f t="shared" si="254"/>
        <v/>
      </c>
      <c r="AX459" s="59"/>
      <c r="AY459" s="58" t="str">
        <f t="shared" si="255"/>
        <v/>
      </c>
      <c r="AZ459" s="59"/>
      <c r="BA459" s="58">
        <f t="shared" si="256"/>
        <v>1336</v>
      </c>
      <c r="BB459" s="59"/>
      <c r="BC459" s="58" t="str">
        <f t="shared" si="257"/>
        <v/>
      </c>
      <c r="BD459" s="59"/>
      <c r="BE459" s="58" t="str">
        <f t="shared" si="258"/>
        <v/>
      </c>
      <c r="BF459" s="59"/>
      <c r="BG459" s="58" t="str">
        <f t="shared" si="259"/>
        <v/>
      </c>
      <c r="BH459" s="59"/>
      <c r="BI459" s="58" t="str">
        <f t="shared" si="260"/>
        <v/>
      </c>
      <c r="BJ459" s="59"/>
      <c r="BK459" s="58" t="str">
        <f t="shared" si="261"/>
        <v/>
      </c>
      <c r="BL459" s="59"/>
      <c r="BM459" s="58" t="str">
        <f t="shared" si="262"/>
        <v/>
      </c>
      <c r="BN459" s="59"/>
      <c r="BO459" s="58" t="str">
        <f t="shared" si="263"/>
        <v/>
      </c>
      <c r="BP459" s="59"/>
      <c r="BQ459" s="58" t="str">
        <f t="shared" si="264"/>
        <v/>
      </c>
      <c r="BR459" s="59"/>
      <c r="BS459" s="58" t="str">
        <f t="shared" si="265"/>
        <v/>
      </c>
      <c r="BT459" s="59"/>
      <c r="BU459" s="58" t="str">
        <f t="shared" si="266"/>
        <v/>
      </c>
      <c r="BV459" s="59"/>
    </row>
    <row r="460" spans="1:74" ht="14.5">
      <c r="A460" s="51" t="s">
        <v>58</v>
      </c>
      <c r="B460" s="52">
        <v>400</v>
      </c>
      <c r="C460" s="52" t="s">
        <v>188</v>
      </c>
      <c r="D460" s="41">
        <f t="shared" si="239"/>
        <v>6</v>
      </c>
      <c r="E460" s="52" t="s">
        <v>391</v>
      </c>
      <c r="F460" s="52" t="s">
        <v>392</v>
      </c>
      <c r="G460" s="52" t="s">
        <v>393</v>
      </c>
      <c r="H460" s="52" t="s">
        <v>433</v>
      </c>
      <c r="I460" s="53">
        <v>45695</v>
      </c>
      <c r="J460" s="108">
        <v>438</v>
      </c>
      <c r="K460" s="101"/>
      <c r="L460" s="101"/>
      <c r="M460" s="101">
        <f t="shared" si="240"/>
        <v>438</v>
      </c>
      <c r="N460" s="54">
        <f t="shared" si="241"/>
        <v>438</v>
      </c>
      <c r="O460" s="101" t="s">
        <v>443</v>
      </c>
      <c r="P460" s="102">
        <f t="shared" si="242"/>
        <v>0.91249999999999998</v>
      </c>
      <c r="Q460" s="102">
        <v>6</v>
      </c>
      <c r="R460" s="99">
        <v>80</v>
      </c>
      <c r="S460" s="55">
        <f t="shared" si="238"/>
        <v>45663</v>
      </c>
      <c r="T460" s="55"/>
      <c r="U460" s="56">
        <f t="shared" ca="1" si="236"/>
        <v>-177</v>
      </c>
      <c r="V460" s="55">
        <f t="shared" si="235"/>
        <v>45679</v>
      </c>
      <c r="W460" s="55"/>
      <c r="X460" s="56">
        <f t="shared" ca="1" si="237"/>
        <v>-161</v>
      </c>
      <c r="Y460" s="55"/>
      <c r="Z460" s="57"/>
      <c r="AA460" s="58" t="str">
        <f t="shared" si="243"/>
        <v>-</v>
      </c>
      <c r="AB460" s="59"/>
      <c r="AC460" s="58" t="str">
        <f t="shared" si="244"/>
        <v/>
      </c>
      <c r="AD460" s="59"/>
      <c r="AE460" s="58" t="str">
        <f t="shared" si="245"/>
        <v/>
      </c>
      <c r="AF460" s="59"/>
      <c r="AG460" s="58" t="str">
        <f t="shared" si="246"/>
        <v/>
      </c>
      <c r="AH460" s="59"/>
      <c r="AI460" s="58" t="str">
        <f t="shared" si="247"/>
        <v/>
      </c>
      <c r="AJ460" s="59"/>
      <c r="AK460" s="58" t="str">
        <f t="shared" si="248"/>
        <v/>
      </c>
      <c r="AL460" s="59"/>
      <c r="AM460" s="58" t="str">
        <f t="shared" si="249"/>
        <v/>
      </c>
      <c r="AN460" s="59"/>
      <c r="AO460" s="58" t="str">
        <f t="shared" si="250"/>
        <v/>
      </c>
      <c r="AP460" s="59"/>
      <c r="AQ460" s="58" t="str">
        <f t="shared" si="251"/>
        <v/>
      </c>
      <c r="AR460" s="59"/>
      <c r="AS460" s="58" t="str">
        <f t="shared" si="252"/>
        <v/>
      </c>
      <c r="AT460" s="59"/>
      <c r="AU460" s="58" t="str">
        <f t="shared" si="253"/>
        <v/>
      </c>
      <c r="AV460" s="59"/>
      <c r="AW460" s="58" t="str">
        <f t="shared" si="254"/>
        <v/>
      </c>
      <c r="AX460" s="59"/>
      <c r="AY460" s="58" t="str">
        <f t="shared" si="255"/>
        <v/>
      </c>
      <c r="AZ460" s="59"/>
      <c r="BA460" s="58">
        <f t="shared" si="256"/>
        <v>438</v>
      </c>
      <c r="BB460" s="59"/>
      <c r="BC460" s="58" t="str">
        <f t="shared" si="257"/>
        <v/>
      </c>
      <c r="BD460" s="59"/>
      <c r="BE460" s="58" t="str">
        <f t="shared" si="258"/>
        <v/>
      </c>
      <c r="BF460" s="59"/>
      <c r="BG460" s="58" t="str">
        <f t="shared" si="259"/>
        <v/>
      </c>
      <c r="BH460" s="59"/>
      <c r="BI460" s="58" t="str">
        <f t="shared" si="260"/>
        <v/>
      </c>
      <c r="BJ460" s="59"/>
      <c r="BK460" s="58" t="str">
        <f t="shared" si="261"/>
        <v/>
      </c>
      <c r="BL460" s="59"/>
      <c r="BM460" s="58" t="str">
        <f t="shared" si="262"/>
        <v/>
      </c>
      <c r="BN460" s="59"/>
      <c r="BO460" s="58" t="str">
        <f t="shared" si="263"/>
        <v/>
      </c>
      <c r="BP460" s="59"/>
      <c r="BQ460" s="58" t="str">
        <f t="shared" si="264"/>
        <v/>
      </c>
      <c r="BR460" s="59"/>
      <c r="BS460" s="58" t="str">
        <f t="shared" si="265"/>
        <v/>
      </c>
      <c r="BT460" s="59"/>
      <c r="BU460" s="58" t="str">
        <f t="shared" si="266"/>
        <v/>
      </c>
      <c r="BV460" s="59"/>
    </row>
    <row r="461" spans="1:74" ht="14.5">
      <c r="A461" s="51" t="s">
        <v>58</v>
      </c>
      <c r="B461" s="52">
        <v>401</v>
      </c>
      <c r="C461" s="52" t="s">
        <v>188</v>
      </c>
      <c r="D461" s="41">
        <f t="shared" si="239"/>
        <v>6</v>
      </c>
      <c r="E461" s="52" t="s">
        <v>245</v>
      </c>
      <c r="F461" s="52" t="s">
        <v>562</v>
      </c>
      <c r="G461" s="52" t="s">
        <v>244</v>
      </c>
      <c r="H461" s="52" t="s">
        <v>432</v>
      </c>
      <c r="I461" s="53">
        <v>45695</v>
      </c>
      <c r="J461" s="108">
        <v>1344</v>
      </c>
      <c r="K461" s="101"/>
      <c r="L461" s="101"/>
      <c r="M461" s="101">
        <f t="shared" si="240"/>
        <v>1344</v>
      </c>
      <c r="N461" s="54">
        <f t="shared" si="241"/>
        <v>1344</v>
      </c>
      <c r="O461" s="101" t="s">
        <v>431</v>
      </c>
      <c r="P461" s="102">
        <f t="shared" si="242"/>
        <v>1.8666666666666667</v>
      </c>
      <c r="Q461" s="102">
        <v>6</v>
      </c>
      <c r="R461" s="99">
        <v>120</v>
      </c>
      <c r="S461" s="55">
        <f t="shared" si="238"/>
        <v>45663</v>
      </c>
      <c r="T461" s="55"/>
      <c r="U461" s="56">
        <f t="shared" ca="1" si="236"/>
        <v>-177</v>
      </c>
      <c r="V461" s="55">
        <f t="shared" si="235"/>
        <v>45679</v>
      </c>
      <c r="W461" s="55"/>
      <c r="X461" s="56">
        <f t="shared" ca="1" si="237"/>
        <v>-161</v>
      </c>
      <c r="Y461" s="55"/>
      <c r="Z461" s="57"/>
      <c r="AA461" s="58" t="str">
        <f t="shared" si="243"/>
        <v>-</v>
      </c>
      <c r="AB461" s="59"/>
      <c r="AC461" s="58" t="str">
        <f t="shared" si="244"/>
        <v/>
      </c>
      <c r="AD461" s="59"/>
      <c r="AE461" s="58" t="str">
        <f t="shared" si="245"/>
        <v/>
      </c>
      <c r="AF461" s="59"/>
      <c r="AG461" s="58" t="str">
        <f t="shared" si="246"/>
        <v/>
      </c>
      <c r="AH461" s="59"/>
      <c r="AI461" s="58" t="str">
        <f t="shared" si="247"/>
        <v/>
      </c>
      <c r="AJ461" s="59"/>
      <c r="AK461" s="58" t="str">
        <f t="shared" si="248"/>
        <v/>
      </c>
      <c r="AL461" s="59"/>
      <c r="AM461" s="58" t="str">
        <f t="shared" si="249"/>
        <v/>
      </c>
      <c r="AN461" s="59"/>
      <c r="AO461" s="58" t="str">
        <f t="shared" si="250"/>
        <v/>
      </c>
      <c r="AP461" s="59"/>
      <c r="AQ461" s="58" t="str">
        <f t="shared" si="251"/>
        <v/>
      </c>
      <c r="AR461" s="59"/>
      <c r="AS461" s="58" t="str">
        <f t="shared" si="252"/>
        <v/>
      </c>
      <c r="AT461" s="59"/>
      <c r="AU461" s="58" t="str">
        <f t="shared" si="253"/>
        <v/>
      </c>
      <c r="AV461" s="59"/>
      <c r="AW461" s="58" t="str">
        <f t="shared" si="254"/>
        <v/>
      </c>
      <c r="AX461" s="59"/>
      <c r="AY461" s="58" t="str">
        <f t="shared" si="255"/>
        <v/>
      </c>
      <c r="AZ461" s="59"/>
      <c r="BA461" s="58">
        <f t="shared" si="256"/>
        <v>1344</v>
      </c>
      <c r="BB461" s="59"/>
      <c r="BC461" s="58" t="str">
        <f t="shared" si="257"/>
        <v/>
      </c>
      <c r="BD461" s="59"/>
      <c r="BE461" s="58" t="str">
        <f t="shared" si="258"/>
        <v/>
      </c>
      <c r="BF461" s="59"/>
      <c r="BG461" s="58" t="str">
        <f t="shared" si="259"/>
        <v/>
      </c>
      <c r="BH461" s="59"/>
      <c r="BI461" s="58" t="str">
        <f t="shared" si="260"/>
        <v/>
      </c>
      <c r="BJ461" s="59"/>
      <c r="BK461" s="58" t="str">
        <f t="shared" si="261"/>
        <v/>
      </c>
      <c r="BL461" s="59"/>
      <c r="BM461" s="58" t="str">
        <f t="shared" si="262"/>
        <v/>
      </c>
      <c r="BN461" s="59"/>
      <c r="BO461" s="58" t="str">
        <f t="shared" si="263"/>
        <v/>
      </c>
      <c r="BP461" s="59"/>
      <c r="BQ461" s="58" t="str">
        <f t="shared" si="264"/>
        <v/>
      </c>
      <c r="BR461" s="59"/>
      <c r="BS461" s="58" t="str">
        <f t="shared" si="265"/>
        <v/>
      </c>
      <c r="BT461" s="59"/>
      <c r="BU461" s="58" t="str">
        <f t="shared" si="266"/>
        <v/>
      </c>
      <c r="BV461" s="59"/>
    </row>
    <row r="462" spans="1:74" ht="14.5">
      <c r="A462" s="51" t="s">
        <v>58</v>
      </c>
      <c r="B462" s="52">
        <v>401</v>
      </c>
      <c r="C462" s="52" t="s">
        <v>188</v>
      </c>
      <c r="D462" s="41">
        <f t="shared" si="239"/>
        <v>6</v>
      </c>
      <c r="E462" s="52" t="s">
        <v>189</v>
      </c>
      <c r="F462" s="52" t="s">
        <v>242</v>
      </c>
      <c r="G462" s="52" t="s">
        <v>162</v>
      </c>
      <c r="H462" s="52" t="s">
        <v>432</v>
      </c>
      <c r="I462" s="53">
        <v>45695</v>
      </c>
      <c r="J462" s="108">
        <v>1412</v>
      </c>
      <c r="K462" s="101"/>
      <c r="L462" s="101"/>
      <c r="M462" s="101">
        <f t="shared" si="240"/>
        <v>1412</v>
      </c>
      <c r="N462" s="54">
        <f t="shared" si="241"/>
        <v>1412</v>
      </c>
      <c r="O462" s="101" t="s">
        <v>178</v>
      </c>
      <c r="P462" s="102">
        <f t="shared" si="242"/>
        <v>1.961111111111111</v>
      </c>
      <c r="Q462" s="102">
        <v>6</v>
      </c>
      <c r="R462" s="99">
        <v>120</v>
      </c>
      <c r="S462" s="55">
        <f t="shared" si="238"/>
        <v>45663</v>
      </c>
      <c r="T462" s="55"/>
      <c r="U462" s="56">
        <f t="shared" ca="1" si="236"/>
        <v>-177</v>
      </c>
      <c r="V462" s="55">
        <f t="shared" si="235"/>
        <v>45679</v>
      </c>
      <c r="W462" s="55"/>
      <c r="X462" s="56">
        <f t="shared" ca="1" si="237"/>
        <v>-161</v>
      </c>
      <c r="Y462" s="55"/>
      <c r="Z462" s="57"/>
      <c r="AA462" s="58" t="str">
        <f t="shared" si="243"/>
        <v>-</v>
      </c>
      <c r="AB462" s="59"/>
      <c r="AC462" s="58" t="str">
        <f t="shared" si="244"/>
        <v/>
      </c>
      <c r="AD462" s="59"/>
      <c r="AE462" s="58" t="str">
        <f t="shared" si="245"/>
        <v/>
      </c>
      <c r="AF462" s="59"/>
      <c r="AG462" s="58" t="str">
        <f t="shared" si="246"/>
        <v/>
      </c>
      <c r="AH462" s="59"/>
      <c r="AI462" s="58" t="str">
        <f t="shared" si="247"/>
        <v/>
      </c>
      <c r="AJ462" s="59"/>
      <c r="AK462" s="58" t="str">
        <f t="shared" si="248"/>
        <v/>
      </c>
      <c r="AL462" s="59"/>
      <c r="AM462" s="58" t="str">
        <f t="shared" si="249"/>
        <v/>
      </c>
      <c r="AN462" s="59"/>
      <c r="AO462" s="58" t="str">
        <f t="shared" si="250"/>
        <v/>
      </c>
      <c r="AP462" s="59"/>
      <c r="AQ462" s="58" t="str">
        <f t="shared" si="251"/>
        <v/>
      </c>
      <c r="AR462" s="59"/>
      <c r="AS462" s="58" t="str">
        <f t="shared" si="252"/>
        <v/>
      </c>
      <c r="AT462" s="59"/>
      <c r="AU462" s="58" t="str">
        <f t="shared" si="253"/>
        <v/>
      </c>
      <c r="AV462" s="59"/>
      <c r="AW462" s="58" t="str">
        <f t="shared" si="254"/>
        <v/>
      </c>
      <c r="AX462" s="59"/>
      <c r="AY462" s="58" t="str">
        <f t="shared" si="255"/>
        <v/>
      </c>
      <c r="AZ462" s="59"/>
      <c r="BA462" s="58">
        <f t="shared" si="256"/>
        <v>1412</v>
      </c>
      <c r="BB462" s="59"/>
      <c r="BC462" s="58" t="str">
        <f t="shared" si="257"/>
        <v/>
      </c>
      <c r="BD462" s="59"/>
      <c r="BE462" s="58" t="str">
        <f t="shared" si="258"/>
        <v/>
      </c>
      <c r="BF462" s="59"/>
      <c r="BG462" s="58" t="str">
        <f t="shared" si="259"/>
        <v/>
      </c>
      <c r="BH462" s="59"/>
      <c r="BI462" s="58" t="str">
        <f t="shared" si="260"/>
        <v/>
      </c>
      <c r="BJ462" s="59"/>
      <c r="BK462" s="58" t="str">
        <f t="shared" si="261"/>
        <v/>
      </c>
      <c r="BL462" s="59"/>
      <c r="BM462" s="58" t="str">
        <f t="shared" si="262"/>
        <v/>
      </c>
      <c r="BN462" s="59"/>
      <c r="BO462" s="58" t="str">
        <f t="shared" si="263"/>
        <v/>
      </c>
      <c r="BP462" s="59"/>
      <c r="BQ462" s="58" t="str">
        <f t="shared" si="264"/>
        <v/>
      </c>
      <c r="BR462" s="59"/>
      <c r="BS462" s="58" t="str">
        <f t="shared" si="265"/>
        <v/>
      </c>
      <c r="BT462" s="59"/>
      <c r="BU462" s="58" t="str">
        <f t="shared" si="266"/>
        <v/>
      </c>
      <c r="BV462" s="59"/>
    </row>
    <row r="463" spans="1:74" ht="14.5">
      <c r="A463" s="51" t="s">
        <v>58</v>
      </c>
      <c r="B463" s="52">
        <v>401</v>
      </c>
      <c r="C463" s="52" t="s">
        <v>188</v>
      </c>
      <c r="D463" s="41">
        <f t="shared" si="239"/>
        <v>6</v>
      </c>
      <c r="E463" s="52" t="s">
        <v>190</v>
      </c>
      <c r="F463" s="52" t="s">
        <v>562</v>
      </c>
      <c r="G463" s="52" t="s">
        <v>244</v>
      </c>
      <c r="H463" s="52" t="s">
        <v>438</v>
      </c>
      <c r="I463" s="53">
        <v>45695</v>
      </c>
      <c r="J463" s="108">
        <v>1040</v>
      </c>
      <c r="K463" s="101"/>
      <c r="L463" s="101"/>
      <c r="M463" s="101">
        <f t="shared" si="240"/>
        <v>1040</v>
      </c>
      <c r="N463" s="54">
        <f t="shared" si="241"/>
        <v>1040</v>
      </c>
      <c r="O463" s="101" t="s">
        <v>431</v>
      </c>
      <c r="P463" s="102">
        <f t="shared" si="242"/>
        <v>1.4444444444444444</v>
      </c>
      <c r="Q463" s="102">
        <v>6</v>
      </c>
      <c r="R463" s="99">
        <v>120</v>
      </c>
      <c r="S463" s="55">
        <f t="shared" si="238"/>
        <v>45663</v>
      </c>
      <c r="T463" s="55"/>
      <c r="U463" s="56">
        <f t="shared" ca="1" si="236"/>
        <v>-177</v>
      </c>
      <c r="V463" s="55">
        <f t="shared" si="235"/>
        <v>45679</v>
      </c>
      <c r="W463" s="55"/>
      <c r="X463" s="56">
        <f t="shared" ca="1" si="237"/>
        <v>-161</v>
      </c>
      <c r="Y463" s="55"/>
      <c r="Z463" s="57"/>
      <c r="AA463" s="58" t="str">
        <f t="shared" si="243"/>
        <v>-</v>
      </c>
      <c r="AB463" s="59"/>
      <c r="AC463" s="58" t="str">
        <f t="shared" si="244"/>
        <v/>
      </c>
      <c r="AD463" s="59"/>
      <c r="AE463" s="58" t="str">
        <f t="shared" si="245"/>
        <v/>
      </c>
      <c r="AF463" s="59"/>
      <c r="AG463" s="58" t="str">
        <f t="shared" si="246"/>
        <v/>
      </c>
      <c r="AH463" s="59"/>
      <c r="AI463" s="58" t="str">
        <f t="shared" si="247"/>
        <v/>
      </c>
      <c r="AJ463" s="59"/>
      <c r="AK463" s="58" t="str">
        <f t="shared" si="248"/>
        <v/>
      </c>
      <c r="AL463" s="59"/>
      <c r="AM463" s="58" t="str">
        <f t="shared" si="249"/>
        <v/>
      </c>
      <c r="AN463" s="59"/>
      <c r="AO463" s="58" t="str">
        <f t="shared" si="250"/>
        <v/>
      </c>
      <c r="AP463" s="59"/>
      <c r="AQ463" s="58" t="str">
        <f t="shared" si="251"/>
        <v/>
      </c>
      <c r="AR463" s="59"/>
      <c r="AS463" s="58" t="str">
        <f t="shared" si="252"/>
        <v/>
      </c>
      <c r="AT463" s="59"/>
      <c r="AU463" s="58" t="str">
        <f t="shared" si="253"/>
        <v/>
      </c>
      <c r="AV463" s="59"/>
      <c r="AW463" s="58" t="str">
        <f t="shared" si="254"/>
        <v/>
      </c>
      <c r="AX463" s="59"/>
      <c r="AY463" s="58" t="str">
        <f t="shared" si="255"/>
        <v/>
      </c>
      <c r="AZ463" s="59"/>
      <c r="BA463" s="58">
        <f t="shared" si="256"/>
        <v>1040</v>
      </c>
      <c r="BB463" s="59"/>
      <c r="BC463" s="58" t="str">
        <f t="shared" si="257"/>
        <v/>
      </c>
      <c r="BD463" s="59"/>
      <c r="BE463" s="58" t="str">
        <f t="shared" si="258"/>
        <v/>
      </c>
      <c r="BF463" s="59"/>
      <c r="BG463" s="58" t="str">
        <f t="shared" si="259"/>
        <v/>
      </c>
      <c r="BH463" s="59"/>
      <c r="BI463" s="58" t="str">
        <f t="shared" si="260"/>
        <v/>
      </c>
      <c r="BJ463" s="59"/>
      <c r="BK463" s="58" t="str">
        <f t="shared" si="261"/>
        <v/>
      </c>
      <c r="BL463" s="59"/>
      <c r="BM463" s="58" t="str">
        <f t="shared" si="262"/>
        <v/>
      </c>
      <c r="BN463" s="59"/>
      <c r="BO463" s="58" t="str">
        <f t="shared" si="263"/>
        <v/>
      </c>
      <c r="BP463" s="59"/>
      <c r="BQ463" s="58" t="str">
        <f t="shared" si="264"/>
        <v/>
      </c>
      <c r="BR463" s="59"/>
      <c r="BS463" s="58" t="str">
        <f t="shared" si="265"/>
        <v/>
      </c>
      <c r="BT463" s="59"/>
      <c r="BU463" s="58" t="str">
        <f t="shared" si="266"/>
        <v/>
      </c>
      <c r="BV463" s="59"/>
    </row>
    <row r="464" spans="1:74" ht="14.5">
      <c r="A464" s="51" t="s">
        <v>58</v>
      </c>
      <c r="B464" s="52">
        <v>423</v>
      </c>
      <c r="C464" s="52" t="s">
        <v>188</v>
      </c>
      <c r="D464" s="41">
        <f t="shared" si="239"/>
        <v>6</v>
      </c>
      <c r="E464" s="52" t="s">
        <v>157</v>
      </c>
      <c r="F464" s="52" t="s">
        <v>243</v>
      </c>
      <c r="G464" s="52" t="s">
        <v>155</v>
      </c>
      <c r="H464" s="52" t="s">
        <v>428</v>
      </c>
      <c r="I464" s="53">
        <v>45695</v>
      </c>
      <c r="J464" s="108">
        <v>3834</v>
      </c>
      <c r="K464" s="101"/>
      <c r="L464" s="101"/>
      <c r="M464" s="101">
        <f t="shared" si="240"/>
        <v>3834</v>
      </c>
      <c r="N464" s="54">
        <f t="shared" si="241"/>
        <v>3834</v>
      </c>
      <c r="O464" s="101" t="s">
        <v>429</v>
      </c>
      <c r="P464" s="102">
        <f t="shared" si="242"/>
        <v>0.63900000000000001</v>
      </c>
      <c r="Q464" s="102">
        <v>6</v>
      </c>
      <c r="R464" s="99">
        <v>1000</v>
      </c>
      <c r="S464" s="55">
        <f t="shared" si="238"/>
        <v>45663</v>
      </c>
      <c r="T464" s="55"/>
      <c r="U464" s="56">
        <f t="shared" ca="1" si="236"/>
        <v>-177</v>
      </c>
      <c r="V464" s="55">
        <f t="shared" si="235"/>
        <v>45679</v>
      </c>
      <c r="W464" s="55"/>
      <c r="X464" s="56">
        <f t="shared" ca="1" si="237"/>
        <v>-161</v>
      </c>
      <c r="Y464" s="55"/>
      <c r="Z464" s="57"/>
      <c r="AA464" s="58" t="str">
        <f t="shared" si="243"/>
        <v>-</v>
      </c>
      <c r="AB464" s="59"/>
      <c r="AC464" s="58" t="str">
        <f t="shared" si="244"/>
        <v/>
      </c>
      <c r="AD464" s="59"/>
      <c r="AE464" s="58" t="str">
        <f t="shared" si="245"/>
        <v/>
      </c>
      <c r="AF464" s="59"/>
      <c r="AG464" s="58" t="str">
        <f t="shared" si="246"/>
        <v/>
      </c>
      <c r="AH464" s="59"/>
      <c r="AI464" s="58" t="str">
        <f t="shared" si="247"/>
        <v/>
      </c>
      <c r="AJ464" s="59"/>
      <c r="AK464" s="58" t="str">
        <f t="shared" si="248"/>
        <v/>
      </c>
      <c r="AL464" s="59"/>
      <c r="AM464" s="58" t="str">
        <f t="shared" si="249"/>
        <v/>
      </c>
      <c r="AN464" s="59"/>
      <c r="AO464" s="58" t="str">
        <f t="shared" si="250"/>
        <v/>
      </c>
      <c r="AP464" s="59"/>
      <c r="AQ464" s="58" t="str">
        <f t="shared" si="251"/>
        <v/>
      </c>
      <c r="AR464" s="59"/>
      <c r="AS464" s="58" t="str">
        <f t="shared" si="252"/>
        <v/>
      </c>
      <c r="AT464" s="59"/>
      <c r="AU464" s="58" t="str">
        <f t="shared" si="253"/>
        <v/>
      </c>
      <c r="AV464" s="59"/>
      <c r="AW464" s="58" t="str">
        <f t="shared" si="254"/>
        <v/>
      </c>
      <c r="AX464" s="59"/>
      <c r="AY464" s="58" t="str">
        <f t="shared" si="255"/>
        <v/>
      </c>
      <c r="AZ464" s="59"/>
      <c r="BA464" s="58">
        <f t="shared" si="256"/>
        <v>3834</v>
      </c>
      <c r="BB464" s="59"/>
      <c r="BC464" s="58" t="str">
        <f t="shared" si="257"/>
        <v/>
      </c>
      <c r="BD464" s="59"/>
      <c r="BE464" s="58" t="str">
        <f t="shared" si="258"/>
        <v/>
      </c>
      <c r="BF464" s="59"/>
      <c r="BG464" s="58" t="str">
        <f t="shared" si="259"/>
        <v/>
      </c>
      <c r="BH464" s="59"/>
      <c r="BI464" s="58" t="str">
        <f t="shared" si="260"/>
        <v/>
      </c>
      <c r="BJ464" s="59"/>
      <c r="BK464" s="58" t="str">
        <f t="shared" si="261"/>
        <v/>
      </c>
      <c r="BL464" s="59"/>
      <c r="BM464" s="58" t="str">
        <f t="shared" si="262"/>
        <v/>
      </c>
      <c r="BN464" s="59"/>
      <c r="BO464" s="58" t="str">
        <f t="shared" si="263"/>
        <v/>
      </c>
      <c r="BP464" s="59"/>
      <c r="BQ464" s="58" t="str">
        <f t="shared" si="264"/>
        <v/>
      </c>
      <c r="BR464" s="59"/>
      <c r="BS464" s="58" t="str">
        <f t="shared" si="265"/>
        <v/>
      </c>
      <c r="BT464" s="59"/>
      <c r="BU464" s="58" t="str">
        <f t="shared" si="266"/>
        <v/>
      </c>
      <c r="BV464" s="59"/>
    </row>
    <row r="465" spans="1:74" ht="14.5">
      <c r="A465" s="51" t="s">
        <v>58</v>
      </c>
      <c r="B465" s="52">
        <v>423</v>
      </c>
      <c r="C465" s="52" t="s">
        <v>188</v>
      </c>
      <c r="D465" s="41">
        <f t="shared" si="239"/>
        <v>6</v>
      </c>
      <c r="E465" s="52" t="s">
        <v>391</v>
      </c>
      <c r="F465" s="52" t="s">
        <v>392</v>
      </c>
      <c r="G465" s="52" t="s">
        <v>393</v>
      </c>
      <c r="H465" s="52" t="s">
        <v>433</v>
      </c>
      <c r="I465" s="53">
        <v>45695</v>
      </c>
      <c r="J465" s="108">
        <v>4140</v>
      </c>
      <c r="K465" s="101"/>
      <c r="L465" s="101"/>
      <c r="M465" s="101">
        <f t="shared" si="240"/>
        <v>4140</v>
      </c>
      <c r="N465" s="54">
        <f t="shared" si="241"/>
        <v>4140</v>
      </c>
      <c r="O465" s="101" t="s">
        <v>443</v>
      </c>
      <c r="P465" s="102">
        <f t="shared" si="242"/>
        <v>8.625</v>
      </c>
      <c r="Q465" s="102">
        <v>6</v>
      </c>
      <c r="R465" s="99">
        <v>80</v>
      </c>
      <c r="S465" s="55">
        <f t="shared" si="238"/>
        <v>45663</v>
      </c>
      <c r="T465" s="55"/>
      <c r="U465" s="56">
        <f t="shared" ca="1" si="236"/>
        <v>-177</v>
      </c>
      <c r="V465" s="55">
        <f t="shared" si="235"/>
        <v>45679</v>
      </c>
      <c r="W465" s="55"/>
      <c r="X465" s="56">
        <f t="shared" ca="1" si="237"/>
        <v>-161</v>
      </c>
      <c r="Y465" s="55"/>
      <c r="Z465" s="57"/>
      <c r="AA465" s="58" t="str">
        <f t="shared" si="243"/>
        <v>-</v>
      </c>
      <c r="AB465" s="59"/>
      <c r="AC465" s="58" t="str">
        <f t="shared" si="244"/>
        <v/>
      </c>
      <c r="AD465" s="59"/>
      <c r="AE465" s="58" t="str">
        <f t="shared" si="245"/>
        <v/>
      </c>
      <c r="AF465" s="59"/>
      <c r="AG465" s="58" t="str">
        <f t="shared" si="246"/>
        <v/>
      </c>
      <c r="AH465" s="59"/>
      <c r="AI465" s="58" t="str">
        <f t="shared" si="247"/>
        <v/>
      </c>
      <c r="AJ465" s="59"/>
      <c r="AK465" s="58" t="str">
        <f t="shared" si="248"/>
        <v/>
      </c>
      <c r="AL465" s="59"/>
      <c r="AM465" s="58" t="str">
        <f t="shared" si="249"/>
        <v/>
      </c>
      <c r="AN465" s="59"/>
      <c r="AO465" s="58" t="str">
        <f t="shared" si="250"/>
        <v/>
      </c>
      <c r="AP465" s="59"/>
      <c r="AQ465" s="58" t="str">
        <f t="shared" si="251"/>
        <v/>
      </c>
      <c r="AR465" s="59"/>
      <c r="AS465" s="58" t="str">
        <f t="shared" si="252"/>
        <v/>
      </c>
      <c r="AT465" s="59"/>
      <c r="AU465" s="58" t="str">
        <f t="shared" si="253"/>
        <v/>
      </c>
      <c r="AV465" s="59"/>
      <c r="AW465" s="58" t="str">
        <f t="shared" si="254"/>
        <v/>
      </c>
      <c r="AX465" s="59"/>
      <c r="AY465" s="58" t="str">
        <f t="shared" si="255"/>
        <v/>
      </c>
      <c r="AZ465" s="59"/>
      <c r="BA465" s="58">
        <f t="shared" si="256"/>
        <v>4140</v>
      </c>
      <c r="BB465" s="59"/>
      <c r="BC465" s="58" t="str">
        <f t="shared" si="257"/>
        <v/>
      </c>
      <c r="BD465" s="59"/>
      <c r="BE465" s="58" t="str">
        <f t="shared" si="258"/>
        <v/>
      </c>
      <c r="BF465" s="59"/>
      <c r="BG465" s="58" t="str">
        <f t="shared" si="259"/>
        <v/>
      </c>
      <c r="BH465" s="59"/>
      <c r="BI465" s="58" t="str">
        <f t="shared" si="260"/>
        <v/>
      </c>
      <c r="BJ465" s="59"/>
      <c r="BK465" s="58" t="str">
        <f t="shared" si="261"/>
        <v/>
      </c>
      <c r="BL465" s="59"/>
      <c r="BM465" s="58" t="str">
        <f t="shared" si="262"/>
        <v/>
      </c>
      <c r="BN465" s="59"/>
      <c r="BO465" s="58" t="str">
        <f t="shared" si="263"/>
        <v/>
      </c>
      <c r="BP465" s="59"/>
      <c r="BQ465" s="58" t="str">
        <f t="shared" si="264"/>
        <v/>
      </c>
      <c r="BR465" s="59"/>
      <c r="BS465" s="58" t="str">
        <f t="shared" si="265"/>
        <v/>
      </c>
      <c r="BT465" s="59"/>
      <c r="BU465" s="58" t="str">
        <f t="shared" si="266"/>
        <v/>
      </c>
      <c r="BV465" s="59"/>
    </row>
    <row r="466" spans="1:74" ht="14.5">
      <c r="A466" s="51" t="s">
        <v>58</v>
      </c>
      <c r="B466" s="52">
        <v>424</v>
      </c>
      <c r="C466" s="52" t="s">
        <v>188</v>
      </c>
      <c r="D466" s="41">
        <f t="shared" si="239"/>
        <v>6</v>
      </c>
      <c r="E466" s="52" t="s">
        <v>158</v>
      </c>
      <c r="F466" s="52" t="s">
        <v>242</v>
      </c>
      <c r="G466" s="52" t="s">
        <v>154</v>
      </c>
      <c r="H466" s="52" t="s">
        <v>432</v>
      </c>
      <c r="I466" s="53">
        <v>45695</v>
      </c>
      <c r="J466" s="108">
        <v>1144</v>
      </c>
      <c r="K466" s="101"/>
      <c r="L466" s="101"/>
      <c r="M466" s="101">
        <f t="shared" si="240"/>
        <v>1144</v>
      </c>
      <c r="N466" s="54">
        <f t="shared" si="241"/>
        <v>1144</v>
      </c>
      <c r="O466" s="101" t="s">
        <v>437</v>
      </c>
      <c r="P466" s="102">
        <f t="shared" si="242"/>
        <v>1.5888888888888888</v>
      </c>
      <c r="Q466" s="102">
        <v>6</v>
      </c>
      <c r="R466" s="99">
        <v>120</v>
      </c>
      <c r="S466" s="55">
        <f t="shared" si="238"/>
        <v>45663</v>
      </c>
      <c r="T466" s="55"/>
      <c r="U466" s="56">
        <f t="shared" ca="1" si="236"/>
        <v>-177</v>
      </c>
      <c r="V466" s="55">
        <f t="shared" si="235"/>
        <v>45679</v>
      </c>
      <c r="W466" s="55"/>
      <c r="X466" s="56">
        <f t="shared" ca="1" si="237"/>
        <v>-161</v>
      </c>
      <c r="Y466" s="55"/>
      <c r="Z466" s="57"/>
      <c r="AA466" s="58" t="str">
        <f t="shared" si="243"/>
        <v>-</v>
      </c>
      <c r="AB466" s="59"/>
      <c r="AC466" s="58" t="str">
        <f t="shared" si="244"/>
        <v/>
      </c>
      <c r="AD466" s="59"/>
      <c r="AE466" s="58" t="str">
        <f t="shared" si="245"/>
        <v/>
      </c>
      <c r="AF466" s="59"/>
      <c r="AG466" s="58" t="str">
        <f t="shared" si="246"/>
        <v/>
      </c>
      <c r="AH466" s="59"/>
      <c r="AI466" s="58" t="str">
        <f t="shared" si="247"/>
        <v/>
      </c>
      <c r="AJ466" s="59"/>
      <c r="AK466" s="58" t="str">
        <f t="shared" si="248"/>
        <v/>
      </c>
      <c r="AL466" s="59"/>
      <c r="AM466" s="58" t="str">
        <f t="shared" si="249"/>
        <v/>
      </c>
      <c r="AN466" s="59"/>
      <c r="AO466" s="58" t="str">
        <f t="shared" si="250"/>
        <v/>
      </c>
      <c r="AP466" s="59"/>
      <c r="AQ466" s="58" t="str">
        <f t="shared" si="251"/>
        <v/>
      </c>
      <c r="AR466" s="59"/>
      <c r="AS466" s="58" t="str">
        <f t="shared" si="252"/>
        <v/>
      </c>
      <c r="AT466" s="59"/>
      <c r="AU466" s="58" t="str">
        <f t="shared" si="253"/>
        <v/>
      </c>
      <c r="AV466" s="59"/>
      <c r="AW466" s="58" t="str">
        <f t="shared" si="254"/>
        <v/>
      </c>
      <c r="AX466" s="59"/>
      <c r="AY466" s="58" t="str">
        <f t="shared" si="255"/>
        <v/>
      </c>
      <c r="AZ466" s="59"/>
      <c r="BA466" s="58">
        <f t="shared" si="256"/>
        <v>1144</v>
      </c>
      <c r="BB466" s="59"/>
      <c r="BC466" s="58" t="str">
        <f t="shared" si="257"/>
        <v/>
      </c>
      <c r="BD466" s="59"/>
      <c r="BE466" s="58" t="str">
        <f t="shared" si="258"/>
        <v/>
      </c>
      <c r="BF466" s="59"/>
      <c r="BG466" s="58" t="str">
        <f t="shared" si="259"/>
        <v/>
      </c>
      <c r="BH466" s="59"/>
      <c r="BI466" s="58" t="str">
        <f t="shared" si="260"/>
        <v/>
      </c>
      <c r="BJ466" s="59"/>
      <c r="BK466" s="58" t="str">
        <f t="shared" si="261"/>
        <v/>
      </c>
      <c r="BL466" s="59"/>
      <c r="BM466" s="58" t="str">
        <f t="shared" si="262"/>
        <v/>
      </c>
      <c r="BN466" s="59"/>
      <c r="BO466" s="58" t="str">
        <f t="shared" si="263"/>
        <v/>
      </c>
      <c r="BP466" s="59"/>
      <c r="BQ466" s="58" t="str">
        <f t="shared" si="264"/>
        <v/>
      </c>
      <c r="BR466" s="59"/>
      <c r="BS466" s="58" t="str">
        <f t="shared" si="265"/>
        <v/>
      </c>
      <c r="BT466" s="59"/>
      <c r="BU466" s="58" t="str">
        <f t="shared" si="266"/>
        <v/>
      </c>
      <c r="BV466" s="59"/>
    </row>
    <row r="467" spans="1:74" ht="14.5">
      <c r="A467" s="51" t="s">
        <v>58</v>
      </c>
      <c r="B467" s="52">
        <v>424</v>
      </c>
      <c r="C467" s="52" t="s">
        <v>188</v>
      </c>
      <c r="D467" s="41">
        <f t="shared" si="239"/>
        <v>6</v>
      </c>
      <c r="E467" s="52" t="s">
        <v>158</v>
      </c>
      <c r="F467" s="52" t="s">
        <v>242</v>
      </c>
      <c r="G467" s="52" t="s">
        <v>155</v>
      </c>
      <c r="H467" s="52" t="s">
        <v>432</v>
      </c>
      <c r="I467" s="53">
        <v>45695</v>
      </c>
      <c r="J467" s="108">
        <v>1388</v>
      </c>
      <c r="K467" s="101"/>
      <c r="L467" s="101"/>
      <c r="M467" s="101">
        <f t="shared" si="240"/>
        <v>1388</v>
      </c>
      <c r="N467" s="54">
        <f t="shared" si="241"/>
        <v>1388</v>
      </c>
      <c r="O467" s="101" t="s">
        <v>439</v>
      </c>
      <c r="P467" s="102">
        <f t="shared" si="242"/>
        <v>1.9277777777777778</v>
      </c>
      <c r="Q467" s="102">
        <v>6</v>
      </c>
      <c r="R467" s="99">
        <v>120</v>
      </c>
      <c r="S467" s="55">
        <f t="shared" si="238"/>
        <v>45663</v>
      </c>
      <c r="T467" s="55"/>
      <c r="U467" s="56">
        <f t="shared" ca="1" si="236"/>
        <v>-177</v>
      </c>
      <c r="V467" s="55">
        <f t="shared" si="235"/>
        <v>45679</v>
      </c>
      <c r="W467" s="55"/>
      <c r="X467" s="56">
        <f t="shared" ca="1" si="237"/>
        <v>-161</v>
      </c>
      <c r="Y467" s="55"/>
      <c r="Z467" s="57"/>
      <c r="AA467" s="58" t="str">
        <f t="shared" si="243"/>
        <v>-</v>
      </c>
      <c r="AB467" s="59"/>
      <c r="AC467" s="58" t="str">
        <f t="shared" si="244"/>
        <v/>
      </c>
      <c r="AD467" s="59"/>
      <c r="AE467" s="58" t="str">
        <f t="shared" si="245"/>
        <v/>
      </c>
      <c r="AF467" s="59"/>
      <c r="AG467" s="58" t="str">
        <f t="shared" si="246"/>
        <v/>
      </c>
      <c r="AH467" s="59"/>
      <c r="AI467" s="58" t="str">
        <f t="shared" si="247"/>
        <v/>
      </c>
      <c r="AJ467" s="59"/>
      <c r="AK467" s="58" t="str">
        <f t="shared" si="248"/>
        <v/>
      </c>
      <c r="AL467" s="59"/>
      <c r="AM467" s="58" t="str">
        <f t="shared" si="249"/>
        <v/>
      </c>
      <c r="AN467" s="59"/>
      <c r="AO467" s="58" t="str">
        <f t="shared" si="250"/>
        <v/>
      </c>
      <c r="AP467" s="59"/>
      <c r="AQ467" s="58" t="str">
        <f t="shared" si="251"/>
        <v/>
      </c>
      <c r="AR467" s="59"/>
      <c r="AS467" s="58" t="str">
        <f t="shared" si="252"/>
        <v/>
      </c>
      <c r="AT467" s="59"/>
      <c r="AU467" s="58" t="str">
        <f t="shared" si="253"/>
        <v/>
      </c>
      <c r="AV467" s="59"/>
      <c r="AW467" s="58" t="str">
        <f t="shared" si="254"/>
        <v/>
      </c>
      <c r="AX467" s="59"/>
      <c r="AY467" s="58" t="str">
        <f t="shared" si="255"/>
        <v/>
      </c>
      <c r="AZ467" s="59"/>
      <c r="BA467" s="58">
        <f t="shared" si="256"/>
        <v>1388</v>
      </c>
      <c r="BB467" s="59"/>
      <c r="BC467" s="58" t="str">
        <f t="shared" si="257"/>
        <v/>
      </c>
      <c r="BD467" s="59"/>
      <c r="BE467" s="58" t="str">
        <f t="shared" si="258"/>
        <v/>
      </c>
      <c r="BF467" s="59"/>
      <c r="BG467" s="58" t="str">
        <f t="shared" si="259"/>
        <v/>
      </c>
      <c r="BH467" s="59"/>
      <c r="BI467" s="58" t="str">
        <f t="shared" si="260"/>
        <v/>
      </c>
      <c r="BJ467" s="59"/>
      <c r="BK467" s="58" t="str">
        <f t="shared" si="261"/>
        <v/>
      </c>
      <c r="BL467" s="59"/>
      <c r="BM467" s="58" t="str">
        <f t="shared" si="262"/>
        <v/>
      </c>
      <c r="BN467" s="59"/>
      <c r="BO467" s="58" t="str">
        <f t="shared" si="263"/>
        <v/>
      </c>
      <c r="BP467" s="59"/>
      <c r="BQ467" s="58" t="str">
        <f t="shared" si="264"/>
        <v/>
      </c>
      <c r="BR467" s="59"/>
      <c r="BS467" s="58" t="str">
        <f t="shared" si="265"/>
        <v/>
      </c>
      <c r="BT467" s="59"/>
      <c r="BU467" s="58" t="str">
        <f t="shared" si="266"/>
        <v/>
      </c>
      <c r="BV467" s="59"/>
    </row>
    <row r="468" spans="1:74" ht="14.5">
      <c r="A468" s="51" t="s">
        <v>58</v>
      </c>
      <c r="B468" s="52">
        <v>424</v>
      </c>
      <c r="C468" s="52" t="s">
        <v>188</v>
      </c>
      <c r="D468" s="41">
        <f t="shared" si="239"/>
        <v>6</v>
      </c>
      <c r="E468" s="52" t="s">
        <v>391</v>
      </c>
      <c r="F468" s="52" t="s">
        <v>392</v>
      </c>
      <c r="G468" s="52" t="s">
        <v>393</v>
      </c>
      <c r="H468" s="52" t="s">
        <v>433</v>
      </c>
      <c r="I468" s="53">
        <v>45695</v>
      </c>
      <c r="J468" s="108">
        <v>2328</v>
      </c>
      <c r="K468" s="101"/>
      <c r="L468" s="101"/>
      <c r="M468" s="101">
        <f t="shared" si="240"/>
        <v>2328</v>
      </c>
      <c r="N468" s="54">
        <f t="shared" si="241"/>
        <v>2328</v>
      </c>
      <c r="O468" s="101" t="s">
        <v>443</v>
      </c>
      <c r="P468" s="102">
        <f t="shared" si="242"/>
        <v>4.8499999999999996</v>
      </c>
      <c r="Q468" s="102">
        <v>6</v>
      </c>
      <c r="R468" s="99">
        <v>80</v>
      </c>
      <c r="S468" s="55">
        <f t="shared" si="238"/>
        <v>45663</v>
      </c>
      <c r="T468" s="55"/>
      <c r="U468" s="56">
        <f t="shared" ca="1" si="236"/>
        <v>-177</v>
      </c>
      <c r="V468" s="55">
        <f t="shared" si="235"/>
        <v>45679</v>
      </c>
      <c r="W468" s="55"/>
      <c r="X468" s="56">
        <f t="shared" ca="1" si="237"/>
        <v>-161</v>
      </c>
      <c r="Y468" s="55"/>
      <c r="Z468" s="57"/>
      <c r="AA468" s="58" t="str">
        <f t="shared" si="243"/>
        <v>-</v>
      </c>
      <c r="AB468" s="59"/>
      <c r="AC468" s="58" t="str">
        <f t="shared" si="244"/>
        <v/>
      </c>
      <c r="AD468" s="59"/>
      <c r="AE468" s="58" t="str">
        <f t="shared" si="245"/>
        <v/>
      </c>
      <c r="AF468" s="59"/>
      <c r="AG468" s="58" t="str">
        <f t="shared" si="246"/>
        <v/>
      </c>
      <c r="AH468" s="59"/>
      <c r="AI468" s="58" t="str">
        <f t="shared" si="247"/>
        <v/>
      </c>
      <c r="AJ468" s="59"/>
      <c r="AK468" s="58" t="str">
        <f t="shared" si="248"/>
        <v/>
      </c>
      <c r="AL468" s="59"/>
      <c r="AM468" s="58" t="str">
        <f t="shared" si="249"/>
        <v/>
      </c>
      <c r="AN468" s="59"/>
      <c r="AO468" s="58" t="str">
        <f t="shared" si="250"/>
        <v/>
      </c>
      <c r="AP468" s="59"/>
      <c r="AQ468" s="58" t="str">
        <f t="shared" si="251"/>
        <v/>
      </c>
      <c r="AR468" s="59"/>
      <c r="AS468" s="58" t="str">
        <f t="shared" si="252"/>
        <v/>
      </c>
      <c r="AT468" s="59"/>
      <c r="AU468" s="58" t="str">
        <f t="shared" si="253"/>
        <v/>
      </c>
      <c r="AV468" s="59"/>
      <c r="AW468" s="58" t="str">
        <f t="shared" si="254"/>
        <v/>
      </c>
      <c r="AX468" s="59"/>
      <c r="AY468" s="58" t="str">
        <f t="shared" si="255"/>
        <v/>
      </c>
      <c r="AZ468" s="59"/>
      <c r="BA468" s="58">
        <f t="shared" si="256"/>
        <v>2328</v>
      </c>
      <c r="BB468" s="59"/>
      <c r="BC468" s="58" t="str">
        <f t="shared" si="257"/>
        <v/>
      </c>
      <c r="BD468" s="59"/>
      <c r="BE468" s="58" t="str">
        <f t="shared" si="258"/>
        <v/>
      </c>
      <c r="BF468" s="59"/>
      <c r="BG468" s="58" t="str">
        <f t="shared" si="259"/>
        <v/>
      </c>
      <c r="BH468" s="59"/>
      <c r="BI468" s="58" t="str">
        <f t="shared" si="260"/>
        <v/>
      </c>
      <c r="BJ468" s="59"/>
      <c r="BK468" s="58" t="str">
        <f t="shared" si="261"/>
        <v/>
      </c>
      <c r="BL468" s="59"/>
      <c r="BM468" s="58" t="str">
        <f t="shared" si="262"/>
        <v/>
      </c>
      <c r="BN468" s="59"/>
      <c r="BO468" s="58" t="str">
        <f t="shared" si="263"/>
        <v/>
      </c>
      <c r="BP468" s="59"/>
      <c r="BQ468" s="58" t="str">
        <f t="shared" si="264"/>
        <v/>
      </c>
      <c r="BR468" s="59"/>
      <c r="BS468" s="58" t="str">
        <f t="shared" si="265"/>
        <v/>
      </c>
      <c r="BT468" s="59"/>
      <c r="BU468" s="58" t="str">
        <f t="shared" si="266"/>
        <v/>
      </c>
      <c r="BV468" s="59"/>
    </row>
    <row r="469" spans="1:74" ht="14.5">
      <c r="A469" s="51" t="s">
        <v>58</v>
      </c>
      <c r="B469" s="52">
        <v>425</v>
      </c>
      <c r="C469" s="52" t="s">
        <v>188</v>
      </c>
      <c r="D469" s="41">
        <f t="shared" si="239"/>
        <v>6</v>
      </c>
      <c r="E469" s="52" t="s">
        <v>157</v>
      </c>
      <c r="F469" s="52" t="s">
        <v>243</v>
      </c>
      <c r="G469" s="52" t="s">
        <v>162</v>
      </c>
      <c r="H469" s="52" t="s">
        <v>428</v>
      </c>
      <c r="I469" s="53">
        <v>45695</v>
      </c>
      <c r="J469" s="108">
        <v>3756</v>
      </c>
      <c r="K469" s="101"/>
      <c r="L469" s="101"/>
      <c r="M469" s="101">
        <f t="shared" si="240"/>
        <v>3756</v>
      </c>
      <c r="N469" s="54">
        <f t="shared" si="241"/>
        <v>3756</v>
      </c>
      <c r="O469" s="101" t="s">
        <v>429</v>
      </c>
      <c r="P469" s="102">
        <f t="shared" si="242"/>
        <v>0.626</v>
      </c>
      <c r="Q469" s="102">
        <v>6</v>
      </c>
      <c r="R469" s="99">
        <v>1000</v>
      </c>
      <c r="S469" s="55">
        <f t="shared" si="238"/>
        <v>45663</v>
      </c>
      <c r="T469" s="55"/>
      <c r="U469" s="56">
        <f t="shared" ca="1" si="236"/>
        <v>-177</v>
      </c>
      <c r="V469" s="55">
        <f t="shared" si="235"/>
        <v>45679</v>
      </c>
      <c r="W469" s="55"/>
      <c r="X469" s="56">
        <f t="shared" ca="1" si="237"/>
        <v>-161</v>
      </c>
      <c r="Y469" s="55"/>
      <c r="Z469" s="57"/>
      <c r="AA469" s="58" t="str">
        <f t="shared" si="243"/>
        <v>-</v>
      </c>
      <c r="AB469" s="59"/>
      <c r="AC469" s="58" t="str">
        <f t="shared" si="244"/>
        <v/>
      </c>
      <c r="AD469" s="59"/>
      <c r="AE469" s="58" t="str">
        <f t="shared" si="245"/>
        <v/>
      </c>
      <c r="AF469" s="59"/>
      <c r="AG469" s="58" t="str">
        <f t="shared" si="246"/>
        <v/>
      </c>
      <c r="AH469" s="59"/>
      <c r="AI469" s="58" t="str">
        <f t="shared" si="247"/>
        <v/>
      </c>
      <c r="AJ469" s="59"/>
      <c r="AK469" s="58" t="str">
        <f t="shared" si="248"/>
        <v/>
      </c>
      <c r="AL469" s="59"/>
      <c r="AM469" s="58" t="str">
        <f t="shared" si="249"/>
        <v/>
      </c>
      <c r="AN469" s="59"/>
      <c r="AO469" s="58" t="str">
        <f t="shared" si="250"/>
        <v/>
      </c>
      <c r="AP469" s="59"/>
      <c r="AQ469" s="58" t="str">
        <f t="shared" si="251"/>
        <v/>
      </c>
      <c r="AR469" s="59"/>
      <c r="AS469" s="58" t="str">
        <f t="shared" si="252"/>
        <v/>
      </c>
      <c r="AT469" s="59"/>
      <c r="AU469" s="58" t="str">
        <f t="shared" si="253"/>
        <v/>
      </c>
      <c r="AV469" s="59"/>
      <c r="AW469" s="58" t="str">
        <f t="shared" si="254"/>
        <v/>
      </c>
      <c r="AX469" s="59"/>
      <c r="AY469" s="58" t="str">
        <f t="shared" si="255"/>
        <v/>
      </c>
      <c r="AZ469" s="59"/>
      <c r="BA469" s="58">
        <f t="shared" si="256"/>
        <v>3756</v>
      </c>
      <c r="BB469" s="59"/>
      <c r="BC469" s="58" t="str">
        <f t="shared" si="257"/>
        <v/>
      </c>
      <c r="BD469" s="59"/>
      <c r="BE469" s="58" t="str">
        <f t="shared" si="258"/>
        <v/>
      </c>
      <c r="BF469" s="59"/>
      <c r="BG469" s="58" t="str">
        <f t="shared" si="259"/>
        <v/>
      </c>
      <c r="BH469" s="59"/>
      <c r="BI469" s="58" t="str">
        <f t="shared" si="260"/>
        <v/>
      </c>
      <c r="BJ469" s="59"/>
      <c r="BK469" s="58" t="str">
        <f t="shared" si="261"/>
        <v/>
      </c>
      <c r="BL469" s="59"/>
      <c r="BM469" s="58" t="str">
        <f t="shared" si="262"/>
        <v/>
      </c>
      <c r="BN469" s="59"/>
      <c r="BO469" s="58" t="str">
        <f t="shared" si="263"/>
        <v/>
      </c>
      <c r="BP469" s="59"/>
      <c r="BQ469" s="58" t="str">
        <f t="shared" si="264"/>
        <v/>
      </c>
      <c r="BR469" s="59"/>
      <c r="BS469" s="58" t="str">
        <f t="shared" si="265"/>
        <v/>
      </c>
      <c r="BT469" s="59"/>
      <c r="BU469" s="58" t="str">
        <f t="shared" si="266"/>
        <v/>
      </c>
      <c r="BV469" s="59"/>
    </row>
    <row r="470" spans="1:74" ht="14.5">
      <c r="A470" s="51" t="s">
        <v>58</v>
      </c>
      <c r="B470" s="52">
        <v>425</v>
      </c>
      <c r="C470" s="52" t="s">
        <v>188</v>
      </c>
      <c r="D470" s="41">
        <f t="shared" si="239"/>
        <v>6</v>
      </c>
      <c r="E470" s="52" t="s">
        <v>158</v>
      </c>
      <c r="F470" s="52" t="s">
        <v>242</v>
      </c>
      <c r="G470" s="52" t="s">
        <v>155</v>
      </c>
      <c r="H470" s="52" t="s">
        <v>432</v>
      </c>
      <c r="I470" s="53">
        <v>45695</v>
      </c>
      <c r="J470" s="108">
        <v>1592</v>
      </c>
      <c r="K470" s="101"/>
      <c r="L470" s="101"/>
      <c r="M470" s="101">
        <f t="shared" si="240"/>
        <v>1592</v>
      </c>
      <c r="N470" s="54">
        <f t="shared" si="241"/>
        <v>1592</v>
      </c>
      <c r="O470" s="101" t="s">
        <v>439</v>
      </c>
      <c r="P470" s="102">
        <f t="shared" si="242"/>
        <v>2.2111111111111112</v>
      </c>
      <c r="Q470" s="102">
        <v>6</v>
      </c>
      <c r="R470" s="99">
        <v>120</v>
      </c>
      <c r="S470" s="55">
        <f t="shared" si="238"/>
        <v>45663</v>
      </c>
      <c r="T470" s="55"/>
      <c r="U470" s="56">
        <f t="shared" ca="1" si="236"/>
        <v>-177</v>
      </c>
      <c r="V470" s="55">
        <f t="shared" si="235"/>
        <v>45679</v>
      </c>
      <c r="W470" s="55"/>
      <c r="X470" s="56">
        <f t="shared" ca="1" si="237"/>
        <v>-161</v>
      </c>
      <c r="Y470" s="55"/>
      <c r="Z470" s="57"/>
      <c r="AA470" s="58" t="str">
        <f t="shared" si="243"/>
        <v>-</v>
      </c>
      <c r="AB470" s="59"/>
      <c r="AC470" s="58" t="str">
        <f t="shared" si="244"/>
        <v/>
      </c>
      <c r="AD470" s="59"/>
      <c r="AE470" s="58" t="str">
        <f t="shared" si="245"/>
        <v/>
      </c>
      <c r="AF470" s="59"/>
      <c r="AG470" s="58" t="str">
        <f t="shared" si="246"/>
        <v/>
      </c>
      <c r="AH470" s="59"/>
      <c r="AI470" s="58" t="str">
        <f t="shared" si="247"/>
        <v/>
      </c>
      <c r="AJ470" s="59"/>
      <c r="AK470" s="58" t="str">
        <f t="shared" si="248"/>
        <v/>
      </c>
      <c r="AL470" s="59"/>
      <c r="AM470" s="58" t="str">
        <f t="shared" si="249"/>
        <v/>
      </c>
      <c r="AN470" s="59"/>
      <c r="AO470" s="58" t="str">
        <f t="shared" si="250"/>
        <v/>
      </c>
      <c r="AP470" s="59"/>
      <c r="AQ470" s="58" t="str">
        <f t="shared" si="251"/>
        <v/>
      </c>
      <c r="AR470" s="59"/>
      <c r="AS470" s="58" t="str">
        <f t="shared" si="252"/>
        <v/>
      </c>
      <c r="AT470" s="59"/>
      <c r="AU470" s="58" t="str">
        <f t="shared" si="253"/>
        <v/>
      </c>
      <c r="AV470" s="59"/>
      <c r="AW470" s="58" t="str">
        <f t="shared" si="254"/>
        <v/>
      </c>
      <c r="AX470" s="59"/>
      <c r="AY470" s="58" t="str">
        <f t="shared" si="255"/>
        <v/>
      </c>
      <c r="AZ470" s="59"/>
      <c r="BA470" s="58">
        <f t="shared" si="256"/>
        <v>1592</v>
      </c>
      <c r="BB470" s="59"/>
      <c r="BC470" s="58" t="str">
        <f t="shared" si="257"/>
        <v/>
      </c>
      <c r="BD470" s="59"/>
      <c r="BE470" s="58" t="str">
        <f t="shared" si="258"/>
        <v/>
      </c>
      <c r="BF470" s="59"/>
      <c r="BG470" s="58" t="str">
        <f t="shared" si="259"/>
        <v/>
      </c>
      <c r="BH470" s="59"/>
      <c r="BI470" s="58" t="str">
        <f t="shared" si="260"/>
        <v/>
      </c>
      <c r="BJ470" s="59"/>
      <c r="BK470" s="58" t="str">
        <f t="shared" si="261"/>
        <v/>
      </c>
      <c r="BL470" s="59"/>
      <c r="BM470" s="58" t="str">
        <f t="shared" si="262"/>
        <v/>
      </c>
      <c r="BN470" s="59"/>
      <c r="BO470" s="58" t="str">
        <f t="shared" si="263"/>
        <v/>
      </c>
      <c r="BP470" s="59"/>
      <c r="BQ470" s="58" t="str">
        <f t="shared" si="264"/>
        <v/>
      </c>
      <c r="BR470" s="59"/>
      <c r="BS470" s="58" t="str">
        <f t="shared" si="265"/>
        <v/>
      </c>
      <c r="BT470" s="59"/>
      <c r="BU470" s="58" t="str">
        <f t="shared" si="266"/>
        <v/>
      </c>
      <c r="BV470" s="59"/>
    </row>
    <row r="471" spans="1:74" ht="14.5">
      <c r="A471" s="51" t="s">
        <v>58</v>
      </c>
      <c r="B471" s="52">
        <v>425</v>
      </c>
      <c r="C471" s="52" t="s">
        <v>188</v>
      </c>
      <c r="D471" s="41">
        <f t="shared" si="239"/>
        <v>6</v>
      </c>
      <c r="E471" s="52" t="s">
        <v>158</v>
      </c>
      <c r="F471" s="52" t="s">
        <v>242</v>
      </c>
      <c r="G471" s="52" t="s">
        <v>156</v>
      </c>
      <c r="H471" s="52" t="s">
        <v>432</v>
      </c>
      <c r="I471" s="53">
        <v>45695</v>
      </c>
      <c r="J471" s="108">
        <v>816</v>
      </c>
      <c r="K471" s="101"/>
      <c r="L471" s="101"/>
      <c r="M471" s="101">
        <f t="shared" si="240"/>
        <v>816</v>
      </c>
      <c r="N471" s="54">
        <f t="shared" si="241"/>
        <v>816</v>
      </c>
      <c r="O471" s="101" t="s">
        <v>439</v>
      </c>
      <c r="P471" s="102">
        <f t="shared" si="242"/>
        <v>1.1333333333333333</v>
      </c>
      <c r="Q471" s="102">
        <v>6</v>
      </c>
      <c r="R471" s="99">
        <v>120</v>
      </c>
      <c r="S471" s="55">
        <f t="shared" si="238"/>
        <v>45663</v>
      </c>
      <c r="T471" s="55"/>
      <c r="U471" s="56">
        <f t="shared" ca="1" si="236"/>
        <v>-177</v>
      </c>
      <c r="V471" s="55">
        <f t="shared" si="235"/>
        <v>45679</v>
      </c>
      <c r="W471" s="55"/>
      <c r="X471" s="56">
        <f t="shared" ca="1" si="237"/>
        <v>-161</v>
      </c>
      <c r="Y471" s="55"/>
      <c r="Z471" s="57"/>
      <c r="AA471" s="58" t="str">
        <f t="shared" si="243"/>
        <v>-</v>
      </c>
      <c r="AB471" s="59"/>
      <c r="AC471" s="58" t="str">
        <f t="shared" si="244"/>
        <v/>
      </c>
      <c r="AD471" s="59"/>
      <c r="AE471" s="58" t="str">
        <f t="shared" si="245"/>
        <v/>
      </c>
      <c r="AF471" s="59"/>
      <c r="AG471" s="58" t="str">
        <f t="shared" si="246"/>
        <v/>
      </c>
      <c r="AH471" s="59"/>
      <c r="AI471" s="58" t="str">
        <f t="shared" si="247"/>
        <v/>
      </c>
      <c r="AJ471" s="59"/>
      <c r="AK471" s="58" t="str">
        <f t="shared" si="248"/>
        <v/>
      </c>
      <c r="AL471" s="59"/>
      <c r="AM471" s="58" t="str">
        <f t="shared" si="249"/>
        <v/>
      </c>
      <c r="AN471" s="59"/>
      <c r="AO471" s="58" t="str">
        <f t="shared" si="250"/>
        <v/>
      </c>
      <c r="AP471" s="59"/>
      <c r="AQ471" s="58" t="str">
        <f t="shared" si="251"/>
        <v/>
      </c>
      <c r="AR471" s="59"/>
      <c r="AS471" s="58" t="str">
        <f t="shared" si="252"/>
        <v/>
      </c>
      <c r="AT471" s="59"/>
      <c r="AU471" s="58" t="str">
        <f t="shared" si="253"/>
        <v/>
      </c>
      <c r="AV471" s="59"/>
      <c r="AW471" s="58" t="str">
        <f t="shared" si="254"/>
        <v/>
      </c>
      <c r="AX471" s="59"/>
      <c r="AY471" s="58" t="str">
        <f t="shared" si="255"/>
        <v/>
      </c>
      <c r="AZ471" s="59"/>
      <c r="BA471" s="58">
        <f t="shared" si="256"/>
        <v>816</v>
      </c>
      <c r="BB471" s="59"/>
      <c r="BC471" s="58" t="str">
        <f t="shared" si="257"/>
        <v/>
      </c>
      <c r="BD471" s="59"/>
      <c r="BE471" s="58" t="str">
        <f t="shared" si="258"/>
        <v/>
      </c>
      <c r="BF471" s="59"/>
      <c r="BG471" s="58" t="str">
        <f t="shared" si="259"/>
        <v/>
      </c>
      <c r="BH471" s="59"/>
      <c r="BI471" s="58" t="str">
        <f t="shared" si="260"/>
        <v/>
      </c>
      <c r="BJ471" s="59"/>
      <c r="BK471" s="58" t="str">
        <f t="shared" si="261"/>
        <v/>
      </c>
      <c r="BL471" s="59"/>
      <c r="BM471" s="58" t="str">
        <f t="shared" si="262"/>
        <v/>
      </c>
      <c r="BN471" s="59"/>
      <c r="BO471" s="58" t="str">
        <f t="shared" si="263"/>
        <v/>
      </c>
      <c r="BP471" s="59"/>
      <c r="BQ471" s="58" t="str">
        <f t="shared" si="264"/>
        <v/>
      </c>
      <c r="BR471" s="59"/>
      <c r="BS471" s="58" t="str">
        <f t="shared" si="265"/>
        <v/>
      </c>
      <c r="BT471" s="59"/>
      <c r="BU471" s="58" t="str">
        <f t="shared" si="266"/>
        <v/>
      </c>
      <c r="BV471" s="59"/>
    </row>
    <row r="472" spans="1:74" ht="14.5">
      <c r="A472" s="51" t="s">
        <v>58</v>
      </c>
      <c r="B472" s="52">
        <v>426</v>
      </c>
      <c r="C472" s="52" t="s">
        <v>188</v>
      </c>
      <c r="D472" s="41">
        <f t="shared" si="239"/>
        <v>6</v>
      </c>
      <c r="E472" s="52" t="s">
        <v>157</v>
      </c>
      <c r="F472" s="52" t="s">
        <v>243</v>
      </c>
      <c r="G472" s="52" t="s">
        <v>155</v>
      </c>
      <c r="H472" s="52" t="s">
        <v>428</v>
      </c>
      <c r="I472" s="53">
        <v>45695</v>
      </c>
      <c r="J472" s="108">
        <v>3708</v>
      </c>
      <c r="K472" s="101"/>
      <c r="L472" s="101"/>
      <c r="M472" s="101">
        <f t="shared" si="240"/>
        <v>3708</v>
      </c>
      <c r="N472" s="54">
        <f t="shared" si="241"/>
        <v>3708</v>
      </c>
      <c r="O472" s="101" t="s">
        <v>429</v>
      </c>
      <c r="P472" s="102">
        <f t="shared" si="242"/>
        <v>0.61799999999999999</v>
      </c>
      <c r="Q472" s="102">
        <v>6</v>
      </c>
      <c r="R472" s="99">
        <v>1000</v>
      </c>
      <c r="S472" s="55">
        <f t="shared" si="238"/>
        <v>45663</v>
      </c>
      <c r="T472" s="55"/>
      <c r="U472" s="56">
        <f t="shared" ca="1" si="236"/>
        <v>-177</v>
      </c>
      <c r="V472" s="55">
        <f t="shared" si="235"/>
        <v>45679</v>
      </c>
      <c r="W472" s="55"/>
      <c r="X472" s="56">
        <f t="shared" ca="1" si="237"/>
        <v>-161</v>
      </c>
      <c r="Y472" s="55"/>
      <c r="Z472" s="57"/>
      <c r="AA472" s="58" t="str">
        <f t="shared" si="243"/>
        <v>-</v>
      </c>
      <c r="AB472" s="59"/>
      <c r="AC472" s="58" t="str">
        <f t="shared" si="244"/>
        <v/>
      </c>
      <c r="AD472" s="59"/>
      <c r="AE472" s="58" t="str">
        <f t="shared" si="245"/>
        <v/>
      </c>
      <c r="AF472" s="59"/>
      <c r="AG472" s="58" t="str">
        <f t="shared" si="246"/>
        <v/>
      </c>
      <c r="AH472" s="59"/>
      <c r="AI472" s="58" t="str">
        <f t="shared" si="247"/>
        <v/>
      </c>
      <c r="AJ472" s="59"/>
      <c r="AK472" s="58" t="str">
        <f t="shared" si="248"/>
        <v/>
      </c>
      <c r="AL472" s="59"/>
      <c r="AM472" s="58" t="str">
        <f t="shared" si="249"/>
        <v/>
      </c>
      <c r="AN472" s="59"/>
      <c r="AO472" s="58" t="str">
        <f t="shared" si="250"/>
        <v/>
      </c>
      <c r="AP472" s="59"/>
      <c r="AQ472" s="58" t="str">
        <f t="shared" si="251"/>
        <v/>
      </c>
      <c r="AR472" s="59"/>
      <c r="AS472" s="58" t="str">
        <f t="shared" si="252"/>
        <v/>
      </c>
      <c r="AT472" s="59"/>
      <c r="AU472" s="58" t="str">
        <f t="shared" si="253"/>
        <v/>
      </c>
      <c r="AV472" s="59"/>
      <c r="AW472" s="58" t="str">
        <f t="shared" si="254"/>
        <v/>
      </c>
      <c r="AX472" s="59"/>
      <c r="AY472" s="58" t="str">
        <f t="shared" si="255"/>
        <v/>
      </c>
      <c r="AZ472" s="59"/>
      <c r="BA472" s="58">
        <f t="shared" si="256"/>
        <v>3708</v>
      </c>
      <c r="BB472" s="59"/>
      <c r="BC472" s="58" t="str">
        <f t="shared" si="257"/>
        <v/>
      </c>
      <c r="BD472" s="59"/>
      <c r="BE472" s="58" t="str">
        <f t="shared" si="258"/>
        <v/>
      </c>
      <c r="BF472" s="59"/>
      <c r="BG472" s="58" t="str">
        <f t="shared" si="259"/>
        <v/>
      </c>
      <c r="BH472" s="59"/>
      <c r="BI472" s="58" t="str">
        <f t="shared" si="260"/>
        <v/>
      </c>
      <c r="BJ472" s="59"/>
      <c r="BK472" s="58" t="str">
        <f t="shared" si="261"/>
        <v/>
      </c>
      <c r="BL472" s="59"/>
      <c r="BM472" s="58" t="str">
        <f t="shared" si="262"/>
        <v/>
      </c>
      <c r="BN472" s="59"/>
      <c r="BO472" s="58" t="str">
        <f t="shared" si="263"/>
        <v/>
      </c>
      <c r="BP472" s="59"/>
      <c r="BQ472" s="58" t="str">
        <f t="shared" si="264"/>
        <v/>
      </c>
      <c r="BR472" s="59"/>
      <c r="BS472" s="58" t="str">
        <f t="shared" si="265"/>
        <v/>
      </c>
      <c r="BT472" s="59"/>
      <c r="BU472" s="58" t="str">
        <f t="shared" si="266"/>
        <v/>
      </c>
      <c r="BV472" s="59"/>
    </row>
    <row r="473" spans="1:74" ht="14.5">
      <c r="A473" s="51" t="s">
        <v>58</v>
      </c>
      <c r="B473" s="52">
        <v>426</v>
      </c>
      <c r="C473" s="52" t="s">
        <v>188</v>
      </c>
      <c r="D473" s="41">
        <f t="shared" si="239"/>
        <v>6</v>
      </c>
      <c r="E473" s="52" t="s">
        <v>390</v>
      </c>
      <c r="F473" s="52" t="s">
        <v>242</v>
      </c>
      <c r="G473" s="52" t="s">
        <v>162</v>
      </c>
      <c r="H473" s="52" t="s">
        <v>430</v>
      </c>
      <c r="I473" s="53">
        <v>45695</v>
      </c>
      <c r="J473" s="108">
        <v>3156</v>
      </c>
      <c r="K473" s="101"/>
      <c r="L473" s="101"/>
      <c r="M473" s="101">
        <f t="shared" si="240"/>
        <v>3156</v>
      </c>
      <c r="N473" s="54">
        <f t="shared" si="241"/>
        <v>3156</v>
      </c>
      <c r="O473" s="101" t="s">
        <v>431</v>
      </c>
      <c r="P473" s="102">
        <f t="shared" si="242"/>
        <v>4.3833333333333337</v>
      </c>
      <c r="Q473" s="102">
        <v>6</v>
      </c>
      <c r="R473" s="99">
        <v>120</v>
      </c>
      <c r="S473" s="55">
        <f t="shared" si="238"/>
        <v>45663</v>
      </c>
      <c r="T473" s="55"/>
      <c r="U473" s="56">
        <f t="shared" ca="1" si="236"/>
        <v>-177</v>
      </c>
      <c r="V473" s="55">
        <f t="shared" si="235"/>
        <v>45679</v>
      </c>
      <c r="W473" s="55"/>
      <c r="X473" s="56">
        <f t="shared" ca="1" si="237"/>
        <v>-161</v>
      </c>
      <c r="Y473" s="55"/>
      <c r="Z473" s="57"/>
      <c r="AA473" s="58" t="str">
        <f t="shared" si="243"/>
        <v>-</v>
      </c>
      <c r="AB473" s="59"/>
      <c r="AC473" s="58" t="str">
        <f t="shared" si="244"/>
        <v/>
      </c>
      <c r="AD473" s="59"/>
      <c r="AE473" s="58" t="str">
        <f t="shared" si="245"/>
        <v/>
      </c>
      <c r="AF473" s="59"/>
      <c r="AG473" s="58" t="str">
        <f t="shared" si="246"/>
        <v/>
      </c>
      <c r="AH473" s="59"/>
      <c r="AI473" s="58" t="str">
        <f t="shared" si="247"/>
        <v/>
      </c>
      <c r="AJ473" s="59"/>
      <c r="AK473" s="58" t="str">
        <f t="shared" si="248"/>
        <v/>
      </c>
      <c r="AL473" s="59"/>
      <c r="AM473" s="58" t="str">
        <f t="shared" si="249"/>
        <v/>
      </c>
      <c r="AN473" s="59"/>
      <c r="AO473" s="58" t="str">
        <f t="shared" si="250"/>
        <v/>
      </c>
      <c r="AP473" s="59"/>
      <c r="AQ473" s="58" t="str">
        <f t="shared" si="251"/>
        <v/>
      </c>
      <c r="AR473" s="59"/>
      <c r="AS473" s="58" t="str">
        <f t="shared" si="252"/>
        <v/>
      </c>
      <c r="AT473" s="59"/>
      <c r="AU473" s="58" t="str">
        <f t="shared" si="253"/>
        <v/>
      </c>
      <c r="AV473" s="59"/>
      <c r="AW473" s="58" t="str">
        <f t="shared" si="254"/>
        <v/>
      </c>
      <c r="AX473" s="59"/>
      <c r="AY473" s="58" t="str">
        <f t="shared" si="255"/>
        <v/>
      </c>
      <c r="AZ473" s="59"/>
      <c r="BA473" s="58">
        <f t="shared" si="256"/>
        <v>3156</v>
      </c>
      <c r="BB473" s="59"/>
      <c r="BC473" s="58" t="str">
        <f t="shared" si="257"/>
        <v/>
      </c>
      <c r="BD473" s="59"/>
      <c r="BE473" s="58" t="str">
        <f t="shared" si="258"/>
        <v/>
      </c>
      <c r="BF473" s="59"/>
      <c r="BG473" s="58" t="str">
        <f t="shared" si="259"/>
        <v/>
      </c>
      <c r="BH473" s="59"/>
      <c r="BI473" s="58" t="str">
        <f t="shared" si="260"/>
        <v/>
      </c>
      <c r="BJ473" s="59"/>
      <c r="BK473" s="58" t="str">
        <f t="shared" si="261"/>
        <v/>
      </c>
      <c r="BL473" s="59"/>
      <c r="BM473" s="58" t="str">
        <f t="shared" si="262"/>
        <v/>
      </c>
      <c r="BN473" s="59"/>
      <c r="BO473" s="58" t="str">
        <f t="shared" si="263"/>
        <v/>
      </c>
      <c r="BP473" s="59"/>
      <c r="BQ473" s="58" t="str">
        <f t="shared" si="264"/>
        <v/>
      </c>
      <c r="BR473" s="59"/>
      <c r="BS473" s="58" t="str">
        <f t="shared" si="265"/>
        <v/>
      </c>
      <c r="BT473" s="59"/>
      <c r="BU473" s="58" t="str">
        <f t="shared" si="266"/>
        <v/>
      </c>
      <c r="BV473" s="59"/>
    </row>
    <row r="474" spans="1:74" ht="14.5">
      <c r="A474" s="51" t="s">
        <v>58</v>
      </c>
      <c r="B474" s="52">
        <v>426</v>
      </c>
      <c r="C474" s="52" t="s">
        <v>188</v>
      </c>
      <c r="D474" s="41">
        <f t="shared" si="239"/>
        <v>6</v>
      </c>
      <c r="E474" s="52" t="s">
        <v>158</v>
      </c>
      <c r="F474" s="52" t="s">
        <v>242</v>
      </c>
      <c r="G474" s="52" t="s">
        <v>156</v>
      </c>
      <c r="H474" s="52" t="s">
        <v>432</v>
      </c>
      <c r="I474" s="53">
        <v>45695</v>
      </c>
      <c r="J474" s="108">
        <v>100</v>
      </c>
      <c r="K474" s="101"/>
      <c r="L474" s="101"/>
      <c r="M474" s="101">
        <f t="shared" si="240"/>
        <v>100</v>
      </c>
      <c r="N474" s="54">
        <f t="shared" si="241"/>
        <v>100</v>
      </c>
      <c r="O474" s="101" t="s">
        <v>439</v>
      </c>
      <c r="P474" s="102">
        <f t="shared" si="242"/>
        <v>0.1388888888888889</v>
      </c>
      <c r="Q474" s="102">
        <v>6</v>
      </c>
      <c r="R474" s="99">
        <v>120</v>
      </c>
      <c r="S474" s="55">
        <f t="shared" si="238"/>
        <v>45663</v>
      </c>
      <c r="T474" s="55"/>
      <c r="U474" s="56">
        <f t="shared" ca="1" si="236"/>
        <v>-177</v>
      </c>
      <c r="V474" s="55">
        <f t="shared" si="235"/>
        <v>45679</v>
      </c>
      <c r="W474" s="55"/>
      <c r="X474" s="56">
        <f t="shared" ca="1" si="237"/>
        <v>-161</v>
      </c>
      <c r="Y474" s="55"/>
      <c r="Z474" s="57"/>
      <c r="AA474" s="58" t="str">
        <f t="shared" si="243"/>
        <v>-</v>
      </c>
      <c r="AB474" s="59"/>
      <c r="AC474" s="58" t="str">
        <f t="shared" si="244"/>
        <v/>
      </c>
      <c r="AD474" s="59"/>
      <c r="AE474" s="58" t="str">
        <f t="shared" si="245"/>
        <v/>
      </c>
      <c r="AF474" s="59"/>
      <c r="AG474" s="58" t="str">
        <f t="shared" si="246"/>
        <v/>
      </c>
      <c r="AH474" s="59"/>
      <c r="AI474" s="58" t="str">
        <f t="shared" si="247"/>
        <v/>
      </c>
      <c r="AJ474" s="59"/>
      <c r="AK474" s="58" t="str">
        <f t="shared" si="248"/>
        <v/>
      </c>
      <c r="AL474" s="59"/>
      <c r="AM474" s="58" t="str">
        <f t="shared" si="249"/>
        <v/>
      </c>
      <c r="AN474" s="59"/>
      <c r="AO474" s="58" t="str">
        <f t="shared" si="250"/>
        <v/>
      </c>
      <c r="AP474" s="59"/>
      <c r="AQ474" s="58" t="str">
        <f t="shared" si="251"/>
        <v/>
      </c>
      <c r="AR474" s="59"/>
      <c r="AS474" s="58" t="str">
        <f t="shared" si="252"/>
        <v/>
      </c>
      <c r="AT474" s="59"/>
      <c r="AU474" s="58" t="str">
        <f t="shared" si="253"/>
        <v/>
      </c>
      <c r="AV474" s="59"/>
      <c r="AW474" s="58" t="str">
        <f t="shared" si="254"/>
        <v/>
      </c>
      <c r="AX474" s="59"/>
      <c r="AY474" s="58" t="str">
        <f t="shared" si="255"/>
        <v/>
      </c>
      <c r="AZ474" s="59"/>
      <c r="BA474" s="58">
        <f t="shared" si="256"/>
        <v>100</v>
      </c>
      <c r="BB474" s="59"/>
      <c r="BC474" s="58" t="str">
        <f t="shared" si="257"/>
        <v/>
      </c>
      <c r="BD474" s="59"/>
      <c r="BE474" s="58" t="str">
        <f t="shared" si="258"/>
        <v/>
      </c>
      <c r="BF474" s="59"/>
      <c r="BG474" s="58" t="str">
        <f t="shared" si="259"/>
        <v/>
      </c>
      <c r="BH474" s="59"/>
      <c r="BI474" s="58" t="str">
        <f t="shared" si="260"/>
        <v/>
      </c>
      <c r="BJ474" s="59"/>
      <c r="BK474" s="58" t="str">
        <f t="shared" si="261"/>
        <v/>
      </c>
      <c r="BL474" s="59"/>
      <c r="BM474" s="58" t="str">
        <f t="shared" si="262"/>
        <v/>
      </c>
      <c r="BN474" s="59"/>
      <c r="BO474" s="58" t="str">
        <f t="shared" si="263"/>
        <v/>
      </c>
      <c r="BP474" s="59"/>
      <c r="BQ474" s="58" t="str">
        <f t="shared" si="264"/>
        <v/>
      </c>
      <c r="BR474" s="59"/>
      <c r="BS474" s="58" t="str">
        <f t="shared" si="265"/>
        <v/>
      </c>
      <c r="BT474" s="59"/>
      <c r="BU474" s="58" t="str">
        <f t="shared" si="266"/>
        <v/>
      </c>
      <c r="BV474" s="59"/>
    </row>
    <row r="475" spans="1:74" ht="14.5">
      <c r="A475" s="51" t="s">
        <v>58</v>
      </c>
      <c r="B475" s="52">
        <v>427</v>
      </c>
      <c r="C475" s="52" t="s">
        <v>188</v>
      </c>
      <c r="D475" s="41">
        <f t="shared" si="239"/>
        <v>6</v>
      </c>
      <c r="E475" s="52" t="s">
        <v>157</v>
      </c>
      <c r="F475" s="52" t="s">
        <v>243</v>
      </c>
      <c r="G475" s="52" t="s">
        <v>162</v>
      </c>
      <c r="H475" s="52" t="s">
        <v>428</v>
      </c>
      <c r="I475" s="53">
        <v>45695</v>
      </c>
      <c r="J475" s="108">
        <v>2472</v>
      </c>
      <c r="K475" s="101"/>
      <c r="L475" s="101"/>
      <c r="M475" s="101">
        <f t="shared" si="240"/>
        <v>2472</v>
      </c>
      <c r="N475" s="54">
        <f t="shared" si="241"/>
        <v>2472</v>
      </c>
      <c r="O475" s="101" t="s">
        <v>429</v>
      </c>
      <c r="P475" s="102">
        <f t="shared" si="242"/>
        <v>0.41199999999999998</v>
      </c>
      <c r="Q475" s="102">
        <v>6</v>
      </c>
      <c r="R475" s="99">
        <v>1000</v>
      </c>
      <c r="S475" s="55">
        <f t="shared" si="238"/>
        <v>45663</v>
      </c>
      <c r="T475" s="55"/>
      <c r="U475" s="56">
        <f t="shared" ca="1" si="236"/>
        <v>-177</v>
      </c>
      <c r="V475" s="55">
        <f t="shared" si="235"/>
        <v>45679</v>
      </c>
      <c r="W475" s="55"/>
      <c r="X475" s="56">
        <f t="shared" ca="1" si="237"/>
        <v>-161</v>
      </c>
      <c r="Y475" s="55"/>
      <c r="Z475" s="57"/>
      <c r="AA475" s="58" t="str">
        <f t="shared" si="243"/>
        <v>-</v>
      </c>
      <c r="AB475" s="59"/>
      <c r="AC475" s="58" t="str">
        <f t="shared" si="244"/>
        <v/>
      </c>
      <c r="AD475" s="59"/>
      <c r="AE475" s="58" t="str">
        <f t="shared" si="245"/>
        <v/>
      </c>
      <c r="AF475" s="59"/>
      <c r="AG475" s="58" t="str">
        <f t="shared" si="246"/>
        <v/>
      </c>
      <c r="AH475" s="59"/>
      <c r="AI475" s="58" t="str">
        <f t="shared" si="247"/>
        <v/>
      </c>
      <c r="AJ475" s="59"/>
      <c r="AK475" s="58" t="str">
        <f t="shared" si="248"/>
        <v/>
      </c>
      <c r="AL475" s="59"/>
      <c r="AM475" s="58" t="str">
        <f t="shared" si="249"/>
        <v/>
      </c>
      <c r="AN475" s="59"/>
      <c r="AO475" s="58" t="str">
        <f t="shared" si="250"/>
        <v/>
      </c>
      <c r="AP475" s="59"/>
      <c r="AQ475" s="58" t="str">
        <f t="shared" si="251"/>
        <v/>
      </c>
      <c r="AR475" s="59"/>
      <c r="AS475" s="58" t="str">
        <f t="shared" si="252"/>
        <v/>
      </c>
      <c r="AT475" s="59"/>
      <c r="AU475" s="58" t="str">
        <f t="shared" si="253"/>
        <v/>
      </c>
      <c r="AV475" s="59"/>
      <c r="AW475" s="58" t="str">
        <f t="shared" si="254"/>
        <v/>
      </c>
      <c r="AX475" s="59"/>
      <c r="AY475" s="58" t="str">
        <f t="shared" si="255"/>
        <v/>
      </c>
      <c r="AZ475" s="59"/>
      <c r="BA475" s="58">
        <f t="shared" si="256"/>
        <v>2472</v>
      </c>
      <c r="BB475" s="59"/>
      <c r="BC475" s="58" t="str">
        <f t="shared" si="257"/>
        <v/>
      </c>
      <c r="BD475" s="59"/>
      <c r="BE475" s="58" t="str">
        <f t="shared" si="258"/>
        <v/>
      </c>
      <c r="BF475" s="59"/>
      <c r="BG475" s="58" t="str">
        <f t="shared" si="259"/>
        <v/>
      </c>
      <c r="BH475" s="59"/>
      <c r="BI475" s="58" t="str">
        <f t="shared" si="260"/>
        <v/>
      </c>
      <c r="BJ475" s="59"/>
      <c r="BK475" s="58" t="str">
        <f t="shared" si="261"/>
        <v/>
      </c>
      <c r="BL475" s="59"/>
      <c r="BM475" s="58" t="str">
        <f t="shared" si="262"/>
        <v/>
      </c>
      <c r="BN475" s="59"/>
      <c r="BO475" s="58" t="str">
        <f t="shared" si="263"/>
        <v/>
      </c>
      <c r="BP475" s="59"/>
      <c r="BQ475" s="58" t="str">
        <f t="shared" si="264"/>
        <v/>
      </c>
      <c r="BR475" s="59"/>
      <c r="BS475" s="58" t="str">
        <f t="shared" si="265"/>
        <v/>
      </c>
      <c r="BT475" s="59"/>
      <c r="BU475" s="58" t="str">
        <f t="shared" si="266"/>
        <v/>
      </c>
      <c r="BV475" s="59"/>
    </row>
    <row r="476" spans="1:74" ht="14.5">
      <c r="A476" s="51" t="s">
        <v>58</v>
      </c>
      <c r="B476" s="52">
        <v>427</v>
      </c>
      <c r="C476" s="52" t="s">
        <v>188</v>
      </c>
      <c r="D476" s="41">
        <f t="shared" si="239"/>
        <v>6</v>
      </c>
      <c r="E476" s="52" t="s">
        <v>157</v>
      </c>
      <c r="F476" s="52" t="s">
        <v>243</v>
      </c>
      <c r="G476" s="52" t="s">
        <v>155</v>
      </c>
      <c r="H476" s="52" t="s">
        <v>428</v>
      </c>
      <c r="I476" s="53">
        <v>45695</v>
      </c>
      <c r="J476" s="108">
        <v>1488</v>
      </c>
      <c r="K476" s="101"/>
      <c r="L476" s="101"/>
      <c r="M476" s="101">
        <f t="shared" si="240"/>
        <v>1488</v>
      </c>
      <c r="N476" s="54">
        <f t="shared" si="241"/>
        <v>1488</v>
      </c>
      <c r="O476" s="101" t="s">
        <v>429</v>
      </c>
      <c r="P476" s="102">
        <f t="shared" si="242"/>
        <v>0.248</v>
      </c>
      <c r="Q476" s="102">
        <v>6</v>
      </c>
      <c r="R476" s="99">
        <v>1000</v>
      </c>
      <c r="S476" s="55">
        <f t="shared" si="238"/>
        <v>45663</v>
      </c>
      <c r="T476" s="55"/>
      <c r="U476" s="56">
        <f t="shared" ca="1" si="236"/>
        <v>-177</v>
      </c>
      <c r="V476" s="55">
        <f t="shared" si="235"/>
        <v>45679</v>
      </c>
      <c r="W476" s="55"/>
      <c r="X476" s="56">
        <f t="shared" ca="1" si="237"/>
        <v>-161</v>
      </c>
      <c r="Y476" s="55"/>
      <c r="Z476" s="57"/>
      <c r="AA476" s="58" t="str">
        <f t="shared" si="243"/>
        <v>-</v>
      </c>
      <c r="AB476" s="59"/>
      <c r="AC476" s="58" t="str">
        <f t="shared" si="244"/>
        <v/>
      </c>
      <c r="AD476" s="59"/>
      <c r="AE476" s="58" t="str">
        <f t="shared" si="245"/>
        <v/>
      </c>
      <c r="AF476" s="59"/>
      <c r="AG476" s="58" t="str">
        <f t="shared" si="246"/>
        <v/>
      </c>
      <c r="AH476" s="59"/>
      <c r="AI476" s="58" t="str">
        <f t="shared" si="247"/>
        <v/>
      </c>
      <c r="AJ476" s="59"/>
      <c r="AK476" s="58" t="str">
        <f t="shared" si="248"/>
        <v/>
      </c>
      <c r="AL476" s="59"/>
      <c r="AM476" s="58" t="str">
        <f t="shared" si="249"/>
        <v/>
      </c>
      <c r="AN476" s="59"/>
      <c r="AO476" s="58" t="str">
        <f t="shared" si="250"/>
        <v/>
      </c>
      <c r="AP476" s="59"/>
      <c r="AQ476" s="58" t="str">
        <f t="shared" si="251"/>
        <v/>
      </c>
      <c r="AR476" s="59"/>
      <c r="AS476" s="58" t="str">
        <f t="shared" si="252"/>
        <v/>
      </c>
      <c r="AT476" s="59"/>
      <c r="AU476" s="58" t="str">
        <f t="shared" si="253"/>
        <v/>
      </c>
      <c r="AV476" s="59"/>
      <c r="AW476" s="58" t="str">
        <f t="shared" si="254"/>
        <v/>
      </c>
      <c r="AX476" s="59"/>
      <c r="AY476" s="58" t="str">
        <f t="shared" si="255"/>
        <v/>
      </c>
      <c r="AZ476" s="59"/>
      <c r="BA476" s="58">
        <f t="shared" si="256"/>
        <v>1488</v>
      </c>
      <c r="BB476" s="59"/>
      <c r="BC476" s="58" t="str">
        <f t="shared" si="257"/>
        <v/>
      </c>
      <c r="BD476" s="59"/>
      <c r="BE476" s="58" t="str">
        <f t="shared" si="258"/>
        <v/>
      </c>
      <c r="BF476" s="59"/>
      <c r="BG476" s="58" t="str">
        <f t="shared" si="259"/>
        <v/>
      </c>
      <c r="BH476" s="59"/>
      <c r="BI476" s="58" t="str">
        <f t="shared" si="260"/>
        <v/>
      </c>
      <c r="BJ476" s="59"/>
      <c r="BK476" s="58" t="str">
        <f t="shared" si="261"/>
        <v/>
      </c>
      <c r="BL476" s="59"/>
      <c r="BM476" s="58" t="str">
        <f t="shared" si="262"/>
        <v/>
      </c>
      <c r="BN476" s="59"/>
      <c r="BO476" s="58" t="str">
        <f t="shared" si="263"/>
        <v/>
      </c>
      <c r="BP476" s="59"/>
      <c r="BQ476" s="58" t="str">
        <f t="shared" si="264"/>
        <v/>
      </c>
      <c r="BR476" s="59"/>
      <c r="BS476" s="58" t="str">
        <f t="shared" si="265"/>
        <v/>
      </c>
      <c r="BT476" s="59"/>
      <c r="BU476" s="58" t="str">
        <f t="shared" si="266"/>
        <v/>
      </c>
      <c r="BV476" s="59"/>
    </row>
    <row r="477" spans="1:74" ht="14.5">
      <c r="A477" s="51" t="s">
        <v>58</v>
      </c>
      <c r="B477" s="52">
        <v>427</v>
      </c>
      <c r="C477" s="52" t="s">
        <v>188</v>
      </c>
      <c r="D477" s="41">
        <f t="shared" si="239"/>
        <v>6</v>
      </c>
      <c r="E477" s="52" t="s">
        <v>158</v>
      </c>
      <c r="F477" s="52" t="s">
        <v>242</v>
      </c>
      <c r="G477" s="52" t="s">
        <v>155</v>
      </c>
      <c r="H477" s="52" t="s">
        <v>432</v>
      </c>
      <c r="I477" s="53">
        <v>45695</v>
      </c>
      <c r="J477" s="108">
        <v>1488</v>
      </c>
      <c r="K477" s="101"/>
      <c r="L477" s="101"/>
      <c r="M477" s="101">
        <f t="shared" si="240"/>
        <v>1488</v>
      </c>
      <c r="N477" s="54">
        <f t="shared" si="241"/>
        <v>1488</v>
      </c>
      <c r="O477" s="101" t="s">
        <v>439</v>
      </c>
      <c r="P477" s="102">
        <f t="shared" si="242"/>
        <v>2.0666666666666669</v>
      </c>
      <c r="Q477" s="102">
        <v>6</v>
      </c>
      <c r="R477" s="99">
        <v>120</v>
      </c>
      <c r="S477" s="55">
        <f t="shared" si="238"/>
        <v>45663</v>
      </c>
      <c r="T477" s="55"/>
      <c r="U477" s="56">
        <f t="shared" ca="1" si="236"/>
        <v>-177</v>
      </c>
      <c r="V477" s="55">
        <f t="shared" si="235"/>
        <v>45679</v>
      </c>
      <c r="W477" s="55"/>
      <c r="X477" s="56">
        <f t="shared" ca="1" si="237"/>
        <v>-161</v>
      </c>
      <c r="Y477" s="55"/>
      <c r="Z477" s="57"/>
      <c r="AA477" s="58" t="str">
        <f t="shared" si="243"/>
        <v>-</v>
      </c>
      <c r="AB477" s="59"/>
      <c r="AC477" s="58" t="str">
        <f t="shared" si="244"/>
        <v/>
      </c>
      <c r="AD477" s="59"/>
      <c r="AE477" s="58" t="str">
        <f t="shared" si="245"/>
        <v/>
      </c>
      <c r="AF477" s="59"/>
      <c r="AG477" s="58" t="str">
        <f t="shared" si="246"/>
        <v/>
      </c>
      <c r="AH477" s="59"/>
      <c r="AI477" s="58" t="str">
        <f t="shared" si="247"/>
        <v/>
      </c>
      <c r="AJ477" s="59"/>
      <c r="AK477" s="58" t="str">
        <f t="shared" si="248"/>
        <v/>
      </c>
      <c r="AL477" s="59"/>
      <c r="AM477" s="58" t="str">
        <f t="shared" si="249"/>
        <v/>
      </c>
      <c r="AN477" s="59"/>
      <c r="AO477" s="58" t="str">
        <f t="shared" si="250"/>
        <v/>
      </c>
      <c r="AP477" s="59"/>
      <c r="AQ477" s="58" t="str">
        <f t="shared" si="251"/>
        <v/>
      </c>
      <c r="AR477" s="59"/>
      <c r="AS477" s="58" t="str">
        <f t="shared" si="252"/>
        <v/>
      </c>
      <c r="AT477" s="59"/>
      <c r="AU477" s="58" t="str">
        <f t="shared" si="253"/>
        <v/>
      </c>
      <c r="AV477" s="59"/>
      <c r="AW477" s="58" t="str">
        <f t="shared" si="254"/>
        <v/>
      </c>
      <c r="AX477" s="59"/>
      <c r="AY477" s="58" t="str">
        <f t="shared" si="255"/>
        <v/>
      </c>
      <c r="AZ477" s="59"/>
      <c r="BA477" s="58">
        <f t="shared" si="256"/>
        <v>1488</v>
      </c>
      <c r="BB477" s="59"/>
      <c r="BC477" s="58" t="str">
        <f t="shared" si="257"/>
        <v/>
      </c>
      <c r="BD477" s="59"/>
      <c r="BE477" s="58" t="str">
        <f t="shared" si="258"/>
        <v/>
      </c>
      <c r="BF477" s="59"/>
      <c r="BG477" s="58" t="str">
        <f t="shared" si="259"/>
        <v/>
      </c>
      <c r="BH477" s="59"/>
      <c r="BI477" s="58" t="str">
        <f t="shared" si="260"/>
        <v/>
      </c>
      <c r="BJ477" s="59"/>
      <c r="BK477" s="58" t="str">
        <f t="shared" si="261"/>
        <v/>
      </c>
      <c r="BL477" s="59"/>
      <c r="BM477" s="58" t="str">
        <f t="shared" si="262"/>
        <v/>
      </c>
      <c r="BN477" s="59"/>
      <c r="BO477" s="58" t="str">
        <f t="shared" si="263"/>
        <v/>
      </c>
      <c r="BP477" s="59"/>
      <c r="BQ477" s="58" t="str">
        <f t="shared" si="264"/>
        <v/>
      </c>
      <c r="BR477" s="59"/>
      <c r="BS477" s="58" t="str">
        <f t="shared" si="265"/>
        <v/>
      </c>
      <c r="BT477" s="59"/>
      <c r="BU477" s="58" t="str">
        <f t="shared" si="266"/>
        <v/>
      </c>
      <c r="BV477" s="59"/>
    </row>
    <row r="478" spans="1:74" ht="14.5">
      <c r="A478" s="51" t="s">
        <v>58</v>
      </c>
      <c r="B478" s="52">
        <v>427</v>
      </c>
      <c r="C478" s="52" t="s">
        <v>188</v>
      </c>
      <c r="D478" s="41">
        <f t="shared" si="239"/>
        <v>6</v>
      </c>
      <c r="E478" s="52" t="s">
        <v>391</v>
      </c>
      <c r="F478" s="52" t="s">
        <v>392</v>
      </c>
      <c r="G478" s="52" t="s">
        <v>393</v>
      </c>
      <c r="H478" s="52" t="s">
        <v>433</v>
      </c>
      <c r="I478" s="53">
        <v>45695</v>
      </c>
      <c r="J478" s="108">
        <v>1572</v>
      </c>
      <c r="K478" s="101"/>
      <c r="L478" s="101"/>
      <c r="M478" s="101">
        <f t="shared" si="240"/>
        <v>1572</v>
      </c>
      <c r="N478" s="54">
        <f t="shared" si="241"/>
        <v>1572</v>
      </c>
      <c r="O478" s="101" t="s">
        <v>443</v>
      </c>
      <c r="P478" s="102">
        <f t="shared" si="242"/>
        <v>3.2749999999999999</v>
      </c>
      <c r="Q478" s="102">
        <v>6</v>
      </c>
      <c r="R478" s="99">
        <v>80</v>
      </c>
      <c r="S478" s="55">
        <f t="shared" si="238"/>
        <v>45663</v>
      </c>
      <c r="T478" s="55"/>
      <c r="U478" s="56">
        <f t="shared" ca="1" si="236"/>
        <v>-177</v>
      </c>
      <c r="V478" s="55">
        <f t="shared" si="235"/>
        <v>45679</v>
      </c>
      <c r="W478" s="55"/>
      <c r="X478" s="56">
        <f t="shared" ca="1" si="237"/>
        <v>-161</v>
      </c>
      <c r="Y478" s="55"/>
      <c r="Z478" s="57"/>
      <c r="AA478" s="58" t="str">
        <f t="shared" si="243"/>
        <v>-</v>
      </c>
      <c r="AB478" s="59"/>
      <c r="AC478" s="58" t="str">
        <f t="shared" si="244"/>
        <v/>
      </c>
      <c r="AD478" s="59"/>
      <c r="AE478" s="58" t="str">
        <f t="shared" si="245"/>
        <v/>
      </c>
      <c r="AF478" s="59"/>
      <c r="AG478" s="58" t="str">
        <f t="shared" si="246"/>
        <v/>
      </c>
      <c r="AH478" s="59"/>
      <c r="AI478" s="58" t="str">
        <f t="shared" si="247"/>
        <v/>
      </c>
      <c r="AJ478" s="59"/>
      <c r="AK478" s="58" t="str">
        <f t="shared" si="248"/>
        <v/>
      </c>
      <c r="AL478" s="59"/>
      <c r="AM478" s="58" t="str">
        <f t="shared" si="249"/>
        <v/>
      </c>
      <c r="AN478" s="59"/>
      <c r="AO478" s="58" t="str">
        <f t="shared" si="250"/>
        <v/>
      </c>
      <c r="AP478" s="59"/>
      <c r="AQ478" s="58" t="str">
        <f t="shared" si="251"/>
        <v/>
      </c>
      <c r="AR478" s="59"/>
      <c r="AS478" s="58" t="str">
        <f t="shared" si="252"/>
        <v/>
      </c>
      <c r="AT478" s="59"/>
      <c r="AU478" s="58" t="str">
        <f t="shared" si="253"/>
        <v/>
      </c>
      <c r="AV478" s="59"/>
      <c r="AW478" s="58" t="str">
        <f t="shared" si="254"/>
        <v/>
      </c>
      <c r="AX478" s="59"/>
      <c r="AY478" s="58" t="str">
        <f t="shared" si="255"/>
        <v/>
      </c>
      <c r="AZ478" s="59"/>
      <c r="BA478" s="58">
        <f t="shared" si="256"/>
        <v>1572</v>
      </c>
      <c r="BB478" s="59"/>
      <c r="BC478" s="58" t="str">
        <f t="shared" si="257"/>
        <v/>
      </c>
      <c r="BD478" s="59"/>
      <c r="BE478" s="58" t="str">
        <f t="shared" si="258"/>
        <v/>
      </c>
      <c r="BF478" s="59"/>
      <c r="BG478" s="58" t="str">
        <f t="shared" si="259"/>
        <v/>
      </c>
      <c r="BH478" s="59"/>
      <c r="BI478" s="58" t="str">
        <f t="shared" si="260"/>
        <v/>
      </c>
      <c r="BJ478" s="59"/>
      <c r="BK478" s="58" t="str">
        <f t="shared" si="261"/>
        <v/>
      </c>
      <c r="BL478" s="59"/>
      <c r="BM478" s="58" t="str">
        <f t="shared" si="262"/>
        <v/>
      </c>
      <c r="BN478" s="59"/>
      <c r="BO478" s="58" t="str">
        <f t="shared" si="263"/>
        <v/>
      </c>
      <c r="BP478" s="59"/>
      <c r="BQ478" s="58" t="str">
        <f t="shared" si="264"/>
        <v/>
      </c>
      <c r="BR478" s="59"/>
      <c r="BS478" s="58" t="str">
        <f t="shared" si="265"/>
        <v/>
      </c>
      <c r="BT478" s="59"/>
      <c r="BU478" s="58" t="str">
        <f t="shared" si="266"/>
        <v/>
      </c>
      <c r="BV478" s="59"/>
    </row>
    <row r="479" spans="1:74" ht="14.5">
      <c r="A479" s="51" t="s">
        <v>446</v>
      </c>
      <c r="B479" s="52" t="s">
        <v>566</v>
      </c>
      <c r="C479" s="52" t="s">
        <v>60</v>
      </c>
      <c r="D479" s="41">
        <f t="shared" si="239"/>
        <v>7</v>
      </c>
      <c r="E479" s="52" t="s">
        <v>187</v>
      </c>
      <c r="F479" s="52" t="s">
        <v>448</v>
      </c>
      <c r="G479" s="52" t="s">
        <v>164</v>
      </c>
      <c r="H479" s="52" t="s">
        <v>449</v>
      </c>
      <c r="I479" s="53">
        <v>45700</v>
      </c>
      <c r="J479" s="108">
        <v>9000</v>
      </c>
      <c r="K479" s="101"/>
      <c r="L479" s="101"/>
      <c r="M479" s="101">
        <f t="shared" si="240"/>
        <v>9000</v>
      </c>
      <c r="N479" s="54">
        <f t="shared" si="241"/>
        <v>9000</v>
      </c>
      <c r="O479" s="101" t="s">
        <v>429</v>
      </c>
      <c r="P479" s="102">
        <f t="shared" si="242"/>
        <v>1.3636363636363635</v>
      </c>
      <c r="Q479" s="102">
        <v>6</v>
      </c>
      <c r="R479" s="99">
        <v>1100</v>
      </c>
      <c r="S479" s="55">
        <f>+I479-(28)</f>
        <v>45672</v>
      </c>
      <c r="T479" s="55"/>
      <c r="U479" s="56">
        <f t="shared" ca="1" si="236"/>
        <v>-168</v>
      </c>
      <c r="V479" s="55">
        <f t="shared" si="235"/>
        <v>45688</v>
      </c>
      <c r="W479" s="55"/>
      <c r="X479" s="56">
        <f t="shared" ca="1" si="237"/>
        <v>-152</v>
      </c>
      <c r="Y479" s="55"/>
      <c r="Z479" s="57"/>
      <c r="AA479" s="58" t="str">
        <f t="shared" si="243"/>
        <v>-</v>
      </c>
      <c r="AB479" s="59"/>
      <c r="AC479" s="58" t="str">
        <f t="shared" si="244"/>
        <v/>
      </c>
      <c r="AD479" s="59"/>
      <c r="AE479" s="58" t="str">
        <f t="shared" si="245"/>
        <v/>
      </c>
      <c r="AF479" s="59"/>
      <c r="AG479" s="58" t="str">
        <f t="shared" si="246"/>
        <v/>
      </c>
      <c r="AH479" s="59"/>
      <c r="AI479" s="58" t="str">
        <f t="shared" si="247"/>
        <v/>
      </c>
      <c r="AJ479" s="59"/>
      <c r="AK479" s="58" t="str">
        <f t="shared" si="248"/>
        <v/>
      </c>
      <c r="AL479" s="59"/>
      <c r="AM479" s="58" t="str">
        <f t="shared" si="249"/>
        <v/>
      </c>
      <c r="AN479" s="59"/>
      <c r="AO479" s="58" t="str">
        <f t="shared" si="250"/>
        <v/>
      </c>
      <c r="AP479" s="59"/>
      <c r="AQ479" s="58" t="str">
        <f t="shared" si="251"/>
        <v/>
      </c>
      <c r="AR479" s="59"/>
      <c r="AS479" s="58" t="str">
        <f t="shared" si="252"/>
        <v/>
      </c>
      <c r="AT479" s="59"/>
      <c r="AU479" s="58" t="str">
        <f t="shared" si="253"/>
        <v/>
      </c>
      <c r="AV479" s="59"/>
      <c r="AW479" s="58" t="str">
        <f t="shared" si="254"/>
        <v/>
      </c>
      <c r="AX479" s="59"/>
      <c r="AY479" s="58" t="str">
        <f t="shared" si="255"/>
        <v/>
      </c>
      <c r="AZ479" s="59"/>
      <c r="BA479" s="58" t="str">
        <f t="shared" si="256"/>
        <v/>
      </c>
      <c r="BB479" s="59"/>
      <c r="BC479" s="58">
        <f t="shared" si="257"/>
        <v>9000</v>
      </c>
      <c r="BD479" s="59"/>
      <c r="BE479" s="58" t="str">
        <f t="shared" si="258"/>
        <v/>
      </c>
      <c r="BF479" s="59"/>
      <c r="BG479" s="58" t="str">
        <f t="shared" si="259"/>
        <v/>
      </c>
      <c r="BH479" s="59"/>
      <c r="BI479" s="58" t="str">
        <f t="shared" si="260"/>
        <v/>
      </c>
      <c r="BJ479" s="59"/>
      <c r="BK479" s="58" t="str">
        <f t="shared" si="261"/>
        <v/>
      </c>
      <c r="BL479" s="59"/>
      <c r="BM479" s="58" t="str">
        <f t="shared" si="262"/>
        <v/>
      </c>
      <c r="BN479" s="59"/>
      <c r="BO479" s="58" t="str">
        <f t="shared" si="263"/>
        <v/>
      </c>
      <c r="BP479" s="59"/>
      <c r="BQ479" s="58" t="str">
        <f t="shared" si="264"/>
        <v/>
      </c>
      <c r="BR479" s="59"/>
      <c r="BS479" s="58" t="str">
        <f t="shared" si="265"/>
        <v/>
      </c>
      <c r="BT479" s="59"/>
      <c r="BU479" s="58" t="str">
        <f t="shared" si="266"/>
        <v/>
      </c>
      <c r="BV479" s="59"/>
    </row>
    <row r="480" spans="1:74" ht="14.5">
      <c r="A480" s="51" t="s">
        <v>446</v>
      </c>
      <c r="B480" s="52" t="s">
        <v>566</v>
      </c>
      <c r="C480" s="52" t="s">
        <v>60</v>
      </c>
      <c r="D480" s="41">
        <f t="shared" si="239"/>
        <v>7</v>
      </c>
      <c r="E480" s="52" t="s">
        <v>187</v>
      </c>
      <c r="F480" s="52" t="s">
        <v>448</v>
      </c>
      <c r="G480" s="52" t="s">
        <v>155</v>
      </c>
      <c r="H480" s="52" t="s">
        <v>449</v>
      </c>
      <c r="I480" s="53">
        <v>45700</v>
      </c>
      <c r="J480" s="108">
        <v>9000</v>
      </c>
      <c r="K480" s="101"/>
      <c r="L480" s="101"/>
      <c r="M480" s="101">
        <f t="shared" si="240"/>
        <v>9000</v>
      </c>
      <c r="N480" s="54">
        <f t="shared" si="241"/>
        <v>9000</v>
      </c>
      <c r="O480" s="101" t="s">
        <v>429</v>
      </c>
      <c r="P480" s="102">
        <f t="shared" si="242"/>
        <v>1.3636363636363635</v>
      </c>
      <c r="Q480" s="102">
        <v>6</v>
      </c>
      <c r="R480" s="99">
        <v>1100</v>
      </c>
      <c r="S480" s="55">
        <f>+I480-(28)</f>
        <v>45672</v>
      </c>
      <c r="T480" s="55"/>
      <c r="U480" s="56">
        <f t="shared" ca="1" si="236"/>
        <v>-168</v>
      </c>
      <c r="V480" s="55">
        <f t="shared" si="235"/>
        <v>45688</v>
      </c>
      <c r="W480" s="55"/>
      <c r="X480" s="56">
        <f t="shared" ca="1" si="237"/>
        <v>-152</v>
      </c>
      <c r="Y480" s="55"/>
      <c r="Z480" s="57"/>
      <c r="AA480" s="58" t="str">
        <f t="shared" si="243"/>
        <v>-</v>
      </c>
      <c r="AB480" s="59"/>
      <c r="AC480" s="58" t="str">
        <f t="shared" si="244"/>
        <v/>
      </c>
      <c r="AD480" s="59"/>
      <c r="AE480" s="58" t="str">
        <f t="shared" si="245"/>
        <v/>
      </c>
      <c r="AF480" s="59"/>
      <c r="AG480" s="58" t="str">
        <f t="shared" si="246"/>
        <v/>
      </c>
      <c r="AH480" s="59"/>
      <c r="AI480" s="58" t="str">
        <f t="shared" si="247"/>
        <v/>
      </c>
      <c r="AJ480" s="59"/>
      <c r="AK480" s="58" t="str">
        <f t="shared" si="248"/>
        <v/>
      </c>
      <c r="AL480" s="59"/>
      <c r="AM480" s="58" t="str">
        <f t="shared" si="249"/>
        <v/>
      </c>
      <c r="AN480" s="59"/>
      <c r="AO480" s="58" t="str">
        <f t="shared" si="250"/>
        <v/>
      </c>
      <c r="AP480" s="59"/>
      <c r="AQ480" s="58" t="str">
        <f t="shared" si="251"/>
        <v/>
      </c>
      <c r="AR480" s="59"/>
      <c r="AS480" s="58" t="str">
        <f t="shared" si="252"/>
        <v/>
      </c>
      <c r="AT480" s="59"/>
      <c r="AU480" s="58" t="str">
        <f t="shared" si="253"/>
        <v/>
      </c>
      <c r="AV480" s="59"/>
      <c r="AW480" s="58" t="str">
        <f t="shared" si="254"/>
        <v/>
      </c>
      <c r="AX480" s="59"/>
      <c r="AY480" s="58" t="str">
        <f t="shared" si="255"/>
        <v/>
      </c>
      <c r="AZ480" s="59"/>
      <c r="BA480" s="58" t="str">
        <f t="shared" si="256"/>
        <v/>
      </c>
      <c r="BB480" s="59"/>
      <c r="BC480" s="58">
        <f t="shared" si="257"/>
        <v>9000</v>
      </c>
      <c r="BD480" s="59"/>
      <c r="BE480" s="58" t="str">
        <f t="shared" si="258"/>
        <v/>
      </c>
      <c r="BF480" s="59"/>
      <c r="BG480" s="58" t="str">
        <f t="shared" si="259"/>
        <v/>
      </c>
      <c r="BH480" s="59"/>
      <c r="BI480" s="58" t="str">
        <f t="shared" si="260"/>
        <v/>
      </c>
      <c r="BJ480" s="59"/>
      <c r="BK480" s="58" t="str">
        <f t="shared" si="261"/>
        <v/>
      </c>
      <c r="BL480" s="59"/>
      <c r="BM480" s="58" t="str">
        <f t="shared" si="262"/>
        <v/>
      </c>
      <c r="BN480" s="59"/>
      <c r="BO480" s="58" t="str">
        <f t="shared" si="263"/>
        <v/>
      </c>
      <c r="BP480" s="59"/>
      <c r="BQ480" s="58" t="str">
        <f t="shared" si="264"/>
        <v/>
      </c>
      <c r="BR480" s="59"/>
      <c r="BS480" s="58" t="str">
        <f t="shared" si="265"/>
        <v/>
      </c>
      <c r="BT480" s="59"/>
      <c r="BU480" s="58" t="str">
        <f t="shared" si="266"/>
        <v/>
      </c>
      <c r="BV480" s="59"/>
    </row>
    <row r="481" spans="1:74" ht="14.5">
      <c r="A481" s="51" t="s">
        <v>446</v>
      </c>
      <c r="B481" s="52" t="s">
        <v>566</v>
      </c>
      <c r="C481" s="52" t="s">
        <v>60</v>
      </c>
      <c r="D481" s="41">
        <f t="shared" si="239"/>
        <v>7</v>
      </c>
      <c r="E481" s="52" t="s">
        <v>187</v>
      </c>
      <c r="F481" s="52" t="s">
        <v>448</v>
      </c>
      <c r="G481" s="52" t="s">
        <v>450</v>
      </c>
      <c r="H481" s="52" t="s">
        <v>449</v>
      </c>
      <c r="I481" s="53">
        <v>45700</v>
      </c>
      <c r="J481" s="108">
        <v>6000</v>
      </c>
      <c r="K481" s="101"/>
      <c r="L481" s="101"/>
      <c r="M481" s="101">
        <f t="shared" si="240"/>
        <v>6000</v>
      </c>
      <c r="N481" s="54">
        <f t="shared" si="241"/>
        <v>6000</v>
      </c>
      <c r="O481" s="101" t="s">
        <v>429</v>
      </c>
      <c r="P481" s="102">
        <f t="shared" si="242"/>
        <v>0.90909090909090906</v>
      </c>
      <c r="Q481" s="102">
        <v>6</v>
      </c>
      <c r="R481" s="99">
        <v>1100</v>
      </c>
      <c r="S481" s="55">
        <f>+I481-(28)</f>
        <v>45672</v>
      </c>
      <c r="T481" s="55"/>
      <c r="U481" s="56">
        <f t="shared" ca="1" si="236"/>
        <v>-168</v>
      </c>
      <c r="V481" s="55">
        <f t="shared" si="235"/>
        <v>45688</v>
      </c>
      <c r="W481" s="55"/>
      <c r="X481" s="56">
        <f t="shared" ca="1" si="237"/>
        <v>-152</v>
      </c>
      <c r="Y481" s="55"/>
      <c r="Z481" s="57"/>
      <c r="AA481" s="58" t="str">
        <f t="shared" si="243"/>
        <v>-</v>
      </c>
      <c r="AB481" s="59"/>
      <c r="AC481" s="58" t="str">
        <f t="shared" si="244"/>
        <v/>
      </c>
      <c r="AD481" s="59"/>
      <c r="AE481" s="58" t="str">
        <f t="shared" si="245"/>
        <v/>
      </c>
      <c r="AF481" s="59"/>
      <c r="AG481" s="58" t="str">
        <f t="shared" si="246"/>
        <v/>
      </c>
      <c r="AH481" s="59"/>
      <c r="AI481" s="58" t="str">
        <f t="shared" si="247"/>
        <v/>
      </c>
      <c r="AJ481" s="59"/>
      <c r="AK481" s="58" t="str">
        <f t="shared" si="248"/>
        <v/>
      </c>
      <c r="AL481" s="59"/>
      <c r="AM481" s="58" t="str">
        <f t="shared" si="249"/>
        <v/>
      </c>
      <c r="AN481" s="59"/>
      <c r="AO481" s="58" t="str">
        <f t="shared" si="250"/>
        <v/>
      </c>
      <c r="AP481" s="59"/>
      <c r="AQ481" s="58" t="str">
        <f t="shared" si="251"/>
        <v/>
      </c>
      <c r="AR481" s="59"/>
      <c r="AS481" s="58" t="str">
        <f t="shared" si="252"/>
        <v/>
      </c>
      <c r="AT481" s="59"/>
      <c r="AU481" s="58" t="str">
        <f t="shared" si="253"/>
        <v/>
      </c>
      <c r="AV481" s="59"/>
      <c r="AW481" s="58" t="str">
        <f t="shared" si="254"/>
        <v/>
      </c>
      <c r="AX481" s="59"/>
      <c r="AY481" s="58" t="str">
        <f t="shared" si="255"/>
        <v/>
      </c>
      <c r="AZ481" s="59"/>
      <c r="BA481" s="58" t="str">
        <f t="shared" si="256"/>
        <v/>
      </c>
      <c r="BB481" s="59"/>
      <c r="BC481" s="58">
        <f t="shared" si="257"/>
        <v>6000</v>
      </c>
      <c r="BD481" s="59"/>
      <c r="BE481" s="58" t="str">
        <f t="shared" si="258"/>
        <v/>
      </c>
      <c r="BF481" s="59"/>
      <c r="BG481" s="58" t="str">
        <f t="shared" si="259"/>
        <v/>
      </c>
      <c r="BH481" s="59"/>
      <c r="BI481" s="58" t="str">
        <f t="shared" si="260"/>
        <v/>
      </c>
      <c r="BJ481" s="59"/>
      <c r="BK481" s="58" t="str">
        <f t="shared" si="261"/>
        <v/>
      </c>
      <c r="BL481" s="59"/>
      <c r="BM481" s="58" t="str">
        <f t="shared" si="262"/>
        <v/>
      </c>
      <c r="BN481" s="59"/>
      <c r="BO481" s="58" t="str">
        <f t="shared" si="263"/>
        <v/>
      </c>
      <c r="BP481" s="59"/>
      <c r="BQ481" s="58" t="str">
        <f t="shared" si="264"/>
        <v/>
      </c>
      <c r="BR481" s="59"/>
      <c r="BS481" s="58" t="str">
        <f t="shared" si="265"/>
        <v/>
      </c>
      <c r="BT481" s="59"/>
      <c r="BU481" s="58" t="str">
        <f t="shared" si="266"/>
        <v/>
      </c>
      <c r="BV481" s="59"/>
    </row>
    <row r="482" spans="1:74" ht="14.5">
      <c r="A482" s="51" t="s">
        <v>58</v>
      </c>
      <c r="B482" s="52">
        <v>384</v>
      </c>
      <c r="C482" s="52" t="s">
        <v>188</v>
      </c>
      <c r="D482" s="41">
        <f t="shared" si="239"/>
        <v>7</v>
      </c>
      <c r="E482" s="52" t="s">
        <v>193</v>
      </c>
      <c r="F482" s="52" t="s">
        <v>300</v>
      </c>
      <c r="G482" s="52" t="s">
        <v>162</v>
      </c>
      <c r="H482" s="52" t="s">
        <v>440</v>
      </c>
      <c r="I482" s="53">
        <v>45702</v>
      </c>
      <c r="J482" s="108">
        <v>1045</v>
      </c>
      <c r="K482" s="101"/>
      <c r="L482" s="101"/>
      <c r="M482" s="101">
        <f t="shared" si="240"/>
        <v>1045</v>
      </c>
      <c r="N482" s="54">
        <f t="shared" si="241"/>
        <v>1045</v>
      </c>
      <c r="O482" s="101" t="s">
        <v>178</v>
      </c>
      <c r="P482" s="102">
        <f t="shared" si="242"/>
        <v>1.4513888888888888</v>
      </c>
      <c r="Q482" s="102">
        <v>6</v>
      </c>
      <c r="R482" s="99">
        <v>120</v>
      </c>
      <c r="S482" s="55">
        <f t="shared" ref="S482:S509" si="267">+I482-(32)</f>
        <v>45670</v>
      </c>
      <c r="T482" s="55"/>
      <c r="U482" s="56">
        <f t="shared" ca="1" si="236"/>
        <v>-170</v>
      </c>
      <c r="V482" s="55">
        <f t="shared" si="235"/>
        <v>45686</v>
      </c>
      <c r="W482" s="55"/>
      <c r="X482" s="56">
        <f t="shared" ca="1" si="237"/>
        <v>-154</v>
      </c>
      <c r="Y482" s="55"/>
      <c r="Z482" s="57"/>
      <c r="AA482" s="58" t="str">
        <f t="shared" si="243"/>
        <v>-</v>
      </c>
      <c r="AB482" s="59"/>
      <c r="AC482" s="58" t="str">
        <f t="shared" si="244"/>
        <v/>
      </c>
      <c r="AD482" s="59"/>
      <c r="AE482" s="58" t="str">
        <f t="shared" si="245"/>
        <v/>
      </c>
      <c r="AF482" s="59"/>
      <c r="AG482" s="58" t="str">
        <f t="shared" si="246"/>
        <v/>
      </c>
      <c r="AH482" s="59"/>
      <c r="AI482" s="58" t="str">
        <f t="shared" si="247"/>
        <v/>
      </c>
      <c r="AJ482" s="59"/>
      <c r="AK482" s="58" t="str">
        <f t="shared" si="248"/>
        <v/>
      </c>
      <c r="AL482" s="59"/>
      <c r="AM482" s="58" t="str">
        <f t="shared" si="249"/>
        <v/>
      </c>
      <c r="AN482" s="59"/>
      <c r="AO482" s="58" t="str">
        <f t="shared" si="250"/>
        <v/>
      </c>
      <c r="AP482" s="59"/>
      <c r="AQ482" s="58" t="str">
        <f t="shared" si="251"/>
        <v/>
      </c>
      <c r="AR482" s="59"/>
      <c r="AS482" s="58" t="str">
        <f t="shared" si="252"/>
        <v/>
      </c>
      <c r="AT482" s="59"/>
      <c r="AU482" s="58" t="str">
        <f t="shared" si="253"/>
        <v/>
      </c>
      <c r="AV482" s="59"/>
      <c r="AW482" s="58" t="str">
        <f t="shared" si="254"/>
        <v/>
      </c>
      <c r="AX482" s="59"/>
      <c r="AY482" s="58" t="str">
        <f t="shared" si="255"/>
        <v/>
      </c>
      <c r="AZ482" s="59"/>
      <c r="BA482" s="58" t="str">
        <f t="shared" si="256"/>
        <v/>
      </c>
      <c r="BB482" s="59"/>
      <c r="BC482" s="58">
        <f t="shared" si="257"/>
        <v>1045</v>
      </c>
      <c r="BD482" s="59"/>
      <c r="BE482" s="58" t="str">
        <f t="shared" si="258"/>
        <v/>
      </c>
      <c r="BF482" s="59"/>
      <c r="BG482" s="58" t="str">
        <f t="shared" si="259"/>
        <v/>
      </c>
      <c r="BH482" s="59"/>
      <c r="BI482" s="58" t="str">
        <f t="shared" si="260"/>
        <v/>
      </c>
      <c r="BJ482" s="59"/>
      <c r="BK482" s="58" t="str">
        <f t="shared" si="261"/>
        <v/>
      </c>
      <c r="BL482" s="59"/>
      <c r="BM482" s="58" t="str">
        <f t="shared" si="262"/>
        <v/>
      </c>
      <c r="BN482" s="59"/>
      <c r="BO482" s="58" t="str">
        <f t="shared" si="263"/>
        <v/>
      </c>
      <c r="BP482" s="59"/>
      <c r="BQ482" s="58" t="str">
        <f t="shared" si="264"/>
        <v/>
      </c>
      <c r="BR482" s="59"/>
      <c r="BS482" s="58" t="str">
        <f t="shared" si="265"/>
        <v/>
      </c>
      <c r="BT482" s="59"/>
      <c r="BU482" s="58" t="str">
        <f t="shared" si="266"/>
        <v/>
      </c>
      <c r="BV482" s="59"/>
    </row>
    <row r="483" spans="1:74" ht="14.5">
      <c r="A483" s="51" t="s">
        <v>58</v>
      </c>
      <c r="B483" s="52">
        <v>384</v>
      </c>
      <c r="C483" s="52" t="s">
        <v>188</v>
      </c>
      <c r="D483" s="41">
        <f t="shared" si="239"/>
        <v>7</v>
      </c>
      <c r="E483" s="52" t="s">
        <v>391</v>
      </c>
      <c r="F483" s="52" t="s">
        <v>392</v>
      </c>
      <c r="G483" s="52" t="s">
        <v>393</v>
      </c>
      <c r="H483" s="52" t="s">
        <v>433</v>
      </c>
      <c r="I483" s="53">
        <v>45702</v>
      </c>
      <c r="J483" s="108">
        <v>1488</v>
      </c>
      <c r="K483" s="101"/>
      <c r="L483" s="101"/>
      <c r="M483" s="101">
        <f t="shared" si="240"/>
        <v>1488</v>
      </c>
      <c r="N483" s="54">
        <f t="shared" si="241"/>
        <v>1488</v>
      </c>
      <c r="O483" s="101" t="s">
        <v>443</v>
      </c>
      <c r="P483" s="102">
        <f t="shared" si="242"/>
        <v>3.1</v>
      </c>
      <c r="Q483" s="102">
        <v>6</v>
      </c>
      <c r="R483" s="99">
        <v>80</v>
      </c>
      <c r="S483" s="55">
        <f t="shared" si="267"/>
        <v>45670</v>
      </c>
      <c r="T483" s="55"/>
      <c r="U483" s="56">
        <f t="shared" ca="1" si="236"/>
        <v>-170</v>
      </c>
      <c r="V483" s="55">
        <f t="shared" si="235"/>
        <v>45686</v>
      </c>
      <c r="W483" s="55"/>
      <c r="X483" s="56">
        <f t="shared" ca="1" si="237"/>
        <v>-154</v>
      </c>
      <c r="Y483" s="55"/>
      <c r="Z483" s="57"/>
      <c r="AA483" s="58" t="str">
        <f t="shared" si="243"/>
        <v>-</v>
      </c>
      <c r="AB483" s="59"/>
      <c r="AC483" s="58" t="str">
        <f t="shared" si="244"/>
        <v/>
      </c>
      <c r="AD483" s="59"/>
      <c r="AE483" s="58" t="str">
        <f t="shared" si="245"/>
        <v/>
      </c>
      <c r="AF483" s="59"/>
      <c r="AG483" s="58" t="str">
        <f t="shared" si="246"/>
        <v/>
      </c>
      <c r="AH483" s="59"/>
      <c r="AI483" s="58" t="str">
        <f t="shared" si="247"/>
        <v/>
      </c>
      <c r="AJ483" s="59"/>
      <c r="AK483" s="58" t="str">
        <f t="shared" si="248"/>
        <v/>
      </c>
      <c r="AL483" s="59"/>
      <c r="AM483" s="58" t="str">
        <f t="shared" si="249"/>
        <v/>
      </c>
      <c r="AN483" s="59"/>
      <c r="AO483" s="58" t="str">
        <f t="shared" si="250"/>
        <v/>
      </c>
      <c r="AP483" s="59"/>
      <c r="AQ483" s="58" t="str">
        <f t="shared" si="251"/>
        <v/>
      </c>
      <c r="AR483" s="59"/>
      <c r="AS483" s="58" t="str">
        <f t="shared" si="252"/>
        <v/>
      </c>
      <c r="AT483" s="59"/>
      <c r="AU483" s="58" t="str">
        <f t="shared" si="253"/>
        <v/>
      </c>
      <c r="AV483" s="59"/>
      <c r="AW483" s="58" t="str">
        <f t="shared" si="254"/>
        <v/>
      </c>
      <c r="AX483" s="59"/>
      <c r="AY483" s="58" t="str">
        <f t="shared" si="255"/>
        <v/>
      </c>
      <c r="AZ483" s="59"/>
      <c r="BA483" s="58" t="str">
        <f t="shared" si="256"/>
        <v/>
      </c>
      <c r="BB483" s="59"/>
      <c r="BC483" s="58">
        <f t="shared" si="257"/>
        <v>1488</v>
      </c>
      <c r="BD483" s="59"/>
      <c r="BE483" s="58" t="str">
        <f t="shared" si="258"/>
        <v/>
      </c>
      <c r="BF483" s="59"/>
      <c r="BG483" s="58" t="str">
        <f t="shared" si="259"/>
        <v/>
      </c>
      <c r="BH483" s="59"/>
      <c r="BI483" s="58" t="str">
        <f t="shared" si="260"/>
        <v/>
      </c>
      <c r="BJ483" s="59"/>
      <c r="BK483" s="58" t="str">
        <f t="shared" si="261"/>
        <v/>
      </c>
      <c r="BL483" s="59"/>
      <c r="BM483" s="58" t="str">
        <f t="shared" si="262"/>
        <v/>
      </c>
      <c r="BN483" s="59"/>
      <c r="BO483" s="58" t="str">
        <f t="shared" si="263"/>
        <v/>
      </c>
      <c r="BP483" s="59"/>
      <c r="BQ483" s="58" t="str">
        <f t="shared" si="264"/>
        <v/>
      </c>
      <c r="BR483" s="59"/>
      <c r="BS483" s="58" t="str">
        <f t="shared" si="265"/>
        <v/>
      </c>
      <c r="BT483" s="59"/>
      <c r="BU483" s="58" t="str">
        <f t="shared" si="266"/>
        <v/>
      </c>
      <c r="BV483" s="59"/>
    </row>
    <row r="484" spans="1:74" ht="14.5">
      <c r="A484" s="51" t="s">
        <v>58</v>
      </c>
      <c r="B484" s="52">
        <v>384</v>
      </c>
      <c r="C484" s="52" t="s">
        <v>188</v>
      </c>
      <c r="D484" s="41">
        <f t="shared" si="239"/>
        <v>7</v>
      </c>
      <c r="E484" s="52" t="s">
        <v>158</v>
      </c>
      <c r="F484" s="52" t="s">
        <v>242</v>
      </c>
      <c r="G484" s="52" t="s">
        <v>156</v>
      </c>
      <c r="H484" s="52" t="s">
        <v>432</v>
      </c>
      <c r="I484" s="53">
        <v>45702</v>
      </c>
      <c r="J484" s="108">
        <v>1336</v>
      </c>
      <c r="K484" s="101"/>
      <c r="L484" s="101"/>
      <c r="M484" s="101">
        <f t="shared" si="240"/>
        <v>1336</v>
      </c>
      <c r="N484" s="54">
        <f t="shared" si="241"/>
        <v>1336</v>
      </c>
      <c r="O484" s="101" t="s">
        <v>439</v>
      </c>
      <c r="P484" s="102">
        <f t="shared" si="242"/>
        <v>1.8555555555555556</v>
      </c>
      <c r="Q484" s="102">
        <v>6</v>
      </c>
      <c r="R484" s="99">
        <v>120</v>
      </c>
      <c r="S484" s="55">
        <f t="shared" si="267"/>
        <v>45670</v>
      </c>
      <c r="T484" s="55"/>
      <c r="U484" s="56">
        <f t="shared" ca="1" si="236"/>
        <v>-170</v>
      </c>
      <c r="V484" s="55">
        <f t="shared" si="235"/>
        <v>45686</v>
      </c>
      <c r="W484" s="55"/>
      <c r="X484" s="56">
        <f t="shared" ca="1" si="237"/>
        <v>-154</v>
      </c>
      <c r="Y484" s="55"/>
      <c r="Z484" s="57"/>
      <c r="AA484" s="58" t="str">
        <f t="shared" si="243"/>
        <v>-</v>
      </c>
      <c r="AB484" s="59"/>
      <c r="AC484" s="58" t="str">
        <f t="shared" si="244"/>
        <v/>
      </c>
      <c r="AD484" s="59"/>
      <c r="AE484" s="58" t="str">
        <f t="shared" si="245"/>
        <v/>
      </c>
      <c r="AF484" s="59"/>
      <c r="AG484" s="58" t="str">
        <f t="shared" si="246"/>
        <v/>
      </c>
      <c r="AH484" s="59"/>
      <c r="AI484" s="58" t="str">
        <f t="shared" si="247"/>
        <v/>
      </c>
      <c r="AJ484" s="59"/>
      <c r="AK484" s="58" t="str">
        <f t="shared" si="248"/>
        <v/>
      </c>
      <c r="AL484" s="59"/>
      <c r="AM484" s="58" t="str">
        <f t="shared" si="249"/>
        <v/>
      </c>
      <c r="AN484" s="59"/>
      <c r="AO484" s="58" t="str">
        <f t="shared" si="250"/>
        <v/>
      </c>
      <c r="AP484" s="59"/>
      <c r="AQ484" s="58" t="str">
        <f t="shared" si="251"/>
        <v/>
      </c>
      <c r="AR484" s="59"/>
      <c r="AS484" s="58" t="str">
        <f t="shared" si="252"/>
        <v/>
      </c>
      <c r="AT484" s="59"/>
      <c r="AU484" s="58" t="str">
        <f t="shared" si="253"/>
        <v/>
      </c>
      <c r="AV484" s="59"/>
      <c r="AW484" s="58" t="str">
        <f t="shared" si="254"/>
        <v/>
      </c>
      <c r="AX484" s="59"/>
      <c r="AY484" s="58" t="str">
        <f t="shared" si="255"/>
        <v/>
      </c>
      <c r="AZ484" s="59"/>
      <c r="BA484" s="58" t="str">
        <f t="shared" si="256"/>
        <v/>
      </c>
      <c r="BB484" s="59"/>
      <c r="BC484" s="58">
        <f t="shared" si="257"/>
        <v>1336</v>
      </c>
      <c r="BD484" s="59"/>
      <c r="BE484" s="58" t="str">
        <f t="shared" si="258"/>
        <v/>
      </c>
      <c r="BF484" s="59"/>
      <c r="BG484" s="58" t="str">
        <f t="shared" si="259"/>
        <v/>
      </c>
      <c r="BH484" s="59"/>
      <c r="BI484" s="58" t="str">
        <f t="shared" si="260"/>
        <v/>
      </c>
      <c r="BJ484" s="59"/>
      <c r="BK484" s="58" t="str">
        <f t="shared" si="261"/>
        <v/>
      </c>
      <c r="BL484" s="59"/>
      <c r="BM484" s="58" t="str">
        <f t="shared" si="262"/>
        <v/>
      </c>
      <c r="BN484" s="59"/>
      <c r="BO484" s="58" t="str">
        <f t="shared" si="263"/>
        <v/>
      </c>
      <c r="BP484" s="59"/>
      <c r="BQ484" s="58" t="str">
        <f t="shared" si="264"/>
        <v/>
      </c>
      <c r="BR484" s="59"/>
      <c r="BS484" s="58" t="str">
        <f t="shared" si="265"/>
        <v/>
      </c>
      <c r="BT484" s="59"/>
      <c r="BU484" s="58" t="str">
        <f t="shared" si="266"/>
        <v/>
      </c>
      <c r="BV484" s="59"/>
    </row>
    <row r="485" spans="1:74" ht="14.5">
      <c r="A485" s="51" t="s">
        <v>58</v>
      </c>
      <c r="B485" s="52">
        <v>384</v>
      </c>
      <c r="C485" s="52" t="s">
        <v>188</v>
      </c>
      <c r="D485" s="41">
        <f t="shared" si="239"/>
        <v>7</v>
      </c>
      <c r="E485" s="52" t="s">
        <v>190</v>
      </c>
      <c r="F485" s="52" t="s">
        <v>242</v>
      </c>
      <c r="G485" s="52" t="s">
        <v>244</v>
      </c>
      <c r="H485" s="52" t="s">
        <v>438</v>
      </c>
      <c r="I485" s="53">
        <v>45702</v>
      </c>
      <c r="J485" s="108">
        <v>1336</v>
      </c>
      <c r="K485" s="101"/>
      <c r="L485" s="101"/>
      <c r="M485" s="101">
        <f t="shared" si="240"/>
        <v>1336</v>
      </c>
      <c r="N485" s="54">
        <f t="shared" si="241"/>
        <v>1336</v>
      </c>
      <c r="O485" s="101" t="s">
        <v>439</v>
      </c>
      <c r="P485" s="102">
        <f t="shared" si="242"/>
        <v>1.8555555555555556</v>
      </c>
      <c r="Q485" s="102">
        <v>6</v>
      </c>
      <c r="R485" s="99">
        <v>120</v>
      </c>
      <c r="S485" s="55">
        <f t="shared" si="267"/>
        <v>45670</v>
      </c>
      <c r="T485" s="55"/>
      <c r="U485" s="56">
        <f t="shared" ca="1" si="236"/>
        <v>-170</v>
      </c>
      <c r="V485" s="55">
        <f t="shared" si="235"/>
        <v>45686</v>
      </c>
      <c r="W485" s="55"/>
      <c r="X485" s="56">
        <f t="shared" ca="1" si="237"/>
        <v>-154</v>
      </c>
      <c r="Y485" s="55"/>
      <c r="Z485" s="57"/>
      <c r="AA485" s="58" t="str">
        <f t="shared" si="243"/>
        <v>-</v>
      </c>
      <c r="AB485" s="59"/>
      <c r="AC485" s="58" t="str">
        <f t="shared" si="244"/>
        <v/>
      </c>
      <c r="AD485" s="59"/>
      <c r="AE485" s="58" t="str">
        <f t="shared" si="245"/>
        <v/>
      </c>
      <c r="AF485" s="59"/>
      <c r="AG485" s="58" t="str">
        <f t="shared" si="246"/>
        <v/>
      </c>
      <c r="AH485" s="59"/>
      <c r="AI485" s="58" t="str">
        <f t="shared" si="247"/>
        <v/>
      </c>
      <c r="AJ485" s="59"/>
      <c r="AK485" s="58" t="str">
        <f t="shared" si="248"/>
        <v/>
      </c>
      <c r="AL485" s="59"/>
      <c r="AM485" s="58" t="str">
        <f t="shared" si="249"/>
        <v/>
      </c>
      <c r="AN485" s="59"/>
      <c r="AO485" s="58" t="str">
        <f t="shared" si="250"/>
        <v/>
      </c>
      <c r="AP485" s="59"/>
      <c r="AQ485" s="58" t="str">
        <f t="shared" si="251"/>
        <v/>
      </c>
      <c r="AR485" s="59"/>
      <c r="AS485" s="58" t="str">
        <f t="shared" si="252"/>
        <v/>
      </c>
      <c r="AT485" s="59"/>
      <c r="AU485" s="58" t="str">
        <f t="shared" si="253"/>
        <v/>
      </c>
      <c r="AV485" s="59"/>
      <c r="AW485" s="58" t="str">
        <f t="shared" si="254"/>
        <v/>
      </c>
      <c r="AX485" s="59"/>
      <c r="AY485" s="58" t="str">
        <f t="shared" si="255"/>
        <v/>
      </c>
      <c r="AZ485" s="59"/>
      <c r="BA485" s="58" t="str">
        <f t="shared" si="256"/>
        <v/>
      </c>
      <c r="BB485" s="59"/>
      <c r="BC485" s="58">
        <f t="shared" si="257"/>
        <v>1336</v>
      </c>
      <c r="BD485" s="59"/>
      <c r="BE485" s="58" t="str">
        <f t="shared" si="258"/>
        <v/>
      </c>
      <c r="BF485" s="59"/>
      <c r="BG485" s="58" t="str">
        <f t="shared" si="259"/>
        <v/>
      </c>
      <c r="BH485" s="59"/>
      <c r="BI485" s="58" t="str">
        <f t="shared" si="260"/>
        <v/>
      </c>
      <c r="BJ485" s="59"/>
      <c r="BK485" s="58" t="str">
        <f t="shared" si="261"/>
        <v/>
      </c>
      <c r="BL485" s="59"/>
      <c r="BM485" s="58" t="str">
        <f t="shared" si="262"/>
        <v/>
      </c>
      <c r="BN485" s="59"/>
      <c r="BO485" s="58" t="str">
        <f t="shared" si="263"/>
        <v/>
      </c>
      <c r="BP485" s="59"/>
      <c r="BQ485" s="58" t="str">
        <f t="shared" si="264"/>
        <v/>
      </c>
      <c r="BR485" s="59"/>
      <c r="BS485" s="58" t="str">
        <f t="shared" si="265"/>
        <v/>
      </c>
      <c r="BT485" s="59"/>
      <c r="BU485" s="58" t="str">
        <f t="shared" si="266"/>
        <v/>
      </c>
      <c r="BV485" s="59"/>
    </row>
    <row r="486" spans="1:74" ht="14.5">
      <c r="A486" s="51" t="s">
        <v>58</v>
      </c>
      <c r="B486" s="52">
        <v>384</v>
      </c>
      <c r="C486" s="52" t="s">
        <v>188</v>
      </c>
      <c r="D486" s="41">
        <f t="shared" si="239"/>
        <v>7</v>
      </c>
      <c r="E486" s="52" t="s">
        <v>135</v>
      </c>
      <c r="F486" s="52" t="s">
        <v>256</v>
      </c>
      <c r="G486" s="52" t="s">
        <v>451</v>
      </c>
      <c r="H486" s="52" t="s">
        <v>452</v>
      </c>
      <c r="I486" s="53">
        <v>45702</v>
      </c>
      <c r="J486" s="108">
        <v>6800</v>
      </c>
      <c r="K486" s="101"/>
      <c r="L486" s="101"/>
      <c r="M486" s="101">
        <f t="shared" si="240"/>
        <v>6800</v>
      </c>
      <c r="N486" s="54">
        <f t="shared" si="241"/>
        <v>6800</v>
      </c>
      <c r="O486" s="101" t="s">
        <v>178</v>
      </c>
      <c r="P486" s="102">
        <f t="shared" si="242"/>
        <v>3.2380952380952381</v>
      </c>
      <c r="Q486" s="102">
        <v>6</v>
      </c>
      <c r="R486" s="99">
        <v>350</v>
      </c>
      <c r="S486" s="55">
        <f t="shared" si="267"/>
        <v>45670</v>
      </c>
      <c r="T486" s="55"/>
      <c r="U486" s="56">
        <f t="shared" ca="1" si="236"/>
        <v>-170</v>
      </c>
      <c r="V486" s="55">
        <f t="shared" si="235"/>
        <v>45686</v>
      </c>
      <c r="W486" s="55"/>
      <c r="X486" s="56">
        <f t="shared" ca="1" si="237"/>
        <v>-154</v>
      </c>
      <c r="Y486" s="55"/>
      <c r="Z486" s="57"/>
      <c r="AA486" s="58" t="str">
        <f t="shared" si="243"/>
        <v>-</v>
      </c>
      <c r="AB486" s="59"/>
      <c r="AC486" s="58" t="str">
        <f t="shared" si="244"/>
        <v/>
      </c>
      <c r="AD486" s="59"/>
      <c r="AE486" s="58" t="str">
        <f t="shared" si="245"/>
        <v/>
      </c>
      <c r="AF486" s="59"/>
      <c r="AG486" s="58" t="str">
        <f t="shared" si="246"/>
        <v/>
      </c>
      <c r="AH486" s="59"/>
      <c r="AI486" s="58" t="str">
        <f t="shared" si="247"/>
        <v/>
      </c>
      <c r="AJ486" s="59"/>
      <c r="AK486" s="58" t="str">
        <f t="shared" si="248"/>
        <v/>
      </c>
      <c r="AL486" s="59"/>
      <c r="AM486" s="58" t="str">
        <f t="shared" si="249"/>
        <v/>
      </c>
      <c r="AN486" s="59"/>
      <c r="AO486" s="58" t="str">
        <f t="shared" si="250"/>
        <v/>
      </c>
      <c r="AP486" s="59"/>
      <c r="AQ486" s="58" t="str">
        <f t="shared" si="251"/>
        <v/>
      </c>
      <c r="AR486" s="59"/>
      <c r="AS486" s="58" t="str">
        <f t="shared" si="252"/>
        <v/>
      </c>
      <c r="AT486" s="59"/>
      <c r="AU486" s="58" t="str">
        <f t="shared" si="253"/>
        <v/>
      </c>
      <c r="AV486" s="59"/>
      <c r="AW486" s="58" t="str">
        <f t="shared" si="254"/>
        <v/>
      </c>
      <c r="AX486" s="59"/>
      <c r="AY486" s="58" t="str">
        <f t="shared" si="255"/>
        <v/>
      </c>
      <c r="AZ486" s="59"/>
      <c r="BA486" s="58" t="str">
        <f t="shared" si="256"/>
        <v/>
      </c>
      <c r="BB486" s="59"/>
      <c r="BC486" s="58">
        <f t="shared" si="257"/>
        <v>6800</v>
      </c>
      <c r="BD486" s="59"/>
      <c r="BE486" s="58" t="str">
        <f t="shared" si="258"/>
        <v/>
      </c>
      <c r="BF486" s="59"/>
      <c r="BG486" s="58" t="str">
        <f t="shared" si="259"/>
        <v/>
      </c>
      <c r="BH486" s="59"/>
      <c r="BI486" s="58" t="str">
        <f t="shared" si="260"/>
        <v/>
      </c>
      <c r="BJ486" s="59"/>
      <c r="BK486" s="58" t="str">
        <f t="shared" si="261"/>
        <v/>
      </c>
      <c r="BL486" s="59"/>
      <c r="BM486" s="58" t="str">
        <f t="shared" si="262"/>
        <v/>
      </c>
      <c r="BN486" s="59"/>
      <c r="BO486" s="58" t="str">
        <f t="shared" si="263"/>
        <v/>
      </c>
      <c r="BP486" s="59"/>
      <c r="BQ486" s="58" t="str">
        <f t="shared" si="264"/>
        <v/>
      </c>
      <c r="BR486" s="59"/>
      <c r="BS486" s="58" t="str">
        <f t="shared" si="265"/>
        <v/>
      </c>
      <c r="BT486" s="59"/>
      <c r="BU486" s="58" t="str">
        <f t="shared" si="266"/>
        <v/>
      </c>
      <c r="BV486" s="59"/>
    </row>
    <row r="487" spans="1:74" ht="14.5">
      <c r="A487" s="51" t="s">
        <v>58</v>
      </c>
      <c r="B487" s="52">
        <v>385</v>
      </c>
      <c r="C487" s="52" t="s">
        <v>188</v>
      </c>
      <c r="D487" s="41">
        <f t="shared" si="239"/>
        <v>7</v>
      </c>
      <c r="E487" s="52" t="s">
        <v>193</v>
      </c>
      <c r="F487" s="52" t="s">
        <v>300</v>
      </c>
      <c r="G487" s="52" t="s">
        <v>162</v>
      </c>
      <c r="H487" s="52" t="s">
        <v>440</v>
      </c>
      <c r="I487" s="53">
        <v>45702</v>
      </c>
      <c r="J487" s="108">
        <v>1040</v>
      </c>
      <c r="K487" s="101"/>
      <c r="L487" s="101"/>
      <c r="M487" s="101">
        <f t="shared" si="240"/>
        <v>1040</v>
      </c>
      <c r="N487" s="54">
        <f t="shared" si="241"/>
        <v>1040</v>
      </c>
      <c r="O487" s="101" t="s">
        <v>178</v>
      </c>
      <c r="P487" s="102">
        <f t="shared" si="242"/>
        <v>1.4444444444444444</v>
      </c>
      <c r="Q487" s="102">
        <v>6</v>
      </c>
      <c r="R487" s="99">
        <v>120</v>
      </c>
      <c r="S487" s="55">
        <f t="shared" si="267"/>
        <v>45670</v>
      </c>
      <c r="T487" s="55"/>
      <c r="U487" s="56">
        <f t="shared" ca="1" si="236"/>
        <v>-170</v>
      </c>
      <c r="V487" s="55">
        <f t="shared" si="235"/>
        <v>45686</v>
      </c>
      <c r="W487" s="55"/>
      <c r="X487" s="56">
        <f t="shared" ca="1" si="237"/>
        <v>-154</v>
      </c>
      <c r="Y487" s="55"/>
      <c r="Z487" s="57"/>
      <c r="AA487" s="58" t="str">
        <f t="shared" si="243"/>
        <v>-</v>
      </c>
      <c r="AB487" s="59"/>
      <c r="AC487" s="58" t="str">
        <f t="shared" si="244"/>
        <v/>
      </c>
      <c r="AD487" s="59"/>
      <c r="AE487" s="58" t="str">
        <f t="shared" si="245"/>
        <v/>
      </c>
      <c r="AF487" s="59"/>
      <c r="AG487" s="58" t="str">
        <f t="shared" si="246"/>
        <v/>
      </c>
      <c r="AH487" s="59"/>
      <c r="AI487" s="58" t="str">
        <f t="shared" si="247"/>
        <v/>
      </c>
      <c r="AJ487" s="59"/>
      <c r="AK487" s="58" t="str">
        <f t="shared" si="248"/>
        <v/>
      </c>
      <c r="AL487" s="59"/>
      <c r="AM487" s="58" t="str">
        <f t="shared" si="249"/>
        <v/>
      </c>
      <c r="AN487" s="59"/>
      <c r="AO487" s="58" t="str">
        <f t="shared" si="250"/>
        <v/>
      </c>
      <c r="AP487" s="59"/>
      <c r="AQ487" s="58" t="str">
        <f t="shared" si="251"/>
        <v/>
      </c>
      <c r="AR487" s="59"/>
      <c r="AS487" s="58" t="str">
        <f t="shared" si="252"/>
        <v/>
      </c>
      <c r="AT487" s="59"/>
      <c r="AU487" s="58" t="str">
        <f t="shared" si="253"/>
        <v/>
      </c>
      <c r="AV487" s="59"/>
      <c r="AW487" s="58" t="str">
        <f t="shared" si="254"/>
        <v/>
      </c>
      <c r="AX487" s="59"/>
      <c r="AY487" s="58" t="str">
        <f t="shared" si="255"/>
        <v/>
      </c>
      <c r="AZ487" s="59"/>
      <c r="BA487" s="58" t="str">
        <f t="shared" si="256"/>
        <v/>
      </c>
      <c r="BB487" s="59"/>
      <c r="BC487" s="58">
        <f t="shared" si="257"/>
        <v>1040</v>
      </c>
      <c r="BD487" s="59"/>
      <c r="BE487" s="58" t="str">
        <f t="shared" si="258"/>
        <v/>
      </c>
      <c r="BF487" s="59"/>
      <c r="BG487" s="58" t="str">
        <f t="shared" si="259"/>
        <v/>
      </c>
      <c r="BH487" s="59"/>
      <c r="BI487" s="58" t="str">
        <f t="shared" si="260"/>
        <v/>
      </c>
      <c r="BJ487" s="59"/>
      <c r="BK487" s="58" t="str">
        <f t="shared" si="261"/>
        <v/>
      </c>
      <c r="BL487" s="59"/>
      <c r="BM487" s="58" t="str">
        <f t="shared" si="262"/>
        <v/>
      </c>
      <c r="BN487" s="59"/>
      <c r="BO487" s="58" t="str">
        <f t="shared" si="263"/>
        <v/>
      </c>
      <c r="BP487" s="59"/>
      <c r="BQ487" s="58" t="str">
        <f t="shared" si="264"/>
        <v/>
      </c>
      <c r="BR487" s="59"/>
      <c r="BS487" s="58" t="str">
        <f t="shared" si="265"/>
        <v/>
      </c>
      <c r="BT487" s="59"/>
      <c r="BU487" s="58" t="str">
        <f t="shared" si="266"/>
        <v/>
      </c>
      <c r="BV487" s="59"/>
    </row>
    <row r="488" spans="1:74" ht="14.5">
      <c r="A488" s="51" t="s">
        <v>58</v>
      </c>
      <c r="B488" s="52">
        <v>385</v>
      </c>
      <c r="C488" s="52" t="s">
        <v>188</v>
      </c>
      <c r="D488" s="41">
        <f t="shared" si="239"/>
        <v>7</v>
      </c>
      <c r="E488" s="52" t="s">
        <v>201</v>
      </c>
      <c r="F488" s="52" t="s">
        <v>247</v>
      </c>
      <c r="G488" s="52" t="s">
        <v>441</v>
      </c>
      <c r="H488" s="52" t="s">
        <v>442</v>
      </c>
      <c r="I488" s="53">
        <v>45702</v>
      </c>
      <c r="J488" s="108">
        <v>14256</v>
      </c>
      <c r="K488" s="101"/>
      <c r="L488" s="101"/>
      <c r="M488" s="101">
        <f t="shared" si="240"/>
        <v>14256</v>
      </c>
      <c r="N488" s="54">
        <f t="shared" si="241"/>
        <v>14256</v>
      </c>
      <c r="O488" s="101" t="s">
        <v>567</v>
      </c>
      <c r="P488" s="102">
        <f t="shared" si="242"/>
        <v>8.1462857142857139</v>
      </c>
      <c r="Q488" s="102">
        <v>5</v>
      </c>
      <c r="R488" s="99">
        <v>350</v>
      </c>
      <c r="S488" s="55">
        <f t="shared" si="267"/>
        <v>45670</v>
      </c>
      <c r="T488" s="55"/>
      <c r="U488" s="56">
        <f t="shared" ca="1" si="236"/>
        <v>-170</v>
      </c>
      <c r="V488" s="55">
        <f t="shared" si="235"/>
        <v>45686</v>
      </c>
      <c r="W488" s="55"/>
      <c r="X488" s="56">
        <f t="shared" ca="1" si="237"/>
        <v>-154</v>
      </c>
      <c r="Y488" s="55"/>
      <c r="Z488" s="57"/>
      <c r="AA488" s="58" t="str">
        <f t="shared" si="243"/>
        <v>-</v>
      </c>
      <c r="AB488" s="59"/>
      <c r="AC488" s="58" t="str">
        <f t="shared" si="244"/>
        <v/>
      </c>
      <c r="AD488" s="59"/>
      <c r="AE488" s="58" t="str">
        <f t="shared" si="245"/>
        <v/>
      </c>
      <c r="AF488" s="59"/>
      <c r="AG488" s="58" t="str">
        <f t="shared" si="246"/>
        <v/>
      </c>
      <c r="AH488" s="59"/>
      <c r="AI488" s="58" t="str">
        <f t="shared" si="247"/>
        <v/>
      </c>
      <c r="AJ488" s="59"/>
      <c r="AK488" s="58" t="str">
        <f t="shared" si="248"/>
        <v/>
      </c>
      <c r="AL488" s="59"/>
      <c r="AM488" s="58" t="str">
        <f t="shared" si="249"/>
        <v/>
      </c>
      <c r="AN488" s="59"/>
      <c r="AO488" s="58" t="str">
        <f t="shared" si="250"/>
        <v/>
      </c>
      <c r="AP488" s="59"/>
      <c r="AQ488" s="58" t="str">
        <f t="shared" si="251"/>
        <v/>
      </c>
      <c r="AR488" s="59"/>
      <c r="AS488" s="58" t="str">
        <f t="shared" si="252"/>
        <v/>
      </c>
      <c r="AT488" s="59"/>
      <c r="AU488" s="58" t="str">
        <f t="shared" si="253"/>
        <v/>
      </c>
      <c r="AV488" s="59"/>
      <c r="AW488" s="58" t="str">
        <f t="shared" si="254"/>
        <v/>
      </c>
      <c r="AX488" s="59"/>
      <c r="AY488" s="58" t="str">
        <f t="shared" si="255"/>
        <v/>
      </c>
      <c r="AZ488" s="59"/>
      <c r="BA488" s="58" t="str">
        <f t="shared" si="256"/>
        <v/>
      </c>
      <c r="BB488" s="59"/>
      <c r="BC488" s="58">
        <f t="shared" si="257"/>
        <v>14256</v>
      </c>
      <c r="BD488" s="59"/>
      <c r="BE488" s="58" t="str">
        <f t="shared" si="258"/>
        <v/>
      </c>
      <c r="BF488" s="59"/>
      <c r="BG488" s="58" t="str">
        <f t="shared" si="259"/>
        <v/>
      </c>
      <c r="BH488" s="59"/>
      <c r="BI488" s="58" t="str">
        <f t="shared" si="260"/>
        <v/>
      </c>
      <c r="BJ488" s="59"/>
      <c r="BK488" s="58" t="str">
        <f t="shared" si="261"/>
        <v/>
      </c>
      <c r="BL488" s="59"/>
      <c r="BM488" s="58" t="str">
        <f t="shared" si="262"/>
        <v/>
      </c>
      <c r="BN488" s="59"/>
      <c r="BO488" s="58" t="str">
        <f t="shared" si="263"/>
        <v/>
      </c>
      <c r="BP488" s="59"/>
      <c r="BQ488" s="58" t="str">
        <f t="shared" si="264"/>
        <v/>
      </c>
      <c r="BR488" s="59"/>
      <c r="BS488" s="58" t="str">
        <f t="shared" si="265"/>
        <v/>
      </c>
      <c r="BT488" s="59"/>
      <c r="BU488" s="58" t="str">
        <f t="shared" si="266"/>
        <v/>
      </c>
      <c r="BV488" s="59"/>
    </row>
    <row r="489" spans="1:74" ht="14.5">
      <c r="A489" s="51" t="s">
        <v>58</v>
      </c>
      <c r="B489" s="52">
        <v>385</v>
      </c>
      <c r="C489" s="52" t="s">
        <v>188</v>
      </c>
      <c r="D489" s="41">
        <f t="shared" si="239"/>
        <v>7</v>
      </c>
      <c r="E489" s="52" t="s">
        <v>390</v>
      </c>
      <c r="F489" s="52" t="s">
        <v>242</v>
      </c>
      <c r="G489" s="52" t="s">
        <v>162</v>
      </c>
      <c r="H489" s="52" t="s">
        <v>497</v>
      </c>
      <c r="I489" s="53">
        <v>45702</v>
      </c>
      <c r="J489" s="108">
        <v>1932</v>
      </c>
      <c r="K489" s="101"/>
      <c r="L489" s="101"/>
      <c r="M489" s="101">
        <f t="shared" si="240"/>
        <v>1932</v>
      </c>
      <c r="N489" s="54">
        <f t="shared" si="241"/>
        <v>1932</v>
      </c>
      <c r="O489" s="101" t="s">
        <v>431</v>
      </c>
      <c r="P489" s="102">
        <f t="shared" si="242"/>
        <v>2.6833333333333331</v>
      </c>
      <c r="Q489" s="102">
        <v>6</v>
      </c>
      <c r="R489" s="99">
        <v>120</v>
      </c>
      <c r="S489" s="55">
        <f t="shared" si="267"/>
        <v>45670</v>
      </c>
      <c r="T489" s="55"/>
      <c r="U489" s="56">
        <f t="shared" ca="1" si="236"/>
        <v>-170</v>
      </c>
      <c r="V489" s="55">
        <f t="shared" si="235"/>
        <v>45686</v>
      </c>
      <c r="W489" s="55"/>
      <c r="X489" s="56">
        <f t="shared" ca="1" si="237"/>
        <v>-154</v>
      </c>
      <c r="Y489" s="55"/>
      <c r="Z489" s="57"/>
      <c r="AA489" s="58" t="str">
        <f t="shared" si="243"/>
        <v>-</v>
      </c>
      <c r="AB489" s="59"/>
      <c r="AC489" s="58" t="str">
        <f t="shared" si="244"/>
        <v/>
      </c>
      <c r="AD489" s="59"/>
      <c r="AE489" s="58" t="str">
        <f t="shared" si="245"/>
        <v/>
      </c>
      <c r="AF489" s="59"/>
      <c r="AG489" s="58" t="str">
        <f t="shared" si="246"/>
        <v/>
      </c>
      <c r="AH489" s="59"/>
      <c r="AI489" s="58" t="str">
        <f t="shared" si="247"/>
        <v/>
      </c>
      <c r="AJ489" s="59"/>
      <c r="AK489" s="58" t="str">
        <f t="shared" si="248"/>
        <v/>
      </c>
      <c r="AL489" s="59"/>
      <c r="AM489" s="58" t="str">
        <f t="shared" si="249"/>
        <v/>
      </c>
      <c r="AN489" s="59"/>
      <c r="AO489" s="58" t="str">
        <f t="shared" si="250"/>
        <v/>
      </c>
      <c r="AP489" s="59"/>
      <c r="AQ489" s="58" t="str">
        <f t="shared" si="251"/>
        <v/>
      </c>
      <c r="AR489" s="59"/>
      <c r="AS489" s="58" t="str">
        <f t="shared" si="252"/>
        <v/>
      </c>
      <c r="AT489" s="59"/>
      <c r="AU489" s="58" t="str">
        <f t="shared" si="253"/>
        <v/>
      </c>
      <c r="AV489" s="59"/>
      <c r="AW489" s="58" t="str">
        <f t="shared" si="254"/>
        <v/>
      </c>
      <c r="AX489" s="59"/>
      <c r="AY489" s="58" t="str">
        <f t="shared" si="255"/>
        <v/>
      </c>
      <c r="AZ489" s="59"/>
      <c r="BA489" s="58" t="str">
        <f t="shared" si="256"/>
        <v/>
      </c>
      <c r="BB489" s="59"/>
      <c r="BC489" s="58">
        <f t="shared" si="257"/>
        <v>1932</v>
      </c>
      <c r="BD489" s="59"/>
      <c r="BE489" s="58" t="str">
        <f t="shared" si="258"/>
        <v/>
      </c>
      <c r="BF489" s="59"/>
      <c r="BG489" s="58" t="str">
        <f t="shared" si="259"/>
        <v/>
      </c>
      <c r="BH489" s="59"/>
      <c r="BI489" s="58" t="str">
        <f t="shared" si="260"/>
        <v/>
      </c>
      <c r="BJ489" s="59"/>
      <c r="BK489" s="58" t="str">
        <f t="shared" si="261"/>
        <v/>
      </c>
      <c r="BL489" s="59"/>
      <c r="BM489" s="58" t="str">
        <f t="shared" si="262"/>
        <v/>
      </c>
      <c r="BN489" s="59"/>
      <c r="BO489" s="58" t="str">
        <f t="shared" si="263"/>
        <v/>
      </c>
      <c r="BP489" s="59"/>
      <c r="BQ489" s="58" t="str">
        <f t="shared" si="264"/>
        <v/>
      </c>
      <c r="BR489" s="59"/>
      <c r="BS489" s="58" t="str">
        <f t="shared" si="265"/>
        <v/>
      </c>
      <c r="BT489" s="59"/>
      <c r="BU489" s="58" t="str">
        <f t="shared" si="266"/>
        <v/>
      </c>
      <c r="BV489" s="59"/>
    </row>
    <row r="490" spans="1:74" ht="14.5">
      <c r="A490" s="51" t="s">
        <v>58</v>
      </c>
      <c r="B490" s="52">
        <v>385</v>
      </c>
      <c r="C490" s="52" t="s">
        <v>188</v>
      </c>
      <c r="D490" s="41">
        <f t="shared" si="239"/>
        <v>7</v>
      </c>
      <c r="E490" s="52" t="s">
        <v>158</v>
      </c>
      <c r="F490" s="52" t="s">
        <v>242</v>
      </c>
      <c r="G490" s="52" t="s">
        <v>155</v>
      </c>
      <c r="H490" s="52" t="s">
        <v>432</v>
      </c>
      <c r="I490" s="53">
        <v>45702</v>
      </c>
      <c r="J490" s="108">
        <v>1336</v>
      </c>
      <c r="K490" s="101"/>
      <c r="L490" s="101"/>
      <c r="M490" s="101">
        <f t="shared" si="240"/>
        <v>1336</v>
      </c>
      <c r="N490" s="54">
        <f t="shared" si="241"/>
        <v>1336</v>
      </c>
      <c r="O490" s="101" t="s">
        <v>439</v>
      </c>
      <c r="P490" s="102">
        <f t="shared" si="242"/>
        <v>1.8555555555555556</v>
      </c>
      <c r="Q490" s="102">
        <v>6</v>
      </c>
      <c r="R490" s="99">
        <v>120</v>
      </c>
      <c r="S490" s="55">
        <f t="shared" si="267"/>
        <v>45670</v>
      </c>
      <c r="T490" s="55"/>
      <c r="U490" s="56">
        <f t="shared" ca="1" si="236"/>
        <v>-170</v>
      </c>
      <c r="V490" s="55">
        <f t="shared" si="235"/>
        <v>45686</v>
      </c>
      <c r="W490" s="55"/>
      <c r="X490" s="56">
        <f t="shared" ca="1" si="237"/>
        <v>-154</v>
      </c>
      <c r="Y490" s="55"/>
      <c r="Z490" s="57"/>
      <c r="AA490" s="58" t="str">
        <f t="shared" si="243"/>
        <v>-</v>
      </c>
      <c r="AB490" s="59"/>
      <c r="AC490" s="58" t="str">
        <f t="shared" si="244"/>
        <v/>
      </c>
      <c r="AD490" s="59"/>
      <c r="AE490" s="58" t="str">
        <f t="shared" si="245"/>
        <v/>
      </c>
      <c r="AF490" s="59"/>
      <c r="AG490" s="58" t="str">
        <f t="shared" si="246"/>
        <v/>
      </c>
      <c r="AH490" s="59"/>
      <c r="AI490" s="58" t="str">
        <f t="shared" si="247"/>
        <v/>
      </c>
      <c r="AJ490" s="59"/>
      <c r="AK490" s="58" t="str">
        <f t="shared" si="248"/>
        <v/>
      </c>
      <c r="AL490" s="59"/>
      <c r="AM490" s="58" t="str">
        <f t="shared" si="249"/>
        <v/>
      </c>
      <c r="AN490" s="59"/>
      <c r="AO490" s="58" t="str">
        <f t="shared" si="250"/>
        <v/>
      </c>
      <c r="AP490" s="59"/>
      <c r="AQ490" s="58" t="str">
        <f t="shared" si="251"/>
        <v/>
      </c>
      <c r="AR490" s="59"/>
      <c r="AS490" s="58" t="str">
        <f t="shared" si="252"/>
        <v/>
      </c>
      <c r="AT490" s="59"/>
      <c r="AU490" s="58" t="str">
        <f t="shared" si="253"/>
        <v/>
      </c>
      <c r="AV490" s="59"/>
      <c r="AW490" s="58" t="str">
        <f t="shared" si="254"/>
        <v/>
      </c>
      <c r="AX490" s="59"/>
      <c r="AY490" s="58" t="str">
        <f t="shared" si="255"/>
        <v/>
      </c>
      <c r="AZ490" s="59"/>
      <c r="BA490" s="58" t="str">
        <f t="shared" si="256"/>
        <v/>
      </c>
      <c r="BB490" s="59"/>
      <c r="BC490" s="58">
        <f t="shared" si="257"/>
        <v>1336</v>
      </c>
      <c r="BD490" s="59"/>
      <c r="BE490" s="58" t="str">
        <f t="shared" si="258"/>
        <v/>
      </c>
      <c r="BF490" s="59"/>
      <c r="BG490" s="58" t="str">
        <f t="shared" si="259"/>
        <v/>
      </c>
      <c r="BH490" s="59"/>
      <c r="BI490" s="58" t="str">
        <f t="shared" si="260"/>
        <v/>
      </c>
      <c r="BJ490" s="59"/>
      <c r="BK490" s="58" t="str">
        <f t="shared" si="261"/>
        <v/>
      </c>
      <c r="BL490" s="59"/>
      <c r="BM490" s="58" t="str">
        <f t="shared" si="262"/>
        <v/>
      </c>
      <c r="BN490" s="59"/>
      <c r="BO490" s="58" t="str">
        <f t="shared" si="263"/>
        <v/>
      </c>
      <c r="BP490" s="59"/>
      <c r="BQ490" s="58" t="str">
        <f t="shared" si="264"/>
        <v/>
      </c>
      <c r="BR490" s="59"/>
      <c r="BS490" s="58" t="str">
        <f t="shared" si="265"/>
        <v/>
      </c>
      <c r="BT490" s="59"/>
      <c r="BU490" s="58" t="str">
        <f t="shared" si="266"/>
        <v/>
      </c>
      <c r="BV490" s="59"/>
    </row>
    <row r="491" spans="1:74" ht="14.5">
      <c r="A491" s="51" t="s">
        <v>58</v>
      </c>
      <c r="B491" s="52">
        <v>385</v>
      </c>
      <c r="C491" s="52" t="s">
        <v>188</v>
      </c>
      <c r="D491" s="41">
        <f t="shared" si="239"/>
        <v>7</v>
      </c>
      <c r="E491" s="52" t="s">
        <v>391</v>
      </c>
      <c r="F491" s="52" t="s">
        <v>392</v>
      </c>
      <c r="G491" s="52" t="s">
        <v>393</v>
      </c>
      <c r="H491" s="52" t="s">
        <v>433</v>
      </c>
      <c r="I491" s="53">
        <v>45702</v>
      </c>
      <c r="J491" s="108">
        <v>744</v>
      </c>
      <c r="K491" s="101"/>
      <c r="L491" s="101"/>
      <c r="M491" s="101">
        <f t="shared" si="240"/>
        <v>744</v>
      </c>
      <c r="N491" s="54">
        <f t="shared" si="241"/>
        <v>744</v>
      </c>
      <c r="O491" s="101" t="s">
        <v>443</v>
      </c>
      <c r="P491" s="102">
        <f t="shared" si="242"/>
        <v>1.55</v>
      </c>
      <c r="Q491" s="102">
        <v>6</v>
      </c>
      <c r="R491" s="99">
        <v>80</v>
      </c>
      <c r="S491" s="55">
        <f t="shared" si="267"/>
        <v>45670</v>
      </c>
      <c r="T491" s="55"/>
      <c r="U491" s="56">
        <f t="shared" ca="1" si="236"/>
        <v>-170</v>
      </c>
      <c r="V491" s="55">
        <f t="shared" si="235"/>
        <v>45686</v>
      </c>
      <c r="W491" s="55"/>
      <c r="X491" s="56">
        <f t="shared" ca="1" si="237"/>
        <v>-154</v>
      </c>
      <c r="Y491" s="55"/>
      <c r="Z491" s="57"/>
      <c r="AA491" s="58" t="str">
        <f t="shared" si="243"/>
        <v>-</v>
      </c>
      <c r="AB491" s="59"/>
      <c r="AC491" s="58" t="str">
        <f t="shared" si="244"/>
        <v/>
      </c>
      <c r="AD491" s="59"/>
      <c r="AE491" s="58" t="str">
        <f t="shared" si="245"/>
        <v/>
      </c>
      <c r="AF491" s="59"/>
      <c r="AG491" s="58" t="str">
        <f t="shared" si="246"/>
        <v/>
      </c>
      <c r="AH491" s="59"/>
      <c r="AI491" s="58" t="str">
        <f t="shared" si="247"/>
        <v/>
      </c>
      <c r="AJ491" s="59"/>
      <c r="AK491" s="58" t="str">
        <f t="shared" si="248"/>
        <v/>
      </c>
      <c r="AL491" s="59"/>
      <c r="AM491" s="58" t="str">
        <f t="shared" si="249"/>
        <v/>
      </c>
      <c r="AN491" s="59"/>
      <c r="AO491" s="58" t="str">
        <f t="shared" si="250"/>
        <v/>
      </c>
      <c r="AP491" s="59"/>
      <c r="AQ491" s="58" t="str">
        <f t="shared" si="251"/>
        <v/>
      </c>
      <c r="AR491" s="59"/>
      <c r="AS491" s="58" t="str">
        <f t="shared" si="252"/>
        <v/>
      </c>
      <c r="AT491" s="59"/>
      <c r="AU491" s="58" t="str">
        <f t="shared" si="253"/>
        <v/>
      </c>
      <c r="AV491" s="59"/>
      <c r="AW491" s="58" t="str">
        <f t="shared" si="254"/>
        <v/>
      </c>
      <c r="AX491" s="59"/>
      <c r="AY491" s="58" t="str">
        <f t="shared" si="255"/>
        <v/>
      </c>
      <c r="AZ491" s="59"/>
      <c r="BA491" s="58" t="str">
        <f t="shared" si="256"/>
        <v/>
      </c>
      <c r="BB491" s="59"/>
      <c r="BC491" s="58">
        <f t="shared" si="257"/>
        <v>744</v>
      </c>
      <c r="BD491" s="59"/>
      <c r="BE491" s="58" t="str">
        <f t="shared" si="258"/>
        <v/>
      </c>
      <c r="BF491" s="59"/>
      <c r="BG491" s="58" t="str">
        <f t="shared" si="259"/>
        <v/>
      </c>
      <c r="BH491" s="59"/>
      <c r="BI491" s="58" t="str">
        <f t="shared" si="260"/>
        <v/>
      </c>
      <c r="BJ491" s="59"/>
      <c r="BK491" s="58" t="str">
        <f t="shared" si="261"/>
        <v/>
      </c>
      <c r="BL491" s="59"/>
      <c r="BM491" s="58" t="str">
        <f t="shared" si="262"/>
        <v/>
      </c>
      <c r="BN491" s="59"/>
      <c r="BO491" s="58" t="str">
        <f t="shared" si="263"/>
        <v/>
      </c>
      <c r="BP491" s="59"/>
      <c r="BQ491" s="58" t="str">
        <f t="shared" si="264"/>
        <v/>
      </c>
      <c r="BR491" s="59"/>
      <c r="BS491" s="58" t="str">
        <f t="shared" si="265"/>
        <v/>
      </c>
      <c r="BT491" s="59"/>
      <c r="BU491" s="58" t="str">
        <f t="shared" si="266"/>
        <v/>
      </c>
      <c r="BV491" s="59"/>
    </row>
    <row r="492" spans="1:74" ht="14.5">
      <c r="A492" s="51" t="s">
        <v>58</v>
      </c>
      <c r="B492" s="52">
        <v>385</v>
      </c>
      <c r="C492" s="52" t="s">
        <v>188</v>
      </c>
      <c r="D492" s="41">
        <f t="shared" si="239"/>
        <v>7</v>
      </c>
      <c r="E492" s="52" t="s">
        <v>158</v>
      </c>
      <c r="F492" s="52" t="s">
        <v>242</v>
      </c>
      <c r="G492" s="52" t="s">
        <v>156</v>
      </c>
      <c r="H492" s="52" t="s">
        <v>432</v>
      </c>
      <c r="I492" s="53">
        <v>45702</v>
      </c>
      <c r="J492" s="108">
        <v>192</v>
      </c>
      <c r="K492" s="101"/>
      <c r="L492" s="101"/>
      <c r="M492" s="101">
        <f t="shared" si="240"/>
        <v>192</v>
      </c>
      <c r="N492" s="54">
        <f t="shared" si="241"/>
        <v>192</v>
      </c>
      <c r="O492" s="101" t="s">
        <v>439</v>
      </c>
      <c r="P492" s="102">
        <f t="shared" si="242"/>
        <v>0.26666666666666666</v>
      </c>
      <c r="Q492" s="102">
        <v>6</v>
      </c>
      <c r="R492" s="99">
        <v>120</v>
      </c>
      <c r="S492" s="55">
        <f t="shared" si="267"/>
        <v>45670</v>
      </c>
      <c r="T492" s="55"/>
      <c r="U492" s="56">
        <f t="shared" ca="1" si="236"/>
        <v>-170</v>
      </c>
      <c r="V492" s="55">
        <f t="shared" si="235"/>
        <v>45686</v>
      </c>
      <c r="W492" s="55"/>
      <c r="X492" s="56">
        <f t="shared" ca="1" si="237"/>
        <v>-154</v>
      </c>
      <c r="Y492" s="55"/>
      <c r="Z492" s="57"/>
      <c r="AA492" s="58" t="str">
        <f t="shared" si="243"/>
        <v>-</v>
      </c>
      <c r="AB492" s="59"/>
      <c r="AC492" s="58" t="str">
        <f t="shared" si="244"/>
        <v/>
      </c>
      <c r="AD492" s="59"/>
      <c r="AE492" s="58" t="str">
        <f t="shared" si="245"/>
        <v/>
      </c>
      <c r="AF492" s="59"/>
      <c r="AG492" s="58" t="str">
        <f t="shared" si="246"/>
        <v/>
      </c>
      <c r="AH492" s="59"/>
      <c r="AI492" s="58" t="str">
        <f t="shared" si="247"/>
        <v/>
      </c>
      <c r="AJ492" s="59"/>
      <c r="AK492" s="58" t="str">
        <f t="shared" si="248"/>
        <v/>
      </c>
      <c r="AL492" s="59"/>
      <c r="AM492" s="58" t="str">
        <f t="shared" si="249"/>
        <v/>
      </c>
      <c r="AN492" s="59"/>
      <c r="AO492" s="58" t="str">
        <f t="shared" si="250"/>
        <v/>
      </c>
      <c r="AP492" s="59"/>
      <c r="AQ492" s="58" t="str">
        <f t="shared" si="251"/>
        <v/>
      </c>
      <c r="AR492" s="59"/>
      <c r="AS492" s="58" t="str">
        <f t="shared" si="252"/>
        <v/>
      </c>
      <c r="AT492" s="59"/>
      <c r="AU492" s="58" t="str">
        <f t="shared" si="253"/>
        <v/>
      </c>
      <c r="AV492" s="59"/>
      <c r="AW492" s="58" t="str">
        <f t="shared" si="254"/>
        <v/>
      </c>
      <c r="AX492" s="59"/>
      <c r="AY492" s="58" t="str">
        <f t="shared" si="255"/>
        <v/>
      </c>
      <c r="AZ492" s="59"/>
      <c r="BA492" s="58" t="str">
        <f t="shared" si="256"/>
        <v/>
      </c>
      <c r="BB492" s="59"/>
      <c r="BC492" s="58">
        <f t="shared" si="257"/>
        <v>192</v>
      </c>
      <c r="BD492" s="59"/>
      <c r="BE492" s="58" t="str">
        <f t="shared" si="258"/>
        <v/>
      </c>
      <c r="BF492" s="59"/>
      <c r="BG492" s="58" t="str">
        <f t="shared" si="259"/>
        <v/>
      </c>
      <c r="BH492" s="59"/>
      <c r="BI492" s="58" t="str">
        <f t="shared" si="260"/>
        <v/>
      </c>
      <c r="BJ492" s="59"/>
      <c r="BK492" s="58" t="str">
        <f t="shared" si="261"/>
        <v/>
      </c>
      <c r="BL492" s="59"/>
      <c r="BM492" s="58" t="str">
        <f t="shared" si="262"/>
        <v/>
      </c>
      <c r="BN492" s="59"/>
      <c r="BO492" s="58" t="str">
        <f t="shared" si="263"/>
        <v/>
      </c>
      <c r="BP492" s="59"/>
      <c r="BQ492" s="58" t="str">
        <f t="shared" si="264"/>
        <v/>
      </c>
      <c r="BR492" s="59"/>
      <c r="BS492" s="58" t="str">
        <f t="shared" si="265"/>
        <v/>
      </c>
      <c r="BT492" s="59"/>
      <c r="BU492" s="58" t="str">
        <f t="shared" si="266"/>
        <v/>
      </c>
      <c r="BV492" s="59"/>
    </row>
    <row r="493" spans="1:74" ht="14.5">
      <c r="A493" s="51" t="s">
        <v>58</v>
      </c>
      <c r="B493" s="52">
        <v>402</v>
      </c>
      <c r="C493" s="52" t="s">
        <v>188</v>
      </c>
      <c r="D493" s="41">
        <f t="shared" si="239"/>
        <v>7</v>
      </c>
      <c r="E493" s="52" t="s">
        <v>81</v>
      </c>
      <c r="F493" s="52" t="s">
        <v>290</v>
      </c>
      <c r="G493" s="52" t="s">
        <v>291</v>
      </c>
      <c r="H493" s="52" t="s">
        <v>435</v>
      </c>
      <c r="I493" s="53">
        <v>45702</v>
      </c>
      <c r="J493" s="108">
        <v>3000</v>
      </c>
      <c r="K493" s="101"/>
      <c r="L493" s="101"/>
      <c r="M493" s="101">
        <f t="shared" si="240"/>
        <v>3000</v>
      </c>
      <c r="N493" s="54">
        <f t="shared" si="241"/>
        <v>3000</v>
      </c>
      <c r="O493" s="101" t="s">
        <v>436</v>
      </c>
      <c r="P493" s="102">
        <f t="shared" si="242"/>
        <v>0.16666666666666666</v>
      </c>
      <c r="Q493" s="102">
        <v>6</v>
      </c>
      <c r="R493" s="100">
        <v>3000</v>
      </c>
      <c r="S493" s="55">
        <f t="shared" si="267"/>
        <v>45670</v>
      </c>
      <c r="T493" s="55"/>
      <c r="U493" s="56">
        <f t="shared" ca="1" si="236"/>
        <v>-170</v>
      </c>
      <c r="V493" s="55">
        <f t="shared" si="235"/>
        <v>45686</v>
      </c>
      <c r="W493" s="55"/>
      <c r="X493" s="56">
        <f t="shared" ca="1" si="237"/>
        <v>-154</v>
      </c>
      <c r="Y493" s="55"/>
      <c r="Z493" s="57"/>
      <c r="AA493" s="58" t="str">
        <f t="shared" si="243"/>
        <v>-</v>
      </c>
      <c r="AB493" s="59"/>
      <c r="AC493" s="58" t="str">
        <f t="shared" si="244"/>
        <v/>
      </c>
      <c r="AD493" s="59"/>
      <c r="AE493" s="58" t="str">
        <f t="shared" si="245"/>
        <v/>
      </c>
      <c r="AF493" s="59"/>
      <c r="AG493" s="58" t="str">
        <f t="shared" si="246"/>
        <v/>
      </c>
      <c r="AH493" s="59"/>
      <c r="AI493" s="58" t="str">
        <f t="shared" si="247"/>
        <v/>
      </c>
      <c r="AJ493" s="59"/>
      <c r="AK493" s="58" t="str">
        <f t="shared" si="248"/>
        <v/>
      </c>
      <c r="AL493" s="59"/>
      <c r="AM493" s="58" t="str">
        <f t="shared" si="249"/>
        <v/>
      </c>
      <c r="AN493" s="59"/>
      <c r="AO493" s="58" t="str">
        <f t="shared" si="250"/>
        <v/>
      </c>
      <c r="AP493" s="59"/>
      <c r="AQ493" s="58" t="str">
        <f t="shared" si="251"/>
        <v/>
      </c>
      <c r="AR493" s="59"/>
      <c r="AS493" s="58" t="str">
        <f t="shared" si="252"/>
        <v/>
      </c>
      <c r="AT493" s="59"/>
      <c r="AU493" s="58" t="str">
        <f t="shared" si="253"/>
        <v/>
      </c>
      <c r="AV493" s="59"/>
      <c r="AW493" s="58" t="str">
        <f t="shared" si="254"/>
        <v/>
      </c>
      <c r="AX493" s="59"/>
      <c r="AY493" s="58" t="str">
        <f t="shared" si="255"/>
        <v/>
      </c>
      <c r="AZ493" s="59"/>
      <c r="BA493" s="58" t="str">
        <f t="shared" si="256"/>
        <v/>
      </c>
      <c r="BB493" s="59"/>
      <c r="BC493" s="58">
        <f t="shared" si="257"/>
        <v>3000</v>
      </c>
      <c r="BD493" s="59"/>
      <c r="BE493" s="58" t="str">
        <f t="shared" si="258"/>
        <v/>
      </c>
      <c r="BF493" s="59"/>
      <c r="BG493" s="58" t="str">
        <f t="shared" si="259"/>
        <v/>
      </c>
      <c r="BH493" s="59"/>
      <c r="BI493" s="58" t="str">
        <f t="shared" si="260"/>
        <v/>
      </c>
      <c r="BJ493" s="59"/>
      <c r="BK493" s="58" t="str">
        <f t="shared" si="261"/>
        <v/>
      </c>
      <c r="BL493" s="59"/>
      <c r="BM493" s="58" t="str">
        <f t="shared" si="262"/>
        <v/>
      </c>
      <c r="BN493" s="59"/>
      <c r="BO493" s="58" t="str">
        <f t="shared" si="263"/>
        <v/>
      </c>
      <c r="BP493" s="59"/>
      <c r="BQ493" s="58" t="str">
        <f t="shared" si="264"/>
        <v/>
      </c>
      <c r="BR493" s="59"/>
      <c r="BS493" s="58" t="str">
        <f t="shared" si="265"/>
        <v/>
      </c>
      <c r="BT493" s="59"/>
      <c r="BU493" s="58" t="str">
        <f t="shared" si="266"/>
        <v/>
      </c>
      <c r="BV493" s="59"/>
    </row>
    <row r="494" spans="1:74" ht="14.5">
      <c r="A494" s="51" t="s">
        <v>58</v>
      </c>
      <c r="B494" s="52">
        <v>402</v>
      </c>
      <c r="C494" s="52" t="s">
        <v>188</v>
      </c>
      <c r="D494" s="41">
        <f t="shared" si="239"/>
        <v>7</v>
      </c>
      <c r="E494" s="52" t="s">
        <v>81</v>
      </c>
      <c r="F494" s="52" t="s">
        <v>290</v>
      </c>
      <c r="G494" s="52" t="s">
        <v>293</v>
      </c>
      <c r="H494" s="52" t="s">
        <v>435</v>
      </c>
      <c r="I494" s="53">
        <v>45702</v>
      </c>
      <c r="J494" s="108">
        <v>3000</v>
      </c>
      <c r="K494" s="101"/>
      <c r="L494" s="101"/>
      <c r="M494" s="101">
        <f t="shared" si="240"/>
        <v>3000</v>
      </c>
      <c r="N494" s="54">
        <f t="shared" si="241"/>
        <v>3000</v>
      </c>
      <c r="O494" s="101" t="s">
        <v>436</v>
      </c>
      <c r="P494" s="102">
        <f t="shared" si="242"/>
        <v>0.16666666666666666</v>
      </c>
      <c r="Q494" s="102">
        <v>6</v>
      </c>
      <c r="R494" s="100">
        <v>3000</v>
      </c>
      <c r="S494" s="55">
        <f t="shared" si="267"/>
        <v>45670</v>
      </c>
      <c r="T494" s="55"/>
      <c r="U494" s="56">
        <f t="shared" ca="1" si="236"/>
        <v>-170</v>
      </c>
      <c r="V494" s="55">
        <f t="shared" si="235"/>
        <v>45686</v>
      </c>
      <c r="W494" s="55"/>
      <c r="X494" s="56">
        <f t="shared" ca="1" si="237"/>
        <v>-154</v>
      </c>
      <c r="Y494" s="55"/>
      <c r="Z494" s="57"/>
      <c r="AA494" s="58" t="str">
        <f t="shared" si="243"/>
        <v>-</v>
      </c>
      <c r="AB494" s="59"/>
      <c r="AC494" s="58" t="str">
        <f t="shared" si="244"/>
        <v/>
      </c>
      <c r="AD494" s="59"/>
      <c r="AE494" s="58" t="str">
        <f t="shared" si="245"/>
        <v/>
      </c>
      <c r="AF494" s="59"/>
      <c r="AG494" s="58" t="str">
        <f t="shared" si="246"/>
        <v/>
      </c>
      <c r="AH494" s="59"/>
      <c r="AI494" s="58" t="str">
        <f t="shared" si="247"/>
        <v/>
      </c>
      <c r="AJ494" s="59"/>
      <c r="AK494" s="58" t="str">
        <f t="shared" si="248"/>
        <v/>
      </c>
      <c r="AL494" s="59"/>
      <c r="AM494" s="58" t="str">
        <f t="shared" si="249"/>
        <v/>
      </c>
      <c r="AN494" s="59"/>
      <c r="AO494" s="58" t="str">
        <f t="shared" si="250"/>
        <v/>
      </c>
      <c r="AP494" s="59"/>
      <c r="AQ494" s="58" t="str">
        <f t="shared" si="251"/>
        <v/>
      </c>
      <c r="AR494" s="59"/>
      <c r="AS494" s="58" t="str">
        <f t="shared" si="252"/>
        <v/>
      </c>
      <c r="AT494" s="59"/>
      <c r="AU494" s="58" t="str">
        <f t="shared" si="253"/>
        <v/>
      </c>
      <c r="AV494" s="59"/>
      <c r="AW494" s="58" t="str">
        <f t="shared" si="254"/>
        <v/>
      </c>
      <c r="AX494" s="59"/>
      <c r="AY494" s="58" t="str">
        <f t="shared" si="255"/>
        <v/>
      </c>
      <c r="AZ494" s="59"/>
      <c r="BA494" s="58" t="str">
        <f t="shared" si="256"/>
        <v/>
      </c>
      <c r="BB494" s="59"/>
      <c r="BC494" s="58">
        <f t="shared" si="257"/>
        <v>3000</v>
      </c>
      <c r="BD494" s="59"/>
      <c r="BE494" s="58" t="str">
        <f t="shared" si="258"/>
        <v/>
      </c>
      <c r="BF494" s="59"/>
      <c r="BG494" s="58" t="str">
        <f t="shared" si="259"/>
        <v/>
      </c>
      <c r="BH494" s="59"/>
      <c r="BI494" s="58" t="str">
        <f t="shared" si="260"/>
        <v/>
      </c>
      <c r="BJ494" s="59"/>
      <c r="BK494" s="58" t="str">
        <f t="shared" si="261"/>
        <v/>
      </c>
      <c r="BL494" s="59"/>
      <c r="BM494" s="58" t="str">
        <f t="shared" si="262"/>
        <v/>
      </c>
      <c r="BN494" s="59"/>
      <c r="BO494" s="58" t="str">
        <f t="shared" si="263"/>
        <v/>
      </c>
      <c r="BP494" s="59"/>
      <c r="BQ494" s="58" t="str">
        <f t="shared" si="264"/>
        <v/>
      </c>
      <c r="BR494" s="59"/>
      <c r="BS494" s="58" t="str">
        <f t="shared" si="265"/>
        <v/>
      </c>
      <c r="BT494" s="59"/>
      <c r="BU494" s="58" t="str">
        <f t="shared" si="266"/>
        <v/>
      </c>
      <c r="BV494" s="59"/>
    </row>
    <row r="495" spans="1:74" ht="14.5">
      <c r="A495" s="51" t="s">
        <v>58</v>
      </c>
      <c r="B495" s="52">
        <v>402</v>
      </c>
      <c r="C495" s="52" t="s">
        <v>188</v>
      </c>
      <c r="D495" s="41">
        <f t="shared" si="239"/>
        <v>7</v>
      </c>
      <c r="E495" s="52" t="s">
        <v>81</v>
      </c>
      <c r="F495" s="52" t="s">
        <v>290</v>
      </c>
      <c r="G495" s="52" t="s">
        <v>294</v>
      </c>
      <c r="H495" s="52" t="s">
        <v>435</v>
      </c>
      <c r="I495" s="53">
        <v>45702</v>
      </c>
      <c r="J495" s="108">
        <v>3000</v>
      </c>
      <c r="K495" s="101"/>
      <c r="L495" s="101"/>
      <c r="M495" s="101">
        <f t="shared" si="240"/>
        <v>3000</v>
      </c>
      <c r="N495" s="54">
        <f t="shared" si="241"/>
        <v>3000</v>
      </c>
      <c r="O495" s="101" t="s">
        <v>436</v>
      </c>
      <c r="P495" s="102">
        <f t="shared" si="242"/>
        <v>0.16666666666666666</v>
      </c>
      <c r="Q495" s="102">
        <v>6</v>
      </c>
      <c r="R495" s="100">
        <v>3000</v>
      </c>
      <c r="S495" s="55">
        <f t="shared" si="267"/>
        <v>45670</v>
      </c>
      <c r="T495" s="55"/>
      <c r="U495" s="56">
        <f t="shared" ca="1" si="236"/>
        <v>-170</v>
      </c>
      <c r="V495" s="55">
        <f t="shared" si="235"/>
        <v>45686</v>
      </c>
      <c r="W495" s="55"/>
      <c r="X495" s="56">
        <f t="shared" ca="1" si="237"/>
        <v>-154</v>
      </c>
      <c r="Y495" s="55"/>
      <c r="Z495" s="57"/>
      <c r="AA495" s="58" t="str">
        <f t="shared" si="243"/>
        <v>-</v>
      </c>
      <c r="AB495" s="59"/>
      <c r="AC495" s="58" t="str">
        <f t="shared" si="244"/>
        <v/>
      </c>
      <c r="AD495" s="59"/>
      <c r="AE495" s="58" t="str">
        <f t="shared" si="245"/>
        <v/>
      </c>
      <c r="AF495" s="59"/>
      <c r="AG495" s="58" t="str">
        <f t="shared" si="246"/>
        <v/>
      </c>
      <c r="AH495" s="59"/>
      <c r="AI495" s="58" t="str">
        <f t="shared" si="247"/>
        <v/>
      </c>
      <c r="AJ495" s="59"/>
      <c r="AK495" s="58" t="str">
        <f t="shared" si="248"/>
        <v/>
      </c>
      <c r="AL495" s="59"/>
      <c r="AM495" s="58" t="str">
        <f t="shared" si="249"/>
        <v/>
      </c>
      <c r="AN495" s="59"/>
      <c r="AO495" s="58" t="str">
        <f t="shared" si="250"/>
        <v/>
      </c>
      <c r="AP495" s="59"/>
      <c r="AQ495" s="58" t="str">
        <f t="shared" si="251"/>
        <v/>
      </c>
      <c r="AR495" s="59"/>
      <c r="AS495" s="58" t="str">
        <f t="shared" si="252"/>
        <v/>
      </c>
      <c r="AT495" s="59"/>
      <c r="AU495" s="58" t="str">
        <f t="shared" si="253"/>
        <v/>
      </c>
      <c r="AV495" s="59"/>
      <c r="AW495" s="58" t="str">
        <f t="shared" si="254"/>
        <v/>
      </c>
      <c r="AX495" s="59"/>
      <c r="AY495" s="58" t="str">
        <f t="shared" si="255"/>
        <v/>
      </c>
      <c r="AZ495" s="59"/>
      <c r="BA495" s="58" t="str">
        <f t="shared" si="256"/>
        <v/>
      </c>
      <c r="BB495" s="59"/>
      <c r="BC495" s="58">
        <f t="shared" si="257"/>
        <v>3000</v>
      </c>
      <c r="BD495" s="59"/>
      <c r="BE495" s="58" t="str">
        <f t="shared" si="258"/>
        <v/>
      </c>
      <c r="BF495" s="59"/>
      <c r="BG495" s="58" t="str">
        <f t="shared" si="259"/>
        <v/>
      </c>
      <c r="BH495" s="59"/>
      <c r="BI495" s="58" t="str">
        <f t="shared" si="260"/>
        <v/>
      </c>
      <c r="BJ495" s="59"/>
      <c r="BK495" s="58" t="str">
        <f t="shared" si="261"/>
        <v/>
      </c>
      <c r="BL495" s="59"/>
      <c r="BM495" s="58" t="str">
        <f t="shared" si="262"/>
        <v/>
      </c>
      <c r="BN495" s="59"/>
      <c r="BO495" s="58" t="str">
        <f t="shared" si="263"/>
        <v/>
      </c>
      <c r="BP495" s="59"/>
      <c r="BQ495" s="58" t="str">
        <f t="shared" si="264"/>
        <v/>
      </c>
      <c r="BR495" s="59"/>
      <c r="BS495" s="58" t="str">
        <f t="shared" si="265"/>
        <v/>
      </c>
      <c r="BT495" s="59"/>
      <c r="BU495" s="58" t="str">
        <f t="shared" si="266"/>
        <v/>
      </c>
      <c r="BV495" s="59"/>
    </row>
    <row r="496" spans="1:74" s="103" customFormat="1" ht="14.5">
      <c r="A496" s="51" t="s">
        <v>58</v>
      </c>
      <c r="B496" s="52">
        <v>402</v>
      </c>
      <c r="C496" s="52" t="s">
        <v>188</v>
      </c>
      <c r="D496" s="41">
        <f t="shared" si="239"/>
        <v>7</v>
      </c>
      <c r="E496" s="52" t="s">
        <v>201</v>
      </c>
      <c r="F496" s="52" t="s">
        <v>247</v>
      </c>
      <c r="G496" s="52" t="s">
        <v>441</v>
      </c>
      <c r="H496" s="52" t="s">
        <v>442</v>
      </c>
      <c r="I496" s="53">
        <v>45702</v>
      </c>
      <c r="J496" s="108">
        <v>14832</v>
      </c>
      <c r="K496" s="101"/>
      <c r="L496" s="101"/>
      <c r="M496" s="101">
        <f t="shared" si="240"/>
        <v>14832</v>
      </c>
      <c r="N496" s="54">
        <f t="shared" si="241"/>
        <v>14832</v>
      </c>
      <c r="O496" s="101" t="s">
        <v>567</v>
      </c>
      <c r="P496" s="102">
        <f t="shared" si="242"/>
        <v>8.4754285714285711</v>
      </c>
      <c r="Q496" s="102">
        <v>5</v>
      </c>
      <c r="R496" s="99">
        <v>350</v>
      </c>
      <c r="S496" s="55">
        <f t="shared" si="267"/>
        <v>45670</v>
      </c>
      <c r="T496" s="55"/>
      <c r="U496" s="56">
        <f t="shared" ca="1" si="236"/>
        <v>-170</v>
      </c>
      <c r="V496" s="55">
        <f t="shared" ref="V496:V559" si="268">+S496+16</f>
        <v>45686</v>
      </c>
      <c r="W496" s="55"/>
      <c r="X496" s="56">
        <f t="shared" ca="1" si="237"/>
        <v>-154</v>
      </c>
      <c r="Y496" s="55"/>
      <c r="Z496" s="57"/>
      <c r="AA496" s="58" t="str">
        <f t="shared" si="243"/>
        <v>-</v>
      </c>
      <c r="AB496" s="59"/>
      <c r="AC496" s="58" t="str">
        <f t="shared" si="244"/>
        <v/>
      </c>
      <c r="AD496" s="59"/>
      <c r="AE496" s="58" t="str">
        <f t="shared" si="245"/>
        <v/>
      </c>
      <c r="AF496" s="59"/>
      <c r="AG496" s="58" t="str">
        <f t="shared" si="246"/>
        <v/>
      </c>
      <c r="AH496" s="59"/>
      <c r="AI496" s="58" t="str">
        <f t="shared" si="247"/>
        <v/>
      </c>
      <c r="AJ496" s="59"/>
      <c r="AK496" s="58" t="str">
        <f t="shared" si="248"/>
        <v/>
      </c>
      <c r="AL496" s="59"/>
      <c r="AM496" s="58" t="str">
        <f t="shared" si="249"/>
        <v/>
      </c>
      <c r="AN496" s="59"/>
      <c r="AO496" s="58" t="str">
        <f t="shared" si="250"/>
        <v/>
      </c>
      <c r="AP496" s="59"/>
      <c r="AQ496" s="58" t="str">
        <f t="shared" si="251"/>
        <v/>
      </c>
      <c r="AR496" s="59"/>
      <c r="AS496" s="58" t="str">
        <f t="shared" si="252"/>
        <v/>
      </c>
      <c r="AT496" s="59"/>
      <c r="AU496" s="58" t="str">
        <f t="shared" si="253"/>
        <v/>
      </c>
      <c r="AV496" s="59"/>
      <c r="AW496" s="58" t="str">
        <f t="shared" si="254"/>
        <v/>
      </c>
      <c r="AX496" s="59"/>
      <c r="AY496" s="58" t="str">
        <f t="shared" si="255"/>
        <v/>
      </c>
      <c r="AZ496" s="59"/>
      <c r="BA496" s="58" t="str">
        <f t="shared" si="256"/>
        <v/>
      </c>
      <c r="BB496" s="59"/>
      <c r="BC496" s="58">
        <f t="shared" si="257"/>
        <v>14832</v>
      </c>
      <c r="BD496" s="59"/>
      <c r="BE496" s="58" t="str">
        <f t="shared" si="258"/>
        <v/>
      </c>
      <c r="BF496" s="59"/>
      <c r="BG496" s="58" t="str">
        <f t="shared" si="259"/>
        <v/>
      </c>
      <c r="BH496" s="59"/>
      <c r="BI496" s="58" t="str">
        <f t="shared" si="260"/>
        <v/>
      </c>
      <c r="BJ496" s="59"/>
      <c r="BK496" s="58" t="str">
        <f t="shared" si="261"/>
        <v/>
      </c>
      <c r="BL496" s="59"/>
      <c r="BM496" s="58" t="str">
        <f t="shared" si="262"/>
        <v/>
      </c>
      <c r="BN496" s="59"/>
      <c r="BO496" s="58" t="str">
        <f t="shared" si="263"/>
        <v/>
      </c>
      <c r="BP496" s="59"/>
      <c r="BQ496" s="58" t="str">
        <f t="shared" si="264"/>
        <v/>
      </c>
      <c r="BR496" s="59"/>
      <c r="BS496" s="58" t="str">
        <f t="shared" si="265"/>
        <v/>
      </c>
      <c r="BT496" s="59"/>
      <c r="BU496" s="58" t="str">
        <f t="shared" si="266"/>
        <v/>
      </c>
      <c r="BV496" s="59"/>
    </row>
    <row r="497" spans="1:74" ht="14.5">
      <c r="A497" s="51" t="s">
        <v>58</v>
      </c>
      <c r="B497" s="52">
        <v>402</v>
      </c>
      <c r="C497" s="52" t="s">
        <v>188</v>
      </c>
      <c r="D497" s="41">
        <f t="shared" si="239"/>
        <v>7</v>
      </c>
      <c r="E497" s="52" t="s">
        <v>157</v>
      </c>
      <c r="F497" s="52" t="s">
        <v>243</v>
      </c>
      <c r="G497" s="52" t="s">
        <v>162</v>
      </c>
      <c r="H497" s="52" t="s">
        <v>428</v>
      </c>
      <c r="I497" s="53">
        <v>45702</v>
      </c>
      <c r="J497" s="108">
        <v>3768</v>
      </c>
      <c r="K497" s="101"/>
      <c r="L497" s="101"/>
      <c r="M497" s="101">
        <f t="shared" si="240"/>
        <v>3768</v>
      </c>
      <c r="N497" s="54">
        <f t="shared" si="241"/>
        <v>3768</v>
      </c>
      <c r="O497" s="101" t="s">
        <v>429</v>
      </c>
      <c r="P497" s="102">
        <f t="shared" si="242"/>
        <v>0.628</v>
      </c>
      <c r="Q497" s="102">
        <v>6</v>
      </c>
      <c r="R497" s="99">
        <v>1000</v>
      </c>
      <c r="S497" s="55">
        <f t="shared" si="267"/>
        <v>45670</v>
      </c>
      <c r="T497" s="55"/>
      <c r="U497" s="56">
        <f t="shared" ca="1" si="236"/>
        <v>-170</v>
      </c>
      <c r="V497" s="55">
        <f t="shared" si="268"/>
        <v>45686</v>
      </c>
      <c r="W497" s="55"/>
      <c r="X497" s="56">
        <f t="shared" ca="1" si="237"/>
        <v>-154</v>
      </c>
      <c r="Y497" s="55"/>
      <c r="Z497" s="57"/>
      <c r="AA497" s="58" t="str">
        <f t="shared" si="243"/>
        <v>-</v>
      </c>
      <c r="AB497" s="59"/>
      <c r="AC497" s="58" t="str">
        <f t="shared" si="244"/>
        <v/>
      </c>
      <c r="AD497" s="59"/>
      <c r="AE497" s="58" t="str">
        <f t="shared" si="245"/>
        <v/>
      </c>
      <c r="AF497" s="59"/>
      <c r="AG497" s="58" t="str">
        <f t="shared" si="246"/>
        <v/>
      </c>
      <c r="AH497" s="59"/>
      <c r="AI497" s="58" t="str">
        <f t="shared" si="247"/>
        <v/>
      </c>
      <c r="AJ497" s="59"/>
      <c r="AK497" s="58" t="str">
        <f t="shared" si="248"/>
        <v/>
      </c>
      <c r="AL497" s="59"/>
      <c r="AM497" s="58" t="str">
        <f t="shared" si="249"/>
        <v/>
      </c>
      <c r="AN497" s="59"/>
      <c r="AO497" s="58" t="str">
        <f t="shared" si="250"/>
        <v/>
      </c>
      <c r="AP497" s="59"/>
      <c r="AQ497" s="58" t="str">
        <f t="shared" si="251"/>
        <v/>
      </c>
      <c r="AR497" s="59"/>
      <c r="AS497" s="58" t="str">
        <f t="shared" si="252"/>
        <v/>
      </c>
      <c r="AT497" s="59"/>
      <c r="AU497" s="58" t="str">
        <f t="shared" si="253"/>
        <v/>
      </c>
      <c r="AV497" s="59"/>
      <c r="AW497" s="58" t="str">
        <f t="shared" si="254"/>
        <v/>
      </c>
      <c r="AX497" s="59"/>
      <c r="AY497" s="58" t="str">
        <f t="shared" si="255"/>
        <v/>
      </c>
      <c r="AZ497" s="59"/>
      <c r="BA497" s="58" t="str">
        <f t="shared" si="256"/>
        <v/>
      </c>
      <c r="BB497" s="59"/>
      <c r="BC497" s="58">
        <f t="shared" si="257"/>
        <v>3768</v>
      </c>
      <c r="BD497" s="59"/>
      <c r="BE497" s="58" t="str">
        <f t="shared" si="258"/>
        <v/>
      </c>
      <c r="BF497" s="59"/>
      <c r="BG497" s="58" t="str">
        <f t="shared" si="259"/>
        <v/>
      </c>
      <c r="BH497" s="59"/>
      <c r="BI497" s="58" t="str">
        <f t="shared" si="260"/>
        <v/>
      </c>
      <c r="BJ497" s="59"/>
      <c r="BK497" s="58" t="str">
        <f t="shared" si="261"/>
        <v/>
      </c>
      <c r="BL497" s="59"/>
      <c r="BM497" s="58" t="str">
        <f t="shared" si="262"/>
        <v/>
      </c>
      <c r="BN497" s="59"/>
      <c r="BO497" s="58" t="str">
        <f t="shared" si="263"/>
        <v/>
      </c>
      <c r="BP497" s="59"/>
      <c r="BQ497" s="58" t="str">
        <f t="shared" si="264"/>
        <v/>
      </c>
      <c r="BR497" s="59"/>
      <c r="BS497" s="58" t="str">
        <f t="shared" si="265"/>
        <v/>
      </c>
      <c r="BT497" s="59"/>
      <c r="BU497" s="58" t="str">
        <f t="shared" si="266"/>
        <v/>
      </c>
      <c r="BV497" s="59"/>
    </row>
    <row r="498" spans="1:74" ht="14.5">
      <c r="A498" s="51" t="s">
        <v>58</v>
      </c>
      <c r="B498" s="52">
        <v>402</v>
      </c>
      <c r="C498" s="52" t="s">
        <v>188</v>
      </c>
      <c r="D498" s="41">
        <f t="shared" si="239"/>
        <v>7</v>
      </c>
      <c r="E498" s="52" t="s">
        <v>189</v>
      </c>
      <c r="F498" s="52" t="s">
        <v>242</v>
      </c>
      <c r="G498" s="52" t="s">
        <v>162</v>
      </c>
      <c r="H498" s="52" t="s">
        <v>432</v>
      </c>
      <c r="I498" s="53">
        <v>45702</v>
      </c>
      <c r="J498" s="108">
        <v>372</v>
      </c>
      <c r="K498" s="101"/>
      <c r="L498" s="101"/>
      <c r="M498" s="101">
        <f t="shared" si="240"/>
        <v>372</v>
      </c>
      <c r="N498" s="54">
        <f t="shared" si="241"/>
        <v>372</v>
      </c>
      <c r="O498" s="101" t="s">
        <v>178</v>
      </c>
      <c r="P498" s="102">
        <f t="shared" si="242"/>
        <v>0.51666666666666672</v>
      </c>
      <c r="Q498" s="102">
        <v>6</v>
      </c>
      <c r="R498" s="99">
        <v>120</v>
      </c>
      <c r="S498" s="55">
        <f t="shared" si="267"/>
        <v>45670</v>
      </c>
      <c r="T498" s="55"/>
      <c r="U498" s="56">
        <f t="shared" ref="U498:U561" ca="1" si="269">+IF(T498="",S498-TODAY(),S498-T498)</f>
        <v>-170</v>
      </c>
      <c r="V498" s="55">
        <f t="shared" si="268"/>
        <v>45686</v>
      </c>
      <c r="W498" s="55"/>
      <c r="X498" s="56">
        <f t="shared" ref="X498:X561" ca="1" si="270">+IF(W498="",V498-TODAY(),V498-W498)</f>
        <v>-154</v>
      </c>
      <c r="Y498" s="55"/>
      <c r="Z498" s="57"/>
      <c r="AA498" s="58" t="str">
        <f t="shared" si="243"/>
        <v>-</v>
      </c>
      <c r="AB498" s="59"/>
      <c r="AC498" s="58" t="str">
        <f t="shared" si="244"/>
        <v/>
      </c>
      <c r="AD498" s="59"/>
      <c r="AE498" s="58" t="str">
        <f t="shared" si="245"/>
        <v/>
      </c>
      <c r="AF498" s="59"/>
      <c r="AG498" s="58" t="str">
        <f t="shared" si="246"/>
        <v/>
      </c>
      <c r="AH498" s="59"/>
      <c r="AI498" s="58" t="str">
        <f t="shared" si="247"/>
        <v/>
      </c>
      <c r="AJ498" s="59"/>
      <c r="AK498" s="58" t="str">
        <f t="shared" si="248"/>
        <v/>
      </c>
      <c r="AL498" s="59"/>
      <c r="AM498" s="58" t="str">
        <f t="shared" si="249"/>
        <v/>
      </c>
      <c r="AN498" s="59"/>
      <c r="AO498" s="58" t="str">
        <f t="shared" si="250"/>
        <v/>
      </c>
      <c r="AP498" s="59"/>
      <c r="AQ498" s="58" t="str">
        <f t="shared" si="251"/>
        <v/>
      </c>
      <c r="AR498" s="59"/>
      <c r="AS498" s="58" t="str">
        <f t="shared" si="252"/>
        <v/>
      </c>
      <c r="AT498" s="59"/>
      <c r="AU498" s="58" t="str">
        <f t="shared" si="253"/>
        <v/>
      </c>
      <c r="AV498" s="59"/>
      <c r="AW498" s="58" t="str">
        <f t="shared" si="254"/>
        <v/>
      </c>
      <c r="AX498" s="59"/>
      <c r="AY498" s="58" t="str">
        <f t="shared" si="255"/>
        <v/>
      </c>
      <c r="AZ498" s="59"/>
      <c r="BA498" s="58" t="str">
        <f t="shared" si="256"/>
        <v/>
      </c>
      <c r="BB498" s="59"/>
      <c r="BC498" s="58">
        <f t="shared" si="257"/>
        <v>372</v>
      </c>
      <c r="BD498" s="59"/>
      <c r="BE498" s="58" t="str">
        <f t="shared" si="258"/>
        <v/>
      </c>
      <c r="BF498" s="59"/>
      <c r="BG498" s="58" t="str">
        <f t="shared" si="259"/>
        <v/>
      </c>
      <c r="BH498" s="59"/>
      <c r="BI498" s="58" t="str">
        <f t="shared" si="260"/>
        <v/>
      </c>
      <c r="BJ498" s="59"/>
      <c r="BK498" s="58" t="str">
        <f t="shared" si="261"/>
        <v/>
      </c>
      <c r="BL498" s="59"/>
      <c r="BM498" s="58" t="str">
        <f t="shared" si="262"/>
        <v/>
      </c>
      <c r="BN498" s="59"/>
      <c r="BO498" s="58" t="str">
        <f t="shared" si="263"/>
        <v/>
      </c>
      <c r="BP498" s="59"/>
      <c r="BQ498" s="58" t="str">
        <f t="shared" si="264"/>
        <v/>
      </c>
      <c r="BR498" s="59"/>
      <c r="BS498" s="58" t="str">
        <f t="shared" si="265"/>
        <v/>
      </c>
      <c r="BT498" s="59"/>
      <c r="BU498" s="58" t="str">
        <f t="shared" si="266"/>
        <v/>
      </c>
      <c r="BV498" s="59"/>
    </row>
    <row r="499" spans="1:74" ht="14.5">
      <c r="A499" s="51" t="s">
        <v>58</v>
      </c>
      <c r="B499" s="52">
        <v>402</v>
      </c>
      <c r="C499" s="52" t="s">
        <v>188</v>
      </c>
      <c r="D499" s="41">
        <f t="shared" si="239"/>
        <v>7</v>
      </c>
      <c r="E499" s="52" t="s">
        <v>391</v>
      </c>
      <c r="F499" s="52" t="s">
        <v>392</v>
      </c>
      <c r="G499" s="52" t="s">
        <v>393</v>
      </c>
      <c r="H499" s="52" t="s">
        <v>433</v>
      </c>
      <c r="I499" s="53">
        <v>45702</v>
      </c>
      <c r="J499" s="108">
        <v>1968</v>
      </c>
      <c r="K499" s="101"/>
      <c r="L499" s="101"/>
      <c r="M499" s="101">
        <f t="shared" si="240"/>
        <v>1968</v>
      </c>
      <c r="N499" s="54">
        <f t="shared" si="241"/>
        <v>1968</v>
      </c>
      <c r="O499" s="101" t="s">
        <v>443</v>
      </c>
      <c r="P499" s="102">
        <f t="shared" si="242"/>
        <v>4.0999999999999996</v>
      </c>
      <c r="Q499" s="102">
        <v>6</v>
      </c>
      <c r="R499" s="99">
        <v>80</v>
      </c>
      <c r="S499" s="55">
        <f t="shared" si="267"/>
        <v>45670</v>
      </c>
      <c r="T499" s="55"/>
      <c r="U499" s="56">
        <f t="shared" ca="1" si="269"/>
        <v>-170</v>
      </c>
      <c r="V499" s="55">
        <f t="shared" si="268"/>
        <v>45686</v>
      </c>
      <c r="W499" s="55"/>
      <c r="X499" s="56">
        <f t="shared" ca="1" si="270"/>
        <v>-154</v>
      </c>
      <c r="Y499" s="55"/>
      <c r="Z499" s="57"/>
      <c r="AA499" s="58" t="str">
        <f t="shared" si="243"/>
        <v>-</v>
      </c>
      <c r="AB499" s="59"/>
      <c r="AC499" s="58" t="str">
        <f t="shared" si="244"/>
        <v/>
      </c>
      <c r="AD499" s="59"/>
      <c r="AE499" s="58" t="str">
        <f t="shared" si="245"/>
        <v/>
      </c>
      <c r="AF499" s="59"/>
      <c r="AG499" s="58" t="str">
        <f t="shared" si="246"/>
        <v/>
      </c>
      <c r="AH499" s="59"/>
      <c r="AI499" s="58" t="str">
        <f t="shared" si="247"/>
        <v/>
      </c>
      <c r="AJ499" s="59"/>
      <c r="AK499" s="58" t="str">
        <f t="shared" si="248"/>
        <v/>
      </c>
      <c r="AL499" s="59"/>
      <c r="AM499" s="58" t="str">
        <f t="shared" si="249"/>
        <v/>
      </c>
      <c r="AN499" s="59"/>
      <c r="AO499" s="58" t="str">
        <f t="shared" si="250"/>
        <v/>
      </c>
      <c r="AP499" s="59"/>
      <c r="AQ499" s="58" t="str">
        <f t="shared" si="251"/>
        <v/>
      </c>
      <c r="AR499" s="59"/>
      <c r="AS499" s="58" t="str">
        <f t="shared" si="252"/>
        <v/>
      </c>
      <c r="AT499" s="59"/>
      <c r="AU499" s="58" t="str">
        <f t="shared" si="253"/>
        <v/>
      </c>
      <c r="AV499" s="59"/>
      <c r="AW499" s="58" t="str">
        <f t="shared" si="254"/>
        <v/>
      </c>
      <c r="AX499" s="59"/>
      <c r="AY499" s="58" t="str">
        <f t="shared" si="255"/>
        <v/>
      </c>
      <c r="AZ499" s="59"/>
      <c r="BA499" s="58" t="str">
        <f t="shared" si="256"/>
        <v/>
      </c>
      <c r="BB499" s="59"/>
      <c r="BC499" s="58">
        <f t="shared" si="257"/>
        <v>1968</v>
      </c>
      <c r="BD499" s="59"/>
      <c r="BE499" s="58" t="str">
        <f t="shared" si="258"/>
        <v/>
      </c>
      <c r="BF499" s="59"/>
      <c r="BG499" s="58" t="str">
        <f t="shared" si="259"/>
        <v/>
      </c>
      <c r="BH499" s="59"/>
      <c r="BI499" s="58" t="str">
        <f t="shared" si="260"/>
        <v/>
      </c>
      <c r="BJ499" s="59"/>
      <c r="BK499" s="58" t="str">
        <f t="shared" si="261"/>
        <v/>
      </c>
      <c r="BL499" s="59"/>
      <c r="BM499" s="58" t="str">
        <f t="shared" si="262"/>
        <v/>
      </c>
      <c r="BN499" s="59"/>
      <c r="BO499" s="58" t="str">
        <f t="shared" si="263"/>
        <v/>
      </c>
      <c r="BP499" s="59"/>
      <c r="BQ499" s="58" t="str">
        <f t="shared" si="264"/>
        <v/>
      </c>
      <c r="BR499" s="59"/>
      <c r="BS499" s="58" t="str">
        <f t="shared" si="265"/>
        <v/>
      </c>
      <c r="BT499" s="59"/>
      <c r="BU499" s="58" t="str">
        <f t="shared" si="266"/>
        <v/>
      </c>
      <c r="BV499" s="59"/>
    </row>
    <row r="500" spans="1:74" ht="14.5">
      <c r="A500" s="51" t="s">
        <v>58</v>
      </c>
      <c r="B500" s="52">
        <v>402</v>
      </c>
      <c r="C500" s="52" t="s">
        <v>188</v>
      </c>
      <c r="D500" s="41">
        <f t="shared" si="239"/>
        <v>7</v>
      </c>
      <c r="E500" s="52" t="s">
        <v>190</v>
      </c>
      <c r="F500" s="52" t="s">
        <v>242</v>
      </c>
      <c r="G500" s="52" t="s">
        <v>244</v>
      </c>
      <c r="H500" s="52" t="s">
        <v>438</v>
      </c>
      <c r="I500" s="53">
        <v>45702</v>
      </c>
      <c r="J500" s="108">
        <v>392</v>
      </c>
      <c r="K500" s="101"/>
      <c r="L500" s="101"/>
      <c r="M500" s="101">
        <f t="shared" si="240"/>
        <v>392</v>
      </c>
      <c r="N500" s="54">
        <f t="shared" si="241"/>
        <v>392</v>
      </c>
      <c r="O500" s="101" t="s">
        <v>431</v>
      </c>
      <c r="P500" s="102">
        <f t="shared" si="242"/>
        <v>0.5444444444444444</v>
      </c>
      <c r="Q500" s="102">
        <v>6</v>
      </c>
      <c r="R500" s="99">
        <v>120</v>
      </c>
      <c r="S500" s="55">
        <f t="shared" si="267"/>
        <v>45670</v>
      </c>
      <c r="T500" s="55"/>
      <c r="U500" s="56">
        <f t="shared" ca="1" si="269"/>
        <v>-170</v>
      </c>
      <c r="V500" s="55">
        <f t="shared" si="268"/>
        <v>45686</v>
      </c>
      <c r="W500" s="55"/>
      <c r="X500" s="56">
        <f t="shared" ca="1" si="270"/>
        <v>-154</v>
      </c>
      <c r="Y500" s="55"/>
      <c r="Z500" s="57"/>
      <c r="AA500" s="58" t="str">
        <f t="shared" si="243"/>
        <v>-</v>
      </c>
      <c r="AB500" s="59"/>
      <c r="AC500" s="58" t="str">
        <f t="shared" si="244"/>
        <v/>
      </c>
      <c r="AD500" s="59"/>
      <c r="AE500" s="58" t="str">
        <f t="shared" si="245"/>
        <v/>
      </c>
      <c r="AF500" s="59"/>
      <c r="AG500" s="58" t="str">
        <f t="shared" si="246"/>
        <v/>
      </c>
      <c r="AH500" s="59"/>
      <c r="AI500" s="58" t="str">
        <f t="shared" si="247"/>
        <v/>
      </c>
      <c r="AJ500" s="59"/>
      <c r="AK500" s="58" t="str">
        <f t="shared" si="248"/>
        <v/>
      </c>
      <c r="AL500" s="59"/>
      <c r="AM500" s="58" t="str">
        <f t="shared" si="249"/>
        <v/>
      </c>
      <c r="AN500" s="59"/>
      <c r="AO500" s="58" t="str">
        <f t="shared" si="250"/>
        <v/>
      </c>
      <c r="AP500" s="59"/>
      <c r="AQ500" s="58" t="str">
        <f t="shared" si="251"/>
        <v/>
      </c>
      <c r="AR500" s="59"/>
      <c r="AS500" s="58" t="str">
        <f t="shared" si="252"/>
        <v/>
      </c>
      <c r="AT500" s="59"/>
      <c r="AU500" s="58" t="str">
        <f t="shared" si="253"/>
        <v/>
      </c>
      <c r="AV500" s="59"/>
      <c r="AW500" s="58" t="str">
        <f t="shared" si="254"/>
        <v/>
      </c>
      <c r="AX500" s="59"/>
      <c r="AY500" s="58" t="str">
        <f t="shared" si="255"/>
        <v/>
      </c>
      <c r="AZ500" s="59"/>
      <c r="BA500" s="58" t="str">
        <f t="shared" si="256"/>
        <v/>
      </c>
      <c r="BB500" s="59"/>
      <c r="BC500" s="58">
        <f t="shared" si="257"/>
        <v>392</v>
      </c>
      <c r="BD500" s="59"/>
      <c r="BE500" s="58" t="str">
        <f t="shared" si="258"/>
        <v/>
      </c>
      <c r="BF500" s="59"/>
      <c r="BG500" s="58" t="str">
        <f t="shared" si="259"/>
        <v/>
      </c>
      <c r="BH500" s="59"/>
      <c r="BI500" s="58" t="str">
        <f t="shared" si="260"/>
        <v/>
      </c>
      <c r="BJ500" s="59"/>
      <c r="BK500" s="58" t="str">
        <f t="shared" si="261"/>
        <v/>
      </c>
      <c r="BL500" s="59"/>
      <c r="BM500" s="58" t="str">
        <f t="shared" si="262"/>
        <v/>
      </c>
      <c r="BN500" s="59"/>
      <c r="BO500" s="58" t="str">
        <f t="shared" si="263"/>
        <v/>
      </c>
      <c r="BP500" s="59"/>
      <c r="BQ500" s="58" t="str">
        <f t="shared" si="264"/>
        <v/>
      </c>
      <c r="BR500" s="59"/>
      <c r="BS500" s="58" t="str">
        <f t="shared" si="265"/>
        <v/>
      </c>
      <c r="BT500" s="59"/>
      <c r="BU500" s="58" t="str">
        <f t="shared" si="266"/>
        <v/>
      </c>
      <c r="BV500" s="59"/>
    </row>
    <row r="501" spans="1:74" ht="14.5">
      <c r="A501" s="51" t="s">
        <v>58</v>
      </c>
      <c r="B501" s="52">
        <v>406</v>
      </c>
      <c r="C501" s="52" t="s">
        <v>188</v>
      </c>
      <c r="D501" s="41">
        <f t="shared" si="239"/>
        <v>7</v>
      </c>
      <c r="E501" s="52" t="s">
        <v>189</v>
      </c>
      <c r="F501" s="52" t="s">
        <v>242</v>
      </c>
      <c r="G501" s="52" t="s">
        <v>162</v>
      </c>
      <c r="H501" s="52" t="s">
        <v>432</v>
      </c>
      <c r="I501" s="53">
        <v>45702</v>
      </c>
      <c r="J501" s="108">
        <v>1412</v>
      </c>
      <c r="K501" s="101"/>
      <c r="L501" s="101"/>
      <c r="M501" s="101">
        <f t="shared" si="240"/>
        <v>1412</v>
      </c>
      <c r="N501" s="54">
        <f t="shared" si="241"/>
        <v>1412</v>
      </c>
      <c r="O501" s="101" t="s">
        <v>178</v>
      </c>
      <c r="P501" s="102">
        <f t="shared" si="242"/>
        <v>1.961111111111111</v>
      </c>
      <c r="Q501" s="102">
        <v>6</v>
      </c>
      <c r="R501" s="99">
        <v>120</v>
      </c>
      <c r="S501" s="55">
        <f t="shared" si="267"/>
        <v>45670</v>
      </c>
      <c r="T501" s="55"/>
      <c r="U501" s="56">
        <f t="shared" ca="1" si="269"/>
        <v>-170</v>
      </c>
      <c r="V501" s="55">
        <f t="shared" si="268"/>
        <v>45686</v>
      </c>
      <c r="W501" s="55"/>
      <c r="X501" s="56">
        <f t="shared" ca="1" si="270"/>
        <v>-154</v>
      </c>
      <c r="Y501" s="55"/>
      <c r="Z501" s="57"/>
      <c r="AA501" s="58" t="str">
        <f t="shared" si="243"/>
        <v>-</v>
      </c>
      <c r="AB501" s="59"/>
      <c r="AC501" s="58" t="str">
        <f t="shared" si="244"/>
        <v/>
      </c>
      <c r="AD501" s="59"/>
      <c r="AE501" s="58" t="str">
        <f t="shared" si="245"/>
        <v/>
      </c>
      <c r="AF501" s="59"/>
      <c r="AG501" s="58" t="str">
        <f t="shared" si="246"/>
        <v/>
      </c>
      <c r="AH501" s="59"/>
      <c r="AI501" s="58" t="str">
        <f t="shared" si="247"/>
        <v/>
      </c>
      <c r="AJ501" s="59"/>
      <c r="AK501" s="58" t="str">
        <f t="shared" si="248"/>
        <v/>
      </c>
      <c r="AL501" s="59"/>
      <c r="AM501" s="58" t="str">
        <f t="shared" si="249"/>
        <v/>
      </c>
      <c r="AN501" s="59"/>
      <c r="AO501" s="58" t="str">
        <f t="shared" si="250"/>
        <v/>
      </c>
      <c r="AP501" s="59"/>
      <c r="AQ501" s="58" t="str">
        <f t="shared" si="251"/>
        <v/>
      </c>
      <c r="AR501" s="59"/>
      <c r="AS501" s="58" t="str">
        <f t="shared" si="252"/>
        <v/>
      </c>
      <c r="AT501" s="59"/>
      <c r="AU501" s="58" t="str">
        <f t="shared" si="253"/>
        <v/>
      </c>
      <c r="AV501" s="59"/>
      <c r="AW501" s="58" t="str">
        <f t="shared" si="254"/>
        <v/>
      </c>
      <c r="AX501" s="59"/>
      <c r="AY501" s="58" t="str">
        <f t="shared" si="255"/>
        <v/>
      </c>
      <c r="AZ501" s="59"/>
      <c r="BA501" s="58" t="str">
        <f t="shared" si="256"/>
        <v/>
      </c>
      <c r="BB501" s="59"/>
      <c r="BC501" s="58">
        <f t="shared" si="257"/>
        <v>1412</v>
      </c>
      <c r="BD501" s="59"/>
      <c r="BE501" s="58" t="str">
        <f t="shared" si="258"/>
        <v/>
      </c>
      <c r="BF501" s="59"/>
      <c r="BG501" s="58" t="str">
        <f t="shared" si="259"/>
        <v/>
      </c>
      <c r="BH501" s="59"/>
      <c r="BI501" s="58" t="str">
        <f t="shared" si="260"/>
        <v/>
      </c>
      <c r="BJ501" s="59"/>
      <c r="BK501" s="58" t="str">
        <f t="shared" si="261"/>
        <v/>
      </c>
      <c r="BL501" s="59"/>
      <c r="BM501" s="58" t="str">
        <f t="shared" si="262"/>
        <v/>
      </c>
      <c r="BN501" s="59"/>
      <c r="BO501" s="58" t="str">
        <f t="shared" si="263"/>
        <v/>
      </c>
      <c r="BP501" s="59"/>
      <c r="BQ501" s="58" t="str">
        <f t="shared" si="264"/>
        <v/>
      </c>
      <c r="BR501" s="59"/>
      <c r="BS501" s="58" t="str">
        <f t="shared" si="265"/>
        <v/>
      </c>
      <c r="BT501" s="59"/>
      <c r="BU501" s="58" t="str">
        <f t="shared" si="266"/>
        <v/>
      </c>
      <c r="BV501" s="59"/>
    </row>
    <row r="502" spans="1:74" ht="14.5">
      <c r="A502" s="51" t="s">
        <v>58</v>
      </c>
      <c r="B502" s="52">
        <v>406</v>
      </c>
      <c r="C502" s="52" t="s">
        <v>188</v>
      </c>
      <c r="D502" s="41">
        <f t="shared" si="239"/>
        <v>7</v>
      </c>
      <c r="E502" s="52" t="s">
        <v>158</v>
      </c>
      <c r="F502" s="52" t="s">
        <v>242</v>
      </c>
      <c r="G502" s="52" t="s">
        <v>156</v>
      </c>
      <c r="H502" s="52" t="s">
        <v>432</v>
      </c>
      <c r="I502" s="53">
        <v>45702</v>
      </c>
      <c r="J502" s="108">
        <v>1072</v>
      </c>
      <c r="K502" s="101"/>
      <c r="L502" s="101"/>
      <c r="M502" s="101">
        <f t="shared" si="240"/>
        <v>1072</v>
      </c>
      <c r="N502" s="54">
        <f t="shared" si="241"/>
        <v>1072</v>
      </c>
      <c r="O502" s="101" t="s">
        <v>437</v>
      </c>
      <c r="P502" s="102">
        <f t="shared" si="242"/>
        <v>1.4888888888888889</v>
      </c>
      <c r="Q502" s="102">
        <v>6</v>
      </c>
      <c r="R502" s="99">
        <v>120</v>
      </c>
      <c r="S502" s="55">
        <f t="shared" si="267"/>
        <v>45670</v>
      </c>
      <c r="T502" s="55"/>
      <c r="U502" s="56">
        <f t="shared" ca="1" si="269"/>
        <v>-170</v>
      </c>
      <c r="V502" s="55">
        <f t="shared" si="268"/>
        <v>45686</v>
      </c>
      <c r="W502" s="55"/>
      <c r="X502" s="56">
        <f t="shared" ca="1" si="270"/>
        <v>-154</v>
      </c>
      <c r="Y502" s="55"/>
      <c r="Z502" s="57"/>
      <c r="AA502" s="58" t="str">
        <f t="shared" si="243"/>
        <v>-</v>
      </c>
      <c r="AB502" s="59"/>
      <c r="AC502" s="58" t="str">
        <f t="shared" si="244"/>
        <v/>
      </c>
      <c r="AD502" s="59"/>
      <c r="AE502" s="58" t="str">
        <f t="shared" si="245"/>
        <v/>
      </c>
      <c r="AF502" s="59"/>
      <c r="AG502" s="58" t="str">
        <f t="shared" si="246"/>
        <v/>
      </c>
      <c r="AH502" s="59"/>
      <c r="AI502" s="58" t="str">
        <f t="shared" si="247"/>
        <v/>
      </c>
      <c r="AJ502" s="59"/>
      <c r="AK502" s="58" t="str">
        <f t="shared" si="248"/>
        <v/>
      </c>
      <c r="AL502" s="59"/>
      <c r="AM502" s="58" t="str">
        <f t="shared" si="249"/>
        <v/>
      </c>
      <c r="AN502" s="59"/>
      <c r="AO502" s="58" t="str">
        <f t="shared" si="250"/>
        <v/>
      </c>
      <c r="AP502" s="59"/>
      <c r="AQ502" s="58" t="str">
        <f t="shared" si="251"/>
        <v/>
      </c>
      <c r="AR502" s="59"/>
      <c r="AS502" s="58" t="str">
        <f t="shared" si="252"/>
        <v/>
      </c>
      <c r="AT502" s="59"/>
      <c r="AU502" s="58" t="str">
        <f t="shared" si="253"/>
        <v/>
      </c>
      <c r="AV502" s="59"/>
      <c r="AW502" s="58" t="str">
        <f t="shared" si="254"/>
        <v/>
      </c>
      <c r="AX502" s="59"/>
      <c r="AY502" s="58" t="str">
        <f t="shared" si="255"/>
        <v/>
      </c>
      <c r="AZ502" s="59"/>
      <c r="BA502" s="58" t="str">
        <f t="shared" si="256"/>
        <v/>
      </c>
      <c r="BB502" s="59"/>
      <c r="BC502" s="58">
        <f t="shared" si="257"/>
        <v>1072</v>
      </c>
      <c r="BD502" s="59"/>
      <c r="BE502" s="58" t="str">
        <f t="shared" si="258"/>
        <v/>
      </c>
      <c r="BF502" s="59"/>
      <c r="BG502" s="58" t="str">
        <f t="shared" si="259"/>
        <v/>
      </c>
      <c r="BH502" s="59"/>
      <c r="BI502" s="58" t="str">
        <f t="shared" si="260"/>
        <v/>
      </c>
      <c r="BJ502" s="59"/>
      <c r="BK502" s="58" t="str">
        <f t="shared" si="261"/>
        <v/>
      </c>
      <c r="BL502" s="59"/>
      <c r="BM502" s="58" t="str">
        <f t="shared" si="262"/>
        <v/>
      </c>
      <c r="BN502" s="59"/>
      <c r="BO502" s="58" t="str">
        <f t="shared" si="263"/>
        <v/>
      </c>
      <c r="BP502" s="59"/>
      <c r="BQ502" s="58" t="str">
        <f t="shared" si="264"/>
        <v/>
      </c>
      <c r="BR502" s="59"/>
      <c r="BS502" s="58" t="str">
        <f t="shared" si="265"/>
        <v/>
      </c>
      <c r="BT502" s="59"/>
      <c r="BU502" s="58" t="str">
        <f t="shared" si="266"/>
        <v/>
      </c>
      <c r="BV502" s="59"/>
    </row>
    <row r="503" spans="1:74" ht="14.5">
      <c r="A503" s="51" t="s">
        <v>58</v>
      </c>
      <c r="B503" s="52">
        <v>406</v>
      </c>
      <c r="C503" s="52" t="s">
        <v>188</v>
      </c>
      <c r="D503" s="41">
        <f t="shared" si="239"/>
        <v>7</v>
      </c>
      <c r="E503" s="52" t="s">
        <v>190</v>
      </c>
      <c r="F503" s="52" t="s">
        <v>242</v>
      </c>
      <c r="G503" s="52" t="s">
        <v>244</v>
      </c>
      <c r="H503" s="52" t="s">
        <v>438</v>
      </c>
      <c r="I503" s="53">
        <v>45702</v>
      </c>
      <c r="J503" s="108">
        <v>1368</v>
      </c>
      <c r="K503" s="101"/>
      <c r="L503" s="101"/>
      <c r="M503" s="101">
        <f t="shared" si="240"/>
        <v>1368</v>
      </c>
      <c r="N503" s="54">
        <f t="shared" si="241"/>
        <v>1368</v>
      </c>
      <c r="O503" s="101" t="s">
        <v>431</v>
      </c>
      <c r="P503" s="102">
        <f t="shared" si="242"/>
        <v>1.9</v>
      </c>
      <c r="Q503" s="102">
        <v>6</v>
      </c>
      <c r="R503" s="99">
        <v>120</v>
      </c>
      <c r="S503" s="55">
        <f t="shared" si="267"/>
        <v>45670</v>
      </c>
      <c r="T503" s="55"/>
      <c r="U503" s="56">
        <f t="shared" ca="1" si="269"/>
        <v>-170</v>
      </c>
      <c r="V503" s="55">
        <f t="shared" si="268"/>
        <v>45686</v>
      </c>
      <c r="W503" s="55"/>
      <c r="X503" s="56">
        <f t="shared" ca="1" si="270"/>
        <v>-154</v>
      </c>
      <c r="Y503" s="55"/>
      <c r="Z503" s="57"/>
      <c r="AA503" s="58" t="str">
        <f t="shared" si="243"/>
        <v>-</v>
      </c>
      <c r="AB503" s="59"/>
      <c r="AC503" s="58" t="str">
        <f t="shared" si="244"/>
        <v/>
      </c>
      <c r="AD503" s="59"/>
      <c r="AE503" s="58" t="str">
        <f t="shared" si="245"/>
        <v/>
      </c>
      <c r="AF503" s="59"/>
      <c r="AG503" s="58" t="str">
        <f t="shared" si="246"/>
        <v/>
      </c>
      <c r="AH503" s="59"/>
      <c r="AI503" s="58" t="str">
        <f t="shared" si="247"/>
        <v/>
      </c>
      <c r="AJ503" s="59"/>
      <c r="AK503" s="58" t="str">
        <f t="shared" si="248"/>
        <v/>
      </c>
      <c r="AL503" s="59"/>
      <c r="AM503" s="58" t="str">
        <f t="shared" si="249"/>
        <v/>
      </c>
      <c r="AN503" s="59"/>
      <c r="AO503" s="58" t="str">
        <f t="shared" si="250"/>
        <v/>
      </c>
      <c r="AP503" s="59"/>
      <c r="AQ503" s="58" t="str">
        <f t="shared" si="251"/>
        <v/>
      </c>
      <c r="AR503" s="59"/>
      <c r="AS503" s="58" t="str">
        <f t="shared" si="252"/>
        <v/>
      </c>
      <c r="AT503" s="59"/>
      <c r="AU503" s="58" t="str">
        <f t="shared" si="253"/>
        <v/>
      </c>
      <c r="AV503" s="59"/>
      <c r="AW503" s="58" t="str">
        <f t="shared" si="254"/>
        <v/>
      </c>
      <c r="AX503" s="59"/>
      <c r="AY503" s="58" t="str">
        <f t="shared" si="255"/>
        <v/>
      </c>
      <c r="AZ503" s="59"/>
      <c r="BA503" s="58" t="str">
        <f t="shared" si="256"/>
        <v/>
      </c>
      <c r="BB503" s="59"/>
      <c r="BC503" s="58">
        <f t="shared" si="257"/>
        <v>1368</v>
      </c>
      <c r="BD503" s="59"/>
      <c r="BE503" s="58" t="str">
        <f t="shared" si="258"/>
        <v/>
      </c>
      <c r="BF503" s="59"/>
      <c r="BG503" s="58" t="str">
        <f t="shared" si="259"/>
        <v/>
      </c>
      <c r="BH503" s="59"/>
      <c r="BI503" s="58" t="str">
        <f t="shared" si="260"/>
        <v/>
      </c>
      <c r="BJ503" s="59"/>
      <c r="BK503" s="58" t="str">
        <f t="shared" si="261"/>
        <v/>
      </c>
      <c r="BL503" s="59"/>
      <c r="BM503" s="58" t="str">
        <f t="shared" si="262"/>
        <v/>
      </c>
      <c r="BN503" s="59"/>
      <c r="BO503" s="58" t="str">
        <f t="shared" si="263"/>
        <v/>
      </c>
      <c r="BP503" s="59"/>
      <c r="BQ503" s="58" t="str">
        <f t="shared" si="264"/>
        <v/>
      </c>
      <c r="BR503" s="59"/>
      <c r="BS503" s="58" t="str">
        <f t="shared" si="265"/>
        <v/>
      </c>
      <c r="BT503" s="59"/>
      <c r="BU503" s="58" t="str">
        <f t="shared" si="266"/>
        <v/>
      </c>
      <c r="BV503" s="59"/>
    </row>
    <row r="504" spans="1:74" ht="14.5">
      <c r="A504" s="51" t="s">
        <v>58</v>
      </c>
      <c r="B504" s="52">
        <v>407</v>
      </c>
      <c r="C504" s="52" t="s">
        <v>188</v>
      </c>
      <c r="D504" s="41">
        <f t="shared" si="239"/>
        <v>7</v>
      </c>
      <c r="E504" s="52" t="s">
        <v>158</v>
      </c>
      <c r="F504" s="52" t="s">
        <v>242</v>
      </c>
      <c r="G504" s="52" t="s">
        <v>155</v>
      </c>
      <c r="H504" s="52" t="s">
        <v>432</v>
      </c>
      <c r="I504" s="53">
        <v>45702</v>
      </c>
      <c r="J504" s="108">
        <v>1336</v>
      </c>
      <c r="K504" s="101"/>
      <c r="L504" s="101"/>
      <c r="M504" s="101">
        <f t="shared" si="240"/>
        <v>1336</v>
      </c>
      <c r="N504" s="54">
        <f t="shared" si="241"/>
        <v>1336</v>
      </c>
      <c r="O504" s="101" t="s">
        <v>437</v>
      </c>
      <c r="P504" s="102">
        <f t="shared" si="242"/>
        <v>1.8555555555555556</v>
      </c>
      <c r="Q504" s="102">
        <v>6</v>
      </c>
      <c r="R504" s="99">
        <v>120</v>
      </c>
      <c r="S504" s="55">
        <f t="shared" si="267"/>
        <v>45670</v>
      </c>
      <c r="T504" s="55"/>
      <c r="U504" s="56">
        <f t="shared" ca="1" si="269"/>
        <v>-170</v>
      </c>
      <c r="V504" s="55">
        <f t="shared" si="268"/>
        <v>45686</v>
      </c>
      <c r="W504" s="55"/>
      <c r="X504" s="56">
        <f t="shared" ca="1" si="270"/>
        <v>-154</v>
      </c>
      <c r="Y504" s="55"/>
      <c r="Z504" s="57"/>
      <c r="AA504" s="58" t="str">
        <f t="shared" si="243"/>
        <v>-</v>
      </c>
      <c r="AB504" s="59"/>
      <c r="AC504" s="58" t="str">
        <f t="shared" si="244"/>
        <v/>
      </c>
      <c r="AD504" s="59"/>
      <c r="AE504" s="58" t="str">
        <f t="shared" si="245"/>
        <v/>
      </c>
      <c r="AF504" s="59"/>
      <c r="AG504" s="58" t="str">
        <f t="shared" si="246"/>
        <v/>
      </c>
      <c r="AH504" s="59"/>
      <c r="AI504" s="58" t="str">
        <f t="shared" si="247"/>
        <v/>
      </c>
      <c r="AJ504" s="59"/>
      <c r="AK504" s="58" t="str">
        <f t="shared" si="248"/>
        <v/>
      </c>
      <c r="AL504" s="59"/>
      <c r="AM504" s="58" t="str">
        <f t="shared" si="249"/>
        <v/>
      </c>
      <c r="AN504" s="59"/>
      <c r="AO504" s="58" t="str">
        <f t="shared" si="250"/>
        <v/>
      </c>
      <c r="AP504" s="59"/>
      <c r="AQ504" s="58" t="str">
        <f t="shared" si="251"/>
        <v/>
      </c>
      <c r="AR504" s="59"/>
      <c r="AS504" s="58" t="str">
        <f t="shared" si="252"/>
        <v/>
      </c>
      <c r="AT504" s="59"/>
      <c r="AU504" s="58" t="str">
        <f t="shared" si="253"/>
        <v/>
      </c>
      <c r="AV504" s="59"/>
      <c r="AW504" s="58" t="str">
        <f t="shared" si="254"/>
        <v/>
      </c>
      <c r="AX504" s="59"/>
      <c r="AY504" s="58" t="str">
        <f t="shared" si="255"/>
        <v/>
      </c>
      <c r="AZ504" s="59"/>
      <c r="BA504" s="58" t="str">
        <f t="shared" si="256"/>
        <v/>
      </c>
      <c r="BB504" s="59"/>
      <c r="BC504" s="58">
        <f t="shared" si="257"/>
        <v>1336</v>
      </c>
      <c r="BD504" s="59"/>
      <c r="BE504" s="58" t="str">
        <f t="shared" si="258"/>
        <v/>
      </c>
      <c r="BF504" s="59"/>
      <c r="BG504" s="58" t="str">
        <f t="shared" si="259"/>
        <v/>
      </c>
      <c r="BH504" s="59"/>
      <c r="BI504" s="58" t="str">
        <f t="shared" si="260"/>
        <v/>
      </c>
      <c r="BJ504" s="59"/>
      <c r="BK504" s="58" t="str">
        <f t="shared" si="261"/>
        <v/>
      </c>
      <c r="BL504" s="59"/>
      <c r="BM504" s="58" t="str">
        <f t="shared" si="262"/>
        <v/>
      </c>
      <c r="BN504" s="59"/>
      <c r="BO504" s="58" t="str">
        <f t="shared" si="263"/>
        <v/>
      </c>
      <c r="BP504" s="59"/>
      <c r="BQ504" s="58" t="str">
        <f t="shared" si="264"/>
        <v/>
      </c>
      <c r="BR504" s="59"/>
      <c r="BS504" s="58" t="str">
        <f t="shared" si="265"/>
        <v/>
      </c>
      <c r="BT504" s="59"/>
      <c r="BU504" s="58" t="str">
        <f t="shared" si="266"/>
        <v/>
      </c>
      <c r="BV504" s="59"/>
    </row>
    <row r="505" spans="1:74" ht="14.5">
      <c r="A505" s="51" t="s">
        <v>58</v>
      </c>
      <c r="B505" s="52">
        <v>407</v>
      </c>
      <c r="C505" s="52" t="s">
        <v>188</v>
      </c>
      <c r="D505" s="41">
        <f t="shared" si="239"/>
        <v>7</v>
      </c>
      <c r="E505" s="52" t="s">
        <v>158</v>
      </c>
      <c r="F505" s="52" t="s">
        <v>242</v>
      </c>
      <c r="G505" s="52" t="s">
        <v>156</v>
      </c>
      <c r="H505" s="52" t="s">
        <v>432</v>
      </c>
      <c r="I505" s="53">
        <v>45702</v>
      </c>
      <c r="J505" s="108">
        <v>1336</v>
      </c>
      <c r="K505" s="101"/>
      <c r="L505" s="101"/>
      <c r="M505" s="101">
        <f t="shared" si="240"/>
        <v>1336</v>
      </c>
      <c r="N505" s="54">
        <f t="shared" si="241"/>
        <v>1336</v>
      </c>
      <c r="O505" s="101" t="s">
        <v>437</v>
      </c>
      <c r="P505" s="102">
        <f t="shared" si="242"/>
        <v>1.8555555555555556</v>
      </c>
      <c r="Q505" s="102">
        <v>6</v>
      </c>
      <c r="R505" s="99">
        <v>120</v>
      </c>
      <c r="S505" s="55">
        <f t="shared" si="267"/>
        <v>45670</v>
      </c>
      <c r="T505" s="55"/>
      <c r="U505" s="56">
        <f t="shared" ca="1" si="269"/>
        <v>-170</v>
      </c>
      <c r="V505" s="55">
        <f t="shared" si="268"/>
        <v>45686</v>
      </c>
      <c r="W505" s="55"/>
      <c r="X505" s="56">
        <f t="shared" ca="1" si="270"/>
        <v>-154</v>
      </c>
      <c r="Y505" s="55"/>
      <c r="Z505" s="57"/>
      <c r="AA505" s="58" t="str">
        <f t="shared" si="243"/>
        <v>-</v>
      </c>
      <c r="AB505" s="59"/>
      <c r="AC505" s="58" t="str">
        <f t="shared" si="244"/>
        <v/>
      </c>
      <c r="AD505" s="59"/>
      <c r="AE505" s="58" t="str">
        <f t="shared" si="245"/>
        <v/>
      </c>
      <c r="AF505" s="59"/>
      <c r="AG505" s="58" t="str">
        <f t="shared" si="246"/>
        <v/>
      </c>
      <c r="AH505" s="59"/>
      <c r="AI505" s="58" t="str">
        <f t="shared" si="247"/>
        <v/>
      </c>
      <c r="AJ505" s="59"/>
      <c r="AK505" s="58" t="str">
        <f t="shared" si="248"/>
        <v/>
      </c>
      <c r="AL505" s="59"/>
      <c r="AM505" s="58" t="str">
        <f t="shared" si="249"/>
        <v/>
      </c>
      <c r="AN505" s="59"/>
      <c r="AO505" s="58" t="str">
        <f t="shared" si="250"/>
        <v/>
      </c>
      <c r="AP505" s="59"/>
      <c r="AQ505" s="58" t="str">
        <f t="shared" si="251"/>
        <v/>
      </c>
      <c r="AR505" s="59"/>
      <c r="AS505" s="58" t="str">
        <f t="shared" si="252"/>
        <v/>
      </c>
      <c r="AT505" s="59"/>
      <c r="AU505" s="58" t="str">
        <f t="shared" si="253"/>
        <v/>
      </c>
      <c r="AV505" s="59"/>
      <c r="AW505" s="58" t="str">
        <f t="shared" si="254"/>
        <v/>
      </c>
      <c r="AX505" s="59"/>
      <c r="AY505" s="58" t="str">
        <f t="shared" si="255"/>
        <v/>
      </c>
      <c r="AZ505" s="59"/>
      <c r="BA505" s="58" t="str">
        <f t="shared" si="256"/>
        <v/>
      </c>
      <c r="BB505" s="59"/>
      <c r="BC505" s="58">
        <f t="shared" si="257"/>
        <v>1336</v>
      </c>
      <c r="BD505" s="59"/>
      <c r="BE505" s="58" t="str">
        <f t="shared" si="258"/>
        <v/>
      </c>
      <c r="BF505" s="59"/>
      <c r="BG505" s="58" t="str">
        <f t="shared" si="259"/>
        <v/>
      </c>
      <c r="BH505" s="59"/>
      <c r="BI505" s="58" t="str">
        <f t="shared" si="260"/>
        <v/>
      </c>
      <c r="BJ505" s="59"/>
      <c r="BK505" s="58" t="str">
        <f t="shared" si="261"/>
        <v/>
      </c>
      <c r="BL505" s="59"/>
      <c r="BM505" s="58" t="str">
        <f t="shared" si="262"/>
        <v/>
      </c>
      <c r="BN505" s="59"/>
      <c r="BO505" s="58" t="str">
        <f t="shared" si="263"/>
        <v/>
      </c>
      <c r="BP505" s="59"/>
      <c r="BQ505" s="58" t="str">
        <f t="shared" si="264"/>
        <v/>
      </c>
      <c r="BR505" s="59"/>
      <c r="BS505" s="58" t="str">
        <f t="shared" si="265"/>
        <v/>
      </c>
      <c r="BT505" s="59"/>
      <c r="BU505" s="58" t="str">
        <f t="shared" si="266"/>
        <v/>
      </c>
      <c r="BV505" s="59"/>
    </row>
    <row r="506" spans="1:74" ht="14.5">
      <c r="A506" s="51" t="s">
        <v>58</v>
      </c>
      <c r="B506" s="52">
        <v>407</v>
      </c>
      <c r="C506" s="52" t="s">
        <v>188</v>
      </c>
      <c r="D506" s="41">
        <f t="shared" si="239"/>
        <v>7</v>
      </c>
      <c r="E506" s="52" t="s">
        <v>190</v>
      </c>
      <c r="F506" s="52" t="s">
        <v>242</v>
      </c>
      <c r="G506" s="52" t="s">
        <v>244</v>
      </c>
      <c r="H506" s="52" t="s">
        <v>438</v>
      </c>
      <c r="I506" s="53">
        <v>45702</v>
      </c>
      <c r="J506" s="108">
        <v>1180</v>
      </c>
      <c r="K506" s="101"/>
      <c r="L506" s="101"/>
      <c r="M506" s="101">
        <f t="shared" si="240"/>
        <v>1180</v>
      </c>
      <c r="N506" s="54">
        <f t="shared" si="241"/>
        <v>1180</v>
      </c>
      <c r="O506" s="101" t="s">
        <v>431</v>
      </c>
      <c r="P506" s="102">
        <f t="shared" si="242"/>
        <v>1.6388888888888888</v>
      </c>
      <c r="Q506" s="102">
        <v>6</v>
      </c>
      <c r="R506" s="99">
        <v>120</v>
      </c>
      <c r="S506" s="55">
        <f t="shared" si="267"/>
        <v>45670</v>
      </c>
      <c r="T506" s="55"/>
      <c r="U506" s="56">
        <f t="shared" ca="1" si="269"/>
        <v>-170</v>
      </c>
      <c r="V506" s="55">
        <f t="shared" si="268"/>
        <v>45686</v>
      </c>
      <c r="W506" s="55"/>
      <c r="X506" s="56">
        <f t="shared" ca="1" si="270"/>
        <v>-154</v>
      </c>
      <c r="Y506" s="55"/>
      <c r="Z506" s="57"/>
      <c r="AA506" s="58" t="str">
        <f t="shared" si="243"/>
        <v>-</v>
      </c>
      <c r="AB506" s="59"/>
      <c r="AC506" s="58" t="str">
        <f t="shared" si="244"/>
        <v/>
      </c>
      <c r="AD506" s="59"/>
      <c r="AE506" s="58" t="str">
        <f t="shared" si="245"/>
        <v/>
      </c>
      <c r="AF506" s="59"/>
      <c r="AG506" s="58" t="str">
        <f t="shared" si="246"/>
        <v/>
      </c>
      <c r="AH506" s="59"/>
      <c r="AI506" s="58" t="str">
        <f t="shared" si="247"/>
        <v/>
      </c>
      <c r="AJ506" s="59"/>
      <c r="AK506" s="58" t="str">
        <f t="shared" si="248"/>
        <v/>
      </c>
      <c r="AL506" s="59"/>
      <c r="AM506" s="58" t="str">
        <f t="shared" si="249"/>
        <v/>
      </c>
      <c r="AN506" s="59"/>
      <c r="AO506" s="58" t="str">
        <f t="shared" si="250"/>
        <v/>
      </c>
      <c r="AP506" s="59"/>
      <c r="AQ506" s="58" t="str">
        <f t="shared" si="251"/>
        <v/>
      </c>
      <c r="AR506" s="59"/>
      <c r="AS506" s="58" t="str">
        <f t="shared" si="252"/>
        <v/>
      </c>
      <c r="AT506" s="59"/>
      <c r="AU506" s="58" t="str">
        <f t="shared" si="253"/>
        <v/>
      </c>
      <c r="AV506" s="59"/>
      <c r="AW506" s="58" t="str">
        <f t="shared" si="254"/>
        <v/>
      </c>
      <c r="AX506" s="59"/>
      <c r="AY506" s="58" t="str">
        <f t="shared" si="255"/>
        <v/>
      </c>
      <c r="AZ506" s="59"/>
      <c r="BA506" s="58" t="str">
        <f t="shared" si="256"/>
        <v/>
      </c>
      <c r="BB506" s="59"/>
      <c r="BC506" s="58">
        <f t="shared" si="257"/>
        <v>1180</v>
      </c>
      <c r="BD506" s="59"/>
      <c r="BE506" s="58" t="str">
        <f t="shared" si="258"/>
        <v/>
      </c>
      <c r="BF506" s="59"/>
      <c r="BG506" s="58" t="str">
        <f t="shared" si="259"/>
        <v/>
      </c>
      <c r="BH506" s="59"/>
      <c r="BI506" s="58" t="str">
        <f t="shared" si="260"/>
        <v/>
      </c>
      <c r="BJ506" s="59"/>
      <c r="BK506" s="58" t="str">
        <f t="shared" si="261"/>
        <v/>
      </c>
      <c r="BL506" s="59"/>
      <c r="BM506" s="58" t="str">
        <f t="shared" si="262"/>
        <v/>
      </c>
      <c r="BN506" s="59"/>
      <c r="BO506" s="58" t="str">
        <f t="shared" si="263"/>
        <v/>
      </c>
      <c r="BP506" s="59"/>
      <c r="BQ506" s="58" t="str">
        <f t="shared" si="264"/>
        <v/>
      </c>
      <c r="BR506" s="59"/>
      <c r="BS506" s="58" t="str">
        <f t="shared" si="265"/>
        <v/>
      </c>
      <c r="BT506" s="59"/>
      <c r="BU506" s="58" t="str">
        <f t="shared" si="266"/>
        <v/>
      </c>
      <c r="BV506" s="59"/>
    </row>
    <row r="507" spans="1:74" ht="14.5">
      <c r="A507" s="51" t="s">
        <v>58</v>
      </c>
      <c r="B507" s="52">
        <v>410</v>
      </c>
      <c r="C507" s="52" t="s">
        <v>188</v>
      </c>
      <c r="D507" s="41">
        <f t="shared" si="239"/>
        <v>7</v>
      </c>
      <c r="E507" s="52" t="s">
        <v>205</v>
      </c>
      <c r="F507" s="52" t="s">
        <v>243</v>
      </c>
      <c r="G507" s="52" t="s">
        <v>162</v>
      </c>
      <c r="H507" s="52" t="s">
        <v>428</v>
      </c>
      <c r="I507" s="53">
        <v>45702</v>
      </c>
      <c r="J507" s="108">
        <v>498</v>
      </c>
      <c r="K507" s="101"/>
      <c r="L507" s="101"/>
      <c r="M507" s="101">
        <f t="shared" si="240"/>
        <v>498</v>
      </c>
      <c r="N507" s="54">
        <f t="shared" si="241"/>
        <v>498</v>
      </c>
      <c r="O507" s="101" t="s">
        <v>429</v>
      </c>
      <c r="P507" s="102">
        <f t="shared" si="242"/>
        <v>8.3000000000000004E-2</v>
      </c>
      <c r="Q507" s="102">
        <v>6</v>
      </c>
      <c r="R507" s="99">
        <v>1000</v>
      </c>
      <c r="S507" s="55">
        <f t="shared" si="267"/>
        <v>45670</v>
      </c>
      <c r="T507" s="55"/>
      <c r="U507" s="56">
        <f t="shared" ca="1" si="269"/>
        <v>-170</v>
      </c>
      <c r="V507" s="55">
        <f t="shared" si="268"/>
        <v>45686</v>
      </c>
      <c r="W507" s="55"/>
      <c r="X507" s="56">
        <f t="shared" ca="1" si="270"/>
        <v>-154</v>
      </c>
      <c r="Y507" s="55"/>
      <c r="Z507" s="57"/>
      <c r="AA507" s="58" t="str">
        <f t="shared" si="243"/>
        <v>-</v>
      </c>
      <c r="AB507" s="59"/>
      <c r="AC507" s="58" t="str">
        <f t="shared" si="244"/>
        <v/>
      </c>
      <c r="AD507" s="59"/>
      <c r="AE507" s="58" t="str">
        <f t="shared" si="245"/>
        <v/>
      </c>
      <c r="AF507" s="59"/>
      <c r="AG507" s="58" t="str">
        <f t="shared" si="246"/>
        <v/>
      </c>
      <c r="AH507" s="59"/>
      <c r="AI507" s="58" t="str">
        <f t="shared" si="247"/>
        <v/>
      </c>
      <c r="AJ507" s="59"/>
      <c r="AK507" s="58" t="str">
        <f t="shared" si="248"/>
        <v/>
      </c>
      <c r="AL507" s="59"/>
      <c r="AM507" s="58" t="str">
        <f t="shared" si="249"/>
        <v/>
      </c>
      <c r="AN507" s="59"/>
      <c r="AO507" s="58" t="str">
        <f t="shared" si="250"/>
        <v/>
      </c>
      <c r="AP507" s="59"/>
      <c r="AQ507" s="58" t="str">
        <f t="shared" si="251"/>
        <v/>
      </c>
      <c r="AR507" s="59"/>
      <c r="AS507" s="58" t="str">
        <f t="shared" si="252"/>
        <v/>
      </c>
      <c r="AT507" s="59"/>
      <c r="AU507" s="58" t="str">
        <f t="shared" si="253"/>
        <v/>
      </c>
      <c r="AV507" s="59"/>
      <c r="AW507" s="58" t="str">
        <f t="shared" si="254"/>
        <v/>
      </c>
      <c r="AX507" s="59"/>
      <c r="AY507" s="58" t="str">
        <f t="shared" si="255"/>
        <v/>
      </c>
      <c r="AZ507" s="59"/>
      <c r="BA507" s="58" t="str">
        <f t="shared" si="256"/>
        <v/>
      </c>
      <c r="BB507" s="59"/>
      <c r="BC507" s="58">
        <f t="shared" si="257"/>
        <v>498</v>
      </c>
      <c r="BD507" s="59"/>
      <c r="BE507" s="58" t="str">
        <f t="shared" si="258"/>
        <v/>
      </c>
      <c r="BF507" s="59"/>
      <c r="BG507" s="58" t="str">
        <f t="shared" si="259"/>
        <v/>
      </c>
      <c r="BH507" s="59"/>
      <c r="BI507" s="58" t="str">
        <f t="shared" si="260"/>
        <v/>
      </c>
      <c r="BJ507" s="59"/>
      <c r="BK507" s="58" t="str">
        <f t="shared" si="261"/>
        <v/>
      </c>
      <c r="BL507" s="59"/>
      <c r="BM507" s="58" t="str">
        <f t="shared" si="262"/>
        <v/>
      </c>
      <c r="BN507" s="59"/>
      <c r="BO507" s="58" t="str">
        <f t="shared" si="263"/>
        <v/>
      </c>
      <c r="BP507" s="59"/>
      <c r="BQ507" s="58" t="str">
        <f t="shared" si="264"/>
        <v/>
      </c>
      <c r="BR507" s="59"/>
      <c r="BS507" s="58" t="str">
        <f t="shared" si="265"/>
        <v/>
      </c>
      <c r="BT507" s="59"/>
      <c r="BU507" s="58" t="str">
        <f t="shared" si="266"/>
        <v/>
      </c>
      <c r="BV507" s="59"/>
    </row>
    <row r="508" spans="1:74" ht="14.5">
      <c r="A508" s="51" t="s">
        <v>58</v>
      </c>
      <c r="B508" s="52">
        <v>410</v>
      </c>
      <c r="C508" s="52" t="s">
        <v>188</v>
      </c>
      <c r="D508" s="41">
        <f t="shared" si="239"/>
        <v>7</v>
      </c>
      <c r="E508" s="52" t="s">
        <v>158</v>
      </c>
      <c r="F508" s="52" t="s">
        <v>242</v>
      </c>
      <c r="G508" s="52" t="s">
        <v>155</v>
      </c>
      <c r="H508" s="52" t="s">
        <v>432</v>
      </c>
      <c r="I508" s="53">
        <v>45702</v>
      </c>
      <c r="J508" s="108">
        <v>1356</v>
      </c>
      <c r="K508" s="101"/>
      <c r="L508" s="101"/>
      <c r="M508" s="101">
        <f t="shared" si="240"/>
        <v>1356</v>
      </c>
      <c r="N508" s="54">
        <f t="shared" si="241"/>
        <v>1356</v>
      </c>
      <c r="O508" s="101" t="s">
        <v>437</v>
      </c>
      <c r="P508" s="102">
        <f t="shared" si="242"/>
        <v>1.8833333333333333</v>
      </c>
      <c r="Q508" s="102">
        <v>6</v>
      </c>
      <c r="R508" s="99">
        <v>120</v>
      </c>
      <c r="S508" s="55">
        <f t="shared" si="267"/>
        <v>45670</v>
      </c>
      <c r="T508" s="55"/>
      <c r="U508" s="56">
        <f t="shared" ca="1" si="269"/>
        <v>-170</v>
      </c>
      <c r="V508" s="55">
        <f t="shared" si="268"/>
        <v>45686</v>
      </c>
      <c r="W508" s="55"/>
      <c r="X508" s="56">
        <f t="shared" ca="1" si="270"/>
        <v>-154</v>
      </c>
      <c r="Y508" s="55"/>
      <c r="Z508" s="57"/>
      <c r="AA508" s="58" t="str">
        <f t="shared" si="243"/>
        <v>-</v>
      </c>
      <c r="AB508" s="59"/>
      <c r="AC508" s="58" t="str">
        <f t="shared" si="244"/>
        <v/>
      </c>
      <c r="AD508" s="59"/>
      <c r="AE508" s="58" t="str">
        <f t="shared" si="245"/>
        <v/>
      </c>
      <c r="AF508" s="59"/>
      <c r="AG508" s="58" t="str">
        <f t="shared" si="246"/>
        <v/>
      </c>
      <c r="AH508" s="59"/>
      <c r="AI508" s="58" t="str">
        <f t="shared" si="247"/>
        <v/>
      </c>
      <c r="AJ508" s="59"/>
      <c r="AK508" s="58" t="str">
        <f t="shared" si="248"/>
        <v/>
      </c>
      <c r="AL508" s="59"/>
      <c r="AM508" s="58" t="str">
        <f t="shared" si="249"/>
        <v/>
      </c>
      <c r="AN508" s="59"/>
      <c r="AO508" s="58" t="str">
        <f t="shared" si="250"/>
        <v/>
      </c>
      <c r="AP508" s="59"/>
      <c r="AQ508" s="58" t="str">
        <f t="shared" si="251"/>
        <v/>
      </c>
      <c r="AR508" s="59"/>
      <c r="AS508" s="58" t="str">
        <f t="shared" si="252"/>
        <v/>
      </c>
      <c r="AT508" s="59"/>
      <c r="AU508" s="58" t="str">
        <f t="shared" si="253"/>
        <v/>
      </c>
      <c r="AV508" s="59"/>
      <c r="AW508" s="58" t="str">
        <f t="shared" si="254"/>
        <v/>
      </c>
      <c r="AX508" s="59"/>
      <c r="AY508" s="58" t="str">
        <f t="shared" si="255"/>
        <v/>
      </c>
      <c r="AZ508" s="59"/>
      <c r="BA508" s="58" t="str">
        <f t="shared" si="256"/>
        <v/>
      </c>
      <c r="BB508" s="59"/>
      <c r="BC508" s="58">
        <f t="shared" si="257"/>
        <v>1356</v>
      </c>
      <c r="BD508" s="59"/>
      <c r="BE508" s="58" t="str">
        <f t="shared" si="258"/>
        <v/>
      </c>
      <c r="BF508" s="59"/>
      <c r="BG508" s="58" t="str">
        <f t="shared" si="259"/>
        <v/>
      </c>
      <c r="BH508" s="59"/>
      <c r="BI508" s="58" t="str">
        <f t="shared" si="260"/>
        <v/>
      </c>
      <c r="BJ508" s="59"/>
      <c r="BK508" s="58" t="str">
        <f t="shared" si="261"/>
        <v/>
      </c>
      <c r="BL508" s="59"/>
      <c r="BM508" s="58" t="str">
        <f t="shared" si="262"/>
        <v/>
      </c>
      <c r="BN508" s="59"/>
      <c r="BO508" s="58" t="str">
        <f t="shared" si="263"/>
        <v/>
      </c>
      <c r="BP508" s="59"/>
      <c r="BQ508" s="58" t="str">
        <f t="shared" si="264"/>
        <v/>
      </c>
      <c r="BR508" s="59"/>
      <c r="BS508" s="58" t="str">
        <f t="shared" si="265"/>
        <v/>
      </c>
      <c r="BT508" s="59"/>
      <c r="BU508" s="58" t="str">
        <f t="shared" si="266"/>
        <v/>
      </c>
      <c r="BV508" s="59"/>
    </row>
    <row r="509" spans="1:74" ht="14.5">
      <c r="A509" s="51" t="s">
        <v>58</v>
      </c>
      <c r="B509" s="52">
        <v>410</v>
      </c>
      <c r="C509" s="52" t="s">
        <v>188</v>
      </c>
      <c r="D509" s="41">
        <f t="shared" si="239"/>
        <v>7</v>
      </c>
      <c r="E509" s="52" t="s">
        <v>158</v>
      </c>
      <c r="F509" s="52" t="s">
        <v>242</v>
      </c>
      <c r="G509" s="52" t="s">
        <v>156</v>
      </c>
      <c r="H509" s="52" t="s">
        <v>432</v>
      </c>
      <c r="I509" s="53">
        <v>45702</v>
      </c>
      <c r="J509" s="108">
        <v>2172</v>
      </c>
      <c r="K509" s="101"/>
      <c r="L509" s="101"/>
      <c r="M509" s="101">
        <f t="shared" si="240"/>
        <v>2172</v>
      </c>
      <c r="N509" s="54">
        <f t="shared" si="241"/>
        <v>2172</v>
      </c>
      <c r="O509" s="101" t="s">
        <v>439</v>
      </c>
      <c r="P509" s="102">
        <f t="shared" si="242"/>
        <v>3.0166666666666666</v>
      </c>
      <c r="Q509" s="102">
        <v>6</v>
      </c>
      <c r="R509" s="99">
        <v>120</v>
      </c>
      <c r="S509" s="55">
        <f t="shared" si="267"/>
        <v>45670</v>
      </c>
      <c r="T509" s="55"/>
      <c r="U509" s="56">
        <f t="shared" ca="1" si="269"/>
        <v>-170</v>
      </c>
      <c r="V509" s="55">
        <f t="shared" si="268"/>
        <v>45686</v>
      </c>
      <c r="W509" s="55"/>
      <c r="X509" s="56">
        <f t="shared" ca="1" si="270"/>
        <v>-154</v>
      </c>
      <c r="Y509" s="55"/>
      <c r="Z509" s="57"/>
      <c r="AA509" s="58" t="str">
        <f t="shared" si="243"/>
        <v>-</v>
      </c>
      <c r="AB509" s="59"/>
      <c r="AC509" s="58" t="str">
        <f t="shared" si="244"/>
        <v/>
      </c>
      <c r="AD509" s="59"/>
      <c r="AE509" s="58" t="str">
        <f t="shared" si="245"/>
        <v/>
      </c>
      <c r="AF509" s="59"/>
      <c r="AG509" s="58" t="str">
        <f t="shared" si="246"/>
        <v/>
      </c>
      <c r="AH509" s="59"/>
      <c r="AI509" s="58" t="str">
        <f t="shared" si="247"/>
        <v/>
      </c>
      <c r="AJ509" s="59"/>
      <c r="AK509" s="58" t="str">
        <f t="shared" si="248"/>
        <v/>
      </c>
      <c r="AL509" s="59"/>
      <c r="AM509" s="58" t="str">
        <f t="shared" si="249"/>
        <v/>
      </c>
      <c r="AN509" s="59"/>
      <c r="AO509" s="58" t="str">
        <f t="shared" si="250"/>
        <v/>
      </c>
      <c r="AP509" s="59"/>
      <c r="AQ509" s="58" t="str">
        <f t="shared" si="251"/>
        <v/>
      </c>
      <c r="AR509" s="59"/>
      <c r="AS509" s="58" t="str">
        <f t="shared" si="252"/>
        <v/>
      </c>
      <c r="AT509" s="59"/>
      <c r="AU509" s="58" t="str">
        <f t="shared" si="253"/>
        <v/>
      </c>
      <c r="AV509" s="59"/>
      <c r="AW509" s="58" t="str">
        <f t="shared" si="254"/>
        <v/>
      </c>
      <c r="AX509" s="59"/>
      <c r="AY509" s="58" t="str">
        <f t="shared" si="255"/>
        <v/>
      </c>
      <c r="AZ509" s="59"/>
      <c r="BA509" s="58" t="str">
        <f t="shared" si="256"/>
        <v/>
      </c>
      <c r="BB509" s="59"/>
      <c r="BC509" s="58">
        <f t="shared" si="257"/>
        <v>2172</v>
      </c>
      <c r="BD509" s="59"/>
      <c r="BE509" s="58" t="str">
        <f t="shared" si="258"/>
        <v/>
      </c>
      <c r="BF509" s="59"/>
      <c r="BG509" s="58" t="str">
        <f t="shared" si="259"/>
        <v/>
      </c>
      <c r="BH509" s="59"/>
      <c r="BI509" s="58" t="str">
        <f t="shared" si="260"/>
        <v/>
      </c>
      <c r="BJ509" s="59"/>
      <c r="BK509" s="58" t="str">
        <f t="shared" si="261"/>
        <v/>
      </c>
      <c r="BL509" s="59"/>
      <c r="BM509" s="58" t="str">
        <f t="shared" si="262"/>
        <v/>
      </c>
      <c r="BN509" s="59"/>
      <c r="BO509" s="58" t="str">
        <f t="shared" si="263"/>
        <v/>
      </c>
      <c r="BP509" s="59"/>
      <c r="BQ509" s="58" t="str">
        <f t="shared" si="264"/>
        <v/>
      </c>
      <c r="BR509" s="59"/>
      <c r="BS509" s="58" t="str">
        <f t="shared" si="265"/>
        <v/>
      </c>
      <c r="BT509" s="59"/>
      <c r="BU509" s="58" t="str">
        <f t="shared" si="266"/>
        <v/>
      </c>
      <c r="BV509" s="59"/>
    </row>
    <row r="510" spans="1:74" ht="14.5">
      <c r="A510" s="51" t="s">
        <v>446</v>
      </c>
      <c r="B510" s="52" t="s">
        <v>568</v>
      </c>
      <c r="C510" s="52" t="s">
        <v>60</v>
      </c>
      <c r="D510" s="41">
        <f t="shared" si="239"/>
        <v>8</v>
      </c>
      <c r="E510" s="52" t="s">
        <v>187</v>
      </c>
      <c r="F510" s="52" t="s">
        <v>448</v>
      </c>
      <c r="G510" s="52" t="s">
        <v>164</v>
      </c>
      <c r="H510" s="52" t="s">
        <v>449</v>
      </c>
      <c r="I510" s="53">
        <v>45708</v>
      </c>
      <c r="J510" s="108">
        <v>9000</v>
      </c>
      <c r="K510" s="101"/>
      <c r="L510" s="101"/>
      <c r="M510" s="101">
        <f t="shared" si="240"/>
        <v>9000</v>
      </c>
      <c r="N510" s="54">
        <f t="shared" si="241"/>
        <v>9000</v>
      </c>
      <c r="O510" s="101" t="s">
        <v>429</v>
      </c>
      <c r="P510" s="102">
        <f t="shared" si="242"/>
        <v>1.3636363636363635</v>
      </c>
      <c r="Q510" s="102">
        <v>6</v>
      </c>
      <c r="R510" s="99">
        <v>1100</v>
      </c>
      <c r="S510" s="55">
        <f>+I510-(28)</f>
        <v>45680</v>
      </c>
      <c r="T510" s="55"/>
      <c r="U510" s="56">
        <f t="shared" ca="1" si="269"/>
        <v>-160</v>
      </c>
      <c r="V510" s="55">
        <f t="shared" si="268"/>
        <v>45696</v>
      </c>
      <c r="W510" s="55"/>
      <c r="X510" s="56">
        <f t="shared" ca="1" si="270"/>
        <v>-144</v>
      </c>
      <c r="Y510" s="55"/>
      <c r="Z510" s="57"/>
      <c r="AA510" s="58" t="str">
        <f t="shared" si="243"/>
        <v>-</v>
      </c>
      <c r="AB510" s="59"/>
      <c r="AC510" s="58" t="str">
        <f t="shared" si="244"/>
        <v/>
      </c>
      <c r="AD510" s="59"/>
      <c r="AE510" s="58" t="str">
        <f t="shared" si="245"/>
        <v/>
      </c>
      <c r="AF510" s="59"/>
      <c r="AG510" s="58" t="str">
        <f t="shared" si="246"/>
        <v/>
      </c>
      <c r="AH510" s="59"/>
      <c r="AI510" s="58" t="str">
        <f t="shared" si="247"/>
        <v/>
      </c>
      <c r="AJ510" s="59"/>
      <c r="AK510" s="58" t="str">
        <f t="shared" si="248"/>
        <v/>
      </c>
      <c r="AL510" s="59"/>
      <c r="AM510" s="58" t="str">
        <f t="shared" si="249"/>
        <v/>
      </c>
      <c r="AN510" s="59"/>
      <c r="AO510" s="58" t="str">
        <f t="shared" si="250"/>
        <v/>
      </c>
      <c r="AP510" s="59"/>
      <c r="AQ510" s="58" t="str">
        <f t="shared" si="251"/>
        <v/>
      </c>
      <c r="AR510" s="59"/>
      <c r="AS510" s="58" t="str">
        <f t="shared" si="252"/>
        <v/>
      </c>
      <c r="AT510" s="59"/>
      <c r="AU510" s="58" t="str">
        <f t="shared" si="253"/>
        <v/>
      </c>
      <c r="AV510" s="59"/>
      <c r="AW510" s="58" t="str">
        <f t="shared" si="254"/>
        <v/>
      </c>
      <c r="AX510" s="59"/>
      <c r="AY510" s="58" t="str">
        <f t="shared" si="255"/>
        <v/>
      </c>
      <c r="AZ510" s="59"/>
      <c r="BA510" s="58" t="str">
        <f t="shared" si="256"/>
        <v/>
      </c>
      <c r="BB510" s="59"/>
      <c r="BC510" s="58" t="str">
        <f t="shared" si="257"/>
        <v/>
      </c>
      <c r="BD510" s="59"/>
      <c r="BE510" s="58">
        <f t="shared" si="258"/>
        <v>9000</v>
      </c>
      <c r="BF510" s="59"/>
      <c r="BG510" s="58" t="str">
        <f t="shared" si="259"/>
        <v/>
      </c>
      <c r="BH510" s="59"/>
      <c r="BI510" s="58" t="str">
        <f t="shared" si="260"/>
        <v/>
      </c>
      <c r="BJ510" s="59"/>
      <c r="BK510" s="58" t="str">
        <f t="shared" si="261"/>
        <v/>
      </c>
      <c r="BL510" s="59"/>
      <c r="BM510" s="58" t="str">
        <f t="shared" si="262"/>
        <v/>
      </c>
      <c r="BN510" s="59"/>
      <c r="BO510" s="58" t="str">
        <f t="shared" si="263"/>
        <v/>
      </c>
      <c r="BP510" s="59"/>
      <c r="BQ510" s="58" t="str">
        <f t="shared" si="264"/>
        <v/>
      </c>
      <c r="BR510" s="59"/>
      <c r="BS510" s="58" t="str">
        <f t="shared" si="265"/>
        <v/>
      </c>
      <c r="BT510" s="59"/>
      <c r="BU510" s="58" t="str">
        <f t="shared" si="266"/>
        <v/>
      </c>
      <c r="BV510" s="59"/>
    </row>
    <row r="511" spans="1:74" ht="14.5">
      <c r="A511" s="51" t="s">
        <v>446</v>
      </c>
      <c r="B511" s="52" t="s">
        <v>568</v>
      </c>
      <c r="C511" s="52" t="s">
        <v>60</v>
      </c>
      <c r="D511" s="41">
        <f t="shared" si="239"/>
        <v>8</v>
      </c>
      <c r="E511" s="52" t="s">
        <v>187</v>
      </c>
      <c r="F511" s="52" t="s">
        <v>448</v>
      </c>
      <c r="G511" s="52" t="s">
        <v>155</v>
      </c>
      <c r="H511" s="52" t="s">
        <v>449</v>
      </c>
      <c r="I511" s="53">
        <v>45708</v>
      </c>
      <c r="J511" s="108">
        <v>9000</v>
      </c>
      <c r="K511" s="101"/>
      <c r="L511" s="101"/>
      <c r="M511" s="101">
        <f t="shared" si="240"/>
        <v>9000</v>
      </c>
      <c r="N511" s="54">
        <f t="shared" si="241"/>
        <v>9000</v>
      </c>
      <c r="O511" s="101" t="s">
        <v>429</v>
      </c>
      <c r="P511" s="102">
        <f t="shared" si="242"/>
        <v>1.3636363636363635</v>
      </c>
      <c r="Q511" s="102">
        <v>6</v>
      </c>
      <c r="R511" s="99">
        <v>1100</v>
      </c>
      <c r="S511" s="55">
        <f>+I511-(28)</f>
        <v>45680</v>
      </c>
      <c r="T511" s="55"/>
      <c r="U511" s="56">
        <f t="shared" ca="1" si="269"/>
        <v>-160</v>
      </c>
      <c r="V511" s="55">
        <f t="shared" si="268"/>
        <v>45696</v>
      </c>
      <c r="W511" s="55"/>
      <c r="X511" s="56">
        <f t="shared" ca="1" si="270"/>
        <v>-144</v>
      </c>
      <c r="Y511" s="55"/>
      <c r="Z511" s="57"/>
      <c r="AA511" s="58" t="str">
        <f t="shared" si="243"/>
        <v>-</v>
      </c>
      <c r="AB511" s="59"/>
      <c r="AC511" s="58" t="str">
        <f t="shared" si="244"/>
        <v/>
      </c>
      <c r="AD511" s="59"/>
      <c r="AE511" s="58" t="str">
        <f t="shared" si="245"/>
        <v/>
      </c>
      <c r="AF511" s="59"/>
      <c r="AG511" s="58" t="str">
        <f t="shared" si="246"/>
        <v/>
      </c>
      <c r="AH511" s="59"/>
      <c r="AI511" s="58" t="str">
        <f t="shared" si="247"/>
        <v/>
      </c>
      <c r="AJ511" s="59"/>
      <c r="AK511" s="58" t="str">
        <f t="shared" si="248"/>
        <v/>
      </c>
      <c r="AL511" s="59"/>
      <c r="AM511" s="58" t="str">
        <f t="shared" si="249"/>
        <v/>
      </c>
      <c r="AN511" s="59"/>
      <c r="AO511" s="58" t="str">
        <f t="shared" si="250"/>
        <v/>
      </c>
      <c r="AP511" s="59"/>
      <c r="AQ511" s="58" t="str">
        <f t="shared" si="251"/>
        <v/>
      </c>
      <c r="AR511" s="59"/>
      <c r="AS511" s="58" t="str">
        <f t="shared" si="252"/>
        <v/>
      </c>
      <c r="AT511" s="59"/>
      <c r="AU511" s="58" t="str">
        <f t="shared" si="253"/>
        <v/>
      </c>
      <c r="AV511" s="59"/>
      <c r="AW511" s="58" t="str">
        <f t="shared" si="254"/>
        <v/>
      </c>
      <c r="AX511" s="59"/>
      <c r="AY511" s="58" t="str">
        <f t="shared" si="255"/>
        <v/>
      </c>
      <c r="AZ511" s="59"/>
      <c r="BA511" s="58" t="str">
        <f t="shared" si="256"/>
        <v/>
      </c>
      <c r="BB511" s="59"/>
      <c r="BC511" s="58" t="str">
        <f t="shared" si="257"/>
        <v/>
      </c>
      <c r="BD511" s="59"/>
      <c r="BE511" s="58">
        <f t="shared" si="258"/>
        <v>9000</v>
      </c>
      <c r="BF511" s="59"/>
      <c r="BG511" s="58" t="str">
        <f t="shared" si="259"/>
        <v/>
      </c>
      <c r="BH511" s="59"/>
      <c r="BI511" s="58" t="str">
        <f t="shared" si="260"/>
        <v/>
      </c>
      <c r="BJ511" s="59"/>
      <c r="BK511" s="58" t="str">
        <f t="shared" si="261"/>
        <v/>
      </c>
      <c r="BL511" s="59"/>
      <c r="BM511" s="58" t="str">
        <f t="shared" si="262"/>
        <v/>
      </c>
      <c r="BN511" s="59"/>
      <c r="BO511" s="58" t="str">
        <f t="shared" si="263"/>
        <v/>
      </c>
      <c r="BP511" s="59"/>
      <c r="BQ511" s="58" t="str">
        <f t="shared" si="264"/>
        <v/>
      </c>
      <c r="BR511" s="59"/>
      <c r="BS511" s="58" t="str">
        <f t="shared" si="265"/>
        <v/>
      </c>
      <c r="BT511" s="59"/>
      <c r="BU511" s="58" t="str">
        <f t="shared" si="266"/>
        <v/>
      </c>
      <c r="BV511" s="59"/>
    </row>
    <row r="512" spans="1:74" ht="14.5">
      <c r="A512" s="51" t="s">
        <v>446</v>
      </c>
      <c r="B512" s="52" t="s">
        <v>568</v>
      </c>
      <c r="C512" s="52" t="s">
        <v>60</v>
      </c>
      <c r="D512" s="41">
        <f t="shared" si="239"/>
        <v>8</v>
      </c>
      <c r="E512" s="52" t="s">
        <v>187</v>
      </c>
      <c r="F512" s="52" t="s">
        <v>448</v>
      </c>
      <c r="G512" s="52" t="s">
        <v>450</v>
      </c>
      <c r="H512" s="52" t="s">
        <v>449</v>
      </c>
      <c r="I512" s="53">
        <v>45708</v>
      </c>
      <c r="J512" s="108">
        <v>6000</v>
      </c>
      <c r="K512" s="101"/>
      <c r="L512" s="101"/>
      <c r="M512" s="101">
        <f t="shared" si="240"/>
        <v>6000</v>
      </c>
      <c r="N512" s="54">
        <f t="shared" si="241"/>
        <v>6000</v>
      </c>
      <c r="O512" s="101" t="s">
        <v>429</v>
      </c>
      <c r="P512" s="102">
        <f t="shared" si="242"/>
        <v>0.90909090909090906</v>
      </c>
      <c r="Q512" s="102">
        <v>6</v>
      </c>
      <c r="R512" s="99">
        <v>1100</v>
      </c>
      <c r="S512" s="55">
        <f>+I512-(28)</f>
        <v>45680</v>
      </c>
      <c r="T512" s="55"/>
      <c r="U512" s="56">
        <f t="shared" ca="1" si="269"/>
        <v>-160</v>
      </c>
      <c r="V512" s="55">
        <f t="shared" si="268"/>
        <v>45696</v>
      </c>
      <c r="W512" s="55"/>
      <c r="X512" s="56">
        <f t="shared" ca="1" si="270"/>
        <v>-144</v>
      </c>
      <c r="Y512" s="55"/>
      <c r="Z512" s="57"/>
      <c r="AA512" s="58" t="str">
        <f t="shared" si="243"/>
        <v>-</v>
      </c>
      <c r="AB512" s="59"/>
      <c r="AC512" s="58" t="str">
        <f t="shared" si="244"/>
        <v/>
      </c>
      <c r="AD512" s="59"/>
      <c r="AE512" s="58" t="str">
        <f t="shared" si="245"/>
        <v/>
      </c>
      <c r="AF512" s="59"/>
      <c r="AG512" s="58" t="str">
        <f t="shared" si="246"/>
        <v/>
      </c>
      <c r="AH512" s="59"/>
      <c r="AI512" s="58" t="str">
        <f t="shared" si="247"/>
        <v/>
      </c>
      <c r="AJ512" s="59"/>
      <c r="AK512" s="58" t="str">
        <f t="shared" si="248"/>
        <v/>
      </c>
      <c r="AL512" s="59"/>
      <c r="AM512" s="58" t="str">
        <f t="shared" si="249"/>
        <v/>
      </c>
      <c r="AN512" s="59"/>
      <c r="AO512" s="58" t="str">
        <f t="shared" si="250"/>
        <v/>
      </c>
      <c r="AP512" s="59"/>
      <c r="AQ512" s="58" t="str">
        <f t="shared" si="251"/>
        <v/>
      </c>
      <c r="AR512" s="59"/>
      <c r="AS512" s="58" t="str">
        <f t="shared" si="252"/>
        <v/>
      </c>
      <c r="AT512" s="59"/>
      <c r="AU512" s="58" t="str">
        <f t="shared" si="253"/>
        <v/>
      </c>
      <c r="AV512" s="59"/>
      <c r="AW512" s="58" t="str">
        <f t="shared" si="254"/>
        <v/>
      </c>
      <c r="AX512" s="59"/>
      <c r="AY512" s="58" t="str">
        <f t="shared" si="255"/>
        <v/>
      </c>
      <c r="AZ512" s="59"/>
      <c r="BA512" s="58" t="str">
        <f t="shared" si="256"/>
        <v/>
      </c>
      <c r="BB512" s="59"/>
      <c r="BC512" s="58" t="str">
        <f t="shared" si="257"/>
        <v/>
      </c>
      <c r="BD512" s="59"/>
      <c r="BE512" s="58">
        <f t="shared" si="258"/>
        <v>6000</v>
      </c>
      <c r="BF512" s="59"/>
      <c r="BG512" s="58" t="str">
        <f t="shared" si="259"/>
        <v/>
      </c>
      <c r="BH512" s="59"/>
      <c r="BI512" s="58" t="str">
        <f t="shared" si="260"/>
        <v/>
      </c>
      <c r="BJ512" s="59"/>
      <c r="BK512" s="58" t="str">
        <f t="shared" si="261"/>
        <v/>
      </c>
      <c r="BL512" s="59"/>
      <c r="BM512" s="58" t="str">
        <f t="shared" si="262"/>
        <v/>
      </c>
      <c r="BN512" s="59"/>
      <c r="BO512" s="58" t="str">
        <f t="shared" si="263"/>
        <v/>
      </c>
      <c r="BP512" s="59"/>
      <c r="BQ512" s="58" t="str">
        <f t="shared" si="264"/>
        <v/>
      </c>
      <c r="BR512" s="59"/>
      <c r="BS512" s="58" t="str">
        <f t="shared" si="265"/>
        <v/>
      </c>
      <c r="BT512" s="59"/>
      <c r="BU512" s="58" t="str">
        <f t="shared" si="266"/>
        <v/>
      </c>
      <c r="BV512" s="59"/>
    </row>
    <row r="513" spans="1:74" ht="14.5">
      <c r="A513" s="51" t="s">
        <v>446</v>
      </c>
      <c r="B513" s="52" t="s">
        <v>569</v>
      </c>
      <c r="C513" s="52" t="s">
        <v>74</v>
      </c>
      <c r="D513" s="41">
        <f t="shared" si="239"/>
        <v>8</v>
      </c>
      <c r="E513" s="52" t="s">
        <v>204</v>
      </c>
      <c r="F513" s="52" t="s">
        <v>309</v>
      </c>
      <c r="G513" s="52" t="s">
        <v>162</v>
      </c>
      <c r="H513" s="52" t="s">
        <v>570</v>
      </c>
      <c r="I513" s="53">
        <v>45708</v>
      </c>
      <c r="J513" s="108">
        <v>1740</v>
      </c>
      <c r="K513" s="101"/>
      <c r="L513" s="101"/>
      <c r="M513" s="101">
        <f t="shared" si="240"/>
        <v>1740</v>
      </c>
      <c r="N513" s="54">
        <f t="shared" si="241"/>
        <v>1740</v>
      </c>
      <c r="O513" s="101" t="s">
        <v>571</v>
      </c>
      <c r="P513" s="102">
        <f t="shared" si="242"/>
        <v>3.625</v>
      </c>
      <c r="Q513" s="102">
        <v>6</v>
      </c>
      <c r="R513" s="99">
        <v>80</v>
      </c>
      <c r="S513" s="55">
        <f t="shared" ref="S513:S555" si="271">+I513-(32)</f>
        <v>45676</v>
      </c>
      <c r="T513" s="55"/>
      <c r="U513" s="56">
        <f t="shared" ca="1" si="269"/>
        <v>-164</v>
      </c>
      <c r="V513" s="55">
        <f t="shared" si="268"/>
        <v>45692</v>
      </c>
      <c r="W513" s="55"/>
      <c r="X513" s="56">
        <f t="shared" ca="1" si="270"/>
        <v>-148</v>
      </c>
      <c r="Y513" s="55"/>
      <c r="Z513" s="57"/>
      <c r="AA513" s="58" t="str">
        <f t="shared" si="243"/>
        <v>-</v>
      </c>
      <c r="AB513" s="59"/>
      <c r="AC513" s="58" t="str">
        <f t="shared" si="244"/>
        <v/>
      </c>
      <c r="AD513" s="59"/>
      <c r="AE513" s="58" t="str">
        <f t="shared" si="245"/>
        <v/>
      </c>
      <c r="AF513" s="59"/>
      <c r="AG513" s="58" t="str">
        <f t="shared" si="246"/>
        <v/>
      </c>
      <c r="AH513" s="59"/>
      <c r="AI513" s="58" t="str">
        <f t="shared" si="247"/>
        <v/>
      </c>
      <c r="AJ513" s="59"/>
      <c r="AK513" s="58" t="str">
        <f t="shared" si="248"/>
        <v/>
      </c>
      <c r="AL513" s="59"/>
      <c r="AM513" s="58" t="str">
        <f t="shared" si="249"/>
        <v/>
      </c>
      <c r="AN513" s="59"/>
      <c r="AO513" s="58" t="str">
        <f t="shared" si="250"/>
        <v/>
      </c>
      <c r="AP513" s="59"/>
      <c r="AQ513" s="58" t="str">
        <f t="shared" si="251"/>
        <v/>
      </c>
      <c r="AR513" s="59"/>
      <c r="AS513" s="58" t="str">
        <f t="shared" si="252"/>
        <v/>
      </c>
      <c r="AT513" s="59"/>
      <c r="AU513" s="58" t="str">
        <f t="shared" si="253"/>
        <v/>
      </c>
      <c r="AV513" s="59"/>
      <c r="AW513" s="58" t="str">
        <f t="shared" si="254"/>
        <v/>
      </c>
      <c r="AX513" s="59"/>
      <c r="AY513" s="58" t="str">
        <f t="shared" si="255"/>
        <v/>
      </c>
      <c r="AZ513" s="59"/>
      <c r="BA513" s="58" t="str">
        <f t="shared" si="256"/>
        <v/>
      </c>
      <c r="BB513" s="59"/>
      <c r="BC513" s="58" t="str">
        <f t="shared" si="257"/>
        <v/>
      </c>
      <c r="BD513" s="59"/>
      <c r="BE513" s="58">
        <f t="shared" si="258"/>
        <v>1740</v>
      </c>
      <c r="BF513" s="59"/>
      <c r="BG513" s="58" t="str">
        <f t="shared" si="259"/>
        <v/>
      </c>
      <c r="BH513" s="59"/>
      <c r="BI513" s="58" t="str">
        <f t="shared" si="260"/>
        <v/>
      </c>
      <c r="BJ513" s="59"/>
      <c r="BK513" s="58" t="str">
        <f t="shared" si="261"/>
        <v/>
      </c>
      <c r="BL513" s="59"/>
      <c r="BM513" s="58" t="str">
        <f t="shared" si="262"/>
        <v/>
      </c>
      <c r="BN513" s="59"/>
      <c r="BO513" s="58" t="str">
        <f t="shared" si="263"/>
        <v/>
      </c>
      <c r="BP513" s="59"/>
      <c r="BQ513" s="58" t="str">
        <f t="shared" si="264"/>
        <v/>
      </c>
      <c r="BR513" s="59"/>
      <c r="BS513" s="58" t="str">
        <f t="shared" si="265"/>
        <v/>
      </c>
      <c r="BT513" s="59"/>
      <c r="BU513" s="58" t="str">
        <f t="shared" si="266"/>
        <v/>
      </c>
      <c r="BV513" s="59"/>
    </row>
    <row r="514" spans="1:74" ht="14.5">
      <c r="A514" s="51" t="s">
        <v>446</v>
      </c>
      <c r="B514" s="52" t="s">
        <v>569</v>
      </c>
      <c r="C514" s="52" t="s">
        <v>74</v>
      </c>
      <c r="D514" s="41">
        <f t="shared" si="239"/>
        <v>8</v>
      </c>
      <c r="E514" s="52" t="s">
        <v>415</v>
      </c>
      <c r="F514" s="52" t="s">
        <v>347</v>
      </c>
      <c r="G514" s="52" t="s">
        <v>164</v>
      </c>
      <c r="H514" s="52" t="s">
        <v>572</v>
      </c>
      <c r="I514" s="53">
        <v>45708</v>
      </c>
      <c r="J514" s="108">
        <v>240</v>
      </c>
      <c r="K514" s="101"/>
      <c r="L514" s="101"/>
      <c r="M514" s="101">
        <f t="shared" si="240"/>
        <v>240</v>
      </c>
      <c r="N514" s="54">
        <f t="shared" si="241"/>
        <v>240</v>
      </c>
      <c r="O514" s="101" t="s">
        <v>178</v>
      </c>
      <c r="P514" s="102">
        <f t="shared" si="242"/>
        <v>0.5</v>
      </c>
      <c r="Q514" s="102">
        <v>6</v>
      </c>
      <c r="R514" s="99">
        <v>80</v>
      </c>
      <c r="S514" s="55">
        <f t="shared" si="271"/>
        <v>45676</v>
      </c>
      <c r="T514" s="55"/>
      <c r="U514" s="56">
        <f t="shared" ca="1" si="269"/>
        <v>-164</v>
      </c>
      <c r="V514" s="55">
        <f t="shared" si="268"/>
        <v>45692</v>
      </c>
      <c r="W514" s="55"/>
      <c r="X514" s="56">
        <f t="shared" ca="1" si="270"/>
        <v>-148</v>
      </c>
      <c r="Y514" s="55"/>
      <c r="Z514" s="57"/>
      <c r="AA514" s="58" t="str">
        <f t="shared" si="243"/>
        <v>-</v>
      </c>
      <c r="AB514" s="59"/>
      <c r="AC514" s="58" t="str">
        <f t="shared" si="244"/>
        <v/>
      </c>
      <c r="AD514" s="59"/>
      <c r="AE514" s="58" t="str">
        <f t="shared" si="245"/>
        <v/>
      </c>
      <c r="AF514" s="59"/>
      <c r="AG514" s="58" t="str">
        <f t="shared" si="246"/>
        <v/>
      </c>
      <c r="AH514" s="59"/>
      <c r="AI514" s="58" t="str">
        <f t="shared" si="247"/>
        <v/>
      </c>
      <c r="AJ514" s="59"/>
      <c r="AK514" s="58" t="str">
        <f t="shared" si="248"/>
        <v/>
      </c>
      <c r="AL514" s="59"/>
      <c r="AM514" s="58" t="str">
        <f t="shared" si="249"/>
        <v/>
      </c>
      <c r="AN514" s="59"/>
      <c r="AO514" s="58" t="str">
        <f t="shared" si="250"/>
        <v/>
      </c>
      <c r="AP514" s="59"/>
      <c r="AQ514" s="58" t="str">
        <f t="shared" si="251"/>
        <v/>
      </c>
      <c r="AR514" s="59"/>
      <c r="AS514" s="58" t="str">
        <f t="shared" si="252"/>
        <v/>
      </c>
      <c r="AT514" s="59"/>
      <c r="AU514" s="58" t="str">
        <f t="shared" si="253"/>
        <v/>
      </c>
      <c r="AV514" s="59"/>
      <c r="AW514" s="58" t="str">
        <f t="shared" si="254"/>
        <v/>
      </c>
      <c r="AX514" s="59"/>
      <c r="AY514" s="58" t="str">
        <f t="shared" si="255"/>
        <v/>
      </c>
      <c r="AZ514" s="59"/>
      <c r="BA514" s="58" t="str">
        <f t="shared" si="256"/>
        <v/>
      </c>
      <c r="BB514" s="59"/>
      <c r="BC514" s="58" t="str">
        <f t="shared" si="257"/>
        <v/>
      </c>
      <c r="BD514" s="59"/>
      <c r="BE514" s="58">
        <f t="shared" si="258"/>
        <v>240</v>
      </c>
      <c r="BF514" s="59"/>
      <c r="BG514" s="58" t="str">
        <f t="shared" si="259"/>
        <v/>
      </c>
      <c r="BH514" s="59"/>
      <c r="BI514" s="58" t="str">
        <f t="shared" si="260"/>
        <v/>
      </c>
      <c r="BJ514" s="59"/>
      <c r="BK514" s="58" t="str">
        <f t="shared" si="261"/>
        <v/>
      </c>
      <c r="BL514" s="59"/>
      <c r="BM514" s="58" t="str">
        <f t="shared" si="262"/>
        <v/>
      </c>
      <c r="BN514" s="59"/>
      <c r="BO514" s="58" t="str">
        <f t="shared" si="263"/>
        <v/>
      </c>
      <c r="BP514" s="59"/>
      <c r="BQ514" s="58" t="str">
        <f t="shared" si="264"/>
        <v/>
      </c>
      <c r="BR514" s="59"/>
      <c r="BS514" s="58" t="str">
        <f t="shared" si="265"/>
        <v/>
      </c>
      <c r="BT514" s="59"/>
      <c r="BU514" s="58" t="str">
        <f t="shared" si="266"/>
        <v/>
      </c>
      <c r="BV514" s="59"/>
    </row>
    <row r="515" spans="1:74" ht="14.5">
      <c r="A515" s="51" t="s">
        <v>446</v>
      </c>
      <c r="B515" s="52" t="s">
        <v>569</v>
      </c>
      <c r="C515" s="52" t="s">
        <v>74</v>
      </c>
      <c r="D515" s="41">
        <f t="shared" si="239"/>
        <v>8</v>
      </c>
      <c r="E515" s="52" t="s">
        <v>204</v>
      </c>
      <c r="F515" s="52" t="s">
        <v>308</v>
      </c>
      <c r="G515" s="52" t="s">
        <v>162</v>
      </c>
      <c r="H515" s="52" t="s">
        <v>509</v>
      </c>
      <c r="I515" s="53">
        <v>45708</v>
      </c>
      <c r="J515" s="108">
        <v>1640</v>
      </c>
      <c r="K515" s="101"/>
      <c r="L515" s="101"/>
      <c r="M515" s="101">
        <f t="shared" si="240"/>
        <v>1640</v>
      </c>
      <c r="N515" s="54">
        <f t="shared" si="241"/>
        <v>1640</v>
      </c>
      <c r="O515" s="101" t="s">
        <v>573</v>
      </c>
      <c r="P515" s="102">
        <f t="shared" si="242"/>
        <v>3.4166666666666665</v>
      </c>
      <c r="Q515" s="102">
        <v>6</v>
      </c>
      <c r="R515" s="99">
        <v>80</v>
      </c>
      <c r="S515" s="55">
        <f t="shared" si="271"/>
        <v>45676</v>
      </c>
      <c r="T515" s="55"/>
      <c r="U515" s="56">
        <f t="shared" ca="1" si="269"/>
        <v>-164</v>
      </c>
      <c r="V515" s="55">
        <f t="shared" si="268"/>
        <v>45692</v>
      </c>
      <c r="W515" s="55"/>
      <c r="X515" s="56">
        <f t="shared" ca="1" si="270"/>
        <v>-148</v>
      </c>
      <c r="Y515" s="55"/>
      <c r="Z515" s="57"/>
      <c r="AA515" s="58" t="str">
        <f t="shared" si="243"/>
        <v>-</v>
      </c>
      <c r="AB515" s="59"/>
      <c r="AC515" s="58" t="str">
        <f t="shared" si="244"/>
        <v/>
      </c>
      <c r="AD515" s="59"/>
      <c r="AE515" s="58" t="str">
        <f t="shared" si="245"/>
        <v/>
      </c>
      <c r="AF515" s="59"/>
      <c r="AG515" s="58" t="str">
        <f t="shared" si="246"/>
        <v/>
      </c>
      <c r="AH515" s="59"/>
      <c r="AI515" s="58" t="str">
        <f t="shared" si="247"/>
        <v/>
      </c>
      <c r="AJ515" s="59"/>
      <c r="AK515" s="58" t="str">
        <f t="shared" si="248"/>
        <v/>
      </c>
      <c r="AL515" s="59"/>
      <c r="AM515" s="58" t="str">
        <f t="shared" si="249"/>
        <v/>
      </c>
      <c r="AN515" s="59"/>
      <c r="AO515" s="58" t="str">
        <f t="shared" si="250"/>
        <v/>
      </c>
      <c r="AP515" s="59"/>
      <c r="AQ515" s="58" t="str">
        <f t="shared" si="251"/>
        <v/>
      </c>
      <c r="AR515" s="59"/>
      <c r="AS515" s="58" t="str">
        <f t="shared" si="252"/>
        <v/>
      </c>
      <c r="AT515" s="59"/>
      <c r="AU515" s="58" t="str">
        <f t="shared" si="253"/>
        <v/>
      </c>
      <c r="AV515" s="59"/>
      <c r="AW515" s="58" t="str">
        <f t="shared" si="254"/>
        <v/>
      </c>
      <c r="AX515" s="59"/>
      <c r="AY515" s="58" t="str">
        <f t="shared" si="255"/>
        <v/>
      </c>
      <c r="AZ515" s="59"/>
      <c r="BA515" s="58" t="str">
        <f t="shared" si="256"/>
        <v/>
      </c>
      <c r="BB515" s="59"/>
      <c r="BC515" s="58" t="str">
        <f t="shared" si="257"/>
        <v/>
      </c>
      <c r="BD515" s="59"/>
      <c r="BE515" s="58">
        <f t="shared" si="258"/>
        <v>1640</v>
      </c>
      <c r="BF515" s="59"/>
      <c r="BG515" s="58" t="str">
        <f t="shared" si="259"/>
        <v/>
      </c>
      <c r="BH515" s="59"/>
      <c r="BI515" s="58" t="str">
        <f t="shared" si="260"/>
        <v/>
      </c>
      <c r="BJ515" s="59"/>
      <c r="BK515" s="58" t="str">
        <f t="shared" si="261"/>
        <v/>
      </c>
      <c r="BL515" s="59"/>
      <c r="BM515" s="58" t="str">
        <f t="shared" si="262"/>
        <v/>
      </c>
      <c r="BN515" s="59"/>
      <c r="BO515" s="58" t="str">
        <f t="shared" si="263"/>
        <v/>
      </c>
      <c r="BP515" s="59"/>
      <c r="BQ515" s="58" t="str">
        <f t="shared" si="264"/>
        <v/>
      </c>
      <c r="BR515" s="59"/>
      <c r="BS515" s="58" t="str">
        <f t="shared" si="265"/>
        <v/>
      </c>
      <c r="BT515" s="59"/>
      <c r="BU515" s="58" t="str">
        <f t="shared" si="266"/>
        <v/>
      </c>
      <c r="BV515" s="59"/>
    </row>
    <row r="516" spans="1:74" ht="14.5">
      <c r="A516" s="51" t="s">
        <v>446</v>
      </c>
      <c r="B516" s="52" t="s">
        <v>569</v>
      </c>
      <c r="C516" s="52" t="s">
        <v>74</v>
      </c>
      <c r="D516" s="41">
        <f t="shared" si="239"/>
        <v>8</v>
      </c>
      <c r="E516" s="52" t="s">
        <v>204</v>
      </c>
      <c r="F516" s="52" t="s">
        <v>347</v>
      </c>
      <c r="G516" s="52" t="s">
        <v>162</v>
      </c>
      <c r="H516" s="52" t="s">
        <v>572</v>
      </c>
      <c r="I516" s="53">
        <v>45708</v>
      </c>
      <c r="J516" s="108">
        <v>696</v>
      </c>
      <c r="K516" s="101"/>
      <c r="L516" s="101"/>
      <c r="M516" s="101">
        <f t="shared" si="240"/>
        <v>696</v>
      </c>
      <c r="N516" s="54">
        <f t="shared" si="241"/>
        <v>696</v>
      </c>
      <c r="O516" s="101" t="s">
        <v>178</v>
      </c>
      <c r="P516" s="102">
        <f t="shared" si="242"/>
        <v>1.45</v>
      </c>
      <c r="Q516" s="102">
        <v>6</v>
      </c>
      <c r="R516" s="99">
        <v>80</v>
      </c>
      <c r="S516" s="55">
        <f t="shared" si="271"/>
        <v>45676</v>
      </c>
      <c r="T516" s="55"/>
      <c r="U516" s="56">
        <f t="shared" ca="1" si="269"/>
        <v>-164</v>
      </c>
      <c r="V516" s="55">
        <f t="shared" si="268"/>
        <v>45692</v>
      </c>
      <c r="W516" s="55"/>
      <c r="X516" s="56">
        <f t="shared" ca="1" si="270"/>
        <v>-148</v>
      </c>
      <c r="Y516" s="55"/>
      <c r="Z516" s="57"/>
      <c r="AA516" s="58" t="str">
        <f t="shared" ref="AA516:AA529" si="272">+IF($AA$4=WEEKNUM(V516),J516,"-")</f>
        <v>-</v>
      </c>
      <c r="AB516" s="59"/>
      <c r="AC516" s="58" t="str">
        <f t="shared" ref="AC516:AC529" si="273">+IF($AC$4=WEEKNUM(V516),J516,"")</f>
        <v/>
      </c>
      <c r="AD516" s="59"/>
      <c r="AE516" s="58" t="str">
        <f t="shared" ref="AE516:AE529" si="274">+IF($AE$4=WEEKNUM(V516),J516,"")</f>
        <v/>
      </c>
      <c r="AF516" s="59"/>
      <c r="AG516" s="58" t="str">
        <f t="shared" ref="AG516:AG529" si="275">+IF($AG$4=WEEKNUM(V516),J516,"")</f>
        <v/>
      </c>
      <c r="AH516" s="59"/>
      <c r="AI516" s="58" t="str">
        <f t="shared" ref="AI516:AI529" si="276">+IF($AI$4=WEEKNUM(V516),J516,"")</f>
        <v/>
      </c>
      <c r="AJ516" s="59"/>
      <c r="AK516" s="58" t="str">
        <f t="shared" ref="AK516:AK529" si="277">+IF($AK$4=WEEKNUM(V516),J516,"")</f>
        <v/>
      </c>
      <c r="AL516" s="59"/>
      <c r="AM516" s="58" t="str">
        <f t="shared" ref="AM516:AM529" si="278">+IF($AM$4=WEEKNUM(V516),J516,"")</f>
        <v/>
      </c>
      <c r="AN516" s="59"/>
      <c r="AO516" s="58" t="str">
        <f t="shared" ref="AO516:AO529" si="279">+IF($AO$4=WEEKNUM(V516),J516,"")</f>
        <v/>
      </c>
      <c r="AP516" s="59"/>
      <c r="AQ516" s="58" t="str">
        <f t="shared" ref="AQ516:AQ529" si="280">+IF($AQ$4=WEEKNUM(V516),J516,"")</f>
        <v/>
      </c>
      <c r="AR516" s="59"/>
      <c r="AS516" s="58" t="str">
        <f t="shared" ref="AS516:AS529" si="281">+IF($AV$4=WEEKNUM(V516),J516,"")</f>
        <v/>
      </c>
      <c r="AT516" s="59"/>
      <c r="AU516" s="58" t="str">
        <f t="shared" ref="AU516:AU529" si="282">+IF($AU$4=WEEKNUM(V516),J516,"")</f>
        <v/>
      </c>
      <c r="AV516" s="59"/>
      <c r="AW516" s="58" t="str">
        <f t="shared" ref="AW516:AW529" si="283">+IF($AW$4=WEEKNUM(V516),J516,"")</f>
        <v/>
      </c>
      <c r="AX516" s="59"/>
      <c r="AY516" s="58" t="str">
        <f t="shared" ref="AY516:AY529" si="284">+IF($AY$4=WEEKNUM(V516),J516,"")</f>
        <v/>
      </c>
      <c r="AZ516" s="59"/>
      <c r="BA516" s="58" t="str">
        <f t="shared" ref="BA516:BA529" si="285">+IF($BA$4=WEEKNUM(V516),J516,"")</f>
        <v/>
      </c>
      <c r="BB516" s="59"/>
      <c r="BC516" s="58" t="str">
        <f t="shared" ref="BC516:BC529" si="286">+IF($BC$4=WEEKNUM(V516),J516,"")</f>
        <v/>
      </c>
      <c r="BD516" s="59"/>
      <c r="BE516" s="58" t="str">
        <f t="shared" ref="BE516:BE529" si="287">+IF($BE$4=WEEKNUM(V516),J516,"")</f>
        <v/>
      </c>
      <c r="BF516" s="59"/>
      <c r="BG516" s="58" t="str">
        <f t="shared" ref="BG516:BG529" si="288">+IF($BG$4=WEEKNUM(V516),J516,"")</f>
        <v/>
      </c>
      <c r="BH516" s="59"/>
      <c r="BI516" s="58">
        <f t="shared" ref="BI516:BI529" si="289">+IF($BI$4=WEEKNUM(V516),J516,"")</f>
        <v>696</v>
      </c>
      <c r="BJ516" s="59"/>
      <c r="BK516" s="58" t="str">
        <f t="shared" ref="BK516:BK529" si="290">+IF($BK$4=WEEKNUM(V516),J516,"")</f>
        <v/>
      </c>
      <c r="BL516" s="59"/>
      <c r="BM516" s="58" t="str">
        <f t="shared" ref="BM516:BM529" si="291">+IF($BM$4=WEEKNUM(V516),J516,"")</f>
        <v/>
      </c>
      <c r="BN516" s="59"/>
      <c r="BO516" s="58" t="str">
        <f t="shared" ref="BO516:BO529" si="292">+IF($BO$4=WEEKNUM(V516),J516,"")</f>
        <v/>
      </c>
      <c r="BP516" s="59"/>
      <c r="BQ516" s="58" t="str">
        <f t="shared" ref="BQ516:BQ529" si="293">+IF($BQ$4=WEEKNUM(V516),J516,"")</f>
        <v/>
      </c>
      <c r="BR516" s="59"/>
      <c r="BS516" s="58" t="str">
        <f t="shared" ref="BS516:BS529" si="294">+IF($BV$4=WEEKNUM(V516),J516,"")</f>
        <v/>
      </c>
      <c r="BT516" s="59"/>
      <c r="BU516" s="58" t="str">
        <f t="shared" ref="BU516:BU529" si="295">+IF($BU$4=WEEKNUM(V516),J516,"")</f>
        <v/>
      </c>
      <c r="BV516" s="59"/>
    </row>
    <row r="517" spans="1:74" ht="14.5">
      <c r="A517" s="51" t="s">
        <v>446</v>
      </c>
      <c r="B517" s="52" t="s">
        <v>569</v>
      </c>
      <c r="C517" s="52" t="s">
        <v>74</v>
      </c>
      <c r="D517" s="41">
        <f t="shared" si="239"/>
        <v>8</v>
      </c>
      <c r="E517" s="52" t="s">
        <v>199</v>
      </c>
      <c r="F517" s="52" t="s">
        <v>309</v>
      </c>
      <c r="G517" s="52" t="s">
        <v>155</v>
      </c>
      <c r="H517" s="52" t="s">
        <v>570</v>
      </c>
      <c r="I517" s="53">
        <v>45708</v>
      </c>
      <c r="J517" s="108">
        <v>768</v>
      </c>
      <c r="K517" s="101"/>
      <c r="L517" s="101"/>
      <c r="M517" s="101">
        <f t="shared" si="240"/>
        <v>768</v>
      </c>
      <c r="N517" s="54">
        <f t="shared" si="241"/>
        <v>768</v>
      </c>
      <c r="O517" s="101" t="s">
        <v>571</v>
      </c>
      <c r="P517" s="102">
        <f t="shared" si="242"/>
        <v>1.6</v>
      </c>
      <c r="Q517" s="102">
        <v>6</v>
      </c>
      <c r="R517" s="99">
        <v>80</v>
      </c>
      <c r="S517" s="55">
        <f t="shared" si="271"/>
        <v>45676</v>
      </c>
      <c r="T517" s="55"/>
      <c r="U517" s="56">
        <f t="shared" ca="1" si="269"/>
        <v>-164</v>
      </c>
      <c r="V517" s="55">
        <f t="shared" si="268"/>
        <v>45692</v>
      </c>
      <c r="W517" s="55"/>
      <c r="X517" s="56">
        <f t="shared" ca="1" si="270"/>
        <v>-148</v>
      </c>
      <c r="Y517" s="55"/>
      <c r="Z517" s="57"/>
      <c r="AA517" s="58" t="str">
        <f t="shared" si="272"/>
        <v>-</v>
      </c>
      <c r="AB517" s="59"/>
      <c r="AC517" s="58" t="str">
        <f t="shared" si="273"/>
        <v/>
      </c>
      <c r="AD517" s="59"/>
      <c r="AE517" s="58" t="str">
        <f t="shared" si="274"/>
        <v/>
      </c>
      <c r="AF517" s="59"/>
      <c r="AG517" s="58" t="str">
        <f t="shared" si="275"/>
        <v/>
      </c>
      <c r="AH517" s="59"/>
      <c r="AI517" s="58" t="str">
        <f t="shared" si="276"/>
        <v/>
      </c>
      <c r="AJ517" s="59"/>
      <c r="AK517" s="58" t="str">
        <f t="shared" si="277"/>
        <v/>
      </c>
      <c r="AL517" s="59"/>
      <c r="AM517" s="58" t="str">
        <f t="shared" si="278"/>
        <v/>
      </c>
      <c r="AN517" s="59"/>
      <c r="AO517" s="58" t="str">
        <f t="shared" si="279"/>
        <v/>
      </c>
      <c r="AP517" s="59"/>
      <c r="AQ517" s="58" t="str">
        <f t="shared" si="280"/>
        <v/>
      </c>
      <c r="AR517" s="59"/>
      <c r="AS517" s="58" t="str">
        <f t="shared" si="281"/>
        <v/>
      </c>
      <c r="AT517" s="59"/>
      <c r="AU517" s="58" t="str">
        <f t="shared" si="282"/>
        <v/>
      </c>
      <c r="AV517" s="59"/>
      <c r="AW517" s="58" t="str">
        <f t="shared" si="283"/>
        <v/>
      </c>
      <c r="AX517" s="59"/>
      <c r="AY517" s="58" t="str">
        <f t="shared" si="284"/>
        <v/>
      </c>
      <c r="AZ517" s="59"/>
      <c r="BA517" s="58" t="str">
        <f t="shared" si="285"/>
        <v/>
      </c>
      <c r="BB517" s="59"/>
      <c r="BC517" s="58" t="str">
        <f t="shared" si="286"/>
        <v/>
      </c>
      <c r="BD517" s="59"/>
      <c r="BE517" s="58" t="str">
        <f t="shared" si="287"/>
        <v/>
      </c>
      <c r="BF517" s="59"/>
      <c r="BG517" s="58" t="str">
        <f t="shared" si="288"/>
        <v/>
      </c>
      <c r="BH517" s="59"/>
      <c r="BI517" s="58">
        <f t="shared" si="289"/>
        <v>768</v>
      </c>
      <c r="BJ517" s="59"/>
      <c r="BK517" s="58" t="str">
        <f t="shared" si="290"/>
        <v/>
      </c>
      <c r="BL517" s="59"/>
      <c r="BM517" s="58" t="str">
        <f t="shared" si="291"/>
        <v/>
      </c>
      <c r="BN517" s="59"/>
      <c r="BO517" s="58" t="str">
        <f t="shared" si="292"/>
        <v/>
      </c>
      <c r="BP517" s="59"/>
      <c r="BQ517" s="58" t="str">
        <f t="shared" si="293"/>
        <v/>
      </c>
      <c r="BR517" s="59"/>
      <c r="BS517" s="58" t="str">
        <f t="shared" si="294"/>
        <v/>
      </c>
      <c r="BT517" s="59"/>
      <c r="BU517" s="58" t="str">
        <f t="shared" si="295"/>
        <v/>
      </c>
      <c r="BV517" s="59"/>
    </row>
    <row r="518" spans="1:74" ht="14.5">
      <c r="A518" s="51" t="s">
        <v>446</v>
      </c>
      <c r="B518" s="52" t="s">
        <v>569</v>
      </c>
      <c r="C518" s="52" t="s">
        <v>74</v>
      </c>
      <c r="D518" s="41">
        <f t="shared" si="239"/>
        <v>8</v>
      </c>
      <c r="E518" s="52" t="s">
        <v>207</v>
      </c>
      <c r="F518" s="52" t="s">
        <v>309</v>
      </c>
      <c r="G518" s="52" t="s">
        <v>155</v>
      </c>
      <c r="H518" s="52" t="s">
        <v>570</v>
      </c>
      <c r="I518" s="53">
        <v>45708</v>
      </c>
      <c r="J518" s="108">
        <v>270</v>
      </c>
      <c r="K518" s="101"/>
      <c r="L518" s="101"/>
      <c r="M518" s="101">
        <f t="shared" si="240"/>
        <v>270</v>
      </c>
      <c r="N518" s="54">
        <f t="shared" si="241"/>
        <v>270</v>
      </c>
      <c r="O518" s="101" t="s">
        <v>571</v>
      </c>
      <c r="P518" s="102">
        <f t="shared" si="242"/>
        <v>0.5625</v>
      </c>
      <c r="Q518" s="102">
        <v>6</v>
      </c>
      <c r="R518" s="99">
        <v>80</v>
      </c>
      <c r="S518" s="55">
        <f t="shared" si="271"/>
        <v>45676</v>
      </c>
      <c r="T518" s="55"/>
      <c r="U518" s="56">
        <f t="shared" ca="1" si="269"/>
        <v>-164</v>
      </c>
      <c r="V518" s="55">
        <f t="shared" si="268"/>
        <v>45692</v>
      </c>
      <c r="W518" s="55"/>
      <c r="X518" s="56">
        <f t="shared" ca="1" si="270"/>
        <v>-148</v>
      </c>
      <c r="Y518" s="55"/>
      <c r="Z518" s="57"/>
      <c r="AA518" s="58" t="str">
        <f t="shared" si="272"/>
        <v>-</v>
      </c>
      <c r="AB518" s="59"/>
      <c r="AC518" s="58" t="str">
        <f t="shared" si="273"/>
        <v/>
      </c>
      <c r="AD518" s="59"/>
      <c r="AE518" s="58" t="str">
        <f t="shared" si="274"/>
        <v/>
      </c>
      <c r="AF518" s="59"/>
      <c r="AG518" s="58" t="str">
        <f t="shared" si="275"/>
        <v/>
      </c>
      <c r="AH518" s="59"/>
      <c r="AI518" s="58" t="str">
        <f t="shared" si="276"/>
        <v/>
      </c>
      <c r="AJ518" s="59"/>
      <c r="AK518" s="58" t="str">
        <f t="shared" si="277"/>
        <v/>
      </c>
      <c r="AL518" s="59"/>
      <c r="AM518" s="58" t="str">
        <f t="shared" si="278"/>
        <v/>
      </c>
      <c r="AN518" s="59"/>
      <c r="AO518" s="58" t="str">
        <f t="shared" si="279"/>
        <v/>
      </c>
      <c r="AP518" s="59"/>
      <c r="AQ518" s="58" t="str">
        <f t="shared" si="280"/>
        <v/>
      </c>
      <c r="AR518" s="59"/>
      <c r="AS518" s="58" t="str">
        <f t="shared" si="281"/>
        <v/>
      </c>
      <c r="AT518" s="59"/>
      <c r="AU518" s="58" t="str">
        <f t="shared" si="282"/>
        <v/>
      </c>
      <c r="AV518" s="59"/>
      <c r="AW518" s="58" t="str">
        <f t="shared" si="283"/>
        <v/>
      </c>
      <c r="AX518" s="59"/>
      <c r="AY518" s="58" t="str">
        <f t="shared" si="284"/>
        <v/>
      </c>
      <c r="AZ518" s="59"/>
      <c r="BA518" s="58" t="str">
        <f t="shared" si="285"/>
        <v/>
      </c>
      <c r="BB518" s="59"/>
      <c r="BC518" s="58" t="str">
        <f t="shared" si="286"/>
        <v/>
      </c>
      <c r="BD518" s="59"/>
      <c r="BE518" s="58" t="str">
        <f t="shared" si="287"/>
        <v/>
      </c>
      <c r="BF518" s="59"/>
      <c r="BG518" s="58" t="str">
        <f t="shared" si="288"/>
        <v/>
      </c>
      <c r="BH518" s="59"/>
      <c r="BI518" s="58">
        <f t="shared" si="289"/>
        <v>270</v>
      </c>
      <c r="BJ518" s="59"/>
      <c r="BK518" s="58" t="str">
        <f t="shared" si="290"/>
        <v/>
      </c>
      <c r="BL518" s="59"/>
      <c r="BM518" s="58" t="str">
        <f t="shared" si="291"/>
        <v/>
      </c>
      <c r="BN518" s="59"/>
      <c r="BO518" s="58" t="str">
        <f t="shared" si="292"/>
        <v/>
      </c>
      <c r="BP518" s="59"/>
      <c r="BQ518" s="58" t="str">
        <f t="shared" si="293"/>
        <v/>
      </c>
      <c r="BR518" s="59"/>
      <c r="BS518" s="58" t="str">
        <f t="shared" si="294"/>
        <v/>
      </c>
      <c r="BT518" s="59"/>
      <c r="BU518" s="58" t="str">
        <f t="shared" si="295"/>
        <v/>
      </c>
      <c r="BV518" s="59"/>
    </row>
    <row r="519" spans="1:74" ht="14.5">
      <c r="A519" s="51" t="s">
        <v>446</v>
      </c>
      <c r="B519" s="52" t="s">
        <v>569</v>
      </c>
      <c r="C519" s="52" t="s">
        <v>74</v>
      </c>
      <c r="D519" s="41">
        <f t="shared" ref="D519:D582" si="296">+WEEKNUM(I519)</f>
        <v>8</v>
      </c>
      <c r="E519" s="52" t="s">
        <v>192</v>
      </c>
      <c r="F519" s="52" t="s">
        <v>309</v>
      </c>
      <c r="G519" s="52" t="s">
        <v>574</v>
      </c>
      <c r="H519" s="52" t="s">
        <v>570</v>
      </c>
      <c r="I519" s="53">
        <v>45708</v>
      </c>
      <c r="J519" s="108">
        <v>210</v>
      </c>
      <c r="K519" s="101"/>
      <c r="L519" s="101"/>
      <c r="M519" s="101">
        <f t="shared" ref="M519:M582" si="297">+J519-L519</f>
        <v>210</v>
      </c>
      <c r="N519" s="54">
        <f t="shared" ref="N519:N582" si="298">+J519-K519</f>
        <v>210</v>
      </c>
      <c r="O519" s="101" t="s">
        <v>571</v>
      </c>
      <c r="P519" s="102">
        <f t="shared" ref="P519:P582" si="299">J519/(R519*Q519)</f>
        <v>0.4375</v>
      </c>
      <c r="Q519" s="102">
        <v>6</v>
      </c>
      <c r="R519" s="99">
        <v>80</v>
      </c>
      <c r="S519" s="55">
        <f t="shared" si="271"/>
        <v>45676</v>
      </c>
      <c r="T519" s="55"/>
      <c r="U519" s="56">
        <f t="shared" ca="1" si="269"/>
        <v>-164</v>
      </c>
      <c r="V519" s="55">
        <f t="shared" si="268"/>
        <v>45692</v>
      </c>
      <c r="W519" s="55"/>
      <c r="X519" s="56">
        <f t="shared" ca="1" si="270"/>
        <v>-148</v>
      </c>
      <c r="Y519" s="55"/>
      <c r="Z519" s="57"/>
      <c r="AA519" s="58" t="str">
        <f t="shared" si="272"/>
        <v>-</v>
      </c>
      <c r="AB519" s="59"/>
      <c r="AC519" s="58" t="str">
        <f t="shared" si="273"/>
        <v/>
      </c>
      <c r="AD519" s="59"/>
      <c r="AE519" s="58" t="str">
        <f t="shared" si="274"/>
        <v/>
      </c>
      <c r="AF519" s="59"/>
      <c r="AG519" s="58" t="str">
        <f t="shared" si="275"/>
        <v/>
      </c>
      <c r="AH519" s="59"/>
      <c r="AI519" s="58" t="str">
        <f t="shared" si="276"/>
        <v/>
      </c>
      <c r="AJ519" s="59"/>
      <c r="AK519" s="58" t="str">
        <f t="shared" si="277"/>
        <v/>
      </c>
      <c r="AL519" s="59"/>
      <c r="AM519" s="58" t="str">
        <f t="shared" si="278"/>
        <v/>
      </c>
      <c r="AN519" s="59"/>
      <c r="AO519" s="58" t="str">
        <f t="shared" si="279"/>
        <v/>
      </c>
      <c r="AP519" s="59"/>
      <c r="AQ519" s="58" t="str">
        <f t="shared" si="280"/>
        <v/>
      </c>
      <c r="AR519" s="59"/>
      <c r="AS519" s="58" t="str">
        <f t="shared" si="281"/>
        <v/>
      </c>
      <c r="AT519" s="59"/>
      <c r="AU519" s="58" t="str">
        <f t="shared" si="282"/>
        <v/>
      </c>
      <c r="AV519" s="59"/>
      <c r="AW519" s="58" t="str">
        <f t="shared" si="283"/>
        <v/>
      </c>
      <c r="AX519" s="59"/>
      <c r="AY519" s="58" t="str">
        <f t="shared" si="284"/>
        <v/>
      </c>
      <c r="AZ519" s="59"/>
      <c r="BA519" s="58" t="str">
        <f t="shared" si="285"/>
        <v/>
      </c>
      <c r="BB519" s="59"/>
      <c r="BC519" s="58" t="str">
        <f t="shared" si="286"/>
        <v/>
      </c>
      <c r="BD519" s="59"/>
      <c r="BE519" s="58" t="str">
        <f t="shared" si="287"/>
        <v/>
      </c>
      <c r="BF519" s="59"/>
      <c r="BG519" s="58" t="str">
        <f t="shared" si="288"/>
        <v/>
      </c>
      <c r="BH519" s="59"/>
      <c r="BI519" s="58">
        <f t="shared" si="289"/>
        <v>210</v>
      </c>
      <c r="BJ519" s="59"/>
      <c r="BK519" s="58" t="str">
        <f t="shared" si="290"/>
        <v/>
      </c>
      <c r="BL519" s="59"/>
      <c r="BM519" s="58" t="str">
        <f t="shared" si="291"/>
        <v/>
      </c>
      <c r="BN519" s="59"/>
      <c r="BO519" s="58" t="str">
        <f t="shared" si="292"/>
        <v/>
      </c>
      <c r="BP519" s="59"/>
      <c r="BQ519" s="58" t="str">
        <f t="shared" si="293"/>
        <v/>
      </c>
      <c r="BR519" s="59"/>
      <c r="BS519" s="58" t="str">
        <f t="shared" si="294"/>
        <v/>
      </c>
      <c r="BT519" s="59"/>
      <c r="BU519" s="58" t="str">
        <f t="shared" si="295"/>
        <v/>
      </c>
      <c r="BV519" s="59"/>
    </row>
    <row r="520" spans="1:74" ht="14.5">
      <c r="A520" s="51" t="s">
        <v>446</v>
      </c>
      <c r="B520" s="52" t="s">
        <v>569</v>
      </c>
      <c r="C520" s="52" t="s">
        <v>74</v>
      </c>
      <c r="D520" s="41">
        <f t="shared" si="296"/>
        <v>8</v>
      </c>
      <c r="E520" s="52" t="s">
        <v>204</v>
      </c>
      <c r="F520" s="52" t="s">
        <v>347</v>
      </c>
      <c r="G520" s="52" t="s">
        <v>163</v>
      </c>
      <c r="H520" s="52" t="s">
        <v>572</v>
      </c>
      <c r="I520" s="53">
        <v>45708</v>
      </c>
      <c r="J520" s="108">
        <v>216</v>
      </c>
      <c r="K520" s="101"/>
      <c r="L520" s="101"/>
      <c r="M520" s="101">
        <f t="shared" si="297"/>
        <v>216</v>
      </c>
      <c r="N520" s="54">
        <f t="shared" si="298"/>
        <v>216</v>
      </c>
      <c r="O520" s="101" t="s">
        <v>178</v>
      </c>
      <c r="P520" s="102">
        <f t="shared" si="299"/>
        <v>0.45</v>
      </c>
      <c r="Q520" s="102">
        <v>6</v>
      </c>
      <c r="R520" s="99">
        <v>80</v>
      </c>
      <c r="S520" s="55">
        <f t="shared" si="271"/>
        <v>45676</v>
      </c>
      <c r="T520" s="55"/>
      <c r="U520" s="56">
        <f t="shared" ca="1" si="269"/>
        <v>-164</v>
      </c>
      <c r="V520" s="55">
        <f t="shared" si="268"/>
        <v>45692</v>
      </c>
      <c r="W520" s="55"/>
      <c r="X520" s="56">
        <f t="shared" ca="1" si="270"/>
        <v>-148</v>
      </c>
      <c r="Y520" s="55"/>
      <c r="Z520" s="57"/>
      <c r="AA520" s="58" t="str">
        <f t="shared" si="272"/>
        <v>-</v>
      </c>
      <c r="AB520" s="59"/>
      <c r="AC520" s="58" t="str">
        <f t="shared" si="273"/>
        <v/>
      </c>
      <c r="AD520" s="59"/>
      <c r="AE520" s="58" t="str">
        <f t="shared" si="274"/>
        <v/>
      </c>
      <c r="AF520" s="59"/>
      <c r="AG520" s="58" t="str">
        <f t="shared" si="275"/>
        <v/>
      </c>
      <c r="AH520" s="59"/>
      <c r="AI520" s="58" t="str">
        <f t="shared" si="276"/>
        <v/>
      </c>
      <c r="AJ520" s="59"/>
      <c r="AK520" s="58" t="str">
        <f t="shared" si="277"/>
        <v/>
      </c>
      <c r="AL520" s="59"/>
      <c r="AM520" s="58" t="str">
        <f t="shared" si="278"/>
        <v/>
      </c>
      <c r="AN520" s="59"/>
      <c r="AO520" s="58" t="str">
        <f t="shared" si="279"/>
        <v/>
      </c>
      <c r="AP520" s="59"/>
      <c r="AQ520" s="58" t="str">
        <f t="shared" si="280"/>
        <v/>
      </c>
      <c r="AR520" s="59"/>
      <c r="AS520" s="58" t="str">
        <f t="shared" si="281"/>
        <v/>
      </c>
      <c r="AT520" s="59"/>
      <c r="AU520" s="58" t="str">
        <f t="shared" si="282"/>
        <v/>
      </c>
      <c r="AV520" s="59"/>
      <c r="AW520" s="58" t="str">
        <f t="shared" si="283"/>
        <v/>
      </c>
      <c r="AX520" s="59"/>
      <c r="AY520" s="58" t="str">
        <f t="shared" si="284"/>
        <v/>
      </c>
      <c r="AZ520" s="59"/>
      <c r="BA520" s="58" t="str">
        <f t="shared" si="285"/>
        <v/>
      </c>
      <c r="BB520" s="59"/>
      <c r="BC520" s="58" t="str">
        <f t="shared" si="286"/>
        <v/>
      </c>
      <c r="BD520" s="59"/>
      <c r="BE520" s="58" t="str">
        <f t="shared" si="287"/>
        <v/>
      </c>
      <c r="BF520" s="59"/>
      <c r="BG520" s="58" t="str">
        <f t="shared" si="288"/>
        <v/>
      </c>
      <c r="BH520" s="59"/>
      <c r="BI520" s="58">
        <f t="shared" si="289"/>
        <v>216</v>
      </c>
      <c r="BJ520" s="59"/>
      <c r="BK520" s="58" t="str">
        <f t="shared" si="290"/>
        <v/>
      </c>
      <c r="BL520" s="59"/>
      <c r="BM520" s="58" t="str">
        <f t="shared" si="291"/>
        <v/>
      </c>
      <c r="BN520" s="59"/>
      <c r="BO520" s="58" t="str">
        <f t="shared" si="292"/>
        <v/>
      </c>
      <c r="BP520" s="59"/>
      <c r="BQ520" s="58" t="str">
        <f t="shared" si="293"/>
        <v/>
      </c>
      <c r="BR520" s="59"/>
      <c r="BS520" s="58" t="str">
        <f t="shared" si="294"/>
        <v/>
      </c>
      <c r="BT520" s="59"/>
      <c r="BU520" s="58" t="str">
        <f t="shared" si="295"/>
        <v/>
      </c>
      <c r="BV520" s="59"/>
    </row>
    <row r="521" spans="1:74" ht="14.5">
      <c r="A521" s="51" t="s">
        <v>446</v>
      </c>
      <c r="B521" s="52" t="s">
        <v>569</v>
      </c>
      <c r="C521" s="52" t="s">
        <v>74</v>
      </c>
      <c r="D521" s="41">
        <f t="shared" si="296"/>
        <v>8</v>
      </c>
      <c r="E521" s="52" t="s">
        <v>199</v>
      </c>
      <c r="F521" s="52" t="s">
        <v>575</v>
      </c>
      <c r="G521" s="52" t="s">
        <v>155</v>
      </c>
      <c r="H521" s="52" t="s">
        <v>576</v>
      </c>
      <c r="I521" s="53">
        <v>45708</v>
      </c>
      <c r="J521" s="108">
        <v>250</v>
      </c>
      <c r="K521" s="101"/>
      <c r="L521" s="101"/>
      <c r="M521" s="101">
        <f t="shared" si="297"/>
        <v>250</v>
      </c>
      <c r="N521" s="54">
        <f t="shared" si="298"/>
        <v>250</v>
      </c>
      <c r="O521" s="101" t="s">
        <v>571</v>
      </c>
      <c r="P521" s="102">
        <f t="shared" si="299"/>
        <v>0.52083333333333337</v>
      </c>
      <c r="Q521" s="102">
        <v>6</v>
      </c>
      <c r="R521" s="99">
        <v>80</v>
      </c>
      <c r="S521" s="55">
        <f t="shared" si="271"/>
        <v>45676</v>
      </c>
      <c r="T521" s="55"/>
      <c r="U521" s="56">
        <f t="shared" ca="1" si="269"/>
        <v>-164</v>
      </c>
      <c r="V521" s="55">
        <f t="shared" si="268"/>
        <v>45692</v>
      </c>
      <c r="W521" s="55"/>
      <c r="X521" s="56">
        <f t="shared" ca="1" si="270"/>
        <v>-148</v>
      </c>
      <c r="Y521" s="55"/>
      <c r="Z521" s="57"/>
      <c r="AA521" s="58" t="str">
        <f t="shared" si="272"/>
        <v>-</v>
      </c>
      <c r="AB521" s="59"/>
      <c r="AC521" s="58" t="str">
        <f t="shared" si="273"/>
        <v/>
      </c>
      <c r="AD521" s="59"/>
      <c r="AE521" s="58" t="str">
        <f t="shared" si="274"/>
        <v/>
      </c>
      <c r="AF521" s="59"/>
      <c r="AG521" s="58" t="str">
        <f t="shared" si="275"/>
        <v/>
      </c>
      <c r="AH521" s="59"/>
      <c r="AI521" s="58" t="str">
        <f t="shared" si="276"/>
        <v/>
      </c>
      <c r="AJ521" s="59"/>
      <c r="AK521" s="58" t="str">
        <f t="shared" si="277"/>
        <v/>
      </c>
      <c r="AL521" s="59"/>
      <c r="AM521" s="58" t="str">
        <f t="shared" si="278"/>
        <v/>
      </c>
      <c r="AN521" s="59"/>
      <c r="AO521" s="58" t="str">
        <f t="shared" si="279"/>
        <v/>
      </c>
      <c r="AP521" s="59"/>
      <c r="AQ521" s="58" t="str">
        <f t="shared" si="280"/>
        <v/>
      </c>
      <c r="AR521" s="59"/>
      <c r="AS521" s="58" t="str">
        <f t="shared" si="281"/>
        <v/>
      </c>
      <c r="AT521" s="59"/>
      <c r="AU521" s="58" t="str">
        <f t="shared" si="282"/>
        <v/>
      </c>
      <c r="AV521" s="59"/>
      <c r="AW521" s="58" t="str">
        <f t="shared" si="283"/>
        <v/>
      </c>
      <c r="AX521" s="59"/>
      <c r="AY521" s="58" t="str">
        <f t="shared" si="284"/>
        <v/>
      </c>
      <c r="AZ521" s="59"/>
      <c r="BA521" s="58" t="str">
        <f t="shared" si="285"/>
        <v/>
      </c>
      <c r="BB521" s="59"/>
      <c r="BC521" s="58" t="str">
        <f t="shared" si="286"/>
        <v/>
      </c>
      <c r="BD521" s="59"/>
      <c r="BE521" s="58" t="str">
        <f t="shared" si="287"/>
        <v/>
      </c>
      <c r="BF521" s="59"/>
      <c r="BG521" s="58" t="str">
        <f t="shared" si="288"/>
        <v/>
      </c>
      <c r="BH521" s="59"/>
      <c r="BI521" s="58">
        <f t="shared" si="289"/>
        <v>250</v>
      </c>
      <c r="BJ521" s="59"/>
      <c r="BK521" s="58" t="str">
        <f t="shared" si="290"/>
        <v/>
      </c>
      <c r="BL521" s="59"/>
      <c r="BM521" s="58" t="str">
        <f t="shared" si="291"/>
        <v/>
      </c>
      <c r="BN521" s="59"/>
      <c r="BO521" s="58" t="str">
        <f t="shared" si="292"/>
        <v/>
      </c>
      <c r="BP521" s="59"/>
      <c r="BQ521" s="58" t="str">
        <f t="shared" si="293"/>
        <v/>
      </c>
      <c r="BR521" s="59"/>
      <c r="BS521" s="58" t="str">
        <f t="shared" si="294"/>
        <v/>
      </c>
      <c r="BT521" s="59"/>
      <c r="BU521" s="58" t="str">
        <f t="shared" si="295"/>
        <v/>
      </c>
      <c r="BV521" s="59"/>
    </row>
    <row r="522" spans="1:74" ht="14.5">
      <c r="A522" s="51" t="s">
        <v>446</v>
      </c>
      <c r="B522" s="52" t="s">
        <v>569</v>
      </c>
      <c r="C522" s="52" t="s">
        <v>74</v>
      </c>
      <c r="D522" s="41">
        <f t="shared" si="296"/>
        <v>8</v>
      </c>
      <c r="E522" s="52" t="s">
        <v>204</v>
      </c>
      <c r="F522" s="52" t="s">
        <v>309</v>
      </c>
      <c r="G522" s="52" t="s">
        <v>163</v>
      </c>
      <c r="H522" s="52" t="s">
        <v>570</v>
      </c>
      <c r="I522" s="53">
        <v>45708</v>
      </c>
      <c r="J522" s="108">
        <v>420</v>
      </c>
      <c r="K522" s="101"/>
      <c r="L522" s="101"/>
      <c r="M522" s="101">
        <f t="shared" si="297"/>
        <v>420</v>
      </c>
      <c r="N522" s="54">
        <f t="shared" si="298"/>
        <v>420</v>
      </c>
      <c r="O522" s="101" t="s">
        <v>571</v>
      </c>
      <c r="P522" s="102">
        <f t="shared" si="299"/>
        <v>0.875</v>
      </c>
      <c r="Q522" s="102">
        <v>6</v>
      </c>
      <c r="R522" s="99">
        <v>80</v>
      </c>
      <c r="S522" s="55">
        <f t="shared" si="271"/>
        <v>45676</v>
      </c>
      <c r="T522" s="55"/>
      <c r="U522" s="56">
        <f t="shared" ca="1" si="269"/>
        <v>-164</v>
      </c>
      <c r="V522" s="55">
        <f t="shared" si="268"/>
        <v>45692</v>
      </c>
      <c r="W522" s="55"/>
      <c r="X522" s="56">
        <f t="shared" ca="1" si="270"/>
        <v>-148</v>
      </c>
      <c r="Y522" s="55"/>
      <c r="Z522" s="57"/>
      <c r="AA522" s="58" t="str">
        <f t="shared" si="272"/>
        <v>-</v>
      </c>
      <c r="AB522" s="59"/>
      <c r="AC522" s="58" t="str">
        <f t="shared" si="273"/>
        <v/>
      </c>
      <c r="AD522" s="59"/>
      <c r="AE522" s="58" t="str">
        <f t="shared" si="274"/>
        <v/>
      </c>
      <c r="AF522" s="59"/>
      <c r="AG522" s="58" t="str">
        <f t="shared" si="275"/>
        <v/>
      </c>
      <c r="AH522" s="59"/>
      <c r="AI522" s="58" t="str">
        <f t="shared" si="276"/>
        <v/>
      </c>
      <c r="AJ522" s="59"/>
      <c r="AK522" s="58" t="str">
        <f t="shared" si="277"/>
        <v/>
      </c>
      <c r="AL522" s="59"/>
      <c r="AM522" s="58" t="str">
        <f t="shared" si="278"/>
        <v/>
      </c>
      <c r="AN522" s="59"/>
      <c r="AO522" s="58" t="str">
        <f t="shared" si="279"/>
        <v/>
      </c>
      <c r="AP522" s="59"/>
      <c r="AQ522" s="58" t="str">
        <f t="shared" si="280"/>
        <v/>
      </c>
      <c r="AR522" s="59"/>
      <c r="AS522" s="58" t="str">
        <f t="shared" si="281"/>
        <v/>
      </c>
      <c r="AT522" s="59"/>
      <c r="AU522" s="58" t="str">
        <f t="shared" si="282"/>
        <v/>
      </c>
      <c r="AV522" s="59"/>
      <c r="AW522" s="58" t="str">
        <f t="shared" si="283"/>
        <v/>
      </c>
      <c r="AX522" s="59"/>
      <c r="AY522" s="58" t="str">
        <f t="shared" si="284"/>
        <v/>
      </c>
      <c r="AZ522" s="59"/>
      <c r="BA522" s="58" t="str">
        <f t="shared" si="285"/>
        <v/>
      </c>
      <c r="BB522" s="59"/>
      <c r="BC522" s="58" t="str">
        <f t="shared" si="286"/>
        <v/>
      </c>
      <c r="BD522" s="59"/>
      <c r="BE522" s="58" t="str">
        <f t="shared" si="287"/>
        <v/>
      </c>
      <c r="BF522" s="59"/>
      <c r="BG522" s="58" t="str">
        <f t="shared" si="288"/>
        <v/>
      </c>
      <c r="BH522" s="59"/>
      <c r="BI522" s="58">
        <f t="shared" si="289"/>
        <v>420</v>
      </c>
      <c r="BJ522" s="59"/>
      <c r="BK522" s="58" t="str">
        <f t="shared" si="290"/>
        <v/>
      </c>
      <c r="BL522" s="59"/>
      <c r="BM522" s="58" t="str">
        <f t="shared" si="291"/>
        <v/>
      </c>
      <c r="BN522" s="59"/>
      <c r="BO522" s="58" t="str">
        <f t="shared" si="292"/>
        <v/>
      </c>
      <c r="BP522" s="59"/>
      <c r="BQ522" s="58" t="str">
        <f t="shared" si="293"/>
        <v/>
      </c>
      <c r="BR522" s="59"/>
      <c r="BS522" s="58" t="str">
        <f t="shared" si="294"/>
        <v/>
      </c>
      <c r="BT522" s="59"/>
      <c r="BU522" s="58" t="str">
        <f t="shared" si="295"/>
        <v/>
      </c>
      <c r="BV522" s="59"/>
    </row>
    <row r="523" spans="1:74" ht="14.5">
      <c r="A523" s="51" t="s">
        <v>446</v>
      </c>
      <c r="B523" s="52" t="s">
        <v>569</v>
      </c>
      <c r="C523" s="52" t="s">
        <v>74</v>
      </c>
      <c r="D523" s="41">
        <f t="shared" si="296"/>
        <v>8</v>
      </c>
      <c r="E523" s="52" t="s">
        <v>199</v>
      </c>
      <c r="F523" s="52" t="s">
        <v>308</v>
      </c>
      <c r="G523" s="52" t="s">
        <v>155</v>
      </c>
      <c r="H523" s="52" t="s">
        <v>570</v>
      </c>
      <c r="I523" s="53">
        <v>45708</v>
      </c>
      <c r="J523" s="108">
        <v>540</v>
      </c>
      <c r="K523" s="101"/>
      <c r="L523" s="101"/>
      <c r="M523" s="101">
        <f t="shared" si="297"/>
        <v>540</v>
      </c>
      <c r="N523" s="54">
        <f t="shared" si="298"/>
        <v>540</v>
      </c>
      <c r="O523" s="101" t="s">
        <v>573</v>
      </c>
      <c r="P523" s="102">
        <f t="shared" si="299"/>
        <v>1.125</v>
      </c>
      <c r="Q523" s="102">
        <v>6</v>
      </c>
      <c r="R523" s="99">
        <v>80</v>
      </c>
      <c r="S523" s="55">
        <f t="shared" si="271"/>
        <v>45676</v>
      </c>
      <c r="T523" s="55"/>
      <c r="U523" s="56">
        <f t="shared" ca="1" si="269"/>
        <v>-164</v>
      </c>
      <c r="V523" s="55">
        <f t="shared" si="268"/>
        <v>45692</v>
      </c>
      <c r="W523" s="55"/>
      <c r="X523" s="56">
        <f t="shared" ca="1" si="270"/>
        <v>-148</v>
      </c>
      <c r="Y523" s="55"/>
      <c r="Z523" s="57"/>
      <c r="AA523" s="58" t="str">
        <f t="shared" si="272"/>
        <v>-</v>
      </c>
      <c r="AB523" s="59"/>
      <c r="AC523" s="58" t="str">
        <f t="shared" si="273"/>
        <v/>
      </c>
      <c r="AD523" s="59"/>
      <c r="AE523" s="58" t="str">
        <f t="shared" si="274"/>
        <v/>
      </c>
      <c r="AF523" s="59"/>
      <c r="AG523" s="58" t="str">
        <f t="shared" si="275"/>
        <v/>
      </c>
      <c r="AH523" s="59"/>
      <c r="AI523" s="58" t="str">
        <f t="shared" si="276"/>
        <v/>
      </c>
      <c r="AJ523" s="59"/>
      <c r="AK523" s="58" t="str">
        <f t="shared" si="277"/>
        <v/>
      </c>
      <c r="AL523" s="59"/>
      <c r="AM523" s="58" t="str">
        <f t="shared" si="278"/>
        <v/>
      </c>
      <c r="AN523" s="59"/>
      <c r="AO523" s="58" t="str">
        <f t="shared" si="279"/>
        <v/>
      </c>
      <c r="AP523" s="59"/>
      <c r="AQ523" s="58" t="str">
        <f t="shared" si="280"/>
        <v/>
      </c>
      <c r="AR523" s="59"/>
      <c r="AS523" s="58" t="str">
        <f t="shared" si="281"/>
        <v/>
      </c>
      <c r="AT523" s="59"/>
      <c r="AU523" s="58" t="str">
        <f t="shared" si="282"/>
        <v/>
      </c>
      <c r="AV523" s="59"/>
      <c r="AW523" s="58" t="str">
        <f t="shared" si="283"/>
        <v/>
      </c>
      <c r="AX523" s="59"/>
      <c r="AY523" s="58" t="str">
        <f t="shared" si="284"/>
        <v/>
      </c>
      <c r="AZ523" s="59"/>
      <c r="BA523" s="58" t="str">
        <f t="shared" si="285"/>
        <v/>
      </c>
      <c r="BB523" s="59"/>
      <c r="BC523" s="58" t="str">
        <f t="shared" si="286"/>
        <v/>
      </c>
      <c r="BD523" s="59"/>
      <c r="BE523" s="58" t="str">
        <f t="shared" si="287"/>
        <v/>
      </c>
      <c r="BF523" s="59"/>
      <c r="BG523" s="58" t="str">
        <f t="shared" si="288"/>
        <v/>
      </c>
      <c r="BH523" s="59"/>
      <c r="BI523" s="58">
        <f t="shared" si="289"/>
        <v>540</v>
      </c>
      <c r="BJ523" s="59"/>
      <c r="BK523" s="58" t="str">
        <f t="shared" si="290"/>
        <v/>
      </c>
      <c r="BL523" s="59"/>
      <c r="BM523" s="58" t="str">
        <f t="shared" si="291"/>
        <v/>
      </c>
      <c r="BN523" s="59"/>
      <c r="BO523" s="58" t="str">
        <f t="shared" si="292"/>
        <v/>
      </c>
      <c r="BP523" s="59"/>
      <c r="BQ523" s="58" t="str">
        <f t="shared" si="293"/>
        <v/>
      </c>
      <c r="BR523" s="59"/>
      <c r="BS523" s="58" t="str">
        <f t="shared" si="294"/>
        <v/>
      </c>
      <c r="BT523" s="59"/>
      <c r="BU523" s="58" t="str">
        <f t="shared" si="295"/>
        <v/>
      </c>
      <c r="BV523" s="59"/>
    </row>
    <row r="524" spans="1:74" ht="14.5">
      <c r="A524" s="51" t="s">
        <v>446</v>
      </c>
      <c r="B524" s="52" t="s">
        <v>569</v>
      </c>
      <c r="C524" s="52" t="s">
        <v>74</v>
      </c>
      <c r="D524" s="41">
        <f t="shared" si="296"/>
        <v>8</v>
      </c>
      <c r="E524" s="52" t="s">
        <v>207</v>
      </c>
      <c r="F524" s="52" t="s">
        <v>308</v>
      </c>
      <c r="G524" s="52" t="s">
        <v>162</v>
      </c>
      <c r="H524" s="52" t="s">
        <v>570</v>
      </c>
      <c r="I524" s="53">
        <v>45708</v>
      </c>
      <c r="J524" s="108">
        <v>680</v>
      </c>
      <c r="K524" s="101"/>
      <c r="L524" s="101"/>
      <c r="M524" s="101">
        <f t="shared" si="297"/>
        <v>680</v>
      </c>
      <c r="N524" s="54">
        <f t="shared" si="298"/>
        <v>680</v>
      </c>
      <c r="O524" s="101" t="s">
        <v>573</v>
      </c>
      <c r="P524" s="102">
        <f t="shared" si="299"/>
        <v>1.4166666666666667</v>
      </c>
      <c r="Q524" s="102">
        <v>6</v>
      </c>
      <c r="R524" s="99">
        <v>80</v>
      </c>
      <c r="S524" s="55">
        <f t="shared" si="271"/>
        <v>45676</v>
      </c>
      <c r="T524" s="55"/>
      <c r="U524" s="56">
        <f t="shared" ca="1" si="269"/>
        <v>-164</v>
      </c>
      <c r="V524" s="55">
        <f t="shared" si="268"/>
        <v>45692</v>
      </c>
      <c r="W524" s="55"/>
      <c r="X524" s="56">
        <f t="shared" ca="1" si="270"/>
        <v>-148</v>
      </c>
      <c r="Y524" s="55"/>
      <c r="Z524" s="57"/>
      <c r="AA524" s="58" t="str">
        <f t="shared" si="272"/>
        <v>-</v>
      </c>
      <c r="AB524" s="59"/>
      <c r="AC524" s="58" t="str">
        <f t="shared" si="273"/>
        <v/>
      </c>
      <c r="AD524" s="59"/>
      <c r="AE524" s="58" t="str">
        <f t="shared" si="274"/>
        <v/>
      </c>
      <c r="AF524" s="59"/>
      <c r="AG524" s="58" t="str">
        <f t="shared" si="275"/>
        <v/>
      </c>
      <c r="AH524" s="59"/>
      <c r="AI524" s="58" t="str">
        <f t="shared" si="276"/>
        <v/>
      </c>
      <c r="AJ524" s="59"/>
      <c r="AK524" s="58" t="str">
        <f t="shared" si="277"/>
        <v/>
      </c>
      <c r="AL524" s="59"/>
      <c r="AM524" s="58" t="str">
        <f t="shared" si="278"/>
        <v/>
      </c>
      <c r="AN524" s="59"/>
      <c r="AO524" s="58" t="str">
        <f t="shared" si="279"/>
        <v/>
      </c>
      <c r="AP524" s="59"/>
      <c r="AQ524" s="58" t="str">
        <f t="shared" si="280"/>
        <v/>
      </c>
      <c r="AR524" s="59"/>
      <c r="AS524" s="58" t="str">
        <f t="shared" si="281"/>
        <v/>
      </c>
      <c r="AT524" s="59"/>
      <c r="AU524" s="58" t="str">
        <f t="shared" si="282"/>
        <v/>
      </c>
      <c r="AV524" s="59"/>
      <c r="AW524" s="58" t="str">
        <f t="shared" si="283"/>
        <v/>
      </c>
      <c r="AX524" s="59"/>
      <c r="AY524" s="58" t="str">
        <f t="shared" si="284"/>
        <v/>
      </c>
      <c r="AZ524" s="59"/>
      <c r="BA524" s="58" t="str">
        <f t="shared" si="285"/>
        <v/>
      </c>
      <c r="BB524" s="59"/>
      <c r="BC524" s="58" t="str">
        <f t="shared" si="286"/>
        <v/>
      </c>
      <c r="BD524" s="59"/>
      <c r="BE524" s="58" t="str">
        <f t="shared" si="287"/>
        <v/>
      </c>
      <c r="BF524" s="59"/>
      <c r="BG524" s="58" t="str">
        <f t="shared" si="288"/>
        <v/>
      </c>
      <c r="BH524" s="59"/>
      <c r="BI524" s="58">
        <f t="shared" si="289"/>
        <v>680</v>
      </c>
      <c r="BJ524" s="59"/>
      <c r="BK524" s="58" t="str">
        <f t="shared" si="290"/>
        <v/>
      </c>
      <c r="BL524" s="59"/>
      <c r="BM524" s="58" t="str">
        <f t="shared" si="291"/>
        <v/>
      </c>
      <c r="BN524" s="59"/>
      <c r="BO524" s="58" t="str">
        <f t="shared" si="292"/>
        <v/>
      </c>
      <c r="BP524" s="59"/>
      <c r="BQ524" s="58" t="str">
        <f t="shared" si="293"/>
        <v/>
      </c>
      <c r="BR524" s="59"/>
      <c r="BS524" s="58" t="str">
        <f t="shared" si="294"/>
        <v/>
      </c>
      <c r="BT524" s="59"/>
      <c r="BU524" s="58" t="str">
        <f t="shared" si="295"/>
        <v/>
      </c>
      <c r="BV524" s="59"/>
    </row>
    <row r="525" spans="1:74" ht="14.5">
      <c r="A525" s="51" t="s">
        <v>446</v>
      </c>
      <c r="B525" s="52" t="s">
        <v>569</v>
      </c>
      <c r="C525" s="52" t="s">
        <v>74</v>
      </c>
      <c r="D525" s="41">
        <f t="shared" si="296"/>
        <v>8</v>
      </c>
      <c r="E525" s="52" t="s">
        <v>192</v>
      </c>
      <c r="F525" s="52" t="s">
        <v>347</v>
      </c>
      <c r="G525" s="52" t="s">
        <v>155</v>
      </c>
      <c r="H525" s="52" t="s">
        <v>572</v>
      </c>
      <c r="I525" s="53">
        <v>45708</v>
      </c>
      <c r="J525" s="108">
        <v>144</v>
      </c>
      <c r="K525" s="101"/>
      <c r="L525" s="101"/>
      <c r="M525" s="101">
        <f t="shared" si="297"/>
        <v>144</v>
      </c>
      <c r="N525" s="54">
        <f t="shared" si="298"/>
        <v>144</v>
      </c>
      <c r="O525" s="101" t="s">
        <v>178</v>
      </c>
      <c r="P525" s="102">
        <f t="shared" si="299"/>
        <v>0.3</v>
      </c>
      <c r="Q525" s="102">
        <v>6</v>
      </c>
      <c r="R525" s="99">
        <v>80</v>
      </c>
      <c r="S525" s="55">
        <f t="shared" si="271"/>
        <v>45676</v>
      </c>
      <c r="T525" s="55"/>
      <c r="U525" s="56">
        <f t="shared" ca="1" si="269"/>
        <v>-164</v>
      </c>
      <c r="V525" s="55">
        <f t="shared" si="268"/>
        <v>45692</v>
      </c>
      <c r="W525" s="55"/>
      <c r="X525" s="56">
        <f t="shared" ca="1" si="270"/>
        <v>-148</v>
      </c>
      <c r="Y525" s="55"/>
      <c r="Z525" s="57"/>
      <c r="AA525" s="58" t="str">
        <f t="shared" si="272"/>
        <v>-</v>
      </c>
      <c r="AB525" s="59"/>
      <c r="AC525" s="58" t="str">
        <f t="shared" si="273"/>
        <v/>
      </c>
      <c r="AD525" s="59"/>
      <c r="AE525" s="58" t="str">
        <f t="shared" si="274"/>
        <v/>
      </c>
      <c r="AF525" s="59"/>
      <c r="AG525" s="58" t="str">
        <f t="shared" si="275"/>
        <v/>
      </c>
      <c r="AH525" s="59"/>
      <c r="AI525" s="58" t="str">
        <f t="shared" si="276"/>
        <v/>
      </c>
      <c r="AJ525" s="59"/>
      <c r="AK525" s="58" t="str">
        <f t="shared" si="277"/>
        <v/>
      </c>
      <c r="AL525" s="59"/>
      <c r="AM525" s="58" t="str">
        <f t="shared" si="278"/>
        <v/>
      </c>
      <c r="AN525" s="59"/>
      <c r="AO525" s="58" t="str">
        <f t="shared" si="279"/>
        <v/>
      </c>
      <c r="AP525" s="59"/>
      <c r="AQ525" s="58" t="str">
        <f t="shared" si="280"/>
        <v/>
      </c>
      <c r="AR525" s="59"/>
      <c r="AS525" s="58" t="str">
        <f t="shared" si="281"/>
        <v/>
      </c>
      <c r="AT525" s="59"/>
      <c r="AU525" s="58" t="str">
        <f t="shared" si="282"/>
        <v/>
      </c>
      <c r="AV525" s="59"/>
      <c r="AW525" s="58" t="str">
        <f t="shared" si="283"/>
        <v/>
      </c>
      <c r="AX525" s="59"/>
      <c r="AY525" s="58" t="str">
        <f t="shared" si="284"/>
        <v/>
      </c>
      <c r="AZ525" s="59"/>
      <c r="BA525" s="58" t="str">
        <f t="shared" si="285"/>
        <v/>
      </c>
      <c r="BB525" s="59"/>
      <c r="BC525" s="58" t="str">
        <f t="shared" si="286"/>
        <v/>
      </c>
      <c r="BD525" s="59"/>
      <c r="BE525" s="58" t="str">
        <f t="shared" si="287"/>
        <v/>
      </c>
      <c r="BF525" s="59"/>
      <c r="BG525" s="58" t="str">
        <f t="shared" si="288"/>
        <v/>
      </c>
      <c r="BH525" s="59"/>
      <c r="BI525" s="58">
        <f t="shared" si="289"/>
        <v>144</v>
      </c>
      <c r="BJ525" s="59"/>
      <c r="BK525" s="58" t="str">
        <f t="shared" si="290"/>
        <v/>
      </c>
      <c r="BL525" s="59"/>
      <c r="BM525" s="58" t="str">
        <f t="shared" si="291"/>
        <v/>
      </c>
      <c r="BN525" s="59"/>
      <c r="BO525" s="58" t="str">
        <f t="shared" si="292"/>
        <v/>
      </c>
      <c r="BP525" s="59"/>
      <c r="BQ525" s="58" t="str">
        <f t="shared" si="293"/>
        <v/>
      </c>
      <c r="BR525" s="59"/>
      <c r="BS525" s="58" t="str">
        <f t="shared" si="294"/>
        <v/>
      </c>
      <c r="BT525" s="59"/>
      <c r="BU525" s="58" t="str">
        <f t="shared" si="295"/>
        <v/>
      </c>
      <c r="BV525" s="59"/>
    </row>
    <row r="526" spans="1:74" ht="14.5">
      <c r="A526" s="51" t="s">
        <v>446</v>
      </c>
      <c r="B526" s="52" t="s">
        <v>569</v>
      </c>
      <c r="C526" s="52" t="s">
        <v>74</v>
      </c>
      <c r="D526" s="41">
        <f t="shared" si="296"/>
        <v>8</v>
      </c>
      <c r="E526" s="52" t="s">
        <v>417</v>
      </c>
      <c r="F526" s="52" t="s">
        <v>309</v>
      </c>
      <c r="G526" s="52" t="s">
        <v>164</v>
      </c>
      <c r="H526" s="52" t="s">
        <v>570</v>
      </c>
      <c r="I526" s="53">
        <v>45708</v>
      </c>
      <c r="J526" s="108">
        <v>210</v>
      </c>
      <c r="K526" s="101"/>
      <c r="L526" s="101"/>
      <c r="M526" s="101">
        <f t="shared" si="297"/>
        <v>210</v>
      </c>
      <c r="N526" s="54">
        <f t="shared" si="298"/>
        <v>210</v>
      </c>
      <c r="O526" s="101" t="s">
        <v>571</v>
      </c>
      <c r="P526" s="102">
        <f t="shared" si="299"/>
        <v>0.4375</v>
      </c>
      <c r="Q526" s="102">
        <v>6</v>
      </c>
      <c r="R526" s="99">
        <v>80</v>
      </c>
      <c r="S526" s="55">
        <f t="shared" si="271"/>
        <v>45676</v>
      </c>
      <c r="T526" s="55"/>
      <c r="U526" s="56">
        <f t="shared" ca="1" si="269"/>
        <v>-164</v>
      </c>
      <c r="V526" s="55">
        <f t="shared" si="268"/>
        <v>45692</v>
      </c>
      <c r="W526" s="55"/>
      <c r="X526" s="56">
        <f t="shared" ca="1" si="270"/>
        <v>-148</v>
      </c>
      <c r="Y526" s="55"/>
      <c r="Z526" s="57"/>
      <c r="AA526" s="58" t="str">
        <f t="shared" si="272"/>
        <v>-</v>
      </c>
      <c r="AB526" s="59"/>
      <c r="AC526" s="58" t="str">
        <f t="shared" si="273"/>
        <v/>
      </c>
      <c r="AD526" s="59"/>
      <c r="AE526" s="58" t="str">
        <f t="shared" si="274"/>
        <v/>
      </c>
      <c r="AF526" s="59"/>
      <c r="AG526" s="58" t="str">
        <f t="shared" si="275"/>
        <v/>
      </c>
      <c r="AH526" s="59"/>
      <c r="AI526" s="58" t="str">
        <f t="shared" si="276"/>
        <v/>
      </c>
      <c r="AJ526" s="59"/>
      <c r="AK526" s="58" t="str">
        <f t="shared" si="277"/>
        <v/>
      </c>
      <c r="AL526" s="59"/>
      <c r="AM526" s="58" t="str">
        <f t="shared" si="278"/>
        <v/>
      </c>
      <c r="AN526" s="59"/>
      <c r="AO526" s="58" t="str">
        <f t="shared" si="279"/>
        <v/>
      </c>
      <c r="AP526" s="59"/>
      <c r="AQ526" s="58" t="str">
        <f t="shared" si="280"/>
        <v/>
      </c>
      <c r="AR526" s="59"/>
      <c r="AS526" s="58" t="str">
        <f t="shared" si="281"/>
        <v/>
      </c>
      <c r="AT526" s="59"/>
      <c r="AU526" s="58" t="str">
        <f t="shared" si="282"/>
        <v/>
      </c>
      <c r="AV526" s="59"/>
      <c r="AW526" s="58" t="str">
        <f t="shared" si="283"/>
        <v/>
      </c>
      <c r="AX526" s="59"/>
      <c r="AY526" s="58" t="str">
        <f t="shared" si="284"/>
        <v/>
      </c>
      <c r="AZ526" s="59"/>
      <c r="BA526" s="58" t="str">
        <f t="shared" si="285"/>
        <v/>
      </c>
      <c r="BB526" s="59"/>
      <c r="BC526" s="58" t="str">
        <f t="shared" si="286"/>
        <v/>
      </c>
      <c r="BD526" s="59"/>
      <c r="BE526" s="58" t="str">
        <f t="shared" si="287"/>
        <v/>
      </c>
      <c r="BF526" s="59"/>
      <c r="BG526" s="58" t="str">
        <f t="shared" si="288"/>
        <v/>
      </c>
      <c r="BH526" s="59"/>
      <c r="BI526" s="58">
        <f t="shared" si="289"/>
        <v>210</v>
      </c>
      <c r="BJ526" s="59"/>
      <c r="BK526" s="58" t="str">
        <f t="shared" si="290"/>
        <v/>
      </c>
      <c r="BL526" s="59"/>
      <c r="BM526" s="58" t="str">
        <f t="shared" si="291"/>
        <v/>
      </c>
      <c r="BN526" s="59"/>
      <c r="BO526" s="58" t="str">
        <f t="shared" si="292"/>
        <v/>
      </c>
      <c r="BP526" s="59"/>
      <c r="BQ526" s="58" t="str">
        <f t="shared" si="293"/>
        <v/>
      </c>
      <c r="BR526" s="59"/>
      <c r="BS526" s="58" t="str">
        <f t="shared" si="294"/>
        <v/>
      </c>
      <c r="BT526" s="59"/>
      <c r="BU526" s="58" t="str">
        <f t="shared" si="295"/>
        <v/>
      </c>
      <c r="BV526" s="59"/>
    </row>
    <row r="527" spans="1:74" ht="14.5">
      <c r="A527" s="51" t="s">
        <v>446</v>
      </c>
      <c r="B527" s="52" t="s">
        <v>569</v>
      </c>
      <c r="C527" s="52" t="s">
        <v>74</v>
      </c>
      <c r="D527" s="41">
        <f t="shared" si="296"/>
        <v>8</v>
      </c>
      <c r="E527" s="52" t="s">
        <v>416</v>
      </c>
      <c r="F527" s="52" t="s">
        <v>308</v>
      </c>
      <c r="G527" s="52" t="s">
        <v>164</v>
      </c>
      <c r="H527" s="52" t="s">
        <v>570</v>
      </c>
      <c r="I527" s="53">
        <v>45708</v>
      </c>
      <c r="J527" s="108">
        <v>100</v>
      </c>
      <c r="K527" s="101"/>
      <c r="L527" s="101"/>
      <c r="M527" s="101">
        <f t="shared" si="297"/>
        <v>100</v>
      </c>
      <c r="N527" s="54">
        <f t="shared" si="298"/>
        <v>100</v>
      </c>
      <c r="O527" s="101" t="s">
        <v>573</v>
      </c>
      <c r="P527" s="102">
        <f t="shared" si="299"/>
        <v>0.20833333333333334</v>
      </c>
      <c r="Q527" s="102">
        <v>6</v>
      </c>
      <c r="R527" s="99">
        <v>80</v>
      </c>
      <c r="S527" s="55">
        <f t="shared" si="271"/>
        <v>45676</v>
      </c>
      <c r="T527" s="55"/>
      <c r="U527" s="56">
        <f t="shared" ca="1" si="269"/>
        <v>-164</v>
      </c>
      <c r="V527" s="55">
        <f t="shared" si="268"/>
        <v>45692</v>
      </c>
      <c r="W527" s="55"/>
      <c r="X527" s="56">
        <f t="shared" ca="1" si="270"/>
        <v>-148</v>
      </c>
      <c r="Y527" s="55"/>
      <c r="Z527" s="57"/>
      <c r="AA527" s="58" t="str">
        <f t="shared" si="272"/>
        <v>-</v>
      </c>
      <c r="AB527" s="59"/>
      <c r="AC527" s="58" t="str">
        <f t="shared" si="273"/>
        <v/>
      </c>
      <c r="AD527" s="59"/>
      <c r="AE527" s="58" t="str">
        <f t="shared" si="274"/>
        <v/>
      </c>
      <c r="AF527" s="59"/>
      <c r="AG527" s="58" t="str">
        <f t="shared" si="275"/>
        <v/>
      </c>
      <c r="AH527" s="59"/>
      <c r="AI527" s="58" t="str">
        <f t="shared" si="276"/>
        <v/>
      </c>
      <c r="AJ527" s="59"/>
      <c r="AK527" s="58" t="str">
        <f t="shared" si="277"/>
        <v/>
      </c>
      <c r="AL527" s="59"/>
      <c r="AM527" s="58" t="str">
        <f t="shared" si="278"/>
        <v/>
      </c>
      <c r="AN527" s="59"/>
      <c r="AO527" s="58" t="str">
        <f t="shared" si="279"/>
        <v/>
      </c>
      <c r="AP527" s="59"/>
      <c r="AQ527" s="58" t="str">
        <f t="shared" si="280"/>
        <v/>
      </c>
      <c r="AR527" s="59"/>
      <c r="AS527" s="58" t="str">
        <f t="shared" si="281"/>
        <v/>
      </c>
      <c r="AT527" s="59"/>
      <c r="AU527" s="58" t="str">
        <f t="shared" si="282"/>
        <v/>
      </c>
      <c r="AV527" s="59"/>
      <c r="AW527" s="58" t="str">
        <f t="shared" si="283"/>
        <v/>
      </c>
      <c r="AX527" s="59"/>
      <c r="AY527" s="58" t="str">
        <f t="shared" si="284"/>
        <v/>
      </c>
      <c r="AZ527" s="59"/>
      <c r="BA527" s="58" t="str">
        <f t="shared" si="285"/>
        <v/>
      </c>
      <c r="BB527" s="59"/>
      <c r="BC527" s="58" t="str">
        <f t="shared" si="286"/>
        <v/>
      </c>
      <c r="BD527" s="59"/>
      <c r="BE527" s="58" t="str">
        <f t="shared" si="287"/>
        <v/>
      </c>
      <c r="BF527" s="59"/>
      <c r="BG527" s="58" t="str">
        <f t="shared" si="288"/>
        <v/>
      </c>
      <c r="BH527" s="59"/>
      <c r="BI527" s="58">
        <f t="shared" si="289"/>
        <v>100</v>
      </c>
      <c r="BJ527" s="59"/>
      <c r="BK527" s="58" t="str">
        <f t="shared" si="290"/>
        <v/>
      </c>
      <c r="BL527" s="59"/>
      <c r="BM527" s="58" t="str">
        <f t="shared" si="291"/>
        <v/>
      </c>
      <c r="BN527" s="59"/>
      <c r="BO527" s="58" t="str">
        <f t="shared" si="292"/>
        <v/>
      </c>
      <c r="BP527" s="59"/>
      <c r="BQ527" s="58" t="str">
        <f t="shared" si="293"/>
        <v/>
      </c>
      <c r="BR527" s="59"/>
      <c r="BS527" s="58" t="str">
        <f t="shared" si="294"/>
        <v/>
      </c>
      <c r="BT527" s="59"/>
      <c r="BU527" s="58" t="str">
        <f t="shared" si="295"/>
        <v/>
      </c>
      <c r="BV527" s="59"/>
    </row>
    <row r="528" spans="1:74" ht="14.5">
      <c r="A528" s="51" t="s">
        <v>446</v>
      </c>
      <c r="B528" s="52" t="s">
        <v>569</v>
      </c>
      <c r="C528" s="52" t="s">
        <v>74</v>
      </c>
      <c r="D528" s="41">
        <f t="shared" si="296"/>
        <v>8</v>
      </c>
      <c r="E528" s="52" t="s">
        <v>204</v>
      </c>
      <c r="F528" s="52" t="s">
        <v>308</v>
      </c>
      <c r="G528" s="52" t="s">
        <v>163</v>
      </c>
      <c r="H528" s="52" t="s">
        <v>570</v>
      </c>
      <c r="I528" s="53">
        <v>45708</v>
      </c>
      <c r="J528" s="108">
        <v>360</v>
      </c>
      <c r="K528" s="101"/>
      <c r="L528" s="101"/>
      <c r="M528" s="101">
        <f t="shared" si="297"/>
        <v>360</v>
      </c>
      <c r="N528" s="54">
        <f t="shared" si="298"/>
        <v>360</v>
      </c>
      <c r="O528" s="101" t="s">
        <v>573</v>
      </c>
      <c r="P528" s="102">
        <f t="shared" si="299"/>
        <v>0.75</v>
      </c>
      <c r="Q528" s="102">
        <v>6</v>
      </c>
      <c r="R528" s="99">
        <v>80</v>
      </c>
      <c r="S528" s="55">
        <f t="shared" si="271"/>
        <v>45676</v>
      </c>
      <c r="T528" s="55"/>
      <c r="U528" s="56">
        <f t="shared" ca="1" si="269"/>
        <v>-164</v>
      </c>
      <c r="V528" s="55">
        <f t="shared" si="268"/>
        <v>45692</v>
      </c>
      <c r="W528" s="55"/>
      <c r="X528" s="56">
        <f t="shared" ca="1" si="270"/>
        <v>-148</v>
      </c>
      <c r="Y528" s="55"/>
      <c r="Z528" s="57"/>
      <c r="AA528" s="58" t="str">
        <f t="shared" si="272"/>
        <v>-</v>
      </c>
      <c r="AB528" s="59"/>
      <c r="AC528" s="58" t="str">
        <f t="shared" si="273"/>
        <v/>
      </c>
      <c r="AD528" s="59"/>
      <c r="AE528" s="58" t="str">
        <f t="shared" si="274"/>
        <v/>
      </c>
      <c r="AF528" s="59"/>
      <c r="AG528" s="58" t="str">
        <f t="shared" si="275"/>
        <v/>
      </c>
      <c r="AH528" s="59"/>
      <c r="AI528" s="58" t="str">
        <f t="shared" si="276"/>
        <v/>
      </c>
      <c r="AJ528" s="59"/>
      <c r="AK528" s="58" t="str">
        <f t="shared" si="277"/>
        <v/>
      </c>
      <c r="AL528" s="59"/>
      <c r="AM528" s="58" t="str">
        <f t="shared" si="278"/>
        <v/>
      </c>
      <c r="AN528" s="59"/>
      <c r="AO528" s="58" t="str">
        <f t="shared" si="279"/>
        <v/>
      </c>
      <c r="AP528" s="59"/>
      <c r="AQ528" s="58" t="str">
        <f t="shared" si="280"/>
        <v/>
      </c>
      <c r="AR528" s="59"/>
      <c r="AS528" s="58" t="str">
        <f t="shared" si="281"/>
        <v/>
      </c>
      <c r="AT528" s="59"/>
      <c r="AU528" s="58" t="str">
        <f t="shared" si="282"/>
        <v/>
      </c>
      <c r="AV528" s="59"/>
      <c r="AW528" s="58" t="str">
        <f t="shared" si="283"/>
        <v/>
      </c>
      <c r="AX528" s="59"/>
      <c r="AY528" s="58" t="str">
        <f t="shared" si="284"/>
        <v/>
      </c>
      <c r="AZ528" s="59"/>
      <c r="BA528" s="58" t="str">
        <f t="shared" si="285"/>
        <v/>
      </c>
      <c r="BB528" s="59"/>
      <c r="BC528" s="58" t="str">
        <f t="shared" si="286"/>
        <v/>
      </c>
      <c r="BD528" s="59"/>
      <c r="BE528" s="58" t="str">
        <f t="shared" si="287"/>
        <v/>
      </c>
      <c r="BF528" s="59"/>
      <c r="BG528" s="58" t="str">
        <f t="shared" si="288"/>
        <v/>
      </c>
      <c r="BH528" s="59"/>
      <c r="BI528" s="58">
        <f t="shared" si="289"/>
        <v>360</v>
      </c>
      <c r="BJ528" s="59"/>
      <c r="BK528" s="58" t="str">
        <f t="shared" si="290"/>
        <v/>
      </c>
      <c r="BL528" s="59"/>
      <c r="BM528" s="58" t="str">
        <f t="shared" si="291"/>
        <v/>
      </c>
      <c r="BN528" s="59"/>
      <c r="BO528" s="58" t="str">
        <f t="shared" si="292"/>
        <v/>
      </c>
      <c r="BP528" s="59"/>
      <c r="BQ528" s="58" t="str">
        <f t="shared" si="293"/>
        <v/>
      </c>
      <c r="BR528" s="59"/>
      <c r="BS528" s="58" t="str">
        <f t="shared" si="294"/>
        <v/>
      </c>
      <c r="BT528" s="59"/>
      <c r="BU528" s="58" t="str">
        <f t="shared" si="295"/>
        <v/>
      </c>
      <c r="BV528" s="59"/>
    </row>
    <row r="529" spans="1:74" ht="14.5">
      <c r="A529" s="51" t="s">
        <v>446</v>
      </c>
      <c r="B529" s="52" t="s">
        <v>569</v>
      </c>
      <c r="C529" s="52" t="s">
        <v>74</v>
      </c>
      <c r="D529" s="41">
        <f t="shared" si="296"/>
        <v>8</v>
      </c>
      <c r="E529" s="52" t="s">
        <v>199</v>
      </c>
      <c r="F529" s="52" t="s">
        <v>577</v>
      </c>
      <c r="G529" s="52" t="s">
        <v>155</v>
      </c>
      <c r="H529" s="52" t="s">
        <v>514</v>
      </c>
      <c r="I529" s="53">
        <v>45708</v>
      </c>
      <c r="J529" s="108">
        <v>840</v>
      </c>
      <c r="K529" s="101"/>
      <c r="L529" s="101"/>
      <c r="M529" s="101">
        <f t="shared" si="297"/>
        <v>840</v>
      </c>
      <c r="N529" s="54">
        <f t="shared" si="298"/>
        <v>840</v>
      </c>
      <c r="O529" s="101" t="s">
        <v>443</v>
      </c>
      <c r="P529" s="102">
        <f t="shared" si="299"/>
        <v>0.48</v>
      </c>
      <c r="Q529" s="102">
        <v>5</v>
      </c>
      <c r="R529" s="99">
        <v>350</v>
      </c>
      <c r="S529" s="55">
        <f t="shared" si="271"/>
        <v>45676</v>
      </c>
      <c r="T529" s="55"/>
      <c r="U529" s="56">
        <f t="shared" ca="1" si="269"/>
        <v>-164</v>
      </c>
      <c r="V529" s="55">
        <f t="shared" si="268"/>
        <v>45692</v>
      </c>
      <c r="W529" s="55"/>
      <c r="X529" s="56">
        <f t="shared" ca="1" si="270"/>
        <v>-148</v>
      </c>
      <c r="Y529" s="55"/>
      <c r="Z529" s="57"/>
      <c r="AA529" s="58" t="str">
        <f t="shared" si="272"/>
        <v>-</v>
      </c>
      <c r="AB529" s="59"/>
      <c r="AC529" s="58" t="str">
        <f t="shared" si="273"/>
        <v/>
      </c>
      <c r="AD529" s="59"/>
      <c r="AE529" s="58" t="str">
        <f t="shared" si="274"/>
        <v/>
      </c>
      <c r="AF529" s="59"/>
      <c r="AG529" s="58" t="str">
        <f t="shared" si="275"/>
        <v/>
      </c>
      <c r="AH529" s="59"/>
      <c r="AI529" s="58" t="str">
        <f t="shared" si="276"/>
        <v/>
      </c>
      <c r="AJ529" s="59"/>
      <c r="AK529" s="58" t="str">
        <f t="shared" si="277"/>
        <v/>
      </c>
      <c r="AL529" s="59"/>
      <c r="AM529" s="58" t="str">
        <f t="shared" si="278"/>
        <v/>
      </c>
      <c r="AN529" s="59"/>
      <c r="AO529" s="58" t="str">
        <f t="shared" si="279"/>
        <v/>
      </c>
      <c r="AP529" s="59"/>
      <c r="AQ529" s="58" t="str">
        <f t="shared" si="280"/>
        <v/>
      </c>
      <c r="AR529" s="59"/>
      <c r="AS529" s="58" t="str">
        <f t="shared" si="281"/>
        <v/>
      </c>
      <c r="AT529" s="59"/>
      <c r="AU529" s="58" t="str">
        <f t="shared" si="282"/>
        <v/>
      </c>
      <c r="AV529" s="59"/>
      <c r="AW529" s="58" t="str">
        <f t="shared" si="283"/>
        <v/>
      </c>
      <c r="AX529" s="59"/>
      <c r="AY529" s="58" t="str">
        <f t="shared" si="284"/>
        <v/>
      </c>
      <c r="AZ529" s="59"/>
      <c r="BA529" s="58" t="str">
        <f t="shared" si="285"/>
        <v/>
      </c>
      <c r="BB529" s="59"/>
      <c r="BC529" s="58" t="str">
        <f t="shared" si="286"/>
        <v/>
      </c>
      <c r="BD529" s="59"/>
      <c r="BE529" s="58" t="str">
        <f t="shared" si="287"/>
        <v/>
      </c>
      <c r="BF529" s="59"/>
      <c r="BG529" s="58" t="str">
        <f t="shared" si="288"/>
        <v/>
      </c>
      <c r="BH529" s="59"/>
      <c r="BI529" s="58">
        <f t="shared" si="289"/>
        <v>840</v>
      </c>
      <c r="BJ529" s="59"/>
      <c r="BK529" s="58" t="str">
        <f t="shared" si="290"/>
        <v/>
      </c>
      <c r="BL529" s="59"/>
      <c r="BM529" s="58" t="str">
        <f t="shared" si="291"/>
        <v/>
      </c>
      <c r="BN529" s="59"/>
      <c r="BO529" s="58" t="str">
        <f t="shared" si="292"/>
        <v/>
      </c>
      <c r="BP529" s="59"/>
      <c r="BQ529" s="58" t="str">
        <f t="shared" si="293"/>
        <v/>
      </c>
      <c r="BR529" s="59"/>
      <c r="BS529" s="58" t="str">
        <f t="shared" si="294"/>
        <v/>
      </c>
      <c r="BT529" s="59"/>
      <c r="BU529" s="58" t="str">
        <f t="shared" si="295"/>
        <v/>
      </c>
      <c r="BV529" s="59"/>
    </row>
    <row r="530" spans="1:74" ht="14.5">
      <c r="A530" s="51" t="s">
        <v>446</v>
      </c>
      <c r="B530" s="52" t="s">
        <v>578</v>
      </c>
      <c r="C530" s="52" t="s">
        <v>74</v>
      </c>
      <c r="D530" s="41">
        <f t="shared" si="296"/>
        <v>8</v>
      </c>
      <c r="E530" s="52" t="s">
        <v>204</v>
      </c>
      <c r="F530" s="52" t="s">
        <v>309</v>
      </c>
      <c r="G530" s="52" t="s">
        <v>162</v>
      </c>
      <c r="H530" s="52" t="s">
        <v>570</v>
      </c>
      <c r="I530" s="53">
        <v>45708</v>
      </c>
      <c r="J530" s="108">
        <v>1530</v>
      </c>
      <c r="K530" s="101"/>
      <c r="L530" s="101"/>
      <c r="M530" s="101">
        <f t="shared" si="297"/>
        <v>1530</v>
      </c>
      <c r="N530" s="54">
        <f t="shared" si="298"/>
        <v>1530</v>
      </c>
      <c r="O530" s="101" t="s">
        <v>443</v>
      </c>
      <c r="P530" s="102">
        <f t="shared" si="299"/>
        <v>3.1875</v>
      </c>
      <c r="Q530" s="102">
        <v>6</v>
      </c>
      <c r="R530" s="99">
        <v>80</v>
      </c>
      <c r="S530" s="55">
        <f t="shared" si="271"/>
        <v>45676</v>
      </c>
      <c r="T530" s="55"/>
      <c r="U530" s="56">
        <f t="shared" ca="1" si="269"/>
        <v>-164</v>
      </c>
      <c r="V530" s="55">
        <f t="shared" si="268"/>
        <v>45692</v>
      </c>
      <c r="W530" s="55"/>
      <c r="X530" s="56">
        <f t="shared" ca="1" si="270"/>
        <v>-148</v>
      </c>
      <c r="Y530" s="55"/>
      <c r="Z530" s="57"/>
      <c r="AA530" s="58" t="str">
        <f t="shared" ref="AA530:AA546" si="300">+IF($AA$4=WEEKNUM(S530),J530,"-")</f>
        <v>-</v>
      </c>
      <c r="AB530" s="59"/>
      <c r="AC530" s="58" t="str">
        <f t="shared" ref="AC530:AC546" si="301">+IF($AC$4=WEEKNUM(S530),J530,"")</f>
        <v/>
      </c>
      <c r="AD530" s="59"/>
      <c r="AE530" s="58" t="str">
        <f t="shared" ref="AE530:AE546" si="302">+IF($AE$4=WEEKNUM(S530),J530,"")</f>
        <v/>
      </c>
      <c r="AF530" s="59"/>
      <c r="AG530" s="58" t="str">
        <f t="shared" ref="AG530:AG546" si="303">+IF($AG$4=WEEKNUM(S530),J530,"")</f>
        <v/>
      </c>
      <c r="AH530" s="59"/>
      <c r="AI530" s="58" t="str">
        <f t="shared" ref="AI530:AI546" si="304">+IF($AI$4=WEEKNUM(S530),J530,"")</f>
        <v/>
      </c>
      <c r="AJ530" s="59"/>
      <c r="AK530" s="58" t="str">
        <f t="shared" ref="AK530:AK546" si="305">+IF($AK$4=WEEKNUM(S530),J530,"")</f>
        <v/>
      </c>
      <c r="AL530" s="59"/>
      <c r="AM530" s="58" t="str">
        <f t="shared" ref="AM530:AM546" si="306">+IF($AM$4=WEEKNUM(S530),J530,"")</f>
        <v/>
      </c>
      <c r="AN530" s="59"/>
      <c r="AO530" s="58" t="str">
        <f t="shared" ref="AO530:AO546" si="307">+IF($AO$4=WEEKNUM(S530),J530,"")</f>
        <v/>
      </c>
      <c r="AP530" s="59"/>
      <c r="AQ530" s="58" t="str">
        <f t="shared" ref="AQ530:AQ546" si="308">+IF($AQ$4=WEEKNUM(S530),J530,"")</f>
        <v/>
      </c>
      <c r="AR530" s="59"/>
      <c r="AS530" s="58" t="str">
        <f t="shared" ref="AS530:AS546" si="309">+IF($AS$4=WEEKNUM(S530),J530,"")</f>
        <v/>
      </c>
      <c r="AT530" s="59"/>
      <c r="AU530" s="58" t="str">
        <f t="shared" ref="AU530:AU546" si="310">+IF($AU$4=WEEKNUM(S530),J530,"")</f>
        <v/>
      </c>
      <c r="AV530" s="59"/>
      <c r="AW530" s="58" t="str">
        <f t="shared" ref="AW530:AW546" si="311">+IF($AW$4=WEEKNUM(S530),J530,"")</f>
        <v/>
      </c>
      <c r="AX530" s="59"/>
      <c r="AY530" s="58" t="str">
        <f t="shared" ref="AY530:AY546" si="312">+IF($AY$4=WEEKNUM(S530),J530,"")</f>
        <v/>
      </c>
      <c r="AZ530" s="59"/>
      <c r="BA530" s="58" t="str">
        <f t="shared" ref="BA530:BA546" si="313">+IF($BA$4=WEEKNUM(S530),J530,"")</f>
        <v/>
      </c>
      <c r="BB530" s="59"/>
      <c r="BC530" s="58" t="str">
        <f t="shared" ref="BC530:BC546" si="314">+IF($BC$4=WEEKNUM(S530),J530,"")</f>
        <v/>
      </c>
      <c r="BD530" s="59"/>
      <c r="BE530" s="58">
        <f t="shared" ref="BE530:BE546" si="315">+IF($BE$4=WEEKNUM(S530),J530,"")</f>
        <v>1530</v>
      </c>
      <c r="BF530" s="59"/>
      <c r="BG530" s="58" t="str">
        <f t="shared" ref="BG530:BG546" si="316">+IF($BG$4=WEEKNUM(S530),J530,"")</f>
        <v/>
      </c>
      <c r="BH530" s="59"/>
      <c r="BI530" s="58" t="str">
        <f t="shared" ref="BI530:BI546" si="317">+IF($BI$4=WEEKNUM(S530),J530,"")</f>
        <v/>
      </c>
      <c r="BJ530" s="59"/>
      <c r="BK530" s="58" t="str">
        <f t="shared" ref="BK530:BK546" si="318">+IF($BK$4=WEEKNUM(S530),J530,"")</f>
        <v/>
      </c>
      <c r="BL530" s="59"/>
      <c r="BM530" s="58" t="str">
        <f t="shared" ref="BM530:BM546" si="319">+IF($BM$4=WEEKNUM(S530),J530,"")</f>
        <v/>
      </c>
      <c r="BN530" s="59"/>
      <c r="BO530" s="58" t="str">
        <f t="shared" ref="BO530:BO546" si="320">+IF($BO$4=WEEKNUM(S530),J530,"")</f>
        <v/>
      </c>
      <c r="BP530" s="59"/>
      <c r="BQ530" s="58" t="str">
        <f t="shared" ref="BQ530:BQ546" si="321">+IF($BQ$4=WEEKNUM(S530),J530,"")</f>
        <v/>
      </c>
      <c r="BR530" s="59"/>
      <c r="BS530" s="58" t="str">
        <f t="shared" ref="BS530:BS546" si="322">+IF($BS$4=WEEKNUM(S530),J530,"")</f>
        <v/>
      </c>
      <c r="BT530" s="59"/>
      <c r="BU530" s="58" t="str">
        <f t="shared" ref="BU530:BU546" si="323">+IF($BU$4=WEEKNUM(S530),J530,"")</f>
        <v/>
      </c>
      <c r="BV530" s="59"/>
    </row>
    <row r="531" spans="1:74" ht="14.5">
      <c r="A531" s="51" t="s">
        <v>446</v>
      </c>
      <c r="B531" s="52" t="s">
        <v>578</v>
      </c>
      <c r="C531" s="52" t="s">
        <v>74</v>
      </c>
      <c r="D531" s="41">
        <f t="shared" si="296"/>
        <v>8</v>
      </c>
      <c r="E531" s="52" t="s">
        <v>415</v>
      </c>
      <c r="F531" s="52" t="s">
        <v>347</v>
      </c>
      <c r="G531" s="52" t="s">
        <v>164</v>
      </c>
      <c r="H531" s="52" t="s">
        <v>572</v>
      </c>
      <c r="I531" s="53">
        <v>45708</v>
      </c>
      <c r="J531" s="108">
        <v>336</v>
      </c>
      <c r="K531" s="101"/>
      <c r="L531" s="101"/>
      <c r="M531" s="101">
        <f t="shared" si="297"/>
        <v>336</v>
      </c>
      <c r="N531" s="54">
        <f t="shared" si="298"/>
        <v>336</v>
      </c>
      <c r="O531" s="101" t="s">
        <v>178</v>
      </c>
      <c r="P531" s="102">
        <f t="shared" si="299"/>
        <v>0.7</v>
      </c>
      <c r="Q531" s="102">
        <v>6</v>
      </c>
      <c r="R531" s="99">
        <v>80</v>
      </c>
      <c r="S531" s="55">
        <f t="shared" si="271"/>
        <v>45676</v>
      </c>
      <c r="T531" s="55"/>
      <c r="U531" s="56">
        <f t="shared" ca="1" si="269"/>
        <v>-164</v>
      </c>
      <c r="V531" s="55">
        <f t="shared" si="268"/>
        <v>45692</v>
      </c>
      <c r="W531" s="55"/>
      <c r="X531" s="56">
        <f t="shared" ca="1" si="270"/>
        <v>-148</v>
      </c>
      <c r="Y531" s="55"/>
      <c r="Z531" s="57"/>
      <c r="AA531" s="58" t="str">
        <f t="shared" si="300"/>
        <v>-</v>
      </c>
      <c r="AB531" s="59"/>
      <c r="AC531" s="58" t="str">
        <f t="shared" si="301"/>
        <v/>
      </c>
      <c r="AD531" s="59"/>
      <c r="AE531" s="58" t="str">
        <f t="shared" si="302"/>
        <v/>
      </c>
      <c r="AF531" s="59"/>
      <c r="AG531" s="58" t="str">
        <f t="shared" si="303"/>
        <v/>
      </c>
      <c r="AH531" s="59"/>
      <c r="AI531" s="58" t="str">
        <f t="shared" si="304"/>
        <v/>
      </c>
      <c r="AJ531" s="59"/>
      <c r="AK531" s="58" t="str">
        <f t="shared" si="305"/>
        <v/>
      </c>
      <c r="AL531" s="59"/>
      <c r="AM531" s="58" t="str">
        <f t="shared" si="306"/>
        <v/>
      </c>
      <c r="AN531" s="59"/>
      <c r="AO531" s="58" t="str">
        <f t="shared" si="307"/>
        <v/>
      </c>
      <c r="AP531" s="59"/>
      <c r="AQ531" s="58" t="str">
        <f t="shared" si="308"/>
        <v/>
      </c>
      <c r="AR531" s="59"/>
      <c r="AS531" s="58" t="str">
        <f t="shared" si="309"/>
        <v/>
      </c>
      <c r="AT531" s="59"/>
      <c r="AU531" s="58" t="str">
        <f t="shared" si="310"/>
        <v/>
      </c>
      <c r="AV531" s="59"/>
      <c r="AW531" s="58" t="str">
        <f t="shared" si="311"/>
        <v/>
      </c>
      <c r="AX531" s="59"/>
      <c r="AY531" s="58" t="str">
        <f t="shared" si="312"/>
        <v/>
      </c>
      <c r="AZ531" s="59"/>
      <c r="BA531" s="58" t="str">
        <f t="shared" si="313"/>
        <v/>
      </c>
      <c r="BB531" s="59"/>
      <c r="BC531" s="58" t="str">
        <f t="shared" si="314"/>
        <v/>
      </c>
      <c r="BD531" s="59"/>
      <c r="BE531" s="58">
        <f t="shared" si="315"/>
        <v>336</v>
      </c>
      <c r="BF531" s="59"/>
      <c r="BG531" s="58" t="str">
        <f t="shared" si="316"/>
        <v/>
      </c>
      <c r="BH531" s="59"/>
      <c r="BI531" s="58" t="str">
        <f t="shared" si="317"/>
        <v/>
      </c>
      <c r="BJ531" s="59"/>
      <c r="BK531" s="58" t="str">
        <f t="shared" si="318"/>
        <v/>
      </c>
      <c r="BL531" s="59"/>
      <c r="BM531" s="58" t="str">
        <f t="shared" si="319"/>
        <v/>
      </c>
      <c r="BN531" s="59"/>
      <c r="BO531" s="58" t="str">
        <f t="shared" si="320"/>
        <v/>
      </c>
      <c r="BP531" s="59"/>
      <c r="BQ531" s="58" t="str">
        <f t="shared" si="321"/>
        <v/>
      </c>
      <c r="BR531" s="59"/>
      <c r="BS531" s="58" t="str">
        <f t="shared" si="322"/>
        <v/>
      </c>
      <c r="BT531" s="59"/>
      <c r="BU531" s="58" t="str">
        <f t="shared" si="323"/>
        <v/>
      </c>
      <c r="BV531" s="59"/>
    </row>
    <row r="532" spans="1:74" ht="14.5">
      <c r="A532" s="51" t="s">
        <v>446</v>
      </c>
      <c r="B532" s="52" t="s">
        <v>578</v>
      </c>
      <c r="C532" s="52" t="s">
        <v>74</v>
      </c>
      <c r="D532" s="41">
        <f t="shared" si="296"/>
        <v>8</v>
      </c>
      <c r="E532" s="52" t="s">
        <v>204</v>
      </c>
      <c r="F532" s="52" t="s">
        <v>308</v>
      </c>
      <c r="G532" s="52" t="s">
        <v>162</v>
      </c>
      <c r="H532" s="52" t="s">
        <v>509</v>
      </c>
      <c r="I532" s="53">
        <v>45708</v>
      </c>
      <c r="J532" s="108">
        <v>1000</v>
      </c>
      <c r="K532" s="101"/>
      <c r="L532" s="101"/>
      <c r="M532" s="101">
        <f t="shared" si="297"/>
        <v>1000</v>
      </c>
      <c r="N532" s="54">
        <f t="shared" si="298"/>
        <v>1000</v>
      </c>
      <c r="O532" s="101" t="s">
        <v>443</v>
      </c>
      <c r="P532" s="102">
        <f t="shared" si="299"/>
        <v>2.0833333333333335</v>
      </c>
      <c r="Q532" s="102">
        <v>6</v>
      </c>
      <c r="R532" s="99">
        <v>80</v>
      </c>
      <c r="S532" s="55">
        <f t="shared" si="271"/>
        <v>45676</v>
      </c>
      <c r="T532" s="55"/>
      <c r="U532" s="56">
        <f t="shared" ca="1" si="269"/>
        <v>-164</v>
      </c>
      <c r="V532" s="55">
        <f t="shared" si="268"/>
        <v>45692</v>
      </c>
      <c r="W532" s="55"/>
      <c r="X532" s="56">
        <f t="shared" ca="1" si="270"/>
        <v>-148</v>
      </c>
      <c r="Y532" s="55"/>
      <c r="Z532" s="57"/>
      <c r="AA532" s="58" t="str">
        <f t="shared" si="300"/>
        <v>-</v>
      </c>
      <c r="AB532" s="59"/>
      <c r="AC532" s="58" t="str">
        <f t="shared" si="301"/>
        <v/>
      </c>
      <c r="AD532" s="59"/>
      <c r="AE532" s="58" t="str">
        <f t="shared" si="302"/>
        <v/>
      </c>
      <c r="AF532" s="59"/>
      <c r="AG532" s="58" t="str">
        <f t="shared" si="303"/>
        <v/>
      </c>
      <c r="AH532" s="59"/>
      <c r="AI532" s="58" t="str">
        <f t="shared" si="304"/>
        <v/>
      </c>
      <c r="AJ532" s="59"/>
      <c r="AK532" s="58" t="str">
        <f t="shared" si="305"/>
        <v/>
      </c>
      <c r="AL532" s="59"/>
      <c r="AM532" s="58" t="str">
        <f t="shared" si="306"/>
        <v/>
      </c>
      <c r="AN532" s="59"/>
      <c r="AO532" s="58" t="str">
        <f t="shared" si="307"/>
        <v/>
      </c>
      <c r="AP532" s="59"/>
      <c r="AQ532" s="58" t="str">
        <f t="shared" si="308"/>
        <v/>
      </c>
      <c r="AR532" s="59"/>
      <c r="AS532" s="58" t="str">
        <f t="shared" si="309"/>
        <v/>
      </c>
      <c r="AT532" s="59"/>
      <c r="AU532" s="58" t="str">
        <f t="shared" si="310"/>
        <v/>
      </c>
      <c r="AV532" s="59"/>
      <c r="AW532" s="58" t="str">
        <f t="shared" si="311"/>
        <v/>
      </c>
      <c r="AX532" s="59"/>
      <c r="AY532" s="58" t="str">
        <f t="shared" si="312"/>
        <v/>
      </c>
      <c r="AZ532" s="59"/>
      <c r="BA532" s="58" t="str">
        <f t="shared" si="313"/>
        <v/>
      </c>
      <c r="BB532" s="59"/>
      <c r="BC532" s="58" t="str">
        <f t="shared" si="314"/>
        <v/>
      </c>
      <c r="BD532" s="59"/>
      <c r="BE532" s="58">
        <f t="shared" si="315"/>
        <v>1000</v>
      </c>
      <c r="BF532" s="59"/>
      <c r="BG532" s="58" t="str">
        <f t="shared" si="316"/>
        <v/>
      </c>
      <c r="BH532" s="59"/>
      <c r="BI532" s="58" t="str">
        <f t="shared" si="317"/>
        <v/>
      </c>
      <c r="BJ532" s="59"/>
      <c r="BK532" s="58" t="str">
        <f t="shared" si="318"/>
        <v/>
      </c>
      <c r="BL532" s="59"/>
      <c r="BM532" s="58" t="str">
        <f t="shared" si="319"/>
        <v/>
      </c>
      <c r="BN532" s="59"/>
      <c r="BO532" s="58" t="str">
        <f t="shared" si="320"/>
        <v/>
      </c>
      <c r="BP532" s="59"/>
      <c r="BQ532" s="58" t="str">
        <f t="shared" si="321"/>
        <v/>
      </c>
      <c r="BR532" s="59"/>
      <c r="BS532" s="58" t="str">
        <f t="shared" si="322"/>
        <v/>
      </c>
      <c r="BT532" s="59"/>
      <c r="BU532" s="58" t="str">
        <f t="shared" si="323"/>
        <v/>
      </c>
      <c r="BV532" s="59"/>
    </row>
    <row r="533" spans="1:74" ht="14.5">
      <c r="A533" s="51" t="s">
        <v>446</v>
      </c>
      <c r="B533" s="52" t="s">
        <v>578</v>
      </c>
      <c r="C533" s="52" t="s">
        <v>74</v>
      </c>
      <c r="D533" s="41">
        <f t="shared" si="296"/>
        <v>8</v>
      </c>
      <c r="E533" s="52" t="s">
        <v>204</v>
      </c>
      <c r="F533" s="52" t="s">
        <v>347</v>
      </c>
      <c r="G533" s="52" t="s">
        <v>162</v>
      </c>
      <c r="H533" s="52" t="s">
        <v>572</v>
      </c>
      <c r="I533" s="53">
        <v>45708</v>
      </c>
      <c r="J533" s="108">
        <v>408</v>
      </c>
      <c r="K533" s="101"/>
      <c r="L533" s="101"/>
      <c r="M533" s="101">
        <f t="shared" si="297"/>
        <v>408</v>
      </c>
      <c r="N533" s="54">
        <f t="shared" si="298"/>
        <v>408</v>
      </c>
      <c r="O533" s="101" t="s">
        <v>178</v>
      </c>
      <c r="P533" s="102">
        <f t="shared" si="299"/>
        <v>0.85</v>
      </c>
      <c r="Q533" s="102">
        <v>6</v>
      </c>
      <c r="R533" s="99">
        <v>80</v>
      </c>
      <c r="S533" s="55">
        <f t="shared" si="271"/>
        <v>45676</v>
      </c>
      <c r="T533" s="55"/>
      <c r="U533" s="56">
        <f t="shared" ca="1" si="269"/>
        <v>-164</v>
      </c>
      <c r="V533" s="55">
        <f t="shared" si="268"/>
        <v>45692</v>
      </c>
      <c r="W533" s="55"/>
      <c r="X533" s="56">
        <f t="shared" ca="1" si="270"/>
        <v>-148</v>
      </c>
      <c r="Y533" s="55"/>
      <c r="Z533" s="57"/>
      <c r="AA533" s="58" t="str">
        <f t="shared" si="300"/>
        <v>-</v>
      </c>
      <c r="AB533" s="59"/>
      <c r="AC533" s="58" t="str">
        <f t="shared" si="301"/>
        <v/>
      </c>
      <c r="AD533" s="59"/>
      <c r="AE533" s="58" t="str">
        <f t="shared" si="302"/>
        <v/>
      </c>
      <c r="AF533" s="59"/>
      <c r="AG533" s="58" t="str">
        <f t="shared" si="303"/>
        <v/>
      </c>
      <c r="AH533" s="59"/>
      <c r="AI533" s="58" t="str">
        <f t="shared" si="304"/>
        <v/>
      </c>
      <c r="AJ533" s="59"/>
      <c r="AK533" s="58" t="str">
        <f t="shared" si="305"/>
        <v/>
      </c>
      <c r="AL533" s="59"/>
      <c r="AM533" s="58" t="str">
        <f t="shared" si="306"/>
        <v/>
      </c>
      <c r="AN533" s="59"/>
      <c r="AO533" s="58" t="str">
        <f t="shared" si="307"/>
        <v/>
      </c>
      <c r="AP533" s="59"/>
      <c r="AQ533" s="58" t="str">
        <f t="shared" si="308"/>
        <v/>
      </c>
      <c r="AR533" s="59"/>
      <c r="AS533" s="58" t="str">
        <f t="shared" si="309"/>
        <v/>
      </c>
      <c r="AT533" s="59"/>
      <c r="AU533" s="58" t="str">
        <f t="shared" si="310"/>
        <v/>
      </c>
      <c r="AV533" s="59"/>
      <c r="AW533" s="58" t="str">
        <f t="shared" si="311"/>
        <v/>
      </c>
      <c r="AX533" s="59"/>
      <c r="AY533" s="58" t="str">
        <f t="shared" si="312"/>
        <v/>
      </c>
      <c r="AZ533" s="59"/>
      <c r="BA533" s="58" t="str">
        <f t="shared" si="313"/>
        <v/>
      </c>
      <c r="BB533" s="59"/>
      <c r="BC533" s="58" t="str">
        <f t="shared" si="314"/>
        <v/>
      </c>
      <c r="BD533" s="59"/>
      <c r="BE533" s="58">
        <f t="shared" si="315"/>
        <v>408</v>
      </c>
      <c r="BF533" s="59"/>
      <c r="BG533" s="58" t="str">
        <f t="shared" si="316"/>
        <v/>
      </c>
      <c r="BH533" s="59"/>
      <c r="BI533" s="58" t="str">
        <f t="shared" si="317"/>
        <v/>
      </c>
      <c r="BJ533" s="59"/>
      <c r="BK533" s="58" t="str">
        <f t="shared" si="318"/>
        <v/>
      </c>
      <c r="BL533" s="59"/>
      <c r="BM533" s="58" t="str">
        <f t="shared" si="319"/>
        <v/>
      </c>
      <c r="BN533" s="59"/>
      <c r="BO533" s="58" t="str">
        <f t="shared" si="320"/>
        <v/>
      </c>
      <c r="BP533" s="59"/>
      <c r="BQ533" s="58" t="str">
        <f t="shared" si="321"/>
        <v/>
      </c>
      <c r="BR533" s="59"/>
      <c r="BS533" s="58" t="str">
        <f t="shared" si="322"/>
        <v/>
      </c>
      <c r="BT533" s="59"/>
      <c r="BU533" s="58" t="str">
        <f t="shared" si="323"/>
        <v/>
      </c>
      <c r="BV533" s="59"/>
    </row>
    <row r="534" spans="1:74" ht="14.5">
      <c r="A534" s="51" t="s">
        <v>446</v>
      </c>
      <c r="B534" s="52" t="s">
        <v>578</v>
      </c>
      <c r="C534" s="52" t="s">
        <v>74</v>
      </c>
      <c r="D534" s="41">
        <f t="shared" si="296"/>
        <v>8</v>
      </c>
      <c r="E534" s="52" t="s">
        <v>199</v>
      </c>
      <c r="F534" s="52" t="s">
        <v>309</v>
      </c>
      <c r="G534" s="52" t="s">
        <v>155</v>
      </c>
      <c r="H534" s="52" t="s">
        <v>570</v>
      </c>
      <c r="I534" s="53">
        <v>45708</v>
      </c>
      <c r="J534" s="108">
        <v>816</v>
      </c>
      <c r="K534" s="101"/>
      <c r="L534" s="101"/>
      <c r="M534" s="101">
        <f t="shared" si="297"/>
        <v>816</v>
      </c>
      <c r="N534" s="54">
        <f t="shared" si="298"/>
        <v>816</v>
      </c>
      <c r="O534" s="101" t="s">
        <v>443</v>
      </c>
      <c r="P534" s="102">
        <f t="shared" si="299"/>
        <v>1.7</v>
      </c>
      <c r="Q534" s="102">
        <v>6</v>
      </c>
      <c r="R534" s="99">
        <v>80</v>
      </c>
      <c r="S534" s="55">
        <f t="shared" si="271"/>
        <v>45676</v>
      </c>
      <c r="T534" s="55"/>
      <c r="U534" s="56">
        <f t="shared" ca="1" si="269"/>
        <v>-164</v>
      </c>
      <c r="V534" s="55">
        <f t="shared" si="268"/>
        <v>45692</v>
      </c>
      <c r="W534" s="55"/>
      <c r="X534" s="56">
        <f t="shared" ca="1" si="270"/>
        <v>-148</v>
      </c>
      <c r="Y534" s="55"/>
      <c r="Z534" s="57"/>
      <c r="AA534" s="58" t="str">
        <f t="shared" si="300"/>
        <v>-</v>
      </c>
      <c r="AB534" s="59"/>
      <c r="AC534" s="58" t="str">
        <f t="shared" si="301"/>
        <v/>
      </c>
      <c r="AD534" s="59"/>
      <c r="AE534" s="58" t="str">
        <f t="shared" si="302"/>
        <v/>
      </c>
      <c r="AF534" s="59"/>
      <c r="AG534" s="58" t="str">
        <f t="shared" si="303"/>
        <v/>
      </c>
      <c r="AH534" s="59"/>
      <c r="AI534" s="58" t="str">
        <f t="shared" si="304"/>
        <v/>
      </c>
      <c r="AJ534" s="59"/>
      <c r="AK534" s="58" t="str">
        <f t="shared" si="305"/>
        <v/>
      </c>
      <c r="AL534" s="59"/>
      <c r="AM534" s="58" t="str">
        <f t="shared" si="306"/>
        <v/>
      </c>
      <c r="AN534" s="59"/>
      <c r="AO534" s="58" t="str">
        <f t="shared" si="307"/>
        <v/>
      </c>
      <c r="AP534" s="59"/>
      <c r="AQ534" s="58" t="str">
        <f t="shared" si="308"/>
        <v/>
      </c>
      <c r="AR534" s="59"/>
      <c r="AS534" s="58" t="str">
        <f t="shared" si="309"/>
        <v/>
      </c>
      <c r="AT534" s="59"/>
      <c r="AU534" s="58" t="str">
        <f t="shared" si="310"/>
        <v/>
      </c>
      <c r="AV534" s="59"/>
      <c r="AW534" s="58" t="str">
        <f t="shared" si="311"/>
        <v/>
      </c>
      <c r="AX534" s="59"/>
      <c r="AY534" s="58" t="str">
        <f t="shared" si="312"/>
        <v/>
      </c>
      <c r="AZ534" s="59"/>
      <c r="BA534" s="58" t="str">
        <f t="shared" si="313"/>
        <v/>
      </c>
      <c r="BB534" s="59"/>
      <c r="BC534" s="58" t="str">
        <f t="shared" si="314"/>
        <v/>
      </c>
      <c r="BD534" s="59"/>
      <c r="BE534" s="58">
        <f t="shared" si="315"/>
        <v>816</v>
      </c>
      <c r="BF534" s="59"/>
      <c r="BG534" s="58" t="str">
        <f t="shared" si="316"/>
        <v/>
      </c>
      <c r="BH534" s="59"/>
      <c r="BI534" s="58" t="str">
        <f t="shared" si="317"/>
        <v/>
      </c>
      <c r="BJ534" s="59"/>
      <c r="BK534" s="58" t="str">
        <f t="shared" si="318"/>
        <v/>
      </c>
      <c r="BL534" s="59"/>
      <c r="BM534" s="58" t="str">
        <f t="shared" si="319"/>
        <v/>
      </c>
      <c r="BN534" s="59"/>
      <c r="BO534" s="58" t="str">
        <f t="shared" si="320"/>
        <v/>
      </c>
      <c r="BP534" s="59"/>
      <c r="BQ534" s="58" t="str">
        <f t="shared" si="321"/>
        <v/>
      </c>
      <c r="BR534" s="59"/>
      <c r="BS534" s="58" t="str">
        <f t="shared" si="322"/>
        <v/>
      </c>
      <c r="BT534" s="59"/>
      <c r="BU534" s="58" t="str">
        <f t="shared" si="323"/>
        <v/>
      </c>
      <c r="BV534" s="59"/>
    </row>
    <row r="535" spans="1:74" ht="14.5">
      <c r="A535" s="51" t="s">
        <v>446</v>
      </c>
      <c r="B535" s="52" t="s">
        <v>578</v>
      </c>
      <c r="C535" s="52" t="s">
        <v>74</v>
      </c>
      <c r="D535" s="41">
        <f t="shared" si="296"/>
        <v>8</v>
      </c>
      <c r="E535" s="52" t="s">
        <v>207</v>
      </c>
      <c r="F535" s="52" t="s">
        <v>309</v>
      </c>
      <c r="G535" s="52" t="s">
        <v>155</v>
      </c>
      <c r="H535" s="52" t="s">
        <v>570</v>
      </c>
      <c r="I535" s="53">
        <v>45708</v>
      </c>
      <c r="J535" s="108">
        <v>330</v>
      </c>
      <c r="K535" s="101"/>
      <c r="L535" s="101"/>
      <c r="M535" s="101">
        <f t="shared" si="297"/>
        <v>330</v>
      </c>
      <c r="N535" s="54">
        <f t="shared" si="298"/>
        <v>330</v>
      </c>
      <c r="O535" s="101" t="s">
        <v>443</v>
      </c>
      <c r="P535" s="102">
        <f t="shared" si="299"/>
        <v>0.6875</v>
      </c>
      <c r="Q535" s="102">
        <v>6</v>
      </c>
      <c r="R535" s="99">
        <v>80</v>
      </c>
      <c r="S535" s="55">
        <f t="shared" si="271"/>
        <v>45676</v>
      </c>
      <c r="T535" s="55"/>
      <c r="U535" s="56">
        <f t="shared" ca="1" si="269"/>
        <v>-164</v>
      </c>
      <c r="V535" s="55">
        <f t="shared" si="268"/>
        <v>45692</v>
      </c>
      <c r="W535" s="55"/>
      <c r="X535" s="56">
        <f t="shared" ca="1" si="270"/>
        <v>-148</v>
      </c>
      <c r="Y535" s="55"/>
      <c r="Z535" s="57"/>
      <c r="AA535" s="58" t="str">
        <f t="shared" si="300"/>
        <v>-</v>
      </c>
      <c r="AB535" s="59"/>
      <c r="AC535" s="58" t="str">
        <f t="shared" si="301"/>
        <v/>
      </c>
      <c r="AD535" s="59"/>
      <c r="AE535" s="58" t="str">
        <f t="shared" si="302"/>
        <v/>
      </c>
      <c r="AF535" s="59"/>
      <c r="AG535" s="58" t="str">
        <f t="shared" si="303"/>
        <v/>
      </c>
      <c r="AH535" s="59"/>
      <c r="AI535" s="58" t="str">
        <f t="shared" si="304"/>
        <v/>
      </c>
      <c r="AJ535" s="59"/>
      <c r="AK535" s="58" t="str">
        <f t="shared" si="305"/>
        <v/>
      </c>
      <c r="AL535" s="59"/>
      <c r="AM535" s="58" t="str">
        <f t="shared" si="306"/>
        <v/>
      </c>
      <c r="AN535" s="59"/>
      <c r="AO535" s="58" t="str">
        <f t="shared" si="307"/>
        <v/>
      </c>
      <c r="AP535" s="59"/>
      <c r="AQ535" s="58" t="str">
        <f t="shared" si="308"/>
        <v/>
      </c>
      <c r="AR535" s="59"/>
      <c r="AS535" s="58" t="str">
        <f t="shared" si="309"/>
        <v/>
      </c>
      <c r="AT535" s="59"/>
      <c r="AU535" s="58" t="str">
        <f t="shared" si="310"/>
        <v/>
      </c>
      <c r="AV535" s="59"/>
      <c r="AW535" s="58" t="str">
        <f t="shared" si="311"/>
        <v/>
      </c>
      <c r="AX535" s="59"/>
      <c r="AY535" s="58" t="str">
        <f t="shared" si="312"/>
        <v/>
      </c>
      <c r="AZ535" s="59"/>
      <c r="BA535" s="58" t="str">
        <f t="shared" si="313"/>
        <v/>
      </c>
      <c r="BB535" s="59"/>
      <c r="BC535" s="58" t="str">
        <f t="shared" si="314"/>
        <v/>
      </c>
      <c r="BD535" s="59"/>
      <c r="BE535" s="58">
        <f t="shared" si="315"/>
        <v>330</v>
      </c>
      <c r="BF535" s="59"/>
      <c r="BG535" s="58" t="str">
        <f t="shared" si="316"/>
        <v/>
      </c>
      <c r="BH535" s="59"/>
      <c r="BI535" s="58" t="str">
        <f t="shared" si="317"/>
        <v/>
      </c>
      <c r="BJ535" s="59"/>
      <c r="BK535" s="58" t="str">
        <f t="shared" si="318"/>
        <v/>
      </c>
      <c r="BL535" s="59"/>
      <c r="BM535" s="58" t="str">
        <f t="shared" si="319"/>
        <v/>
      </c>
      <c r="BN535" s="59"/>
      <c r="BO535" s="58" t="str">
        <f t="shared" si="320"/>
        <v/>
      </c>
      <c r="BP535" s="59"/>
      <c r="BQ535" s="58" t="str">
        <f t="shared" si="321"/>
        <v/>
      </c>
      <c r="BR535" s="59"/>
      <c r="BS535" s="58" t="str">
        <f t="shared" si="322"/>
        <v/>
      </c>
      <c r="BT535" s="59"/>
      <c r="BU535" s="58" t="str">
        <f t="shared" si="323"/>
        <v/>
      </c>
      <c r="BV535" s="59"/>
    </row>
    <row r="536" spans="1:74" ht="14.5">
      <c r="A536" s="51" t="s">
        <v>446</v>
      </c>
      <c r="B536" s="52" t="s">
        <v>578</v>
      </c>
      <c r="C536" s="52" t="s">
        <v>74</v>
      </c>
      <c r="D536" s="41">
        <f t="shared" si="296"/>
        <v>8</v>
      </c>
      <c r="E536" s="52" t="s">
        <v>192</v>
      </c>
      <c r="F536" s="52" t="s">
        <v>309</v>
      </c>
      <c r="G536" s="52" t="s">
        <v>574</v>
      </c>
      <c r="H536" s="52" t="s">
        <v>570</v>
      </c>
      <c r="I536" s="53">
        <v>45708</v>
      </c>
      <c r="J536" s="108">
        <v>300</v>
      </c>
      <c r="K536" s="101"/>
      <c r="L536" s="101"/>
      <c r="M536" s="101">
        <f t="shared" si="297"/>
        <v>300</v>
      </c>
      <c r="N536" s="54">
        <f t="shared" si="298"/>
        <v>300</v>
      </c>
      <c r="O536" s="101" t="s">
        <v>443</v>
      </c>
      <c r="P536" s="102">
        <f t="shared" si="299"/>
        <v>0.625</v>
      </c>
      <c r="Q536" s="102">
        <v>6</v>
      </c>
      <c r="R536" s="99">
        <v>80</v>
      </c>
      <c r="S536" s="55">
        <f t="shared" si="271"/>
        <v>45676</v>
      </c>
      <c r="T536" s="55"/>
      <c r="U536" s="56">
        <f t="shared" ca="1" si="269"/>
        <v>-164</v>
      </c>
      <c r="V536" s="55">
        <f t="shared" si="268"/>
        <v>45692</v>
      </c>
      <c r="W536" s="55"/>
      <c r="X536" s="56">
        <f t="shared" ca="1" si="270"/>
        <v>-148</v>
      </c>
      <c r="Y536" s="55"/>
      <c r="Z536" s="57"/>
      <c r="AA536" s="58" t="str">
        <f t="shared" si="300"/>
        <v>-</v>
      </c>
      <c r="AB536" s="59"/>
      <c r="AC536" s="58" t="str">
        <f t="shared" si="301"/>
        <v/>
      </c>
      <c r="AD536" s="59"/>
      <c r="AE536" s="58" t="str">
        <f t="shared" si="302"/>
        <v/>
      </c>
      <c r="AF536" s="59"/>
      <c r="AG536" s="58" t="str">
        <f t="shared" si="303"/>
        <v/>
      </c>
      <c r="AH536" s="59"/>
      <c r="AI536" s="58" t="str">
        <f t="shared" si="304"/>
        <v/>
      </c>
      <c r="AJ536" s="59"/>
      <c r="AK536" s="58" t="str">
        <f t="shared" si="305"/>
        <v/>
      </c>
      <c r="AL536" s="59"/>
      <c r="AM536" s="58" t="str">
        <f t="shared" si="306"/>
        <v/>
      </c>
      <c r="AN536" s="59"/>
      <c r="AO536" s="58" t="str">
        <f t="shared" si="307"/>
        <v/>
      </c>
      <c r="AP536" s="59"/>
      <c r="AQ536" s="58" t="str">
        <f t="shared" si="308"/>
        <v/>
      </c>
      <c r="AR536" s="59"/>
      <c r="AS536" s="58" t="str">
        <f t="shared" si="309"/>
        <v/>
      </c>
      <c r="AT536" s="59"/>
      <c r="AU536" s="58" t="str">
        <f t="shared" si="310"/>
        <v/>
      </c>
      <c r="AV536" s="59"/>
      <c r="AW536" s="58" t="str">
        <f t="shared" si="311"/>
        <v/>
      </c>
      <c r="AX536" s="59"/>
      <c r="AY536" s="58" t="str">
        <f t="shared" si="312"/>
        <v/>
      </c>
      <c r="AZ536" s="59"/>
      <c r="BA536" s="58" t="str">
        <f t="shared" si="313"/>
        <v/>
      </c>
      <c r="BB536" s="59"/>
      <c r="BC536" s="58" t="str">
        <f t="shared" si="314"/>
        <v/>
      </c>
      <c r="BD536" s="59"/>
      <c r="BE536" s="58">
        <f t="shared" si="315"/>
        <v>300</v>
      </c>
      <c r="BF536" s="59"/>
      <c r="BG536" s="58" t="str">
        <f t="shared" si="316"/>
        <v/>
      </c>
      <c r="BH536" s="59"/>
      <c r="BI536" s="58" t="str">
        <f t="shared" si="317"/>
        <v/>
      </c>
      <c r="BJ536" s="59"/>
      <c r="BK536" s="58" t="str">
        <f t="shared" si="318"/>
        <v/>
      </c>
      <c r="BL536" s="59"/>
      <c r="BM536" s="58" t="str">
        <f t="shared" si="319"/>
        <v/>
      </c>
      <c r="BN536" s="59"/>
      <c r="BO536" s="58" t="str">
        <f t="shared" si="320"/>
        <v/>
      </c>
      <c r="BP536" s="59"/>
      <c r="BQ536" s="58" t="str">
        <f t="shared" si="321"/>
        <v/>
      </c>
      <c r="BR536" s="59"/>
      <c r="BS536" s="58" t="str">
        <f t="shared" si="322"/>
        <v/>
      </c>
      <c r="BT536" s="59"/>
      <c r="BU536" s="58" t="str">
        <f t="shared" si="323"/>
        <v/>
      </c>
      <c r="BV536" s="59"/>
    </row>
    <row r="537" spans="1:74" ht="14.5">
      <c r="A537" s="51" t="s">
        <v>446</v>
      </c>
      <c r="B537" s="52" t="s">
        <v>578</v>
      </c>
      <c r="C537" s="52" t="s">
        <v>74</v>
      </c>
      <c r="D537" s="41">
        <f t="shared" si="296"/>
        <v>8</v>
      </c>
      <c r="E537" s="52" t="s">
        <v>204</v>
      </c>
      <c r="F537" s="52" t="s">
        <v>347</v>
      </c>
      <c r="G537" s="52" t="s">
        <v>163</v>
      </c>
      <c r="H537" s="52" t="s">
        <v>572</v>
      </c>
      <c r="I537" s="53">
        <v>45708</v>
      </c>
      <c r="J537" s="108">
        <v>240</v>
      </c>
      <c r="K537" s="101"/>
      <c r="L537" s="101"/>
      <c r="M537" s="101">
        <f t="shared" si="297"/>
        <v>240</v>
      </c>
      <c r="N537" s="54">
        <f t="shared" si="298"/>
        <v>240</v>
      </c>
      <c r="O537" s="101" t="s">
        <v>178</v>
      </c>
      <c r="P537" s="102">
        <f t="shared" si="299"/>
        <v>0.5</v>
      </c>
      <c r="Q537" s="102">
        <v>6</v>
      </c>
      <c r="R537" s="99">
        <v>80</v>
      </c>
      <c r="S537" s="55">
        <f t="shared" si="271"/>
        <v>45676</v>
      </c>
      <c r="T537" s="55"/>
      <c r="U537" s="56">
        <f t="shared" ca="1" si="269"/>
        <v>-164</v>
      </c>
      <c r="V537" s="55">
        <f t="shared" si="268"/>
        <v>45692</v>
      </c>
      <c r="W537" s="55"/>
      <c r="X537" s="56">
        <f t="shared" ca="1" si="270"/>
        <v>-148</v>
      </c>
      <c r="Y537" s="55"/>
      <c r="Z537" s="57"/>
      <c r="AA537" s="58" t="str">
        <f t="shared" si="300"/>
        <v>-</v>
      </c>
      <c r="AB537" s="59"/>
      <c r="AC537" s="58" t="str">
        <f t="shared" si="301"/>
        <v/>
      </c>
      <c r="AD537" s="59"/>
      <c r="AE537" s="58" t="str">
        <f t="shared" si="302"/>
        <v/>
      </c>
      <c r="AF537" s="59"/>
      <c r="AG537" s="58" t="str">
        <f t="shared" si="303"/>
        <v/>
      </c>
      <c r="AH537" s="59"/>
      <c r="AI537" s="58" t="str">
        <f t="shared" si="304"/>
        <v/>
      </c>
      <c r="AJ537" s="59"/>
      <c r="AK537" s="58" t="str">
        <f t="shared" si="305"/>
        <v/>
      </c>
      <c r="AL537" s="59"/>
      <c r="AM537" s="58" t="str">
        <f t="shared" si="306"/>
        <v/>
      </c>
      <c r="AN537" s="59"/>
      <c r="AO537" s="58" t="str">
        <f t="shared" si="307"/>
        <v/>
      </c>
      <c r="AP537" s="59"/>
      <c r="AQ537" s="58" t="str">
        <f t="shared" si="308"/>
        <v/>
      </c>
      <c r="AR537" s="59"/>
      <c r="AS537" s="58" t="str">
        <f t="shared" si="309"/>
        <v/>
      </c>
      <c r="AT537" s="59"/>
      <c r="AU537" s="58" t="str">
        <f t="shared" si="310"/>
        <v/>
      </c>
      <c r="AV537" s="59"/>
      <c r="AW537" s="58" t="str">
        <f t="shared" si="311"/>
        <v/>
      </c>
      <c r="AX537" s="59"/>
      <c r="AY537" s="58" t="str">
        <f t="shared" si="312"/>
        <v/>
      </c>
      <c r="AZ537" s="59"/>
      <c r="BA537" s="58" t="str">
        <f t="shared" si="313"/>
        <v/>
      </c>
      <c r="BB537" s="59"/>
      <c r="BC537" s="58" t="str">
        <f t="shared" si="314"/>
        <v/>
      </c>
      <c r="BD537" s="59"/>
      <c r="BE537" s="58">
        <f t="shared" si="315"/>
        <v>240</v>
      </c>
      <c r="BF537" s="59"/>
      <c r="BG537" s="58" t="str">
        <f t="shared" si="316"/>
        <v/>
      </c>
      <c r="BH537" s="59"/>
      <c r="BI537" s="58" t="str">
        <f t="shared" si="317"/>
        <v/>
      </c>
      <c r="BJ537" s="59"/>
      <c r="BK537" s="58" t="str">
        <f t="shared" si="318"/>
        <v/>
      </c>
      <c r="BL537" s="59"/>
      <c r="BM537" s="58" t="str">
        <f t="shared" si="319"/>
        <v/>
      </c>
      <c r="BN537" s="59"/>
      <c r="BO537" s="58" t="str">
        <f t="shared" si="320"/>
        <v/>
      </c>
      <c r="BP537" s="59"/>
      <c r="BQ537" s="58" t="str">
        <f t="shared" si="321"/>
        <v/>
      </c>
      <c r="BR537" s="59"/>
      <c r="BS537" s="58" t="str">
        <f t="shared" si="322"/>
        <v/>
      </c>
      <c r="BT537" s="59"/>
      <c r="BU537" s="58" t="str">
        <f t="shared" si="323"/>
        <v/>
      </c>
      <c r="BV537" s="59"/>
    </row>
    <row r="538" spans="1:74" ht="14.5">
      <c r="A538" s="51" t="s">
        <v>446</v>
      </c>
      <c r="B538" s="52" t="s">
        <v>578</v>
      </c>
      <c r="C538" s="52" t="s">
        <v>74</v>
      </c>
      <c r="D538" s="41">
        <f t="shared" si="296"/>
        <v>8</v>
      </c>
      <c r="E538" s="52" t="s">
        <v>199</v>
      </c>
      <c r="F538" s="52" t="s">
        <v>575</v>
      </c>
      <c r="G538" s="52" t="s">
        <v>155</v>
      </c>
      <c r="H538" s="52" t="s">
        <v>576</v>
      </c>
      <c r="I538" s="53">
        <v>45708</v>
      </c>
      <c r="J538" s="108">
        <v>200</v>
      </c>
      <c r="K538" s="101"/>
      <c r="L538" s="101"/>
      <c r="M538" s="101">
        <f t="shared" si="297"/>
        <v>200</v>
      </c>
      <c r="N538" s="54">
        <f t="shared" si="298"/>
        <v>200</v>
      </c>
      <c r="O538" s="101" t="s">
        <v>443</v>
      </c>
      <c r="P538" s="102">
        <f t="shared" si="299"/>
        <v>0.41666666666666669</v>
      </c>
      <c r="Q538" s="102">
        <v>6</v>
      </c>
      <c r="R538" s="99">
        <v>80</v>
      </c>
      <c r="S538" s="55">
        <f t="shared" si="271"/>
        <v>45676</v>
      </c>
      <c r="T538" s="55"/>
      <c r="U538" s="56">
        <f t="shared" ca="1" si="269"/>
        <v>-164</v>
      </c>
      <c r="V538" s="55">
        <f t="shared" si="268"/>
        <v>45692</v>
      </c>
      <c r="W538" s="55"/>
      <c r="X538" s="56">
        <f t="shared" ca="1" si="270"/>
        <v>-148</v>
      </c>
      <c r="Y538" s="55"/>
      <c r="Z538" s="57"/>
      <c r="AA538" s="58" t="str">
        <f t="shared" si="300"/>
        <v>-</v>
      </c>
      <c r="AB538" s="59"/>
      <c r="AC538" s="58" t="str">
        <f t="shared" si="301"/>
        <v/>
      </c>
      <c r="AD538" s="59"/>
      <c r="AE538" s="58" t="str">
        <f t="shared" si="302"/>
        <v/>
      </c>
      <c r="AF538" s="59"/>
      <c r="AG538" s="58" t="str">
        <f t="shared" si="303"/>
        <v/>
      </c>
      <c r="AH538" s="59"/>
      <c r="AI538" s="58" t="str">
        <f t="shared" si="304"/>
        <v/>
      </c>
      <c r="AJ538" s="59"/>
      <c r="AK538" s="58" t="str">
        <f t="shared" si="305"/>
        <v/>
      </c>
      <c r="AL538" s="59"/>
      <c r="AM538" s="58" t="str">
        <f t="shared" si="306"/>
        <v/>
      </c>
      <c r="AN538" s="59"/>
      <c r="AO538" s="58" t="str">
        <f t="shared" si="307"/>
        <v/>
      </c>
      <c r="AP538" s="59"/>
      <c r="AQ538" s="58" t="str">
        <f t="shared" si="308"/>
        <v/>
      </c>
      <c r="AR538" s="59"/>
      <c r="AS538" s="58" t="str">
        <f t="shared" si="309"/>
        <v/>
      </c>
      <c r="AT538" s="59"/>
      <c r="AU538" s="58" t="str">
        <f t="shared" si="310"/>
        <v/>
      </c>
      <c r="AV538" s="59"/>
      <c r="AW538" s="58" t="str">
        <f t="shared" si="311"/>
        <v/>
      </c>
      <c r="AX538" s="59"/>
      <c r="AY538" s="58" t="str">
        <f t="shared" si="312"/>
        <v/>
      </c>
      <c r="AZ538" s="59"/>
      <c r="BA538" s="58" t="str">
        <f t="shared" si="313"/>
        <v/>
      </c>
      <c r="BB538" s="59"/>
      <c r="BC538" s="58" t="str">
        <f t="shared" si="314"/>
        <v/>
      </c>
      <c r="BD538" s="59"/>
      <c r="BE538" s="58">
        <f t="shared" si="315"/>
        <v>200</v>
      </c>
      <c r="BF538" s="59"/>
      <c r="BG538" s="58" t="str">
        <f t="shared" si="316"/>
        <v/>
      </c>
      <c r="BH538" s="59"/>
      <c r="BI538" s="58" t="str">
        <f t="shared" si="317"/>
        <v/>
      </c>
      <c r="BJ538" s="59"/>
      <c r="BK538" s="58" t="str">
        <f t="shared" si="318"/>
        <v/>
      </c>
      <c r="BL538" s="59"/>
      <c r="BM538" s="58" t="str">
        <f t="shared" si="319"/>
        <v/>
      </c>
      <c r="BN538" s="59"/>
      <c r="BO538" s="58" t="str">
        <f t="shared" si="320"/>
        <v/>
      </c>
      <c r="BP538" s="59"/>
      <c r="BQ538" s="58" t="str">
        <f t="shared" si="321"/>
        <v/>
      </c>
      <c r="BR538" s="59"/>
      <c r="BS538" s="58" t="str">
        <f t="shared" si="322"/>
        <v/>
      </c>
      <c r="BT538" s="59"/>
      <c r="BU538" s="58" t="str">
        <f t="shared" si="323"/>
        <v/>
      </c>
      <c r="BV538" s="59"/>
    </row>
    <row r="539" spans="1:74" ht="14.5">
      <c r="A539" s="51" t="s">
        <v>446</v>
      </c>
      <c r="B539" s="52" t="s">
        <v>578</v>
      </c>
      <c r="C539" s="52" t="s">
        <v>74</v>
      </c>
      <c r="D539" s="41">
        <f t="shared" si="296"/>
        <v>8</v>
      </c>
      <c r="E539" s="52" t="s">
        <v>204</v>
      </c>
      <c r="F539" s="52" t="s">
        <v>309</v>
      </c>
      <c r="G539" s="52" t="s">
        <v>163</v>
      </c>
      <c r="H539" s="52" t="s">
        <v>570</v>
      </c>
      <c r="I539" s="53">
        <v>45708</v>
      </c>
      <c r="J539" s="108">
        <v>360</v>
      </c>
      <c r="K539" s="101"/>
      <c r="L539" s="101"/>
      <c r="M539" s="101">
        <f t="shared" si="297"/>
        <v>360</v>
      </c>
      <c r="N539" s="54">
        <f t="shared" si="298"/>
        <v>360</v>
      </c>
      <c r="O539" s="101" t="s">
        <v>443</v>
      </c>
      <c r="P539" s="102">
        <f t="shared" si="299"/>
        <v>0.75</v>
      </c>
      <c r="Q539" s="102">
        <v>6</v>
      </c>
      <c r="R539" s="99">
        <v>80</v>
      </c>
      <c r="S539" s="55">
        <f t="shared" si="271"/>
        <v>45676</v>
      </c>
      <c r="T539" s="55"/>
      <c r="U539" s="56">
        <f t="shared" ca="1" si="269"/>
        <v>-164</v>
      </c>
      <c r="V539" s="55">
        <f t="shared" si="268"/>
        <v>45692</v>
      </c>
      <c r="W539" s="55"/>
      <c r="X539" s="56">
        <f t="shared" ca="1" si="270"/>
        <v>-148</v>
      </c>
      <c r="Y539" s="55"/>
      <c r="Z539" s="57"/>
      <c r="AA539" s="58" t="str">
        <f t="shared" si="300"/>
        <v>-</v>
      </c>
      <c r="AB539" s="59"/>
      <c r="AC539" s="58" t="str">
        <f t="shared" si="301"/>
        <v/>
      </c>
      <c r="AD539" s="59"/>
      <c r="AE539" s="58" t="str">
        <f t="shared" si="302"/>
        <v/>
      </c>
      <c r="AF539" s="59"/>
      <c r="AG539" s="58" t="str">
        <f t="shared" si="303"/>
        <v/>
      </c>
      <c r="AH539" s="59"/>
      <c r="AI539" s="58" t="str">
        <f t="shared" si="304"/>
        <v/>
      </c>
      <c r="AJ539" s="59"/>
      <c r="AK539" s="58" t="str">
        <f t="shared" si="305"/>
        <v/>
      </c>
      <c r="AL539" s="59"/>
      <c r="AM539" s="58" t="str">
        <f t="shared" si="306"/>
        <v/>
      </c>
      <c r="AN539" s="59"/>
      <c r="AO539" s="58" t="str">
        <f t="shared" si="307"/>
        <v/>
      </c>
      <c r="AP539" s="59"/>
      <c r="AQ539" s="58" t="str">
        <f t="shared" si="308"/>
        <v/>
      </c>
      <c r="AR539" s="59"/>
      <c r="AS539" s="58" t="str">
        <f t="shared" si="309"/>
        <v/>
      </c>
      <c r="AT539" s="59"/>
      <c r="AU539" s="58" t="str">
        <f t="shared" si="310"/>
        <v/>
      </c>
      <c r="AV539" s="59"/>
      <c r="AW539" s="58" t="str">
        <f t="shared" si="311"/>
        <v/>
      </c>
      <c r="AX539" s="59"/>
      <c r="AY539" s="58" t="str">
        <f t="shared" si="312"/>
        <v/>
      </c>
      <c r="AZ539" s="59"/>
      <c r="BA539" s="58" t="str">
        <f t="shared" si="313"/>
        <v/>
      </c>
      <c r="BB539" s="59"/>
      <c r="BC539" s="58" t="str">
        <f t="shared" si="314"/>
        <v/>
      </c>
      <c r="BD539" s="59"/>
      <c r="BE539" s="58">
        <f t="shared" si="315"/>
        <v>360</v>
      </c>
      <c r="BF539" s="59"/>
      <c r="BG539" s="58" t="str">
        <f t="shared" si="316"/>
        <v/>
      </c>
      <c r="BH539" s="59"/>
      <c r="BI539" s="58" t="str">
        <f t="shared" si="317"/>
        <v/>
      </c>
      <c r="BJ539" s="59"/>
      <c r="BK539" s="58" t="str">
        <f t="shared" si="318"/>
        <v/>
      </c>
      <c r="BL539" s="59"/>
      <c r="BM539" s="58" t="str">
        <f t="shared" si="319"/>
        <v/>
      </c>
      <c r="BN539" s="59"/>
      <c r="BO539" s="58" t="str">
        <f t="shared" si="320"/>
        <v/>
      </c>
      <c r="BP539" s="59"/>
      <c r="BQ539" s="58" t="str">
        <f t="shared" si="321"/>
        <v/>
      </c>
      <c r="BR539" s="59"/>
      <c r="BS539" s="58" t="str">
        <f t="shared" si="322"/>
        <v/>
      </c>
      <c r="BT539" s="59"/>
      <c r="BU539" s="58" t="str">
        <f t="shared" si="323"/>
        <v/>
      </c>
      <c r="BV539" s="59"/>
    </row>
    <row r="540" spans="1:74" ht="14.5">
      <c r="A540" s="51" t="s">
        <v>446</v>
      </c>
      <c r="B540" s="52" t="s">
        <v>578</v>
      </c>
      <c r="C540" s="52" t="s">
        <v>74</v>
      </c>
      <c r="D540" s="41">
        <f t="shared" si="296"/>
        <v>8</v>
      </c>
      <c r="E540" s="52" t="s">
        <v>199</v>
      </c>
      <c r="F540" s="52" t="s">
        <v>308</v>
      </c>
      <c r="G540" s="52" t="s">
        <v>155</v>
      </c>
      <c r="H540" s="52" t="s">
        <v>570</v>
      </c>
      <c r="I540" s="53">
        <v>45708</v>
      </c>
      <c r="J540" s="108">
        <v>480</v>
      </c>
      <c r="K540" s="101"/>
      <c r="L540" s="101"/>
      <c r="M540" s="101">
        <f t="shared" si="297"/>
        <v>480</v>
      </c>
      <c r="N540" s="54">
        <f t="shared" si="298"/>
        <v>480</v>
      </c>
      <c r="O540" s="101" t="s">
        <v>443</v>
      </c>
      <c r="P540" s="102">
        <f t="shared" si="299"/>
        <v>1</v>
      </c>
      <c r="Q540" s="102">
        <v>6</v>
      </c>
      <c r="R540" s="99">
        <v>80</v>
      </c>
      <c r="S540" s="55">
        <f t="shared" si="271"/>
        <v>45676</v>
      </c>
      <c r="T540" s="55"/>
      <c r="U540" s="56">
        <f t="shared" ca="1" si="269"/>
        <v>-164</v>
      </c>
      <c r="V540" s="55">
        <f t="shared" si="268"/>
        <v>45692</v>
      </c>
      <c r="W540" s="55"/>
      <c r="X540" s="56">
        <f t="shared" ca="1" si="270"/>
        <v>-148</v>
      </c>
      <c r="Y540" s="55"/>
      <c r="Z540" s="57"/>
      <c r="AA540" s="58" t="str">
        <f t="shared" si="300"/>
        <v>-</v>
      </c>
      <c r="AB540" s="59"/>
      <c r="AC540" s="58" t="str">
        <f t="shared" si="301"/>
        <v/>
      </c>
      <c r="AD540" s="59"/>
      <c r="AE540" s="58" t="str">
        <f t="shared" si="302"/>
        <v/>
      </c>
      <c r="AF540" s="59"/>
      <c r="AG540" s="58" t="str">
        <f t="shared" si="303"/>
        <v/>
      </c>
      <c r="AH540" s="59"/>
      <c r="AI540" s="58" t="str">
        <f t="shared" si="304"/>
        <v/>
      </c>
      <c r="AJ540" s="59"/>
      <c r="AK540" s="58" t="str">
        <f t="shared" si="305"/>
        <v/>
      </c>
      <c r="AL540" s="59"/>
      <c r="AM540" s="58" t="str">
        <f t="shared" si="306"/>
        <v/>
      </c>
      <c r="AN540" s="59"/>
      <c r="AO540" s="58" t="str">
        <f t="shared" si="307"/>
        <v/>
      </c>
      <c r="AP540" s="59"/>
      <c r="AQ540" s="58" t="str">
        <f t="shared" si="308"/>
        <v/>
      </c>
      <c r="AR540" s="59"/>
      <c r="AS540" s="58" t="str">
        <f t="shared" si="309"/>
        <v/>
      </c>
      <c r="AT540" s="59"/>
      <c r="AU540" s="58" t="str">
        <f t="shared" si="310"/>
        <v/>
      </c>
      <c r="AV540" s="59"/>
      <c r="AW540" s="58" t="str">
        <f t="shared" si="311"/>
        <v/>
      </c>
      <c r="AX540" s="59"/>
      <c r="AY540" s="58" t="str">
        <f t="shared" si="312"/>
        <v/>
      </c>
      <c r="AZ540" s="59"/>
      <c r="BA540" s="58" t="str">
        <f t="shared" si="313"/>
        <v/>
      </c>
      <c r="BB540" s="59"/>
      <c r="BC540" s="58" t="str">
        <f t="shared" si="314"/>
        <v/>
      </c>
      <c r="BD540" s="59"/>
      <c r="BE540" s="58">
        <f t="shared" si="315"/>
        <v>480</v>
      </c>
      <c r="BF540" s="59"/>
      <c r="BG540" s="58" t="str">
        <f t="shared" si="316"/>
        <v/>
      </c>
      <c r="BH540" s="59"/>
      <c r="BI540" s="58" t="str">
        <f t="shared" si="317"/>
        <v/>
      </c>
      <c r="BJ540" s="59"/>
      <c r="BK540" s="58" t="str">
        <f t="shared" si="318"/>
        <v/>
      </c>
      <c r="BL540" s="59"/>
      <c r="BM540" s="58" t="str">
        <f t="shared" si="319"/>
        <v/>
      </c>
      <c r="BN540" s="59"/>
      <c r="BO540" s="58" t="str">
        <f t="shared" si="320"/>
        <v/>
      </c>
      <c r="BP540" s="59"/>
      <c r="BQ540" s="58" t="str">
        <f t="shared" si="321"/>
        <v/>
      </c>
      <c r="BR540" s="59"/>
      <c r="BS540" s="58" t="str">
        <f t="shared" si="322"/>
        <v/>
      </c>
      <c r="BT540" s="59"/>
      <c r="BU540" s="58" t="str">
        <f t="shared" si="323"/>
        <v/>
      </c>
      <c r="BV540" s="59"/>
    </row>
    <row r="541" spans="1:74" ht="14.5">
      <c r="A541" s="51" t="s">
        <v>446</v>
      </c>
      <c r="B541" s="52" t="s">
        <v>578</v>
      </c>
      <c r="C541" s="52" t="s">
        <v>74</v>
      </c>
      <c r="D541" s="41">
        <f t="shared" si="296"/>
        <v>8</v>
      </c>
      <c r="E541" s="52" t="s">
        <v>207</v>
      </c>
      <c r="F541" s="52" t="s">
        <v>308</v>
      </c>
      <c r="G541" s="52" t="s">
        <v>162</v>
      </c>
      <c r="H541" s="52" t="s">
        <v>570</v>
      </c>
      <c r="I541" s="53">
        <v>45708</v>
      </c>
      <c r="J541" s="108">
        <v>420</v>
      </c>
      <c r="K541" s="101"/>
      <c r="L541" s="101"/>
      <c r="M541" s="101">
        <f t="shared" si="297"/>
        <v>420</v>
      </c>
      <c r="N541" s="54">
        <f t="shared" si="298"/>
        <v>420</v>
      </c>
      <c r="O541" s="101" t="s">
        <v>443</v>
      </c>
      <c r="P541" s="102">
        <f t="shared" si="299"/>
        <v>0.875</v>
      </c>
      <c r="Q541" s="102">
        <v>6</v>
      </c>
      <c r="R541" s="99">
        <v>80</v>
      </c>
      <c r="S541" s="55">
        <f t="shared" si="271"/>
        <v>45676</v>
      </c>
      <c r="T541" s="55"/>
      <c r="U541" s="56">
        <f t="shared" ca="1" si="269"/>
        <v>-164</v>
      </c>
      <c r="V541" s="55">
        <f t="shared" si="268"/>
        <v>45692</v>
      </c>
      <c r="W541" s="55"/>
      <c r="X541" s="56">
        <f t="shared" ca="1" si="270"/>
        <v>-148</v>
      </c>
      <c r="Y541" s="55"/>
      <c r="Z541" s="57"/>
      <c r="AA541" s="58" t="str">
        <f t="shared" si="300"/>
        <v>-</v>
      </c>
      <c r="AB541" s="59"/>
      <c r="AC541" s="58" t="str">
        <f t="shared" si="301"/>
        <v/>
      </c>
      <c r="AD541" s="59"/>
      <c r="AE541" s="58" t="str">
        <f t="shared" si="302"/>
        <v/>
      </c>
      <c r="AF541" s="59"/>
      <c r="AG541" s="58" t="str">
        <f t="shared" si="303"/>
        <v/>
      </c>
      <c r="AH541" s="59"/>
      <c r="AI541" s="58" t="str">
        <f t="shared" si="304"/>
        <v/>
      </c>
      <c r="AJ541" s="59"/>
      <c r="AK541" s="58" t="str">
        <f t="shared" si="305"/>
        <v/>
      </c>
      <c r="AL541" s="59"/>
      <c r="AM541" s="58" t="str">
        <f t="shared" si="306"/>
        <v/>
      </c>
      <c r="AN541" s="59"/>
      <c r="AO541" s="58" t="str">
        <f t="shared" si="307"/>
        <v/>
      </c>
      <c r="AP541" s="59"/>
      <c r="AQ541" s="58" t="str">
        <f t="shared" si="308"/>
        <v/>
      </c>
      <c r="AR541" s="59"/>
      <c r="AS541" s="58" t="str">
        <f t="shared" si="309"/>
        <v/>
      </c>
      <c r="AT541" s="59"/>
      <c r="AU541" s="58" t="str">
        <f t="shared" si="310"/>
        <v/>
      </c>
      <c r="AV541" s="59"/>
      <c r="AW541" s="58" t="str">
        <f t="shared" si="311"/>
        <v/>
      </c>
      <c r="AX541" s="59"/>
      <c r="AY541" s="58" t="str">
        <f t="shared" si="312"/>
        <v/>
      </c>
      <c r="AZ541" s="59"/>
      <c r="BA541" s="58" t="str">
        <f t="shared" si="313"/>
        <v/>
      </c>
      <c r="BB541" s="59"/>
      <c r="BC541" s="58" t="str">
        <f t="shared" si="314"/>
        <v/>
      </c>
      <c r="BD541" s="59"/>
      <c r="BE541" s="58">
        <f t="shared" si="315"/>
        <v>420</v>
      </c>
      <c r="BF541" s="59"/>
      <c r="BG541" s="58" t="str">
        <f t="shared" si="316"/>
        <v/>
      </c>
      <c r="BH541" s="59"/>
      <c r="BI541" s="58" t="str">
        <f t="shared" si="317"/>
        <v/>
      </c>
      <c r="BJ541" s="59"/>
      <c r="BK541" s="58" t="str">
        <f t="shared" si="318"/>
        <v/>
      </c>
      <c r="BL541" s="59"/>
      <c r="BM541" s="58" t="str">
        <f t="shared" si="319"/>
        <v/>
      </c>
      <c r="BN541" s="59"/>
      <c r="BO541" s="58" t="str">
        <f t="shared" si="320"/>
        <v/>
      </c>
      <c r="BP541" s="59"/>
      <c r="BQ541" s="58" t="str">
        <f t="shared" si="321"/>
        <v/>
      </c>
      <c r="BR541" s="59"/>
      <c r="BS541" s="58" t="str">
        <f t="shared" si="322"/>
        <v/>
      </c>
      <c r="BT541" s="59"/>
      <c r="BU541" s="58" t="str">
        <f t="shared" si="323"/>
        <v/>
      </c>
      <c r="BV541" s="59"/>
    </row>
    <row r="542" spans="1:74" ht="14.5">
      <c r="A542" s="51" t="s">
        <v>446</v>
      </c>
      <c r="B542" s="52" t="s">
        <v>578</v>
      </c>
      <c r="C542" s="52" t="s">
        <v>74</v>
      </c>
      <c r="D542" s="41">
        <f t="shared" si="296"/>
        <v>8</v>
      </c>
      <c r="E542" s="52" t="s">
        <v>192</v>
      </c>
      <c r="F542" s="52" t="s">
        <v>347</v>
      </c>
      <c r="G542" s="52" t="s">
        <v>155</v>
      </c>
      <c r="H542" s="52" t="s">
        <v>572</v>
      </c>
      <c r="I542" s="53">
        <v>45708</v>
      </c>
      <c r="J542" s="108">
        <v>168</v>
      </c>
      <c r="K542" s="101"/>
      <c r="L542" s="101"/>
      <c r="M542" s="101">
        <f t="shared" si="297"/>
        <v>168</v>
      </c>
      <c r="N542" s="54">
        <f t="shared" si="298"/>
        <v>168</v>
      </c>
      <c r="O542" s="101" t="s">
        <v>178</v>
      </c>
      <c r="P542" s="102">
        <f t="shared" si="299"/>
        <v>0.35</v>
      </c>
      <c r="Q542" s="102">
        <v>6</v>
      </c>
      <c r="R542" s="99">
        <v>80</v>
      </c>
      <c r="S542" s="55">
        <f t="shared" si="271"/>
        <v>45676</v>
      </c>
      <c r="T542" s="55"/>
      <c r="U542" s="56">
        <f t="shared" ca="1" si="269"/>
        <v>-164</v>
      </c>
      <c r="V542" s="55">
        <f t="shared" si="268"/>
        <v>45692</v>
      </c>
      <c r="W542" s="55"/>
      <c r="X542" s="56">
        <f t="shared" ca="1" si="270"/>
        <v>-148</v>
      </c>
      <c r="Y542" s="55"/>
      <c r="Z542" s="57"/>
      <c r="AA542" s="58" t="str">
        <f t="shared" si="300"/>
        <v>-</v>
      </c>
      <c r="AB542" s="59"/>
      <c r="AC542" s="58" t="str">
        <f t="shared" si="301"/>
        <v/>
      </c>
      <c r="AD542" s="59"/>
      <c r="AE542" s="58" t="str">
        <f t="shared" si="302"/>
        <v/>
      </c>
      <c r="AF542" s="59"/>
      <c r="AG542" s="58" t="str">
        <f t="shared" si="303"/>
        <v/>
      </c>
      <c r="AH542" s="59"/>
      <c r="AI542" s="58" t="str">
        <f t="shared" si="304"/>
        <v/>
      </c>
      <c r="AJ542" s="59"/>
      <c r="AK542" s="58" t="str">
        <f t="shared" si="305"/>
        <v/>
      </c>
      <c r="AL542" s="59"/>
      <c r="AM542" s="58" t="str">
        <f t="shared" si="306"/>
        <v/>
      </c>
      <c r="AN542" s="59"/>
      <c r="AO542" s="58" t="str">
        <f t="shared" si="307"/>
        <v/>
      </c>
      <c r="AP542" s="59"/>
      <c r="AQ542" s="58" t="str">
        <f t="shared" si="308"/>
        <v/>
      </c>
      <c r="AR542" s="59"/>
      <c r="AS542" s="58" t="str">
        <f t="shared" si="309"/>
        <v/>
      </c>
      <c r="AT542" s="59"/>
      <c r="AU542" s="58" t="str">
        <f t="shared" si="310"/>
        <v/>
      </c>
      <c r="AV542" s="59"/>
      <c r="AW542" s="58" t="str">
        <f t="shared" si="311"/>
        <v/>
      </c>
      <c r="AX542" s="59"/>
      <c r="AY542" s="58" t="str">
        <f t="shared" si="312"/>
        <v/>
      </c>
      <c r="AZ542" s="59"/>
      <c r="BA542" s="58" t="str">
        <f t="shared" si="313"/>
        <v/>
      </c>
      <c r="BB542" s="59"/>
      <c r="BC542" s="58" t="str">
        <f t="shared" si="314"/>
        <v/>
      </c>
      <c r="BD542" s="59"/>
      <c r="BE542" s="58">
        <f t="shared" si="315"/>
        <v>168</v>
      </c>
      <c r="BF542" s="59"/>
      <c r="BG542" s="58" t="str">
        <f t="shared" si="316"/>
        <v/>
      </c>
      <c r="BH542" s="59"/>
      <c r="BI542" s="58" t="str">
        <f t="shared" si="317"/>
        <v/>
      </c>
      <c r="BJ542" s="59"/>
      <c r="BK542" s="58" t="str">
        <f t="shared" si="318"/>
        <v/>
      </c>
      <c r="BL542" s="59"/>
      <c r="BM542" s="58" t="str">
        <f t="shared" si="319"/>
        <v/>
      </c>
      <c r="BN542" s="59"/>
      <c r="BO542" s="58" t="str">
        <f t="shared" si="320"/>
        <v/>
      </c>
      <c r="BP542" s="59"/>
      <c r="BQ542" s="58" t="str">
        <f t="shared" si="321"/>
        <v/>
      </c>
      <c r="BR542" s="59"/>
      <c r="BS542" s="58" t="str">
        <f t="shared" si="322"/>
        <v/>
      </c>
      <c r="BT542" s="59"/>
      <c r="BU542" s="58" t="str">
        <f t="shared" si="323"/>
        <v/>
      </c>
      <c r="BV542" s="59"/>
    </row>
    <row r="543" spans="1:74" ht="14.5">
      <c r="A543" s="51" t="s">
        <v>446</v>
      </c>
      <c r="B543" s="52" t="s">
        <v>578</v>
      </c>
      <c r="C543" s="52" t="s">
        <v>74</v>
      </c>
      <c r="D543" s="41">
        <f t="shared" si="296"/>
        <v>8</v>
      </c>
      <c r="E543" s="52" t="s">
        <v>417</v>
      </c>
      <c r="F543" s="52" t="s">
        <v>309</v>
      </c>
      <c r="G543" s="52" t="s">
        <v>164</v>
      </c>
      <c r="H543" s="52" t="s">
        <v>570</v>
      </c>
      <c r="I543" s="53">
        <v>45708</v>
      </c>
      <c r="J543" s="108">
        <v>360</v>
      </c>
      <c r="K543" s="101"/>
      <c r="L543" s="101"/>
      <c r="M543" s="101">
        <f t="shared" si="297"/>
        <v>360</v>
      </c>
      <c r="N543" s="54">
        <f t="shared" si="298"/>
        <v>360</v>
      </c>
      <c r="O543" s="101" t="s">
        <v>443</v>
      </c>
      <c r="P543" s="102">
        <f t="shared" si="299"/>
        <v>0.75</v>
      </c>
      <c r="Q543" s="102">
        <v>6</v>
      </c>
      <c r="R543" s="99">
        <v>80</v>
      </c>
      <c r="S543" s="55">
        <f t="shared" si="271"/>
        <v>45676</v>
      </c>
      <c r="T543" s="55"/>
      <c r="U543" s="56">
        <f t="shared" ca="1" si="269"/>
        <v>-164</v>
      </c>
      <c r="V543" s="55">
        <f t="shared" si="268"/>
        <v>45692</v>
      </c>
      <c r="W543" s="55"/>
      <c r="X543" s="56">
        <f t="shared" ca="1" si="270"/>
        <v>-148</v>
      </c>
      <c r="Y543" s="55"/>
      <c r="Z543" s="57"/>
      <c r="AA543" s="58" t="str">
        <f t="shared" si="300"/>
        <v>-</v>
      </c>
      <c r="AB543" s="59"/>
      <c r="AC543" s="58" t="str">
        <f t="shared" si="301"/>
        <v/>
      </c>
      <c r="AD543" s="59"/>
      <c r="AE543" s="58" t="str">
        <f t="shared" si="302"/>
        <v/>
      </c>
      <c r="AF543" s="59"/>
      <c r="AG543" s="58" t="str">
        <f t="shared" si="303"/>
        <v/>
      </c>
      <c r="AH543" s="59"/>
      <c r="AI543" s="58" t="str">
        <f t="shared" si="304"/>
        <v/>
      </c>
      <c r="AJ543" s="59"/>
      <c r="AK543" s="58" t="str">
        <f t="shared" si="305"/>
        <v/>
      </c>
      <c r="AL543" s="59"/>
      <c r="AM543" s="58" t="str">
        <f t="shared" si="306"/>
        <v/>
      </c>
      <c r="AN543" s="59"/>
      <c r="AO543" s="58" t="str">
        <f t="shared" si="307"/>
        <v/>
      </c>
      <c r="AP543" s="59"/>
      <c r="AQ543" s="58" t="str">
        <f t="shared" si="308"/>
        <v/>
      </c>
      <c r="AR543" s="59"/>
      <c r="AS543" s="58" t="str">
        <f t="shared" si="309"/>
        <v/>
      </c>
      <c r="AT543" s="59"/>
      <c r="AU543" s="58" t="str">
        <f t="shared" si="310"/>
        <v/>
      </c>
      <c r="AV543" s="59"/>
      <c r="AW543" s="58" t="str">
        <f t="shared" si="311"/>
        <v/>
      </c>
      <c r="AX543" s="59"/>
      <c r="AY543" s="58" t="str">
        <f t="shared" si="312"/>
        <v/>
      </c>
      <c r="AZ543" s="59"/>
      <c r="BA543" s="58" t="str">
        <f t="shared" si="313"/>
        <v/>
      </c>
      <c r="BB543" s="59"/>
      <c r="BC543" s="58" t="str">
        <f t="shared" si="314"/>
        <v/>
      </c>
      <c r="BD543" s="59"/>
      <c r="BE543" s="58">
        <f t="shared" si="315"/>
        <v>360</v>
      </c>
      <c r="BF543" s="59"/>
      <c r="BG543" s="58" t="str">
        <f t="shared" si="316"/>
        <v/>
      </c>
      <c r="BH543" s="59"/>
      <c r="BI543" s="58" t="str">
        <f t="shared" si="317"/>
        <v/>
      </c>
      <c r="BJ543" s="59"/>
      <c r="BK543" s="58" t="str">
        <f t="shared" si="318"/>
        <v/>
      </c>
      <c r="BL543" s="59"/>
      <c r="BM543" s="58" t="str">
        <f t="shared" si="319"/>
        <v/>
      </c>
      <c r="BN543" s="59"/>
      <c r="BO543" s="58" t="str">
        <f t="shared" si="320"/>
        <v/>
      </c>
      <c r="BP543" s="59"/>
      <c r="BQ543" s="58" t="str">
        <f t="shared" si="321"/>
        <v/>
      </c>
      <c r="BR543" s="59"/>
      <c r="BS543" s="58" t="str">
        <f t="shared" si="322"/>
        <v/>
      </c>
      <c r="BT543" s="59"/>
      <c r="BU543" s="58" t="str">
        <f t="shared" si="323"/>
        <v/>
      </c>
      <c r="BV543" s="59"/>
    </row>
    <row r="544" spans="1:74" ht="14.5">
      <c r="A544" s="51" t="s">
        <v>446</v>
      </c>
      <c r="B544" s="52" t="s">
        <v>578</v>
      </c>
      <c r="C544" s="52" t="s">
        <v>74</v>
      </c>
      <c r="D544" s="41">
        <f t="shared" si="296"/>
        <v>8</v>
      </c>
      <c r="E544" s="52" t="s">
        <v>416</v>
      </c>
      <c r="F544" s="52" t="s">
        <v>308</v>
      </c>
      <c r="G544" s="52" t="s">
        <v>164</v>
      </c>
      <c r="H544" s="52" t="s">
        <v>570</v>
      </c>
      <c r="I544" s="53">
        <v>45708</v>
      </c>
      <c r="J544" s="108">
        <v>280</v>
      </c>
      <c r="K544" s="101"/>
      <c r="L544" s="101"/>
      <c r="M544" s="101">
        <f t="shared" si="297"/>
        <v>280</v>
      </c>
      <c r="N544" s="54">
        <f t="shared" si="298"/>
        <v>280</v>
      </c>
      <c r="O544" s="101" t="s">
        <v>443</v>
      </c>
      <c r="P544" s="102">
        <f t="shared" si="299"/>
        <v>0.58333333333333337</v>
      </c>
      <c r="Q544" s="102">
        <v>6</v>
      </c>
      <c r="R544" s="99">
        <v>80</v>
      </c>
      <c r="S544" s="55">
        <f t="shared" si="271"/>
        <v>45676</v>
      </c>
      <c r="T544" s="55"/>
      <c r="U544" s="56">
        <f t="shared" ca="1" si="269"/>
        <v>-164</v>
      </c>
      <c r="V544" s="55">
        <f t="shared" si="268"/>
        <v>45692</v>
      </c>
      <c r="W544" s="55"/>
      <c r="X544" s="56">
        <f t="shared" ca="1" si="270"/>
        <v>-148</v>
      </c>
      <c r="Y544" s="55"/>
      <c r="Z544" s="57"/>
      <c r="AA544" s="58" t="str">
        <f t="shared" si="300"/>
        <v>-</v>
      </c>
      <c r="AB544" s="59"/>
      <c r="AC544" s="58" t="str">
        <f t="shared" si="301"/>
        <v/>
      </c>
      <c r="AD544" s="59"/>
      <c r="AE544" s="58" t="str">
        <f t="shared" si="302"/>
        <v/>
      </c>
      <c r="AF544" s="59"/>
      <c r="AG544" s="58" t="str">
        <f t="shared" si="303"/>
        <v/>
      </c>
      <c r="AH544" s="59"/>
      <c r="AI544" s="58" t="str">
        <f t="shared" si="304"/>
        <v/>
      </c>
      <c r="AJ544" s="59"/>
      <c r="AK544" s="58" t="str">
        <f t="shared" si="305"/>
        <v/>
      </c>
      <c r="AL544" s="59"/>
      <c r="AM544" s="58" t="str">
        <f t="shared" si="306"/>
        <v/>
      </c>
      <c r="AN544" s="59"/>
      <c r="AO544" s="58" t="str">
        <f t="shared" si="307"/>
        <v/>
      </c>
      <c r="AP544" s="59"/>
      <c r="AQ544" s="58" t="str">
        <f t="shared" si="308"/>
        <v/>
      </c>
      <c r="AR544" s="59"/>
      <c r="AS544" s="58" t="str">
        <f t="shared" si="309"/>
        <v/>
      </c>
      <c r="AT544" s="59"/>
      <c r="AU544" s="58" t="str">
        <f t="shared" si="310"/>
        <v/>
      </c>
      <c r="AV544" s="59"/>
      <c r="AW544" s="58" t="str">
        <f t="shared" si="311"/>
        <v/>
      </c>
      <c r="AX544" s="59"/>
      <c r="AY544" s="58" t="str">
        <f t="shared" si="312"/>
        <v/>
      </c>
      <c r="AZ544" s="59"/>
      <c r="BA544" s="58" t="str">
        <f t="shared" si="313"/>
        <v/>
      </c>
      <c r="BB544" s="59"/>
      <c r="BC544" s="58" t="str">
        <f t="shared" si="314"/>
        <v/>
      </c>
      <c r="BD544" s="59"/>
      <c r="BE544" s="58">
        <f t="shared" si="315"/>
        <v>280</v>
      </c>
      <c r="BF544" s="59"/>
      <c r="BG544" s="58" t="str">
        <f t="shared" si="316"/>
        <v/>
      </c>
      <c r="BH544" s="59"/>
      <c r="BI544" s="58" t="str">
        <f t="shared" si="317"/>
        <v/>
      </c>
      <c r="BJ544" s="59"/>
      <c r="BK544" s="58" t="str">
        <f t="shared" si="318"/>
        <v/>
      </c>
      <c r="BL544" s="59"/>
      <c r="BM544" s="58" t="str">
        <f t="shared" si="319"/>
        <v/>
      </c>
      <c r="BN544" s="59"/>
      <c r="BO544" s="58" t="str">
        <f t="shared" si="320"/>
        <v/>
      </c>
      <c r="BP544" s="59"/>
      <c r="BQ544" s="58" t="str">
        <f t="shared" si="321"/>
        <v/>
      </c>
      <c r="BR544" s="59"/>
      <c r="BS544" s="58" t="str">
        <f t="shared" si="322"/>
        <v/>
      </c>
      <c r="BT544" s="59"/>
      <c r="BU544" s="58" t="str">
        <f t="shared" si="323"/>
        <v/>
      </c>
      <c r="BV544" s="59"/>
    </row>
    <row r="545" spans="1:74" ht="14.5">
      <c r="A545" s="51" t="s">
        <v>446</v>
      </c>
      <c r="B545" s="52" t="s">
        <v>578</v>
      </c>
      <c r="C545" s="52" t="s">
        <v>74</v>
      </c>
      <c r="D545" s="41">
        <f t="shared" si="296"/>
        <v>8</v>
      </c>
      <c r="E545" s="52" t="s">
        <v>204</v>
      </c>
      <c r="F545" s="52" t="s">
        <v>308</v>
      </c>
      <c r="G545" s="52" t="s">
        <v>163</v>
      </c>
      <c r="H545" s="52" t="s">
        <v>570</v>
      </c>
      <c r="I545" s="53">
        <v>45708</v>
      </c>
      <c r="J545" s="108">
        <v>300</v>
      </c>
      <c r="K545" s="101"/>
      <c r="L545" s="101"/>
      <c r="M545" s="101">
        <f t="shared" si="297"/>
        <v>300</v>
      </c>
      <c r="N545" s="54">
        <f t="shared" si="298"/>
        <v>300</v>
      </c>
      <c r="O545" s="101" t="s">
        <v>443</v>
      </c>
      <c r="P545" s="102">
        <f t="shared" si="299"/>
        <v>0.625</v>
      </c>
      <c r="Q545" s="102">
        <v>6</v>
      </c>
      <c r="R545" s="99">
        <v>80</v>
      </c>
      <c r="S545" s="55">
        <f t="shared" si="271"/>
        <v>45676</v>
      </c>
      <c r="T545" s="55"/>
      <c r="U545" s="56">
        <f t="shared" ca="1" si="269"/>
        <v>-164</v>
      </c>
      <c r="V545" s="55">
        <f t="shared" si="268"/>
        <v>45692</v>
      </c>
      <c r="W545" s="55"/>
      <c r="X545" s="56">
        <f t="shared" ca="1" si="270"/>
        <v>-148</v>
      </c>
      <c r="Y545" s="55"/>
      <c r="Z545" s="57"/>
      <c r="AA545" s="58" t="str">
        <f t="shared" si="300"/>
        <v>-</v>
      </c>
      <c r="AB545" s="59"/>
      <c r="AC545" s="58" t="str">
        <f t="shared" si="301"/>
        <v/>
      </c>
      <c r="AD545" s="59"/>
      <c r="AE545" s="58" t="str">
        <f t="shared" si="302"/>
        <v/>
      </c>
      <c r="AF545" s="59"/>
      <c r="AG545" s="58" t="str">
        <f t="shared" si="303"/>
        <v/>
      </c>
      <c r="AH545" s="59"/>
      <c r="AI545" s="58" t="str">
        <f t="shared" si="304"/>
        <v/>
      </c>
      <c r="AJ545" s="59"/>
      <c r="AK545" s="58" t="str">
        <f t="shared" si="305"/>
        <v/>
      </c>
      <c r="AL545" s="59"/>
      <c r="AM545" s="58" t="str">
        <f t="shared" si="306"/>
        <v/>
      </c>
      <c r="AN545" s="59"/>
      <c r="AO545" s="58" t="str">
        <f t="shared" si="307"/>
        <v/>
      </c>
      <c r="AP545" s="59"/>
      <c r="AQ545" s="58" t="str">
        <f t="shared" si="308"/>
        <v/>
      </c>
      <c r="AR545" s="59"/>
      <c r="AS545" s="58" t="str">
        <f t="shared" si="309"/>
        <v/>
      </c>
      <c r="AT545" s="59"/>
      <c r="AU545" s="58" t="str">
        <f t="shared" si="310"/>
        <v/>
      </c>
      <c r="AV545" s="59"/>
      <c r="AW545" s="58" t="str">
        <f t="shared" si="311"/>
        <v/>
      </c>
      <c r="AX545" s="59"/>
      <c r="AY545" s="58" t="str">
        <f t="shared" si="312"/>
        <v/>
      </c>
      <c r="AZ545" s="59"/>
      <c r="BA545" s="58" t="str">
        <f t="shared" si="313"/>
        <v/>
      </c>
      <c r="BB545" s="59"/>
      <c r="BC545" s="58" t="str">
        <f t="shared" si="314"/>
        <v/>
      </c>
      <c r="BD545" s="59"/>
      <c r="BE545" s="58">
        <f t="shared" si="315"/>
        <v>300</v>
      </c>
      <c r="BF545" s="59"/>
      <c r="BG545" s="58" t="str">
        <f t="shared" si="316"/>
        <v/>
      </c>
      <c r="BH545" s="59"/>
      <c r="BI545" s="58" t="str">
        <f t="shared" si="317"/>
        <v/>
      </c>
      <c r="BJ545" s="59"/>
      <c r="BK545" s="58" t="str">
        <f t="shared" si="318"/>
        <v/>
      </c>
      <c r="BL545" s="59"/>
      <c r="BM545" s="58" t="str">
        <f t="shared" si="319"/>
        <v/>
      </c>
      <c r="BN545" s="59"/>
      <c r="BO545" s="58" t="str">
        <f t="shared" si="320"/>
        <v/>
      </c>
      <c r="BP545" s="59"/>
      <c r="BQ545" s="58" t="str">
        <f t="shared" si="321"/>
        <v/>
      </c>
      <c r="BR545" s="59"/>
      <c r="BS545" s="58" t="str">
        <f t="shared" si="322"/>
        <v/>
      </c>
      <c r="BT545" s="59"/>
      <c r="BU545" s="58" t="str">
        <f t="shared" si="323"/>
        <v/>
      </c>
      <c r="BV545" s="59"/>
    </row>
    <row r="546" spans="1:74" ht="14.5">
      <c r="A546" s="51" t="s">
        <v>446</v>
      </c>
      <c r="B546" s="52" t="s">
        <v>578</v>
      </c>
      <c r="C546" s="52" t="s">
        <v>74</v>
      </c>
      <c r="D546" s="41">
        <f t="shared" si="296"/>
        <v>8</v>
      </c>
      <c r="E546" s="52" t="s">
        <v>199</v>
      </c>
      <c r="F546" s="52" t="s">
        <v>577</v>
      </c>
      <c r="G546" s="52" t="s">
        <v>155</v>
      </c>
      <c r="H546" s="52" t="s">
        <v>514</v>
      </c>
      <c r="I546" s="53">
        <v>45708</v>
      </c>
      <c r="J546" s="108">
        <v>660</v>
      </c>
      <c r="K546" s="101"/>
      <c r="L546" s="101"/>
      <c r="M546" s="101">
        <f t="shared" si="297"/>
        <v>660</v>
      </c>
      <c r="N546" s="54">
        <f t="shared" si="298"/>
        <v>660</v>
      </c>
      <c r="O546" s="101" t="s">
        <v>443</v>
      </c>
      <c r="P546" s="102">
        <f t="shared" si="299"/>
        <v>0.37714285714285717</v>
      </c>
      <c r="Q546" s="102">
        <v>5</v>
      </c>
      <c r="R546" s="99">
        <v>350</v>
      </c>
      <c r="S546" s="55">
        <f t="shared" si="271"/>
        <v>45676</v>
      </c>
      <c r="T546" s="55"/>
      <c r="U546" s="56">
        <f t="shared" ca="1" si="269"/>
        <v>-164</v>
      </c>
      <c r="V546" s="55">
        <f t="shared" si="268"/>
        <v>45692</v>
      </c>
      <c r="W546" s="55"/>
      <c r="X546" s="56">
        <f t="shared" ca="1" si="270"/>
        <v>-148</v>
      </c>
      <c r="Y546" s="55"/>
      <c r="Z546" s="57"/>
      <c r="AA546" s="58" t="str">
        <f t="shared" si="300"/>
        <v>-</v>
      </c>
      <c r="AB546" s="59"/>
      <c r="AC546" s="58" t="str">
        <f t="shared" si="301"/>
        <v/>
      </c>
      <c r="AD546" s="59"/>
      <c r="AE546" s="58" t="str">
        <f t="shared" si="302"/>
        <v/>
      </c>
      <c r="AF546" s="59"/>
      <c r="AG546" s="58" t="str">
        <f t="shared" si="303"/>
        <v/>
      </c>
      <c r="AH546" s="59"/>
      <c r="AI546" s="58" t="str">
        <f t="shared" si="304"/>
        <v/>
      </c>
      <c r="AJ546" s="59"/>
      <c r="AK546" s="58" t="str">
        <f t="shared" si="305"/>
        <v/>
      </c>
      <c r="AL546" s="59"/>
      <c r="AM546" s="58" t="str">
        <f t="shared" si="306"/>
        <v/>
      </c>
      <c r="AN546" s="59"/>
      <c r="AO546" s="58" t="str">
        <f t="shared" si="307"/>
        <v/>
      </c>
      <c r="AP546" s="59"/>
      <c r="AQ546" s="58" t="str">
        <f t="shared" si="308"/>
        <v/>
      </c>
      <c r="AR546" s="59"/>
      <c r="AS546" s="58" t="str">
        <f t="shared" si="309"/>
        <v/>
      </c>
      <c r="AT546" s="59"/>
      <c r="AU546" s="58" t="str">
        <f t="shared" si="310"/>
        <v/>
      </c>
      <c r="AV546" s="59"/>
      <c r="AW546" s="58" t="str">
        <f t="shared" si="311"/>
        <v/>
      </c>
      <c r="AX546" s="59"/>
      <c r="AY546" s="58" t="str">
        <f t="shared" si="312"/>
        <v/>
      </c>
      <c r="AZ546" s="59"/>
      <c r="BA546" s="58" t="str">
        <f t="shared" si="313"/>
        <v/>
      </c>
      <c r="BB546" s="59"/>
      <c r="BC546" s="58" t="str">
        <f t="shared" si="314"/>
        <v/>
      </c>
      <c r="BD546" s="59"/>
      <c r="BE546" s="58">
        <f t="shared" si="315"/>
        <v>660</v>
      </c>
      <c r="BF546" s="59"/>
      <c r="BG546" s="58" t="str">
        <f t="shared" si="316"/>
        <v/>
      </c>
      <c r="BH546" s="59"/>
      <c r="BI546" s="58" t="str">
        <f t="shared" si="317"/>
        <v/>
      </c>
      <c r="BJ546" s="59"/>
      <c r="BK546" s="58" t="str">
        <f t="shared" si="318"/>
        <v/>
      </c>
      <c r="BL546" s="59"/>
      <c r="BM546" s="58" t="str">
        <f t="shared" si="319"/>
        <v/>
      </c>
      <c r="BN546" s="59"/>
      <c r="BO546" s="58" t="str">
        <f t="shared" si="320"/>
        <v/>
      </c>
      <c r="BP546" s="59"/>
      <c r="BQ546" s="58" t="str">
        <f t="shared" si="321"/>
        <v/>
      </c>
      <c r="BR546" s="59"/>
      <c r="BS546" s="58" t="str">
        <f t="shared" si="322"/>
        <v/>
      </c>
      <c r="BT546" s="59"/>
      <c r="BU546" s="58" t="str">
        <f t="shared" si="323"/>
        <v/>
      </c>
      <c r="BV546" s="59"/>
    </row>
    <row r="547" spans="1:74" ht="14.5">
      <c r="A547" s="51" t="s">
        <v>58</v>
      </c>
      <c r="B547" s="52">
        <v>408</v>
      </c>
      <c r="C547" s="52" t="s">
        <v>188</v>
      </c>
      <c r="D547" s="41">
        <f t="shared" si="296"/>
        <v>8</v>
      </c>
      <c r="E547" s="52" t="s">
        <v>136</v>
      </c>
      <c r="F547" s="52" t="s">
        <v>247</v>
      </c>
      <c r="G547" s="52" t="s">
        <v>162</v>
      </c>
      <c r="H547" s="52" t="s">
        <v>500</v>
      </c>
      <c r="I547" s="53">
        <v>45709</v>
      </c>
      <c r="J547" s="108">
        <v>1512</v>
      </c>
      <c r="K547" s="101"/>
      <c r="L547" s="101"/>
      <c r="M547" s="101">
        <f t="shared" si="297"/>
        <v>1512</v>
      </c>
      <c r="N547" s="54">
        <f t="shared" si="298"/>
        <v>1512</v>
      </c>
      <c r="O547" s="101" t="s">
        <v>579</v>
      </c>
      <c r="P547" s="102">
        <f t="shared" si="299"/>
        <v>0.86399999999999999</v>
      </c>
      <c r="Q547" s="102">
        <v>5</v>
      </c>
      <c r="R547" s="99">
        <v>350</v>
      </c>
      <c r="S547" s="55">
        <f t="shared" si="271"/>
        <v>45677</v>
      </c>
      <c r="T547" s="55"/>
      <c r="U547" s="56">
        <f t="shared" ca="1" si="269"/>
        <v>-163</v>
      </c>
      <c r="V547" s="55">
        <f t="shared" si="268"/>
        <v>45693</v>
      </c>
      <c r="W547" s="55"/>
      <c r="X547" s="56">
        <f t="shared" ca="1" si="270"/>
        <v>-147</v>
      </c>
      <c r="Y547" s="55"/>
      <c r="Z547" s="57"/>
      <c r="AA547" s="58" t="str">
        <f t="shared" ref="AA547:AA572" si="324">+IF($AA$4=WEEKNUM(V547),J547,"-")</f>
        <v>-</v>
      </c>
      <c r="AB547" s="59"/>
      <c r="AC547" s="58" t="str">
        <f t="shared" ref="AC547:AC572" si="325">+IF($AC$4=WEEKNUM(V547),J547,"")</f>
        <v/>
      </c>
      <c r="AD547" s="59"/>
      <c r="AE547" s="58" t="str">
        <f t="shared" ref="AE547:AE572" si="326">+IF($AE$4=WEEKNUM(V547),J547,"")</f>
        <v/>
      </c>
      <c r="AF547" s="59"/>
      <c r="AG547" s="58" t="str">
        <f t="shared" ref="AG547:AG572" si="327">+IF($AG$4=WEEKNUM(V547),J547,"")</f>
        <v/>
      </c>
      <c r="AH547" s="59"/>
      <c r="AI547" s="58" t="str">
        <f t="shared" ref="AI547:AI572" si="328">+IF($AI$4=WEEKNUM(V547),J547,"")</f>
        <v/>
      </c>
      <c r="AJ547" s="59"/>
      <c r="AK547" s="58" t="str">
        <f t="shared" ref="AK547:AK572" si="329">+IF($AK$4=WEEKNUM(V547),J547,"")</f>
        <v/>
      </c>
      <c r="AL547" s="59"/>
      <c r="AM547" s="58" t="str">
        <f t="shared" ref="AM547:AM572" si="330">+IF($AM$4=WEEKNUM(V547),J547,"")</f>
        <v/>
      </c>
      <c r="AN547" s="59"/>
      <c r="AO547" s="58" t="str">
        <f t="shared" ref="AO547:AO572" si="331">+IF($AO$4=WEEKNUM(V547),J547,"")</f>
        <v/>
      </c>
      <c r="AP547" s="59"/>
      <c r="AQ547" s="58" t="str">
        <f t="shared" ref="AQ547:AQ572" si="332">+IF($AQ$4=WEEKNUM(V547),J547,"")</f>
        <v/>
      </c>
      <c r="AR547" s="59"/>
      <c r="AS547" s="58" t="str">
        <f t="shared" ref="AS547:AS572" si="333">+IF($AV$4=WEEKNUM(V547),J547,"")</f>
        <v/>
      </c>
      <c r="AT547" s="59"/>
      <c r="AU547" s="58" t="str">
        <f t="shared" ref="AU547:AU572" si="334">+IF($AU$4=WEEKNUM(V547),J547,"")</f>
        <v/>
      </c>
      <c r="AV547" s="59"/>
      <c r="AW547" s="58" t="str">
        <f t="shared" ref="AW547:AW572" si="335">+IF($AW$4=WEEKNUM(V547),J547,"")</f>
        <v/>
      </c>
      <c r="AX547" s="59"/>
      <c r="AY547" s="58" t="str">
        <f t="shared" ref="AY547:AY572" si="336">+IF($AY$4=WEEKNUM(V547),J547,"")</f>
        <v/>
      </c>
      <c r="AZ547" s="59"/>
      <c r="BA547" s="58" t="str">
        <f t="shared" ref="BA547:BA572" si="337">+IF($BA$4=WEEKNUM(V547),J547,"")</f>
        <v/>
      </c>
      <c r="BB547" s="59"/>
      <c r="BC547" s="58" t="str">
        <f t="shared" ref="BC547:BC572" si="338">+IF($BC$4=WEEKNUM(V547),J547,"")</f>
        <v/>
      </c>
      <c r="BD547" s="59"/>
      <c r="BE547" s="58" t="str">
        <f t="shared" ref="BE547:BE572" si="339">+IF($BE$4=WEEKNUM(V547),J547,"")</f>
        <v/>
      </c>
      <c r="BF547" s="59"/>
      <c r="BG547" s="58" t="str">
        <f t="shared" ref="BG547:BG572" si="340">+IF($BG$4=WEEKNUM(V547),J547,"")</f>
        <v/>
      </c>
      <c r="BH547" s="59"/>
      <c r="BI547" s="58">
        <f t="shared" ref="BI547:BI572" si="341">+IF($BI$4=WEEKNUM(V547),J547,"")</f>
        <v>1512</v>
      </c>
      <c r="BJ547" s="59"/>
      <c r="BK547" s="58" t="str">
        <f t="shared" ref="BK547:BK572" si="342">+IF($BK$4=WEEKNUM(V547),J547,"")</f>
        <v/>
      </c>
      <c r="BL547" s="59"/>
      <c r="BM547" s="58" t="str">
        <f t="shared" ref="BM547:BM572" si="343">+IF($BM$4=WEEKNUM(V547),J547,"")</f>
        <v/>
      </c>
      <c r="BN547" s="59"/>
      <c r="BO547" s="58" t="str">
        <f t="shared" ref="BO547:BO572" si="344">+IF($BO$4=WEEKNUM(V547),J547,"")</f>
        <v/>
      </c>
      <c r="BP547" s="59"/>
      <c r="BQ547" s="58" t="str">
        <f t="shared" ref="BQ547:BQ572" si="345">+IF($BQ$4=WEEKNUM(V547),J547,"")</f>
        <v/>
      </c>
      <c r="BR547" s="59"/>
      <c r="BS547" s="58" t="str">
        <f t="shared" ref="BS547:BS572" si="346">+IF($BV$4=WEEKNUM(V547),J547,"")</f>
        <v/>
      </c>
      <c r="BT547" s="59"/>
      <c r="BU547" s="58" t="str">
        <f t="shared" ref="BU547:BU572" si="347">+IF($BU$4=WEEKNUM(V547),J547,"")</f>
        <v/>
      </c>
      <c r="BV547" s="59"/>
    </row>
    <row r="548" spans="1:74" ht="14.5">
      <c r="A548" s="51" t="s">
        <v>58</v>
      </c>
      <c r="B548" s="52">
        <v>408</v>
      </c>
      <c r="C548" s="52" t="s">
        <v>188</v>
      </c>
      <c r="D548" s="41">
        <f t="shared" si="296"/>
        <v>8</v>
      </c>
      <c r="E548" s="52" t="s">
        <v>136</v>
      </c>
      <c r="F548" s="52" t="s">
        <v>247</v>
      </c>
      <c r="G548" s="52" t="s">
        <v>163</v>
      </c>
      <c r="H548" s="52" t="s">
        <v>500</v>
      </c>
      <c r="I548" s="53">
        <v>45709</v>
      </c>
      <c r="J548" s="108">
        <v>1512</v>
      </c>
      <c r="K548" s="101"/>
      <c r="L548" s="101"/>
      <c r="M548" s="101">
        <f t="shared" si="297"/>
        <v>1512</v>
      </c>
      <c r="N548" s="54">
        <f t="shared" si="298"/>
        <v>1512</v>
      </c>
      <c r="O548" s="101" t="s">
        <v>579</v>
      </c>
      <c r="P548" s="102">
        <f t="shared" si="299"/>
        <v>0.86399999999999999</v>
      </c>
      <c r="Q548" s="102">
        <v>5</v>
      </c>
      <c r="R548" s="99">
        <v>350</v>
      </c>
      <c r="S548" s="55">
        <f t="shared" si="271"/>
        <v>45677</v>
      </c>
      <c r="T548" s="55"/>
      <c r="U548" s="56">
        <f t="shared" ca="1" si="269"/>
        <v>-163</v>
      </c>
      <c r="V548" s="55">
        <f t="shared" si="268"/>
        <v>45693</v>
      </c>
      <c r="W548" s="55"/>
      <c r="X548" s="56">
        <f t="shared" ca="1" si="270"/>
        <v>-147</v>
      </c>
      <c r="Y548" s="55"/>
      <c r="Z548" s="57"/>
      <c r="AA548" s="58" t="str">
        <f t="shared" si="324"/>
        <v>-</v>
      </c>
      <c r="AB548" s="59"/>
      <c r="AC548" s="58" t="str">
        <f t="shared" si="325"/>
        <v/>
      </c>
      <c r="AD548" s="59"/>
      <c r="AE548" s="58" t="str">
        <f t="shared" si="326"/>
        <v/>
      </c>
      <c r="AF548" s="59"/>
      <c r="AG548" s="58" t="str">
        <f t="shared" si="327"/>
        <v/>
      </c>
      <c r="AH548" s="59"/>
      <c r="AI548" s="58" t="str">
        <f t="shared" si="328"/>
        <v/>
      </c>
      <c r="AJ548" s="59"/>
      <c r="AK548" s="58" t="str">
        <f t="shared" si="329"/>
        <v/>
      </c>
      <c r="AL548" s="59"/>
      <c r="AM548" s="58" t="str">
        <f t="shared" si="330"/>
        <v/>
      </c>
      <c r="AN548" s="59"/>
      <c r="AO548" s="58" t="str">
        <f t="shared" si="331"/>
        <v/>
      </c>
      <c r="AP548" s="59"/>
      <c r="AQ548" s="58" t="str">
        <f t="shared" si="332"/>
        <v/>
      </c>
      <c r="AR548" s="59"/>
      <c r="AS548" s="58" t="str">
        <f t="shared" si="333"/>
        <v/>
      </c>
      <c r="AT548" s="59"/>
      <c r="AU548" s="58" t="str">
        <f t="shared" si="334"/>
        <v/>
      </c>
      <c r="AV548" s="59"/>
      <c r="AW548" s="58" t="str">
        <f t="shared" si="335"/>
        <v/>
      </c>
      <c r="AX548" s="59"/>
      <c r="AY548" s="58" t="str">
        <f t="shared" si="336"/>
        <v/>
      </c>
      <c r="AZ548" s="59"/>
      <c r="BA548" s="58" t="str">
        <f t="shared" si="337"/>
        <v/>
      </c>
      <c r="BB548" s="59"/>
      <c r="BC548" s="58" t="str">
        <f t="shared" si="338"/>
        <v/>
      </c>
      <c r="BD548" s="59"/>
      <c r="BE548" s="58" t="str">
        <f t="shared" si="339"/>
        <v/>
      </c>
      <c r="BF548" s="59"/>
      <c r="BG548" s="58" t="str">
        <f t="shared" si="340"/>
        <v/>
      </c>
      <c r="BH548" s="59"/>
      <c r="BI548" s="58">
        <f t="shared" si="341"/>
        <v>1512</v>
      </c>
      <c r="BJ548" s="59"/>
      <c r="BK548" s="58" t="str">
        <f t="shared" si="342"/>
        <v/>
      </c>
      <c r="BL548" s="59"/>
      <c r="BM548" s="58" t="str">
        <f t="shared" si="343"/>
        <v/>
      </c>
      <c r="BN548" s="59"/>
      <c r="BO548" s="58" t="str">
        <f t="shared" si="344"/>
        <v/>
      </c>
      <c r="BP548" s="59"/>
      <c r="BQ548" s="58" t="str">
        <f t="shared" si="345"/>
        <v/>
      </c>
      <c r="BR548" s="59"/>
      <c r="BS548" s="58" t="str">
        <f t="shared" si="346"/>
        <v/>
      </c>
      <c r="BT548" s="59"/>
      <c r="BU548" s="58" t="str">
        <f t="shared" si="347"/>
        <v/>
      </c>
      <c r="BV548" s="59"/>
    </row>
    <row r="549" spans="1:74" ht="14.5">
      <c r="A549" s="51" t="s">
        <v>58</v>
      </c>
      <c r="B549" s="52">
        <v>408</v>
      </c>
      <c r="C549" s="52" t="s">
        <v>188</v>
      </c>
      <c r="D549" s="41">
        <f t="shared" si="296"/>
        <v>8</v>
      </c>
      <c r="E549" s="52" t="s">
        <v>136</v>
      </c>
      <c r="F549" s="52" t="s">
        <v>247</v>
      </c>
      <c r="G549" s="52" t="s">
        <v>501</v>
      </c>
      <c r="H549" s="52" t="s">
        <v>500</v>
      </c>
      <c r="I549" s="53">
        <v>45709</v>
      </c>
      <c r="J549" s="108">
        <v>1512</v>
      </c>
      <c r="K549" s="101"/>
      <c r="L549" s="101"/>
      <c r="M549" s="101">
        <f t="shared" si="297"/>
        <v>1512</v>
      </c>
      <c r="N549" s="54">
        <f t="shared" si="298"/>
        <v>1512</v>
      </c>
      <c r="O549" s="101" t="s">
        <v>579</v>
      </c>
      <c r="P549" s="102">
        <f t="shared" si="299"/>
        <v>0.86399999999999999</v>
      </c>
      <c r="Q549" s="102">
        <v>5</v>
      </c>
      <c r="R549" s="99">
        <v>350</v>
      </c>
      <c r="S549" s="55">
        <f t="shared" si="271"/>
        <v>45677</v>
      </c>
      <c r="T549" s="55"/>
      <c r="U549" s="56">
        <f t="shared" ca="1" si="269"/>
        <v>-163</v>
      </c>
      <c r="V549" s="55">
        <f t="shared" si="268"/>
        <v>45693</v>
      </c>
      <c r="W549" s="55"/>
      <c r="X549" s="56">
        <f t="shared" ca="1" si="270"/>
        <v>-147</v>
      </c>
      <c r="Y549" s="55"/>
      <c r="Z549" s="57"/>
      <c r="AA549" s="58" t="str">
        <f t="shared" si="324"/>
        <v>-</v>
      </c>
      <c r="AB549" s="59"/>
      <c r="AC549" s="58" t="str">
        <f t="shared" si="325"/>
        <v/>
      </c>
      <c r="AD549" s="59"/>
      <c r="AE549" s="58" t="str">
        <f t="shared" si="326"/>
        <v/>
      </c>
      <c r="AF549" s="59"/>
      <c r="AG549" s="58" t="str">
        <f t="shared" si="327"/>
        <v/>
      </c>
      <c r="AH549" s="59"/>
      <c r="AI549" s="58" t="str">
        <f t="shared" si="328"/>
        <v/>
      </c>
      <c r="AJ549" s="59"/>
      <c r="AK549" s="58" t="str">
        <f t="shared" si="329"/>
        <v/>
      </c>
      <c r="AL549" s="59"/>
      <c r="AM549" s="58" t="str">
        <f t="shared" si="330"/>
        <v/>
      </c>
      <c r="AN549" s="59"/>
      <c r="AO549" s="58" t="str">
        <f t="shared" si="331"/>
        <v/>
      </c>
      <c r="AP549" s="59"/>
      <c r="AQ549" s="58" t="str">
        <f t="shared" si="332"/>
        <v/>
      </c>
      <c r="AR549" s="59"/>
      <c r="AS549" s="58" t="str">
        <f t="shared" si="333"/>
        <v/>
      </c>
      <c r="AT549" s="59"/>
      <c r="AU549" s="58" t="str">
        <f t="shared" si="334"/>
        <v/>
      </c>
      <c r="AV549" s="59"/>
      <c r="AW549" s="58" t="str">
        <f t="shared" si="335"/>
        <v/>
      </c>
      <c r="AX549" s="59"/>
      <c r="AY549" s="58" t="str">
        <f t="shared" si="336"/>
        <v/>
      </c>
      <c r="AZ549" s="59"/>
      <c r="BA549" s="58" t="str">
        <f t="shared" si="337"/>
        <v/>
      </c>
      <c r="BB549" s="59"/>
      <c r="BC549" s="58" t="str">
        <f t="shared" si="338"/>
        <v/>
      </c>
      <c r="BD549" s="59"/>
      <c r="BE549" s="58" t="str">
        <f t="shared" si="339"/>
        <v/>
      </c>
      <c r="BF549" s="59"/>
      <c r="BG549" s="58" t="str">
        <f t="shared" si="340"/>
        <v/>
      </c>
      <c r="BH549" s="59"/>
      <c r="BI549" s="58">
        <f t="shared" si="341"/>
        <v>1512</v>
      </c>
      <c r="BJ549" s="59"/>
      <c r="BK549" s="58" t="str">
        <f t="shared" si="342"/>
        <v/>
      </c>
      <c r="BL549" s="59"/>
      <c r="BM549" s="58" t="str">
        <f t="shared" si="343"/>
        <v/>
      </c>
      <c r="BN549" s="59"/>
      <c r="BO549" s="58" t="str">
        <f t="shared" si="344"/>
        <v/>
      </c>
      <c r="BP549" s="59"/>
      <c r="BQ549" s="58" t="str">
        <f t="shared" si="345"/>
        <v/>
      </c>
      <c r="BR549" s="59"/>
      <c r="BS549" s="58" t="str">
        <f t="shared" si="346"/>
        <v/>
      </c>
      <c r="BT549" s="59"/>
      <c r="BU549" s="58" t="str">
        <f t="shared" si="347"/>
        <v/>
      </c>
      <c r="BV549" s="59"/>
    </row>
    <row r="550" spans="1:74" ht="14.5">
      <c r="A550" s="51" t="s">
        <v>58</v>
      </c>
      <c r="B550" s="52">
        <v>408</v>
      </c>
      <c r="C550" s="52" t="s">
        <v>188</v>
      </c>
      <c r="D550" s="41">
        <f t="shared" si="296"/>
        <v>8</v>
      </c>
      <c r="E550" s="52" t="s">
        <v>81</v>
      </c>
      <c r="F550" s="52" t="s">
        <v>290</v>
      </c>
      <c r="G550" s="52" t="s">
        <v>291</v>
      </c>
      <c r="H550" s="52" t="s">
        <v>435</v>
      </c>
      <c r="I550" s="53">
        <v>45709</v>
      </c>
      <c r="J550" s="108">
        <v>1584</v>
      </c>
      <c r="K550" s="101"/>
      <c r="L550" s="101"/>
      <c r="M550" s="101">
        <f t="shared" si="297"/>
        <v>1584</v>
      </c>
      <c r="N550" s="54">
        <f t="shared" si="298"/>
        <v>1584</v>
      </c>
      <c r="O550" s="101" t="s">
        <v>436</v>
      </c>
      <c r="P550" s="102">
        <f t="shared" si="299"/>
        <v>0.16666666666666666</v>
      </c>
      <c r="Q550" s="102">
        <v>6</v>
      </c>
      <c r="R550" s="100">
        <v>1584</v>
      </c>
      <c r="S550" s="55">
        <f t="shared" si="271"/>
        <v>45677</v>
      </c>
      <c r="T550" s="55"/>
      <c r="U550" s="56">
        <f t="shared" ca="1" si="269"/>
        <v>-163</v>
      </c>
      <c r="V550" s="55">
        <f t="shared" si="268"/>
        <v>45693</v>
      </c>
      <c r="W550" s="55"/>
      <c r="X550" s="56">
        <f t="shared" ca="1" si="270"/>
        <v>-147</v>
      </c>
      <c r="Y550" s="55"/>
      <c r="Z550" s="57"/>
      <c r="AA550" s="58" t="str">
        <f t="shared" si="324"/>
        <v>-</v>
      </c>
      <c r="AB550" s="59"/>
      <c r="AC550" s="58" t="str">
        <f t="shared" si="325"/>
        <v/>
      </c>
      <c r="AD550" s="59"/>
      <c r="AE550" s="58" t="str">
        <f t="shared" si="326"/>
        <v/>
      </c>
      <c r="AF550" s="59"/>
      <c r="AG550" s="58" t="str">
        <f t="shared" si="327"/>
        <v/>
      </c>
      <c r="AH550" s="59"/>
      <c r="AI550" s="58" t="str">
        <f t="shared" si="328"/>
        <v/>
      </c>
      <c r="AJ550" s="59"/>
      <c r="AK550" s="58" t="str">
        <f t="shared" si="329"/>
        <v/>
      </c>
      <c r="AL550" s="59"/>
      <c r="AM550" s="58" t="str">
        <f t="shared" si="330"/>
        <v/>
      </c>
      <c r="AN550" s="59"/>
      <c r="AO550" s="58" t="str">
        <f t="shared" si="331"/>
        <v/>
      </c>
      <c r="AP550" s="59"/>
      <c r="AQ550" s="58" t="str">
        <f t="shared" si="332"/>
        <v/>
      </c>
      <c r="AR550" s="59"/>
      <c r="AS550" s="58" t="str">
        <f t="shared" si="333"/>
        <v/>
      </c>
      <c r="AT550" s="59"/>
      <c r="AU550" s="58" t="str">
        <f t="shared" si="334"/>
        <v/>
      </c>
      <c r="AV550" s="59"/>
      <c r="AW550" s="58" t="str">
        <f t="shared" si="335"/>
        <v/>
      </c>
      <c r="AX550" s="59"/>
      <c r="AY550" s="58" t="str">
        <f t="shared" si="336"/>
        <v/>
      </c>
      <c r="AZ550" s="59"/>
      <c r="BA550" s="58" t="str">
        <f t="shared" si="337"/>
        <v/>
      </c>
      <c r="BB550" s="59"/>
      <c r="BC550" s="58" t="str">
        <f t="shared" si="338"/>
        <v/>
      </c>
      <c r="BD550" s="59"/>
      <c r="BE550" s="58" t="str">
        <f t="shared" si="339"/>
        <v/>
      </c>
      <c r="BF550" s="59"/>
      <c r="BG550" s="58" t="str">
        <f t="shared" si="340"/>
        <v/>
      </c>
      <c r="BH550" s="59"/>
      <c r="BI550" s="58">
        <f t="shared" si="341"/>
        <v>1584</v>
      </c>
      <c r="BJ550" s="59"/>
      <c r="BK550" s="58" t="str">
        <f t="shared" si="342"/>
        <v/>
      </c>
      <c r="BL550" s="59"/>
      <c r="BM550" s="58" t="str">
        <f t="shared" si="343"/>
        <v/>
      </c>
      <c r="BN550" s="59"/>
      <c r="BO550" s="58" t="str">
        <f t="shared" si="344"/>
        <v/>
      </c>
      <c r="BP550" s="59"/>
      <c r="BQ550" s="58" t="str">
        <f t="shared" si="345"/>
        <v/>
      </c>
      <c r="BR550" s="59"/>
      <c r="BS550" s="58" t="str">
        <f t="shared" si="346"/>
        <v/>
      </c>
      <c r="BT550" s="59"/>
      <c r="BU550" s="58" t="str">
        <f t="shared" si="347"/>
        <v/>
      </c>
      <c r="BV550" s="59"/>
    </row>
    <row r="551" spans="1:74" ht="14.5">
      <c r="A551" s="51" t="s">
        <v>58</v>
      </c>
      <c r="B551" s="52">
        <v>408</v>
      </c>
      <c r="C551" s="52" t="s">
        <v>188</v>
      </c>
      <c r="D551" s="41">
        <f t="shared" si="296"/>
        <v>8</v>
      </c>
      <c r="E551" s="52" t="s">
        <v>81</v>
      </c>
      <c r="F551" s="52" t="s">
        <v>290</v>
      </c>
      <c r="G551" s="52" t="s">
        <v>293</v>
      </c>
      <c r="H551" s="52" t="s">
        <v>435</v>
      </c>
      <c r="I551" s="53">
        <v>45709</v>
      </c>
      <c r="J551" s="108">
        <v>1584</v>
      </c>
      <c r="K551" s="101"/>
      <c r="L551" s="101"/>
      <c r="M551" s="101">
        <f t="shared" si="297"/>
        <v>1584</v>
      </c>
      <c r="N551" s="54">
        <f t="shared" si="298"/>
        <v>1584</v>
      </c>
      <c r="O551" s="101" t="s">
        <v>436</v>
      </c>
      <c r="P551" s="102">
        <f t="shared" si="299"/>
        <v>0.16666666666666666</v>
      </c>
      <c r="Q551" s="102">
        <v>6</v>
      </c>
      <c r="R551" s="100">
        <v>1584</v>
      </c>
      <c r="S551" s="55">
        <f t="shared" si="271"/>
        <v>45677</v>
      </c>
      <c r="T551" s="55"/>
      <c r="U551" s="56">
        <f t="shared" ca="1" si="269"/>
        <v>-163</v>
      </c>
      <c r="V551" s="55">
        <f t="shared" si="268"/>
        <v>45693</v>
      </c>
      <c r="W551" s="55"/>
      <c r="X551" s="56">
        <f t="shared" ca="1" si="270"/>
        <v>-147</v>
      </c>
      <c r="Y551" s="55"/>
      <c r="Z551" s="57"/>
      <c r="AA551" s="58" t="str">
        <f t="shared" si="324"/>
        <v>-</v>
      </c>
      <c r="AB551" s="59"/>
      <c r="AC551" s="58" t="str">
        <f t="shared" si="325"/>
        <v/>
      </c>
      <c r="AD551" s="59"/>
      <c r="AE551" s="58" t="str">
        <f t="shared" si="326"/>
        <v/>
      </c>
      <c r="AF551" s="59"/>
      <c r="AG551" s="58" t="str">
        <f t="shared" si="327"/>
        <v/>
      </c>
      <c r="AH551" s="59"/>
      <c r="AI551" s="58" t="str">
        <f t="shared" si="328"/>
        <v/>
      </c>
      <c r="AJ551" s="59"/>
      <c r="AK551" s="58" t="str">
        <f t="shared" si="329"/>
        <v/>
      </c>
      <c r="AL551" s="59"/>
      <c r="AM551" s="58" t="str">
        <f t="shared" si="330"/>
        <v/>
      </c>
      <c r="AN551" s="59"/>
      <c r="AO551" s="58" t="str">
        <f t="shared" si="331"/>
        <v/>
      </c>
      <c r="AP551" s="59"/>
      <c r="AQ551" s="58" t="str">
        <f t="shared" si="332"/>
        <v/>
      </c>
      <c r="AR551" s="59"/>
      <c r="AS551" s="58" t="str">
        <f t="shared" si="333"/>
        <v/>
      </c>
      <c r="AT551" s="59"/>
      <c r="AU551" s="58" t="str">
        <f t="shared" si="334"/>
        <v/>
      </c>
      <c r="AV551" s="59"/>
      <c r="AW551" s="58" t="str">
        <f t="shared" si="335"/>
        <v/>
      </c>
      <c r="AX551" s="59"/>
      <c r="AY551" s="58" t="str">
        <f t="shared" si="336"/>
        <v/>
      </c>
      <c r="AZ551" s="59"/>
      <c r="BA551" s="58" t="str">
        <f t="shared" si="337"/>
        <v/>
      </c>
      <c r="BB551" s="59"/>
      <c r="BC551" s="58" t="str">
        <f t="shared" si="338"/>
        <v/>
      </c>
      <c r="BD551" s="59"/>
      <c r="BE551" s="58" t="str">
        <f t="shared" si="339"/>
        <v/>
      </c>
      <c r="BF551" s="59"/>
      <c r="BG551" s="58" t="str">
        <f t="shared" si="340"/>
        <v/>
      </c>
      <c r="BH551" s="59"/>
      <c r="BI551" s="58">
        <f t="shared" si="341"/>
        <v>1584</v>
      </c>
      <c r="BJ551" s="59"/>
      <c r="BK551" s="58" t="str">
        <f t="shared" si="342"/>
        <v/>
      </c>
      <c r="BL551" s="59"/>
      <c r="BM551" s="58" t="str">
        <f t="shared" si="343"/>
        <v/>
      </c>
      <c r="BN551" s="59"/>
      <c r="BO551" s="58" t="str">
        <f t="shared" si="344"/>
        <v/>
      </c>
      <c r="BP551" s="59"/>
      <c r="BQ551" s="58" t="str">
        <f t="shared" si="345"/>
        <v/>
      </c>
      <c r="BR551" s="59"/>
      <c r="BS551" s="58" t="str">
        <f t="shared" si="346"/>
        <v/>
      </c>
      <c r="BT551" s="59"/>
      <c r="BU551" s="58" t="str">
        <f t="shared" si="347"/>
        <v/>
      </c>
      <c r="BV551" s="59"/>
    </row>
    <row r="552" spans="1:74" ht="14.5">
      <c r="A552" s="51" t="s">
        <v>58</v>
      </c>
      <c r="B552" s="52">
        <v>408</v>
      </c>
      <c r="C552" s="52" t="s">
        <v>188</v>
      </c>
      <c r="D552" s="41">
        <f t="shared" si="296"/>
        <v>8</v>
      </c>
      <c r="E552" s="52" t="s">
        <v>81</v>
      </c>
      <c r="F552" s="52" t="s">
        <v>290</v>
      </c>
      <c r="G552" s="52" t="s">
        <v>294</v>
      </c>
      <c r="H552" s="52" t="s">
        <v>435</v>
      </c>
      <c r="I552" s="53">
        <v>45709</v>
      </c>
      <c r="J552" s="108">
        <v>1584</v>
      </c>
      <c r="K552" s="101"/>
      <c r="L552" s="101"/>
      <c r="M552" s="101">
        <f t="shared" si="297"/>
        <v>1584</v>
      </c>
      <c r="N552" s="54">
        <f t="shared" si="298"/>
        <v>1584</v>
      </c>
      <c r="O552" s="101" t="s">
        <v>436</v>
      </c>
      <c r="P552" s="102">
        <f t="shared" si="299"/>
        <v>0.16666666666666666</v>
      </c>
      <c r="Q552" s="102">
        <v>6</v>
      </c>
      <c r="R552" s="100">
        <v>1584</v>
      </c>
      <c r="S552" s="55">
        <f t="shared" si="271"/>
        <v>45677</v>
      </c>
      <c r="T552" s="55"/>
      <c r="U552" s="56">
        <f t="shared" ca="1" si="269"/>
        <v>-163</v>
      </c>
      <c r="V552" s="55">
        <f t="shared" si="268"/>
        <v>45693</v>
      </c>
      <c r="W552" s="55"/>
      <c r="X552" s="56">
        <f t="shared" ca="1" si="270"/>
        <v>-147</v>
      </c>
      <c r="Y552" s="55"/>
      <c r="Z552" s="57"/>
      <c r="AA552" s="58" t="str">
        <f t="shared" si="324"/>
        <v>-</v>
      </c>
      <c r="AB552" s="59"/>
      <c r="AC552" s="58" t="str">
        <f t="shared" si="325"/>
        <v/>
      </c>
      <c r="AD552" s="59"/>
      <c r="AE552" s="58" t="str">
        <f t="shared" si="326"/>
        <v/>
      </c>
      <c r="AF552" s="59"/>
      <c r="AG552" s="58" t="str">
        <f t="shared" si="327"/>
        <v/>
      </c>
      <c r="AH552" s="59"/>
      <c r="AI552" s="58" t="str">
        <f t="shared" si="328"/>
        <v/>
      </c>
      <c r="AJ552" s="59"/>
      <c r="AK552" s="58" t="str">
        <f t="shared" si="329"/>
        <v/>
      </c>
      <c r="AL552" s="59"/>
      <c r="AM552" s="58" t="str">
        <f t="shared" si="330"/>
        <v/>
      </c>
      <c r="AN552" s="59"/>
      <c r="AO552" s="58" t="str">
        <f t="shared" si="331"/>
        <v/>
      </c>
      <c r="AP552" s="59"/>
      <c r="AQ552" s="58" t="str">
        <f t="shared" si="332"/>
        <v/>
      </c>
      <c r="AR552" s="59"/>
      <c r="AS552" s="58" t="str">
        <f t="shared" si="333"/>
        <v/>
      </c>
      <c r="AT552" s="59"/>
      <c r="AU552" s="58" t="str">
        <f t="shared" si="334"/>
        <v/>
      </c>
      <c r="AV552" s="59"/>
      <c r="AW552" s="58" t="str">
        <f t="shared" si="335"/>
        <v/>
      </c>
      <c r="AX552" s="59"/>
      <c r="AY552" s="58" t="str">
        <f t="shared" si="336"/>
        <v/>
      </c>
      <c r="AZ552" s="59"/>
      <c r="BA552" s="58" t="str">
        <f t="shared" si="337"/>
        <v/>
      </c>
      <c r="BB552" s="59"/>
      <c r="BC552" s="58" t="str">
        <f t="shared" si="338"/>
        <v/>
      </c>
      <c r="BD552" s="59"/>
      <c r="BE552" s="58" t="str">
        <f t="shared" si="339"/>
        <v/>
      </c>
      <c r="BF552" s="59"/>
      <c r="BG552" s="58" t="str">
        <f t="shared" si="340"/>
        <v/>
      </c>
      <c r="BH552" s="59"/>
      <c r="BI552" s="58">
        <f t="shared" si="341"/>
        <v>1584</v>
      </c>
      <c r="BJ552" s="59"/>
      <c r="BK552" s="58" t="str">
        <f t="shared" si="342"/>
        <v/>
      </c>
      <c r="BL552" s="59"/>
      <c r="BM552" s="58" t="str">
        <f t="shared" si="343"/>
        <v/>
      </c>
      <c r="BN552" s="59"/>
      <c r="BO552" s="58" t="str">
        <f t="shared" si="344"/>
        <v/>
      </c>
      <c r="BP552" s="59"/>
      <c r="BQ552" s="58" t="str">
        <f t="shared" si="345"/>
        <v/>
      </c>
      <c r="BR552" s="59"/>
      <c r="BS552" s="58" t="str">
        <f t="shared" si="346"/>
        <v/>
      </c>
      <c r="BT552" s="59"/>
      <c r="BU552" s="58" t="str">
        <f t="shared" si="347"/>
        <v/>
      </c>
      <c r="BV552" s="59"/>
    </row>
    <row r="553" spans="1:74" ht="14.5">
      <c r="A553" s="51" t="s">
        <v>58</v>
      </c>
      <c r="B553" s="52">
        <v>408</v>
      </c>
      <c r="C553" s="52" t="s">
        <v>188</v>
      </c>
      <c r="D553" s="41">
        <f t="shared" si="296"/>
        <v>8</v>
      </c>
      <c r="E553" s="52" t="s">
        <v>157</v>
      </c>
      <c r="F553" s="52" t="s">
        <v>243</v>
      </c>
      <c r="G553" s="52" t="s">
        <v>162</v>
      </c>
      <c r="H553" s="52" t="s">
        <v>428</v>
      </c>
      <c r="I553" s="53">
        <v>45709</v>
      </c>
      <c r="J553" s="108">
        <v>3462</v>
      </c>
      <c r="K553" s="101"/>
      <c r="L553" s="101"/>
      <c r="M553" s="101">
        <f t="shared" si="297"/>
        <v>3462</v>
      </c>
      <c r="N553" s="54">
        <f t="shared" si="298"/>
        <v>3462</v>
      </c>
      <c r="O553" s="101" t="s">
        <v>429</v>
      </c>
      <c r="P553" s="102">
        <f t="shared" si="299"/>
        <v>0.57699999999999996</v>
      </c>
      <c r="Q553" s="102">
        <v>6</v>
      </c>
      <c r="R553" s="99">
        <v>1000</v>
      </c>
      <c r="S553" s="55">
        <f t="shared" si="271"/>
        <v>45677</v>
      </c>
      <c r="T553" s="55"/>
      <c r="U553" s="56">
        <f t="shared" ca="1" si="269"/>
        <v>-163</v>
      </c>
      <c r="V553" s="55">
        <f t="shared" si="268"/>
        <v>45693</v>
      </c>
      <c r="W553" s="55"/>
      <c r="X553" s="56">
        <f t="shared" ca="1" si="270"/>
        <v>-147</v>
      </c>
      <c r="Y553" s="55"/>
      <c r="Z553" s="57"/>
      <c r="AA553" s="58" t="str">
        <f t="shared" si="324"/>
        <v>-</v>
      </c>
      <c r="AB553" s="59"/>
      <c r="AC553" s="58" t="str">
        <f t="shared" si="325"/>
        <v/>
      </c>
      <c r="AD553" s="59"/>
      <c r="AE553" s="58" t="str">
        <f t="shared" si="326"/>
        <v/>
      </c>
      <c r="AF553" s="59"/>
      <c r="AG553" s="58" t="str">
        <f t="shared" si="327"/>
        <v/>
      </c>
      <c r="AH553" s="59"/>
      <c r="AI553" s="58" t="str">
        <f t="shared" si="328"/>
        <v/>
      </c>
      <c r="AJ553" s="59"/>
      <c r="AK553" s="58" t="str">
        <f t="shared" si="329"/>
        <v/>
      </c>
      <c r="AL553" s="59"/>
      <c r="AM553" s="58" t="str">
        <f t="shared" si="330"/>
        <v/>
      </c>
      <c r="AN553" s="59"/>
      <c r="AO553" s="58" t="str">
        <f t="shared" si="331"/>
        <v/>
      </c>
      <c r="AP553" s="59"/>
      <c r="AQ553" s="58" t="str">
        <f t="shared" si="332"/>
        <v/>
      </c>
      <c r="AR553" s="59"/>
      <c r="AS553" s="58" t="str">
        <f t="shared" si="333"/>
        <v/>
      </c>
      <c r="AT553" s="59"/>
      <c r="AU553" s="58" t="str">
        <f t="shared" si="334"/>
        <v/>
      </c>
      <c r="AV553" s="59"/>
      <c r="AW553" s="58" t="str">
        <f t="shared" si="335"/>
        <v/>
      </c>
      <c r="AX553" s="59"/>
      <c r="AY553" s="58" t="str">
        <f t="shared" si="336"/>
        <v/>
      </c>
      <c r="AZ553" s="59"/>
      <c r="BA553" s="58" t="str">
        <f t="shared" si="337"/>
        <v/>
      </c>
      <c r="BB553" s="59"/>
      <c r="BC553" s="58" t="str">
        <f t="shared" si="338"/>
        <v/>
      </c>
      <c r="BD553" s="59"/>
      <c r="BE553" s="58" t="str">
        <f t="shared" si="339"/>
        <v/>
      </c>
      <c r="BF553" s="59"/>
      <c r="BG553" s="58" t="str">
        <f t="shared" si="340"/>
        <v/>
      </c>
      <c r="BH553" s="59"/>
      <c r="BI553" s="58">
        <f t="shared" si="341"/>
        <v>3462</v>
      </c>
      <c r="BJ553" s="59"/>
      <c r="BK553" s="58" t="str">
        <f t="shared" si="342"/>
        <v/>
      </c>
      <c r="BL553" s="59"/>
      <c r="BM553" s="58" t="str">
        <f t="shared" si="343"/>
        <v/>
      </c>
      <c r="BN553" s="59"/>
      <c r="BO553" s="58" t="str">
        <f t="shared" si="344"/>
        <v/>
      </c>
      <c r="BP553" s="59"/>
      <c r="BQ553" s="58" t="str">
        <f t="shared" si="345"/>
        <v/>
      </c>
      <c r="BR553" s="59"/>
      <c r="BS553" s="58" t="str">
        <f t="shared" si="346"/>
        <v/>
      </c>
      <c r="BT553" s="59"/>
      <c r="BU553" s="58" t="str">
        <f t="shared" si="347"/>
        <v/>
      </c>
      <c r="BV553" s="59"/>
    </row>
    <row r="554" spans="1:74" ht="14.5">
      <c r="A554" s="51" t="s">
        <v>58</v>
      </c>
      <c r="B554" s="52">
        <v>408</v>
      </c>
      <c r="C554" s="52" t="s">
        <v>188</v>
      </c>
      <c r="D554" s="41">
        <f t="shared" si="296"/>
        <v>8</v>
      </c>
      <c r="E554" s="52" t="s">
        <v>157</v>
      </c>
      <c r="F554" s="52" t="s">
        <v>243</v>
      </c>
      <c r="G554" s="52" t="s">
        <v>155</v>
      </c>
      <c r="H554" s="52" t="s">
        <v>428</v>
      </c>
      <c r="I554" s="53">
        <v>45709</v>
      </c>
      <c r="J554" s="108">
        <v>2226</v>
      </c>
      <c r="K554" s="101"/>
      <c r="L554" s="101"/>
      <c r="M554" s="101">
        <f t="shared" si="297"/>
        <v>2226</v>
      </c>
      <c r="N554" s="54">
        <f t="shared" si="298"/>
        <v>2226</v>
      </c>
      <c r="O554" s="101" t="s">
        <v>429</v>
      </c>
      <c r="P554" s="102">
        <f t="shared" si="299"/>
        <v>0.371</v>
      </c>
      <c r="Q554" s="102">
        <v>6</v>
      </c>
      <c r="R554" s="99">
        <v>1000</v>
      </c>
      <c r="S554" s="55">
        <f t="shared" si="271"/>
        <v>45677</v>
      </c>
      <c r="T554" s="55"/>
      <c r="U554" s="56">
        <f t="shared" ca="1" si="269"/>
        <v>-163</v>
      </c>
      <c r="V554" s="55">
        <f t="shared" si="268"/>
        <v>45693</v>
      </c>
      <c r="W554" s="55"/>
      <c r="X554" s="56">
        <f t="shared" ca="1" si="270"/>
        <v>-147</v>
      </c>
      <c r="Y554" s="55"/>
      <c r="Z554" s="57"/>
      <c r="AA554" s="58" t="str">
        <f t="shared" si="324"/>
        <v>-</v>
      </c>
      <c r="AB554" s="59"/>
      <c r="AC554" s="58" t="str">
        <f t="shared" si="325"/>
        <v/>
      </c>
      <c r="AD554" s="59"/>
      <c r="AE554" s="58" t="str">
        <f t="shared" si="326"/>
        <v/>
      </c>
      <c r="AF554" s="59"/>
      <c r="AG554" s="58" t="str">
        <f t="shared" si="327"/>
        <v/>
      </c>
      <c r="AH554" s="59"/>
      <c r="AI554" s="58" t="str">
        <f t="shared" si="328"/>
        <v/>
      </c>
      <c r="AJ554" s="59"/>
      <c r="AK554" s="58" t="str">
        <f t="shared" si="329"/>
        <v/>
      </c>
      <c r="AL554" s="59"/>
      <c r="AM554" s="58" t="str">
        <f t="shared" si="330"/>
        <v/>
      </c>
      <c r="AN554" s="59"/>
      <c r="AO554" s="58" t="str">
        <f t="shared" si="331"/>
        <v/>
      </c>
      <c r="AP554" s="59"/>
      <c r="AQ554" s="58" t="str">
        <f t="shared" si="332"/>
        <v/>
      </c>
      <c r="AR554" s="59"/>
      <c r="AS554" s="58" t="str">
        <f t="shared" si="333"/>
        <v/>
      </c>
      <c r="AT554" s="59"/>
      <c r="AU554" s="58" t="str">
        <f t="shared" si="334"/>
        <v/>
      </c>
      <c r="AV554" s="59"/>
      <c r="AW554" s="58" t="str">
        <f t="shared" si="335"/>
        <v/>
      </c>
      <c r="AX554" s="59"/>
      <c r="AY554" s="58" t="str">
        <f t="shared" si="336"/>
        <v/>
      </c>
      <c r="AZ554" s="59"/>
      <c r="BA554" s="58" t="str">
        <f t="shared" si="337"/>
        <v/>
      </c>
      <c r="BB554" s="59"/>
      <c r="BC554" s="58" t="str">
        <f t="shared" si="338"/>
        <v/>
      </c>
      <c r="BD554" s="59"/>
      <c r="BE554" s="58" t="str">
        <f t="shared" si="339"/>
        <v/>
      </c>
      <c r="BF554" s="59"/>
      <c r="BG554" s="58" t="str">
        <f t="shared" si="340"/>
        <v/>
      </c>
      <c r="BH554" s="59"/>
      <c r="BI554" s="58">
        <f t="shared" si="341"/>
        <v>2226</v>
      </c>
      <c r="BJ554" s="59"/>
      <c r="BK554" s="58" t="str">
        <f t="shared" si="342"/>
        <v/>
      </c>
      <c r="BL554" s="59"/>
      <c r="BM554" s="58" t="str">
        <f t="shared" si="343"/>
        <v/>
      </c>
      <c r="BN554" s="59"/>
      <c r="BO554" s="58" t="str">
        <f t="shared" si="344"/>
        <v/>
      </c>
      <c r="BP554" s="59"/>
      <c r="BQ554" s="58" t="str">
        <f t="shared" si="345"/>
        <v/>
      </c>
      <c r="BR554" s="59"/>
      <c r="BS554" s="58" t="str">
        <f t="shared" si="346"/>
        <v/>
      </c>
      <c r="BT554" s="59"/>
      <c r="BU554" s="58" t="str">
        <f t="shared" si="347"/>
        <v/>
      </c>
      <c r="BV554" s="59"/>
    </row>
    <row r="555" spans="1:74" ht="14.5">
      <c r="A555" s="51" t="s">
        <v>58</v>
      </c>
      <c r="B555" s="52">
        <v>408</v>
      </c>
      <c r="C555" s="52" t="s">
        <v>188</v>
      </c>
      <c r="D555" s="41">
        <f t="shared" si="296"/>
        <v>8</v>
      </c>
      <c r="E555" s="52" t="s">
        <v>158</v>
      </c>
      <c r="F555" s="52" t="s">
        <v>242</v>
      </c>
      <c r="G555" s="52" t="s">
        <v>255</v>
      </c>
      <c r="H555" s="52" t="s">
        <v>445</v>
      </c>
      <c r="I555" s="53">
        <v>45709</v>
      </c>
      <c r="J555" s="108">
        <v>1432</v>
      </c>
      <c r="K555" s="101"/>
      <c r="L555" s="101"/>
      <c r="M555" s="101">
        <f t="shared" si="297"/>
        <v>1432</v>
      </c>
      <c r="N555" s="54">
        <f t="shared" si="298"/>
        <v>1432</v>
      </c>
      <c r="O555" s="101" t="s">
        <v>439</v>
      </c>
      <c r="P555" s="102">
        <f t="shared" si="299"/>
        <v>1.9888888888888889</v>
      </c>
      <c r="Q555" s="102">
        <v>6</v>
      </c>
      <c r="R555" s="99">
        <v>120</v>
      </c>
      <c r="S555" s="55">
        <f t="shared" si="271"/>
        <v>45677</v>
      </c>
      <c r="T555" s="55"/>
      <c r="U555" s="56">
        <f t="shared" ca="1" si="269"/>
        <v>-163</v>
      </c>
      <c r="V555" s="55">
        <f t="shared" si="268"/>
        <v>45693</v>
      </c>
      <c r="W555" s="55"/>
      <c r="X555" s="56">
        <f t="shared" ca="1" si="270"/>
        <v>-147</v>
      </c>
      <c r="Y555" s="55"/>
      <c r="Z555" s="57"/>
      <c r="AA555" s="58" t="str">
        <f t="shared" si="324"/>
        <v>-</v>
      </c>
      <c r="AB555" s="59"/>
      <c r="AC555" s="58" t="str">
        <f t="shared" si="325"/>
        <v/>
      </c>
      <c r="AD555" s="59"/>
      <c r="AE555" s="58" t="str">
        <f t="shared" si="326"/>
        <v/>
      </c>
      <c r="AF555" s="59"/>
      <c r="AG555" s="58" t="str">
        <f t="shared" si="327"/>
        <v/>
      </c>
      <c r="AH555" s="59"/>
      <c r="AI555" s="58" t="str">
        <f t="shared" si="328"/>
        <v/>
      </c>
      <c r="AJ555" s="59"/>
      <c r="AK555" s="58" t="str">
        <f t="shared" si="329"/>
        <v/>
      </c>
      <c r="AL555" s="59"/>
      <c r="AM555" s="58" t="str">
        <f t="shared" si="330"/>
        <v/>
      </c>
      <c r="AN555" s="59"/>
      <c r="AO555" s="58" t="str">
        <f t="shared" si="331"/>
        <v/>
      </c>
      <c r="AP555" s="59"/>
      <c r="AQ555" s="58" t="str">
        <f t="shared" si="332"/>
        <v/>
      </c>
      <c r="AR555" s="59"/>
      <c r="AS555" s="58" t="str">
        <f t="shared" si="333"/>
        <v/>
      </c>
      <c r="AT555" s="59"/>
      <c r="AU555" s="58" t="str">
        <f t="shared" si="334"/>
        <v/>
      </c>
      <c r="AV555" s="59"/>
      <c r="AW555" s="58" t="str">
        <f t="shared" si="335"/>
        <v/>
      </c>
      <c r="AX555" s="59"/>
      <c r="AY555" s="58" t="str">
        <f t="shared" si="336"/>
        <v/>
      </c>
      <c r="AZ555" s="59"/>
      <c r="BA555" s="58" t="str">
        <f t="shared" si="337"/>
        <v/>
      </c>
      <c r="BB555" s="59"/>
      <c r="BC555" s="58" t="str">
        <f t="shared" si="338"/>
        <v/>
      </c>
      <c r="BD555" s="59"/>
      <c r="BE555" s="58" t="str">
        <f t="shared" si="339"/>
        <v/>
      </c>
      <c r="BF555" s="59"/>
      <c r="BG555" s="58" t="str">
        <f t="shared" si="340"/>
        <v/>
      </c>
      <c r="BH555" s="59"/>
      <c r="BI555" s="58">
        <f t="shared" si="341"/>
        <v>1432</v>
      </c>
      <c r="BJ555" s="59"/>
      <c r="BK555" s="58" t="str">
        <f t="shared" si="342"/>
        <v/>
      </c>
      <c r="BL555" s="59"/>
      <c r="BM555" s="58" t="str">
        <f t="shared" si="343"/>
        <v/>
      </c>
      <c r="BN555" s="59"/>
      <c r="BO555" s="58" t="str">
        <f t="shared" si="344"/>
        <v/>
      </c>
      <c r="BP555" s="59"/>
      <c r="BQ555" s="58" t="str">
        <f t="shared" si="345"/>
        <v/>
      </c>
      <c r="BR555" s="59"/>
      <c r="BS555" s="58" t="str">
        <f t="shared" si="346"/>
        <v/>
      </c>
      <c r="BT555" s="59"/>
      <c r="BU555" s="58" t="str">
        <f t="shared" si="347"/>
        <v/>
      </c>
      <c r="BV555" s="59"/>
    </row>
    <row r="556" spans="1:74" ht="14.5">
      <c r="A556" s="51" t="s">
        <v>446</v>
      </c>
      <c r="B556" s="52" t="s">
        <v>580</v>
      </c>
      <c r="C556" s="52" t="s">
        <v>60</v>
      </c>
      <c r="D556" s="41">
        <f t="shared" si="296"/>
        <v>9</v>
      </c>
      <c r="E556" s="52" t="s">
        <v>187</v>
      </c>
      <c r="F556" s="52" t="s">
        <v>448</v>
      </c>
      <c r="G556" s="52" t="s">
        <v>164</v>
      </c>
      <c r="H556" s="52" t="s">
        <v>449</v>
      </c>
      <c r="I556" s="53">
        <v>45716</v>
      </c>
      <c r="J556" s="108">
        <v>9000</v>
      </c>
      <c r="K556" s="101"/>
      <c r="L556" s="101"/>
      <c r="M556" s="101">
        <f t="shared" si="297"/>
        <v>9000</v>
      </c>
      <c r="N556" s="54">
        <f t="shared" si="298"/>
        <v>9000</v>
      </c>
      <c r="O556" s="101" t="s">
        <v>429</v>
      </c>
      <c r="P556" s="102">
        <f t="shared" si="299"/>
        <v>1.3636363636363635</v>
      </c>
      <c r="Q556" s="102">
        <v>6</v>
      </c>
      <c r="R556" s="99">
        <v>1100</v>
      </c>
      <c r="S556" s="55">
        <f>+I556-(28)</f>
        <v>45688</v>
      </c>
      <c r="T556" s="55"/>
      <c r="U556" s="56">
        <f t="shared" ca="1" si="269"/>
        <v>-152</v>
      </c>
      <c r="V556" s="55">
        <f t="shared" si="268"/>
        <v>45704</v>
      </c>
      <c r="W556" s="55"/>
      <c r="X556" s="56">
        <f t="shared" ca="1" si="270"/>
        <v>-136</v>
      </c>
      <c r="Y556" s="55"/>
      <c r="Z556" s="57"/>
      <c r="AA556" s="58" t="str">
        <f t="shared" si="324"/>
        <v>-</v>
      </c>
      <c r="AB556" s="59"/>
      <c r="AC556" s="58" t="str">
        <f t="shared" si="325"/>
        <v/>
      </c>
      <c r="AD556" s="59"/>
      <c r="AE556" s="58" t="str">
        <f t="shared" si="326"/>
        <v/>
      </c>
      <c r="AF556" s="59"/>
      <c r="AG556" s="58" t="str">
        <f t="shared" si="327"/>
        <v/>
      </c>
      <c r="AH556" s="59"/>
      <c r="AI556" s="58" t="str">
        <f t="shared" si="328"/>
        <v/>
      </c>
      <c r="AJ556" s="59"/>
      <c r="AK556" s="58" t="str">
        <f t="shared" si="329"/>
        <v/>
      </c>
      <c r="AL556" s="59"/>
      <c r="AM556" s="58" t="str">
        <f t="shared" si="330"/>
        <v/>
      </c>
      <c r="AN556" s="59"/>
      <c r="AO556" s="58" t="str">
        <f t="shared" si="331"/>
        <v/>
      </c>
      <c r="AP556" s="59"/>
      <c r="AQ556" s="58" t="str">
        <f t="shared" si="332"/>
        <v/>
      </c>
      <c r="AR556" s="59"/>
      <c r="AS556" s="58" t="str">
        <f t="shared" si="333"/>
        <v/>
      </c>
      <c r="AT556" s="59"/>
      <c r="AU556" s="58" t="str">
        <f t="shared" si="334"/>
        <v/>
      </c>
      <c r="AV556" s="59"/>
      <c r="AW556" s="58" t="str">
        <f t="shared" si="335"/>
        <v/>
      </c>
      <c r="AX556" s="59"/>
      <c r="AY556" s="58" t="str">
        <f t="shared" si="336"/>
        <v/>
      </c>
      <c r="AZ556" s="59"/>
      <c r="BA556" s="58" t="str">
        <f t="shared" si="337"/>
        <v/>
      </c>
      <c r="BB556" s="59"/>
      <c r="BC556" s="58" t="str">
        <f t="shared" si="338"/>
        <v/>
      </c>
      <c r="BD556" s="59"/>
      <c r="BE556" s="58" t="str">
        <f t="shared" si="339"/>
        <v/>
      </c>
      <c r="BF556" s="59"/>
      <c r="BG556" s="58" t="str">
        <f t="shared" si="340"/>
        <v/>
      </c>
      <c r="BH556" s="59"/>
      <c r="BI556" s="58" t="str">
        <f t="shared" si="341"/>
        <v/>
      </c>
      <c r="BJ556" s="59"/>
      <c r="BK556" s="58" t="str">
        <f t="shared" si="342"/>
        <v/>
      </c>
      <c r="BL556" s="59"/>
      <c r="BM556" s="58">
        <f t="shared" si="343"/>
        <v>9000</v>
      </c>
      <c r="BN556" s="59"/>
      <c r="BO556" s="58" t="str">
        <f t="shared" si="344"/>
        <v/>
      </c>
      <c r="BP556" s="59"/>
      <c r="BQ556" s="58" t="str">
        <f t="shared" si="345"/>
        <v/>
      </c>
      <c r="BR556" s="59"/>
      <c r="BS556" s="58" t="str">
        <f t="shared" si="346"/>
        <v/>
      </c>
      <c r="BT556" s="59"/>
      <c r="BU556" s="58" t="str">
        <f t="shared" si="347"/>
        <v/>
      </c>
      <c r="BV556" s="59"/>
    </row>
    <row r="557" spans="1:74" ht="14.5">
      <c r="A557" s="51" t="s">
        <v>446</v>
      </c>
      <c r="B557" s="52" t="s">
        <v>580</v>
      </c>
      <c r="C557" s="52" t="s">
        <v>60</v>
      </c>
      <c r="D557" s="41">
        <f t="shared" si="296"/>
        <v>9</v>
      </c>
      <c r="E557" s="52" t="s">
        <v>187</v>
      </c>
      <c r="F557" s="52" t="s">
        <v>448</v>
      </c>
      <c r="G557" s="52" t="s">
        <v>155</v>
      </c>
      <c r="H557" s="52" t="s">
        <v>449</v>
      </c>
      <c r="I557" s="53">
        <v>45716</v>
      </c>
      <c r="J557" s="108">
        <v>9000</v>
      </c>
      <c r="K557" s="101"/>
      <c r="L557" s="101"/>
      <c r="M557" s="101">
        <f t="shared" si="297"/>
        <v>9000</v>
      </c>
      <c r="N557" s="54">
        <f t="shared" si="298"/>
        <v>9000</v>
      </c>
      <c r="O557" s="101" t="s">
        <v>429</v>
      </c>
      <c r="P557" s="102">
        <f t="shared" si="299"/>
        <v>1.3636363636363635</v>
      </c>
      <c r="Q557" s="102">
        <v>6</v>
      </c>
      <c r="R557" s="99">
        <v>1100</v>
      </c>
      <c r="S557" s="55">
        <f>+I557-(28)</f>
        <v>45688</v>
      </c>
      <c r="T557" s="55"/>
      <c r="U557" s="56">
        <f t="shared" ca="1" si="269"/>
        <v>-152</v>
      </c>
      <c r="V557" s="55">
        <f t="shared" si="268"/>
        <v>45704</v>
      </c>
      <c r="W557" s="55"/>
      <c r="X557" s="56">
        <f t="shared" ca="1" si="270"/>
        <v>-136</v>
      </c>
      <c r="Y557" s="55"/>
      <c r="Z557" s="57"/>
      <c r="AA557" s="58" t="str">
        <f t="shared" si="324"/>
        <v>-</v>
      </c>
      <c r="AB557" s="59"/>
      <c r="AC557" s="58" t="str">
        <f t="shared" si="325"/>
        <v/>
      </c>
      <c r="AD557" s="59"/>
      <c r="AE557" s="58" t="str">
        <f t="shared" si="326"/>
        <v/>
      </c>
      <c r="AF557" s="59"/>
      <c r="AG557" s="58" t="str">
        <f t="shared" si="327"/>
        <v/>
      </c>
      <c r="AH557" s="59"/>
      <c r="AI557" s="58" t="str">
        <f t="shared" si="328"/>
        <v/>
      </c>
      <c r="AJ557" s="59"/>
      <c r="AK557" s="58" t="str">
        <f t="shared" si="329"/>
        <v/>
      </c>
      <c r="AL557" s="59"/>
      <c r="AM557" s="58" t="str">
        <f t="shared" si="330"/>
        <v/>
      </c>
      <c r="AN557" s="59"/>
      <c r="AO557" s="58" t="str">
        <f t="shared" si="331"/>
        <v/>
      </c>
      <c r="AP557" s="59"/>
      <c r="AQ557" s="58" t="str">
        <f t="shared" si="332"/>
        <v/>
      </c>
      <c r="AR557" s="59"/>
      <c r="AS557" s="58" t="str">
        <f t="shared" si="333"/>
        <v/>
      </c>
      <c r="AT557" s="59"/>
      <c r="AU557" s="58" t="str">
        <f t="shared" si="334"/>
        <v/>
      </c>
      <c r="AV557" s="59"/>
      <c r="AW557" s="58" t="str">
        <f t="shared" si="335"/>
        <v/>
      </c>
      <c r="AX557" s="59"/>
      <c r="AY557" s="58" t="str">
        <f t="shared" si="336"/>
        <v/>
      </c>
      <c r="AZ557" s="59"/>
      <c r="BA557" s="58" t="str">
        <f t="shared" si="337"/>
        <v/>
      </c>
      <c r="BB557" s="59"/>
      <c r="BC557" s="58" t="str">
        <f t="shared" si="338"/>
        <v/>
      </c>
      <c r="BD557" s="59"/>
      <c r="BE557" s="58" t="str">
        <f t="shared" si="339"/>
        <v/>
      </c>
      <c r="BF557" s="59"/>
      <c r="BG557" s="58" t="str">
        <f t="shared" si="340"/>
        <v/>
      </c>
      <c r="BH557" s="59"/>
      <c r="BI557" s="58" t="str">
        <f t="shared" si="341"/>
        <v/>
      </c>
      <c r="BJ557" s="59"/>
      <c r="BK557" s="58" t="str">
        <f t="shared" si="342"/>
        <v/>
      </c>
      <c r="BL557" s="59"/>
      <c r="BM557" s="58">
        <f t="shared" si="343"/>
        <v>9000</v>
      </c>
      <c r="BN557" s="59"/>
      <c r="BO557" s="58" t="str">
        <f t="shared" si="344"/>
        <v/>
      </c>
      <c r="BP557" s="59"/>
      <c r="BQ557" s="58" t="str">
        <f t="shared" si="345"/>
        <v/>
      </c>
      <c r="BR557" s="59"/>
      <c r="BS557" s="58" t="str">
        <f t="shared" si="346"/>
        <v/>
      </c>
      <c r="BT557" s="59"/>
      <c r="BU557" s="58" t="str">
        <f t="shared" si="347"/>
        <v/>
      </c>
      <c r="BV557" s="59"/>
    </row>
    <row r="558" spans="1:74" ht="14.5">
      <c r="A558" s="51" t="s">
        <v>446</v>
      </c>
      <c r="B558" s="52" t="s">
        <v>580</v>
      </c>
      <c r="C558" s="52" t="s">
        <v>60</v>
      </c>
      <c r="D558" s="41">
        <f t="shared" si="296"/>
        <v>9</v>
      </c>
      <c r="E558" s="52" t="s">
        <v>187</v>
      </c>
      <c r="F558" s="52" t="s">
        <v>448</v>
      </c>
      <c r="G558" s="52" t="s">
        <v>450</v>
      </c>
      <c r="H558" s="52" t="s">
        <v>449</v>
      </c>
      <c r="I558" s="53">
        <v>45716</v>
      </c>
      <c r="J558" s="108">
        <v>6000</v>
      </c>
      <c r="K558" s="101"/>
      <c r="L558" s="101"/>
      <c r="M558" s="101">
        <f t="shared" si="297"/>
        <v>6000</v>
      </c>
      <c r="N558" s="54">
        <f t="shared" si="298"/>
        <v>6000</v>
      </c>
      <c r="O558" s="101" t="s">
        <v>429</v>
      </c>
      <c r="P558" s="102">
        <f t="shared" si="299"/>
        <v>0.90909090909090906</v>
      </c>
      <c r="Q558" s="102">
        <v>6</v>
      </c>
      <c r="R558" s="99">
        <v>1100</v>
      </c>
      <c r="S558" s="55">
        <f>+I558-(28)</f>
        <v>45688</v>
      </c>
      <c r="T558" s="55"/>
      <c r="U558" s="56">
        <f t="shared" ca="1" si="269"/>
        <v>-152</v>
      </c>
      <c r="V558" s="55">
        <f t="shared" si="268"/>
        <v>45704</v>
      </c>
      <c r="W558" s="55"/>
      <c r="X558" s="56">
        <f t="shared" ca="1" si="270"/>
        <v>-136</v>
      </c>
      <c r="Y558" s="55"/>
      <c r="Z558" s="57"/>
      <c r="AA558" s="58" t="str">
        <f t="shared" si="324"/>
        <v>-</v>
      </c>
      <c r="AB558" s="59"/>
      <c r="AC558" s="58" t="str">
        <f t="shared" si="325"/>
        <v/>
      </c>
      <c r="AD558" s="59"/>
      <c r="AE558" s="58" t="str">
        <f t="shared" si="326"/>
        <v/>
      </c>
      <c r="AF558" s="59"/>
      <c r="AG558" s="58" t="str">
        <f t="shared" si="327"/>
        <v/>
      </c>
      <c r="AH558" s="59"/>
      <c r="AI558" s="58" t="str">
        <f t="shared" si="328"/>
        <v/>
      </c>
      <c r="AJ558" s="59"/>
      <c r="AK558" s="58" t="str">
        <f t="shared" si="329"/>
        <v/>
      </c>
      <c r="AL558" s="59"/>
      <c r="AM558" s="58" t="str">
        <f t="shared" si="330"/>
        <v/>
      </c>
      <c r="AN558" s="59"/>
      <c r="AO558" s="58" t="str">
        <f t="shared" si="331"/>
        <v/>
      </c>
      <c r="AP558" s="59"/>
      <c r="AQ558" s="58" t="str">
        <f t="shared" si="332"/>
        <v/>
      </c>
      <c r="AR558" s="59"/>
      <c r="AS558" s="58" t="str">
        <f t="shared" si="333"/>
        <v/>
      </c>
      <c r="AT558" s="59"/>
      <c r="AU558" s="58" t="str">
        <f t="shared" si="334"/>
        <v/>
      </c>
      <c r="AV558" s="59"/>
      <c r="AW558" s="58" t="str">
        <f t="shared" si="335"/>
        <v/>
      </c>
      <c r="AX558" s="59"/>
      <c r="AY558" s="58" t="str">
        <f t="shared" si="336"/>
        <v/>
      </c>
      <c r="AZ558" s="59"/>
      <c r="BA558" s="58" t="str">
        <f t="shared" si="337"/>
        <v/>
      </c>
      <c r="BB558" s="59"/>
      <c r="BC558" s="58" t="str">
        <f t="shared" si="338"/>
        <v/>
      </c>
      <c r="BD558" s="59"/>
      <c r="BE558" s="58" t="str">
        <f t="shared" si="339"/>
        <v/>
      </c>
      <c r="BF558" s="59"/>
      <c r="BG558" s="58" t="str">
        <f t="shared" si="340"/>
        <v/>
      </c>
      <c r="BH558" s="59"/>
      <c r="BI558" s="58" t="str">
        <f t="shared" si="341"/>
        <v/>
      </c>
      <c r="BJ558" s="59"/>
      <c r="BK558" s="58" t="str">
        <f t="shared" si="342"/>
        <v/>
      </c>
      <c r="BL558" s="59"/>
      <c r="BM558" s="58">
        <f t="shared" si="343"/>
        <v>6000</v>
      </c>
      <c r="BN558" s="59"/>
      <c r="BO558" s="58" t="str">
        <f t="shared" si="344"/>
        <v/>
      </c>
      <c r="BP558" s="59"/>
      <c r="BQ558" s="58" t="str">
        <f t="shared" si="345"/>
        <v/>
      </c>
      <c r="BR558" s="59"/>
      <c r="BS558" s="58" t="str">
        <f t="shared" si="346"/>
        <v/>
      </c>
      <c r="BT558" s="59"/>
      <c r="BU558" s="58" t="str">
        <f t="shared" si="347"/>
        <v/>
      </c>
      <c r="BV558" s="59"/>
    </row>
    <row r="559" spans="1:74" ht="14.5">
      <c r="A559" s="51" t="s">
        <v>58</v>
      </c>
      <c r="B559" s="52">
        <v>409</v>
      </c>
      <c r="C559" s="52" t="s">
        <v>188</v>
      </c>
      <c r="D559" s="41">
        <f t="shared" si="296"/>
        <v>9</v>
      </c>
      <c r="E559" s="52" t="s">
        <v>136</v>
      </c>
      <c r="F559" s="52" t="s">
        <v>247</v>
      </c>
      <c r="G559" s="52" t="s">
        <v>162</v>
      </c>
      <c r="H559" s="52" t="s">
        <v>500</v>
      </c>
      <c r="I559" s="53">
        <v>45716</v>
      </c>
      <c r="J559" s="108">
        <v>3752</v>
      </c>
      <c r="K559" s="101"/>
      <c r="L559" s="101"/>
      <c r="M559" s="101">
        <f t="shared" si="297"/>
        <v>3752</v>
      </c>
      <c r="N559" s="54">
        <f t="shared" si="298"/>
        <v>3752</v>
      </c>
      <c r="O559" s="101" t="s">
        <v>579</v>
      </c>
      <c r="P559" s="102">
        <f t="shared" si="299"/>
        <v>2.1440000000000001</v>
      </c>
      <c r="Q559" s="102">
        <v>5</v>
      </c>
      <c r="R559" s="99">
        <v>350</v>
      </c>
      <c r="S559" s="55">
        <f t="shared" ref="S559:S581" si="348">+I559-(32)</f>
        <v>45684</v>
      </c>
      <c r="T559" s="55"/>
      <c r="U559" s="56">
        <f t="shared" ca="1" si="269"/>
        <v>-156</v>
      </c>
      <c r="V559" s="55">
        <f t="shared" si="268"/>
        <v>45700</v>
      </c>
      <c r="W559" s="55"/>
      <c r="X559" s="56">
        <f t="shared" ca="1" si="270"/>
        <v>-140</v>
      </c>
      <c r="Y559" s="55"/>
      <c r="Z559" s="57"/>
      <c r="AA559" s="58" t="str">
        <f t="shared" si="324"/>
        <v>-</v>
      </c>
      <c r="AB559" s="59"/>
      <c r="AC559" s="58" t="str">
        <f t="shared" si="325"/>
        <v/>
      </c>
      <c r="AD559" s="59"/>
      <c r="AE559" s="58" t="str">
        <f t="shared" si="326"/>
        <v/>
      </c>
      <c r="AF559" s="59"/>
      <c r="AG559" s="58" t="str">
        <f t="shared" si="327"/>
        <v/>
      </c>
      <c r="AH559" s="59"/>
      <c r="AI559" s="58" t="str">
        <f t="shared" si="328"/>
        <v/>
      </c>
      <c r="AJ559" s="59"/>
      <c r="AK559" s="58" t="str">
        <f t="shared" si="329"/>
        <v/>
      </c>
      <c r="AL559" s="59"/>
      <c r="AM559" s="58" t="str">
        <f t="shared" si="330"/>
        <v/>
      </c>
      <c r="AN559" s="59"/>
      <c r="AO559" s="58" t="str">
        <f t="shared" si="331"/>
        <v/>
      </c>
      <c r="AP559" s="59"/>
      <c r="AQ559" s="58" t="str">
        <f t="shared" si="332"/>
        <v/>
      </c>
      <c r="AR559" s="59"/>
      <c r="AS559" s="58" t="str">
        <f t="shared" si="333"/>
        <v/>
      </c>
      <c r="AT559" s="59"/>
      <c r="AU559" s="58" t="str">
        <f t="shared" si="334"/>
        <v/>
      </c>
      <c r="AV559" s="59"/>
      <c r="AW559" s="58" t="str">
        <f t="shared" si="335"/>
        <v/>
      </c>
      <c r="AX559" s="59"/>
      <c r="AY559" s="58" t="str">
        <f t="shared" si="336"/>
        <v/>
      </c>
      <c r="AZ559" s="59"/>
      <c r="BA559" s="58" t="str">
        <f t="shared" si="337"/>
        <v/>
      </c>
      <c r="BB559" s="59"/>
      <c r="BC559" s="58" t="str">
        <f t="shared" si="338"/>
        <v/>
      </c>
      <c r="BD559" s="59"/>
      <c r="BE559" s="58" t="str">
        <f t="shared" si="339"/>
        <v/>
      </c>
      <c r="BF559" s="59"/>
      <c r="BG559" s="58" t="str">
        <f t="shared" si="340"/>
        <v/>
      </c>
      <c r="BH559" s="59"/>
      <c r="BI559" s="58" t="str">
        <f t="shared" si="341"/>
        <v/>
      </c>
      <c r="BJ559" s="59"/>
      <c r="BK559" s="58">
        <f t="shared" si="342"/>
        <v>3752</v>
      </c>
      <c r="BL559" s="59"/>
      <c r="BM559" s="58" t="str">
        <f t="shared" si="343"/>
        <v/>
      </c>
      <c r="BN559" s="59"/>
      <c r="BO559" s="58" t="str">
        <f t="shared" si="344"/>
        <v/>
      </c>
      <c r="BP559" s="59"/>
      <c r="BQ559" s="58" t="str">
        <f t="shared" si="345"/>
        <v/>
      </c>
      <c r="BR559" s="59"/>
      <c r="BS559" s="58" t="str">
        <f t="shared" si="346"/>
        <v/>
      </c>
      <c r="BT559" s="59"/>
      <c r="BU559" s="58" t="str">
        <f t="shared" si="347"/>
        <v/>
      </c>
      <c r="BV559" s="59"/>
    </row>
    <row r="560" spans="1:74" ht="14.5">
      <c r="A560" s="51" t="s">
        <v>58</v>
      </c>
      <c r="B560" s="52">
        <v>409</v>
      </c>
      <c r="C560" s="52" t="s">
        <v>188</v>
      </c>
      <c r="D560" s="41">
        <f t="shared" si="296"/>
        <v>9</v>
      </c>
      <c r="E560" s="52" t="s">
        <v>136</v>
      </c>
      <c r="F560" s="52" t="s">
        <v>247</v>
      </c>
      <c r="G560" s="52" t="s">
        <v>163</v>
      </c>
      <c r="H560" s="52" t="s">
        <v>500</v>
      </c>
      <c r="I560" s="53">
        <v>45716</v>
      </c>
      <c r="J560" s="108">
        <v>3752</v>
      </c>
      <c r="K560" s="101"/>
      <c r="L560" s="101"/>
      <c r="M560" s="101">
        <f t="shared" si="297"/>
        <v>3752</v>
      </c>
      <c r="N560" s="54">
        <f t="shared" si="298"/>
        <v>3752</v>
      </c>
      <c r="O560" s="101" t="s">
        <v>579</v>
      </c>
      <c r="P560" s="102">
        <f t="shared" si="299"/>
        <v>2.1440000000000001</v>
      </c>
      <c r="Q560" s="102">
        <v>5</v>
      </c>
      <c r="R560" s="99">
        <v>350</v>
      </c>
      <c r="S560" s="55">
        <f t="shared" si="348"/>
        <v>45684</v>
      </c>
      <c r="T560" s="55"/>
      <c r="U560" s="56">
        <f t="shared" ca="1" si="269"/>
        <v>-156</v>
      </c>
      <c r="V560" s="55">
        <f t="shared" ref="V560:V623" si="349">+S560+16</f>
        <v>45700</v>
      </c>
      <c r="W560" s="55"/>
      <c r="X560" s="56">
        <f t="shared" ca="1" si="270"/>
        <v>-140</v>
      </c>
      <c r="Y560" s="55"/>
      <c r="Z560" s="57"/>
      <c r="AA560" s="58" t="str">
        <f t="shared" si="324"/>
        <v>-</v>
      </c>
      <c r="AB560" s="59"/>
      <c r="AC560" s="58" t="str">
        <f t="shared" si="325"/>
        <v/>
      </c>
      <c r="AD560" s="59"/>
      <c r="AE560" s="58" t="str">
        <f t="shared" si="326"/>
        <v/>
      </c>
      <c r="AF560" s="59"/>
      <c r="AG560" s="58" t="str">
        <f t="shared" si="327"/>
        <v/>
      </c>
      <c r="AH560" s="59"/>
      <c r="AI560" s="58" t="str">
        <f t="shared" si="328"/>
        <v/>
      </c>
      <c r="AJ560" s="59"/>
      <c r="AK560" s="58" t="str">
        <f t="shared" si="329"/>
        <v/>
      </c>
      <c r="AL560" s="59"/>
      <c r="AM560" s="58" t="str">
        <f t="shared" si="330"/>
        <v/>
      </c>
      <c r="AN560" s="59"/>
      <c r="AO560" s="58" t="str">
        <f t="shared" si="331"/>
        <v/>
      </c>
      <c r="AP560" s="59"/>
      <c r="AQ560" s="58" t="str">
        <f t="shared" si="332"/>
        <v/>
      </c>
      <c r="AR560" s="59"/>
      <c r="AS560" s="58" t="str">
        <f t="shared" si="333"/>
        <v/>
      </c>
      <c r="AT560" s="59"/>
      <c r="AU560" s="58" t="str">
        <f t="shared" si="334"/>
        <v/>
      </c>
      <c r="AV560" s="59"/>
      <c r="AW560" s="58" t="str">
        <f t="shared" si="335"/>
        <v/>
      </c>
      <c r="AX560" s="59"/>
      <c r="AY560" s="58" t="str">
        <f t="shared" si="336"/>
        <v/>
      </c>
      <c r="AZ560" s="59"/>
      <c r="BA560" s="58" t="str">
        <f t="shared" si="337"/>
        <v/>
      </c>
      <c r="BB560" s="59"/>
      <c r="BC560" s="58" t="str">
        <f t="shared" si="338"/>
        <v/>
      </c>
      <c r="BD560" s="59"/>
      <c r="BE560" s="58" t="str">
        <f t="shared" si="339"/>
        <v/>
      </c>
      <c r="BF560" s="59"/>
      <c r="BG560" s="58" t="str">
        <f t="shared" si="340"/>
        <v/>
      </c>
      <c r="BH560" s="59"/>
      <c r="BI560" s="58" t="str">
        <f t="shared" si="341"/>
        <v/>
      </c>
      <c r="BJ560" s="59"/>
      <c r="BK560" s="58">
        <f t="shared" si="342"/>
        <v>3752</v>
      </c>
      <c r="BL560" s="59"/>
      <c r="BM560" s="58" t="str">
        <f t="shared" si="343"/>
        <v/>
      </c>
      <c r="BN560" s="59"/>
      <c r="BO560" s="58" t="str">
        <f t="shared" si="344"/>
        <v/>
      </c>
      <c r="BP560" s="59"/>
      <c r="BQ560" s="58" t="str">
        <f t="shared" si="345"/>
        <v/>
      </c>
      <c r="BR560" s="59"/>
      <c r="BS560" s="58" t="str">
        <f t="shared" si="346"/>
        <v/>
      </c>
      <c r="BT560" s="59"/>
      <c r="BU560" s="58" t="str">
        <f t="shared" si="347"/>
        <v/>
      </c>
      <c r="BV560" s="59"/>
    </row>
    <row r="561" spans="1:74" ht="14.5">
      <c r="A561" s="51" t="s">
        <v>58</v>
      </c>
      <c r="B561" s="52">
        <v>409</v>
      </c>
      <c r="C561" s="52" t="s">
        <v>188</v>
      </c>
      <c r="D561" s="41">
        <f t="shared" si="296"/>
        <v>9</v>
      </c>
      <c r="E561" s="52" t="s">
        <v>136</v>
      </c>
      <c r="F561" s="52" t="s">
        <v>247</v>
      </c>
      <c r="G561" s="52" t="s">
        <v>501</v>
      </c>
      <c r="H561" s="52" t="s">
        <v>500</v>
      </c>
      <c r="I561" s="53">
        <v>45716</v>
      </c>
      <c r="J561" s="108">
        <v>3752</v>
      </c>
      <c r="K561" s="101"/>
      <c r="L561" s="101"/>
      <c r="M561" s="101">
        <f t="shared" si="297"/>
        <v>3752</v>
      </c>
      <c r="N561" s="54">
        <f t="shared" si="298"/>
        <v>3752</v>
      </c>
      <c r="O561" s="101" t="s">
        <v>579</v>
      </c>
      <c r="P561" s="102">
        <f t="shared" si="299"/>
        <v>2.1440000000000001</v>
      </c>
      <c r="Q561" s="102">
        <v>5</v>
      </c>
      <c r="R561" s="99">
        <v>350</v>
      </c>
      <c r="S561" s="55">
        <f t="shared" si="348"/>
        <v>45684</v>
      </c>
      <c r="T561" s="55"/>
      <c r="U561" s="56">
        <f t="shared" ca="1" si="269"/>
        <v>-156</v>
      </c>
      <c r="V561" s="55">
        <f t="shared" si="349"/>
        <v>45700</v>
      </c>
      <c r="W561" s="55"/>
      <c r="X561" s="56">
        <f t="shared" ca="1" si="270"/>
        <v>-140</v>
      </c>
      <c r="Y561" s="55"/>
      <c r="Z561" s="57"/>
      <c r="AA561" s="58" t="str">
        <f t="shared" si="324"/>
        <v>-</v>
      </c>
      <c r="AB561" s="59"/>
      <c r="AC561" s="58" t="str">
        <f t="shared" si="325"/>
        <v/>
      </c>
      <c r="AD561" s="59"/>
      <c r="AE561" s="58" t="str">
        <f t="shared" si="326"/>
        <v/>
      </c>
      <c r="AF561" s="59"/>
      <c r="AG561" s="58" t="str">
        <f t="shared" si="327"/>
        <v/>
      </c>
      <c r="AH561" s="59"/>
      <c r="AI561" s="58" t="str">
        <f t="shared" si="328"/>
        <v/>
      </c>
      <c r="AJ561" s="59"/>
      <c r="AK561" s="58" t="str">
        <f t="shared" si="329"/>
        <v/>
      </c>
      <c r="AL561" s="59"/>
      <c r="AM561" s="58" t="str">
        <f t="shared" si="330"/>
        <v/>
      </c>
      <c r="AN561" s="59"/>
      <c r="AO561" s="58" t="str">
        <f t="shared" si="331"/>
        <v/>
      </c>
      <c r="AP561" s="59"/>
      <c r="AQ561" s="58" t="str">
        <f t="shared" si="332"/>
        <v/>
      </c>
      <c r="AR561" s="59"/>
      <c r="AS561" s="58" t="str">
        <f t="shared" si="333"/>
        <v/>
      </c>
      <c r="AT561" s="59"/>
      <c r="AU561" s="58" t="str">
        <f t="shared" si="334"/>
        <v/>
      </c>
      <c r="AV561" s="59"/>
      <c r="AW561" s="58" t="str">
        <f t="shared" si="335"/>
        <v/>
      </c>
      <c r="AX561" s="59"/>
      <c r="AY561" s="58" t="str">
        <f t="shared" si="336"/>
        <v/>
      </c>
      <c r="AZ561" s="59"/>
      <c r="BA561" s="58" t="str">
        <f t="shared" si="337"/>
        <v/>
      </c>
      <c r="BB561" s="59"/>
      <c r="BC561" s="58" t="str">
        <f t="shared" si="338"/>
        <v/>
      </c>
      <c r="BD561" s="59"/>
      <c r="BE561" s="58" t="str">
        <f t="shared" si="339"/>
        <v/>
      </c>
      <c r="BF561" s="59"/>
      <c r="BG561" s="58" t="str">
        <f t="shared" si="340"/>
        <v/>
      </c>
      <c r="BH561" s="59"/>
      <c r="BI561" s="58" t="str">
        <f t="shared" si="341"/>
        <v/>
      </c>
      <c r="BJ561" s="59"/>
      <c r="BK561" s="58">
        <f t="shared" si="342"/>
        <v>3752</v>
      </c>
      <c r="BL561" s="59"/>
      <c r="BM561" s="58" t="str">
        <f t="shared" si="343"/>
        <v/>
      </c>
      <c r="BN561" s="59"/>
      <c r="BO561" s="58" t="str">
        <f t="shared" si="344"/>
        <v/>
      </c>
      <c r="BP561" s="59"/>
      <c r="BQ561" s="58" t="str">
        <f t="shared" si="345"/>
        <v/>
      </c>
      <c r="BR561" s="59"/>
      <c r="BS561" s="58" t="str">
        <f t="shared" si="346"/>
        <v/>
      </c>
      <c r="BT561" s="59"/>
      <c r="BU561" s="58" t="str">
        <f t="shared" si="347"/>
        <v/>
      </c>
      <c r="BV561" s="59"/>
    </row>
    <row r="562" spans="1:74" ht="14.5">
      <c r="A562" s="51" t="s">
        <v>58</v>
      </c>
      <c r="B562" s="52">
        <v>409</v>
      </c>
      <c r="C562" s="52" t="s">
        <v>188</v>
      </c>
      <c r="D562" s="41">
        <f t="shared" si="296"/>
        <v>9</v>
      </c>
      <c r="E562" s="52" t="s">
        <v>81</v>
      </c>
      <c r="F562" s="52" t="s">
        <v>290</v>
      </c>
      <c r="G562" s="52" t="s">
        <v>291</v>
      </c>
      <c r="H562" s="52" t="s">
        <v>435</v>
      </c>
      <c r="I562" s="53">
        <v>45716</v>
      </c>
      <c r="J562" s="108">
        <v>1560</v>
      </c>
      <c r="K562" s="101"/>
      <c r="L562" s="101"/>
      <c r="M562" s="101">
        <f t="shared" si="297"/>
        <v>1560</v>
      </c>
      <c r="N562" s="54">
        <f t="shared" si="298"/>
        <v>1560</v>
      </c>
      <c r="O562" s="101" t="s">
        <v>436</v>
      </c>
      <c r="P562" s="102">
        <f t="shared" si="299"/>
        <v>0.16666666666666666</v>
      </c>
      <c r="Q562" s="102">
        <v>6</v>
      </c>
      <c r="R562" s="100">
        <v>1560</v>
      </c>
      <c r="S562" s="55">
        <f t="shared" si="348"/>
        <v>45684</v>
      </c>
      <c r="T562" s="55"/>
      <c r="U562" s="56">
        <f t="shared" ref="U562:U625" ca="1" si="350">+IF(T562="",S562-TODAY(),S562-T562)</f>
        <v>-156</v>
      </c>
      <c r="V562" s="55">
        <f t="shared" si="349"/>
        <v>45700</v>
      </c>
      <c r="W562" s="55"/>
      <c r="X562" s="56">
        <f t="shared" ref="X562:X625" ca="1" si="351">+IF(W562="",V562-TODAY(),V562-W562)</f>
        <v>-140</v>
      </c>
      <c r="Y562" s="55"/>
      <c r="Z562" s="57"/>
      <c r="AA562" s="58" t="str">
        <f t="shared" si="324"/>
        <v>-</v>
      </c>
      <c r="AB562" s="59"/>
      <c r="AC562" s="58" t="str">
        <f t="shared" si="325"/>
        <v/>
      </c>
      <c r="AD562" s="59"/>
      <c r="AE562" s="58" t="str">
        <f t="shared" si="326"/>
        <v/>
      </c>
      <c r="AF562" s="59"/>
      <c r="AG562" s="58" t="str">
        <f t="shared" si="327"/>
        <v/>
      </c>
      <c r="AH562" s="59"/>
      <c r="AI562" s="58" t="str">
        <f t="shared" si="328"/>
        <v/>
      </c>
      <c r="AJ562" s="59"/>
      <c r="AK562" s="58" t="str">
        <f t="shared" si="329"/>
        <v/>
      </c>
      <c r="AL562" s="59"/>
      <c r="AM562" s="58" t="str">
        <f t="shared" si="330"/>
        <v/>
      </c>
      <c r="AN562" s="59"/>
      <c r="AO562" s="58" t="str">
        <f t="shared" si="331"/>
        <v/>
      </c>
      <c r="AP562" s="59"/>
      <c r="AQ562" s="58" t="str">
        <f t="shared" si="332"/>
        <v/>
      </c>
      <c r="AR562" s="59"/>
      <c r="AS562" s="58" t="str">
        <f t="shared" si="333"/>
        <v/>
      </c>
      <c r="AT562" s="59"/>
      <c r="AU562" s="58" t="str">
        <f t="shared" si="334"/>
        <v/>
      </c>
      <c r="AV562" s="59"/>
      <c r="AW562" s="58" t="str">
        <f t="shared" si="335"/>
        <v/>
      </c>
      <c r="AX562" s="59"/>
      <c r="AY562" s="58" t="str">
        <f t="shared" si="336"/>
        <v/>
      </c>
      <c r="AZ562" s="59"/>
      <c r="BA562" s="58" t="str">
        <f t="shared" si="337"/>
        <v/>
      </c>
      <c r="BB562" s="59"/>
      <c r="BC562" s="58" t="str">
        <f t="shared" si="338"/>
        <v/>
      </c>
      <c r="BD562" s="59"/>
      <c r="BE562" s="58" t="str">
        <f t="shared" si="339"/>
        <v/>
      </c>
      <c r="BF562" s="59"/>
      <c r="BG562" s="58" t="str">
        <f t="shared" si="340"/>
        <v/>
      </c>
      <c r="BH562" s="59"/>
      <c r="BI562" s="58" t="str">
        <f t="shared" si="341"/>
        <v/>
      </c>
      <c r="BJ562" s="59"/>
      <c r="BK562" s="58">
        <f t="shared" si="342"/>
        <v>1560</v>
      </c>
      <c r="BL562" s="59"/>
      <c r="BM562" s="58" t="str">
        <f t="shared" si="343"/>
        <v/>
      </c>
      <c r="BN562" s="59"/>
      <c r="BO562" s="58" t="str">
        <f t="shared" si="344"/>
        <v/>
      </c>
      <c r="BP562" s="59"/>
      <c r="BQ562" s="58" t="str">
        <f t="shared" si="345"/>
        <v/>
      </c>
      <c r="BR562" s="59"/>
      <c r="BS562" s="58" t="str">
        <f t="shared" si="346"/>
        <v/>
      </c>
      <c r="BT562" s="59"/>
      <c r="BU562" s="58" t="str">
        <f t="shared" si="347"/>
        <v/>
      </c>
      <c r="BV562" s="59"/>
    </row>
    <row r="563" spans="1:74" ht="14.5">
      <c r="A563" s="51" t="s">
        <v>58</v>
      </c>
      <c r="B563" s="52">
        <v>409</v>
      </c>
      <c r="C563" s="52" t="s">
        <v>188</v>
      </c>
      <c r="D563" s="41">
        <f t="shared" si="296"/>
        <v>9</v>
      </c>
      <c r="E563" s="52" t="s">
        <v>81</v>
      </c>
      <c r="F563" s="52" t="s">
        <v>290</v>
      </c>
      <c r="G563" s="52" t="s">
        <v>293</v>
      </c>
      <c r="H563" s="52" t="s">
        <v>435</v>
      </c>
      <c r="I563" s="53">
        <v>45716</v>
      </c>
      <c r="J563" s="108">
        <v>1560</v>
      </c>
      <c r="K563" s="101"/>
      <c r="L563" s="101"/>
      <c r="M563" s="101">
        <f t="shared" si="297"/>
        <v>1560</v>
      </c>
      <c r="N563" s="54">
        <f t="shared" si="298"/>
        <v>1560</v>
      </c>
      <c r="O563" s="101" t="s">
        <v>436</v>
      </c>
      <c r="P563" s="102">
        <f t="shared" si="299"/>
        <v>0.16666666666666666</v>
      </c>
      <c r="Q563" s="102">
        <v>6</v>
      </c>
      <c r="R563" s="100">
        <v>1560</v>
      </c>
      <c r="S563" s="55">
        <f t="shared" si="348"/>
        <v>45684</v>
      </c>
      <c r="T563" s="55"/>
      <c r="U563" s="56">
        <f t="shared" ca="1" si="350"/>
        <v>-156</v>
      </c>
      <c r="V563" s="55">
        <f t="shared" si="349"/>
        <v>45700</v>
      </c>
      <c r="W563" s="55"/>
      <c r="X563" s="56">
        <f t="shared" ca="1" si="351"/>
        <v>-140</v>
      </c>
      <c r="Y563" s="55"/>
      <c r="Z563" s="57"/>
      <c r="AA563" s="58" t="str">
        <f t="shared" si="324"/>
        <v>-</v>
      </c>
      <c r="AB563" s="59"/>
      <c r="AC563" s="58" t="str">
        <f t="shared" si="325"/>
        <v/>
      </c>
      <c r="AD563" s="59"/>
      <c r="AE563" s="58" t="str">
        <f t="shared" si="326"/>
        <v/>
      </c>
      <c r="AF563" s="59"/>
      <c r="AG563" s="58" t="str">
        <f t="shared" si="327"/>
        <v/>
      </c>
      <c r="AH563" s="59"/>
      <c r="AI563" s="58" t="str">
        <f t="shared" si="328"/>
        <v/>
      </c>
      <c r="AJ563" s="59"/>
      <c r="AK563" s="58" t="str">
        <f t="shared" si="329"/>
        <v/>
      </c>
      <c r="AL563" s="59"/>
      <c r="AM563" s="58" t="str">
        <f t="shared" si="330"/>
        <v/>
      </c>
      <c r="AN563" s="59"/>
      <c r="AO563" s="58" t="str">
        <f t="shared" si="331"/>
        <v/>
      </c>
      <c r="AP563" s="59"/>
      <c r="AQ563" s="58" t="str">
        <f t="shared" si="332"/>
        <v/>
      </c>
      <c r="AR563" s="59"/>
      <c r="AS563" s="58" t="str">
        <f t="shared" si="333"/>
        <v/>
      </c>
      <c r="AT563" s="59"/>
      <c r="AU563" s="58" t="str">
        <f t="shared" si="334"/>
        <v/>
      </c>
      <c r="AV563" s="59"/>
      <c r="AW563" s="58" t="str">
        <f t="shared" si="335"/>
        <v/>
      </c>
      <c r="AX563" s="59"/>
      <c r="AY563" s="58" t="str">
        <f t="shared" si="336"/>
        <v/>
      </c>
      <c r="AZ563" s="59"/>
      <c r="BA563" s="58" t="str">
        <f t="shared" si="337"/>
        <v/>
      </c>
      <c r="BB563" s="59"/>
      <c r="BC563" s="58" t="str">
        <f t="shared" si="338"/>
        <v/>
      </c>
      <c r="BD563" s="59"/>
      <c r="BE563" s="58" t="str">
        <f t="shared" si="339"/>
        <v/>
      </c>
      <c r="BF563" s="59"/>
      <c r="BG563" s="58" t="str">
        <f t="shared" si="340"/>
        <v/>
      </c>
      <c r="BH563" s="59"/>
      <c r="BI563" s="58" t="str">
        <f t="shared" si="341"/>
        <v/>
      </c>
      <c r="BJ563" s="59"/>
      <c r="BK563" s="58">
        <f t="shared" si="342"/>
        <v>1560</v>
      </c>
      <c r="BL563" s="59"/>
      <c r="BM563" s="58" t="str">
        <f t="shared" si="343"/>
        <v/>
      </c>
      <c r="BN563" s="59"/>
      <c r="BO563" s="58" t="str">
        <f t="shared" si="344"/>
        <v/>
      </c>
      <c r="BP563" s="59"/>
      <c r="BQ563" s="58" t="str">
        <f t="shared" si="345"/>
        <v/>
      </c>
      <c r="BR563" s="59"/>
      <c r="BS563" s="58" t="str">
        <f t="shared" si="346"/>
        <v/>
      </c>
      <c r="BT563" s="59"/>
      <c r="BU563" s="58" t="str">
        <f t="shared" si="347"/>
        <v/>
      </c>
      <c r="BV563" s="59"/>
    </row>
    <row r="564" spans="1:74" ht="14.5">
      <c r="A564" s="51" t="s">
        <v>58</v>
      </c>
      <c r="B564" s="52">
        <v>409</v>
      </c>
      <c r="C564" s="52" t="s">
        <v>188</v>
      </c>
      <c r="D564" s="41">
        <f t="shared" si="296"/>
        <v>9</v>
      </c>
      <c r="E564" s="52" t="s">
        <v>81</v>
      </c>
      <c r="F564" s="52" t="s">
        <v>290</v>
      </c>
      <c r="G564" s="52" t="s">
        <v>294</v>
      </c>
      <c r="H564" s="52" t="s">
        <v>435</v>
      </c>
      <c r="I564" s="53">
        <v>45716</v>
      </c>
      <c r="J564" s="108">
        <v>1560</v>
      </c>
      <c r="K564" s="101"/>
      <c r="L564" s="101"/>
      <c r="M564" s="101">
        <f t="shared" si="297"/>
        <v>1560</v>
      </c>
      <c r="N564" s="54">
        <f t="shared" si="298"/>
        <v>1560</v>
      </c>
      <c r="O564" s="101" t="s">
        <v>436</v>
      </c>
      <c r="P564" s="102">
        <f t="shared" si="299"/>
        <v>0.16666666666666666</v>
      </c>
      <c r="Q564" s="102">
        <v>6</v>
      </c>
      <c r="R564" s="100">
        <v>1560</v>
      </c>
      <c r="S564" s="55">
        <f t="shared" si="348"/>
        <v>45684</v>
      </c>
      <c r="T564" s="55"/>
      <c r="U564" s="56">
        <f t="shared" ca="1" si="350"/>
        <v>-156</v>
      </c>
      <c r="V564" s="55">
        <f t="shared" si="349"/>
        <v>45700</v>
      </c>
      <c r="W564" s="55"/>
      <c r="X564" s="56">
        <f t="shared" ca="1" si="351"/>
        <v>-140</v>
      </c>
      <c r="Y564" s="55"/>
      <c r="Z564" s="57"/>
      <c r="AA564" s="58" t="str">
        <f t="shared" si="324"/>
        <v>-</v>
      </c>
      <c r="AB564" s="59"/>
      <c r="AC564" s="58" t="str">
        <f t="shared" si="325"/>
        <v/>
      </c>
      <c r="AD564" s="59"/>
      <c r="AE564" s="58" t="str">
        <f t="shared" si="326"/>
        <v/>
      </c>
      <c r="AF564" s="59"/>
      <c r="AG564" s="58" t="str">
        <f t="shared" si="327"/>
        <v/>
      </c>
      <c r="AH564" s="59"/>
      <c r="AI564" s="58" t="str">
        <f t="shared" si="328"/>
        <v/>
      </c>
      <c r="AJ564" s="59"/>
      <c r="AK564" s="58" t="str">
        <f t="shared" si="329"/>
        <v/>
      </c>
      <c r="AL564" s="59"/>
      <c r="AM564" s="58" t="str">
        <f t="shared" si="330"/>
        <v/>
      </c>
      <c r="AN564" s="59"/>
      <c r="AO564" s="58" t="str">
        <f t="shared" si="331"/>
        <v/>
      </c>
      <c r="AP564" s="59"/>
      <c r="AQ564" s="58" t="str">
        <f t="shared" si="332"/>
        <v/>
      </c>
      <c r="AR564" s="59"/>
      <c r="AS564" s="58" t="str">
        <f t="shared" si="333"/>
        <v/>
      </c>
      <c r="AT564" s="59"/>
      <c r="AU564" s="58" t="str">
        <f t="shared" si="334"/>
        <v/>
      </c>
      <c r="AV564" s="59"/>
      <c r="AW564" s="58" t="str">
        <f t="shared" si="335"/>
        <v/>
      </c>
      <c r="AX564" s="59"/>
      <c r="AY564" s="58" t="str">
        <f t="shared" si="336"/>
        <v/>
      </c>
      <c r="AZ564" s="59"/>
      <c r="BA564" s="58" t="str">
        <f t="shared" si="337"/>
        <v/>
      </c>
      <c r="BB564" s="59"/>
      <c r="BC564" s="58" t="str">
        <f t="shared" si="338"/>
        <v/>
      </c>
      <c r="BD564" s="59"/>
      <c r="BE564" s="58" t="str">
        <f t="shared" si="339"/>
        <v/>
      </c>
      <c r="BF564" s="59"/>
      <c r="BG564" s="58" t="str">
        <f t="shared" si="340"/>
        <v/>
      </c>
      <c r="BH564" s="59"/>
      <c r="BI564" s="58" t="str">
        <f t="shared" si="341"/>
        <v/>
      </c>
      <c r="BJ564" s="59"/>
      <c r="BK564" s="58">
        <f t="shared" si="342"/>
        <v>1560</v>
      </c>
      <c r="BL564" s="59"/>
      <c r="BM564" s="58" t="str">
        <f t="shared" si="343"/>
        <v/>
      </c>
      <c r="BN564" s="59"/>
      <c r="BO564" s="58" t="str">
        <f t="shared" si="344"/>
        <v/>
      </c>
      <c r="BP564" s="59"/>
      <c r="BQ564" s="58" t="str">
        <f t="shared" si="345"/>
        <v/>
      </c>
      <c r="BR564" s="59"/>
      <c r="BS564" s="58" t="str">
        <f t="shared" si="346"/>
        <v/>
      </c>
      <c r="BT564" s="59"/>
      <c r="BU564" s="58" t="str">
        <f t="shared" si="347"/>
        <v/>
      </c>
      <c r="BV564" s="59"/>
    </row>
    <row r="565" spans="1:74" ht="14.5">
      <c r="A565" s="51" t="s">
        <v>58</v>
      </c>
      <c r="B565" s="52">
        <v>409</v>
      </c>
      <c r="C565" s="52" t="s">
        <v>188</v>
      </c>
      <c r="D565" s="41">
        <f t="shared" si="296"/>
        <v>9</v>
      </c>
      <c r="E565" s="52" t="s">
        <v>157</v>
      </c>
      <c r="F565" s="52" t="s">
        <v>243</v>
      </c>
      <c r="G565" s="52" t="s">
        <v>162</v>
      </c>
      <c r="H565" s="52" t="s">
        <v>428</v>
      </c>
      <c r="I565" s="53">
        <v>45716</v>
      </c>
      <c r="J565" s="108">
        <v>2472</v>
      </c>
      <c r="K565" s="101"/>
      <c r="L565" s="101"/>
      <c r="M565" s="101">
        <f t="shared" si="297"/>
        <v>2472</v>
      </c>
      <c r="N565" s="54">
        <f t="shared" si="298"/>
        <v>2472</v>
      </c>
      <c r="O565" s="101" t="s">
        <v>429</v>
      </c>
      <c r="P565" s="102">
        <f t="shared" si="299"/>
        <v>0.41199999999999998</v>
      </c>
      <c r="Q565" s="102">
        <v>6</v>
      </c>
      <c r="R565" s="99">
        <v>1000</v>
      </c>
      <c r="S565" s="55">
        <f t="shared" si="348"/>
        <v>45684</v>
      </c>
      <c r="T565" s="55"/>
      <c r="U565" s="56">
        <f t="shared" ca="1" si="350"/>
        <v>-156</v>
      </c>
      <c r="V565" s="55">
        <f t="shared" si="349"/>
        <v>45700</v>
      </c>
      <c r="W565" s="55"/>
      <c r="X565" s="56">
        <f t="shared" ca="1" si="351"/>
        <v>-140</v>
      </c>
      <c r="Y565" s="55"/>
      <c r="Z565" s="57"/>
      <c r="AA565" s="58" t="str">
        <f t="shared" si="324"/>
        <v>-</v>
      </c>
      <c r="AB565" s="59"/>
      <c r="AC565" s="58" t="str">
        <f t="shared" si="325"/>
        <v/>
      </c>
      <c r="AD565" s="59"/>
      <c r="AE565" s="58" t="str">
        <f t="shared" si="326"/>
        <v/>
      </c>
      <c r="AF565" s="59"/>
      <c r="AG565" s="58" t="str">
        <f t="shared" si="327"/>
        <v/>
      </c>
      <c r="AH565" s="59"/>
      <c r="AI565" s="58" t="str">
        <f t="shared" si="328"/>
        <v/>
      </c>
      <c r="AJ565" s="59"/>
      <c r="AK565" s="58" t="str">
        <f t="shared" si="329"/>
        <v/>
      </c>
      <c r="AL565" s="59"/>
      <c r="AM565" s="58" t="str">
        <f t="shared" si="330"/>
        <v/>
      </c>
      <c r="AN565" s="59"/>
      <c r="AO565" s="58" t="str">
        <f t="shared" si="331"/>
        <v/>
      </c>
      <c r="AP565" s="59"/>
      <c r="AQ565" s="58" t="str">
        <f t="shared" si="332"/>
        <v/>
      </c>
      <c r="AR565" s="59"/>
      <c r="AS565" s="58" t="str">
        <f t="shared" si="333"/>
        <v/>
      </c>
      <c r="AT565" s="59"/>
      <c r="AU565" s="58" t="str">
        <f t="shared" si="334"/>
        <v/>
      </c>
      <c r="AV565" s="59"/>
      <c r="AW565" s="58" t="str">
        <f t="shared" si="335"/>
        <v/>
      </c>
      <c r="AX565" s="59"/>
      <c r="AY565" s="58" t="str">
        <f t="shared" si="336"/>
        <v/>
      </c>
      <c r="AZ565" s="59"/>
      <c r="BA565" s="58" t="str">
        <f t="shared" si="337"/>
        <v/>
      </c>
      <c r="BB565" s="59"/>
      <c r="BC565" s="58" t="str">
        <f t="shared" si="338"/>
        <v/>
      </c>
      <c r="BD565" s="59"/>
      <c r="BE565" s="58" t="str">
        <f t="shared" si="339"/>
        <v/>
      </c>
      <c r="BF565" s="59"/>
      <c r="BG565" s="58" t="str">
        <f t="shared" si="340"/>
        <v/>
      </c>
      <c r="BH565" s="59"/>
      <c r="BI565" s="58" t="str">
        <f t="shared" si="341"/>
        <v/>
      </c>
      <c r="BJ565" s="59"/>
      <c r="BK565" s="58">
        <f t="shared" si="342"/>
        <v>2472</v>
      </c>
      <c r="BL565" s="59"/>
      <c r="BM565" s="58" t="str">
        <f t="shared" si="343"/>
        <v/>
      </c>
      <c r="BN565" s="59"/>
      <c r="BO565" s="58" t="str">
        <f t="shared" si="344"/>
        <v/>
      </c>
      <c r="BP565" s="59"/>
      <c r="BQ565" s="58" t="str">
        <f t="shared" si="345"/>
        <v/>
      </c>
      <c r="BR565" s="59"/>
      <c r="BS565" s="58" t="str">
        <f t="shared" si="346"/>
        <v/>
      </c>
      <c r="BT565" s="59"/>
      <c r="BU565" s="58" t="str">
        <f t="shared" si="347"/>
        <v/>
      </c>
      <c r="BV565" s="59"/>
    </row>
    <row r="566" spans="1:74" ht="14.5">
      <c r="A566" s="51" t="s">
        <v>58</v>
      </c>
      <c r="B566" s="52">
        <v>409</v>
      </c>
      <c r="C566" s="52" t="s">
        <v>188</v>
      </c>
      <c r="D566" s="41">
        <f t="shared" si="296"/>
        <v>9</v>
      </c>
      <c r="E566" s="52" t="s">
        <v>390</v>
      </c>
      <c r="F566" s="52" t="s">
        <v>242</v>
      </c>
      <c r="G566" s="52" t="s">
        <v>162</v>
      </c>
      <c r="H566" s="52" t="s">
        <v>430</v>
      </c>
      <c r="I566" s="53">
        <v>45716</v>
      </c>
      <c r="J566" s="108">
        <v>3372</v>
      </c>
      <c r="K566" s="101"/>
      <c r="L566" s="101"/>
      <c r="M566" s="101">
        <f t="shared" si="297"/>
        <v>3372</v>
      </c>
      <c r="N566" s="54">
        <f t="shared" si="298"/>
        <v>3372</v>
      </c>
      <c r="O566" s="101" t="s">
        <v>431</v>
      </c>
      <c r="P566" s="102">
        <f t="shared" si="299"/>
        <v>4.6833333333333336</v>
      </c>
      <c r="Q566" s="102">
        <v>6</v>
      </c>
      <c r="R566" s="99">
        <v>120</v>
      </c>
      <c r="S566" s="55">
        <f t="shared" si="348"/>
        <v>45684</v>
      </c>
      <c r="T566" s="55"/>
      <c r="U566" s="56">
        <f t="shared" ca="1" si="350"/>
        <v>-156</v>
      </c>
      <c r="V566" s="55">
        <f t="shared" si="349"/>
        <v>45700</v>
      </c>
      <c r="W566" s="55"/>
      <c r="X566" s="56">
        <f t="shared" ca="1" si="351"/>
        <v>-140</v>
      </c>
      <c r="Y566" s="55"/>
      <c r="Z566" s="57"/>
      <c r="AA566" s="58" t="str">
        <f t="shared" si="324"/>
        <v>-</v>
      </c>
      <c r="AB566" s="59"/>
      <c r="AC566" s="58" t="str">
        <f t="shared" si="325"/>
        <v/>
      </c>
      <c r="AD566" s="59"/>
      <c r="AE566" s="58" t="str">
        <f t="shared" si="326"/>
        <v/>
      </c>
      <c r="AF566" s="59"/>
      <c r="AG566" s="58" t="str">
        <f t="shared" si="327"/>
        <v/>
      </c>
      <c r="AH566" s="59"/>
      <c r="AI566" s="58" t="str">
        <f t="shared" si="328"/>
        <v/>
      </c>
      <c r="AJ566" s="59"/>
      <c r="AK566" s="58" t="str">
        <f t="shared" si="329"/>
        <v/>
      </c>
      <c r="AL566" s="59"/>
      <c r="AM566" s="58" t="str">
        <f t="shared" si="330"/>
        <v/>
      </c>
      <c r="AN566" s="59"/>
      <c r="AO566" s="58" t="str">
        <f t="shared" si="331"/>
        <v/>
      </c>
      <c r="AP566" s="59"/>
      <c r="AQ566" s="58" t="str">
        <f t="shared" si="332"/>
        <v/>
      </c>
      <c r="AR566" s="59"/>
      <c r="AS566" s="58" t="str">
        <f t="shared" si="333"/>
        <v/>
      </c>
      <c r="AT566" s="59"/>
      <c r="AU566" s="58" t="str">
        <f t="shared" si="334"/>
        <v/>
      </c>
      <c r="AV566" s="59"/>
      <c r="AW566" s="58" t="str">
        <f t="shared" si="335"/>
        <v/>
      </c>
      <c r="AX566" s="59"/>
      <c r="AY566" s="58" t="str">
        <f t="shared" si="336"/>
        <v/>
      </c>
      <c r="AZ566" s="59"/>
      <c r="BA566" s="58" t="str">
        <f t="shared" si="337"/>
        <v/>
      </c>
      <c r="BB566" s="59"/>
      <c r="BC566" s="58" t="str">
        <f t="shared" si="338"/>
        <v/>
      </c>
      <c r="BD566" s="59"/>
      <c r="BE566" s="58" t="str">
        <f t="shared" si="339"/>
        <v/>
      </c>
      <c r="BF566" s="59"/>
      <c r="BG566" s="58" t="str">
        <f t="shared" si="340"/>
        <v/>
      </c>
      <c r="BH566" s="59"/>
      <c r="BI566" s="58" t="str">
        <f t="shared" si="341"/>
        <v/>
      </c>
      <c r="BJ566" s="59"/>
      <c r="BK566" s="58">
        <f t="shared" si="342"/>
        <v>3372</v>
      </c>
      <c r="BL566" s="59"/>
      <c r="BM566" s="58" t="str">
        <f t="shared" si="343"/>
        <v/>
      </c>
      <c r="BN566" s="59"/>
      <c r="BO566" s="58" t="str">
        <f t="shared" si="344"/>
        <v/>
      </c>
      <c r="BP566" s="59"/>
      <c r="BQ566" s="58" t="str">
        <f t="shared" si="345"/>
        <v/>
      </c>
      <c r="BR566" s="59"/>
      <c r="BS566" s="58" t="str">
        <f t="shared" si="346"/>
        <v/>
      </c>
      <c r="BT566" s="59"/>
      <c r="BU566" s="58" t="str">
        <f t="shared" si="347"/>
        <v/>
      </c>
      <c r="BV566" s="59"/>
    </row>
    <row r="567" spans="1:74" ht="14.5">
      <c r="A567" s="51" t="s">
        <v>58</v>
      </c>
      <c r="B567" s="52">
        <v>412</v>
      </c>
      <c r="C567" s="52" t="s">
        <v>188</v>
      </c>
      <c r="D567" s="41">
        <f t="shared" si="296"/>
        <v>9</v>
      </c>
      <c r="E567" s="52" t="s">
        <v>157</v>
      </c>
      <c r="F567" s="52" t="s">
        <v>243</v>
      </c>
      <c r="G567" s="52" t="s">
        <v>162</v>
      </c>
      <c r="H567" s="52" t="s">
        <v>428</v>
      </c>
      <c r="I567" s="53">
        <v>45716</v>
      </c>
      <c r="J567" s="108">
        <v>2754</v>
      </c>
      <c r="K567" s="101"/>
      <c r="L567" s="101"/>
      <c r="M567" s="101">
        <f t="shared" si="297"/>
        <v>2754</v>
      </c>
      <c r="N567" s="54">
        <f t="shared" si="298"/>
        <v>2754</v>
      </c>
      <c r="O567" s="101" t="s">
        <v>429</v>
      </c>
      <c r="P567" s="102">
        <f t="shared" si="299"/>
        <v>0.45900000000000002</v>
      </c>
      <c r="Q567" s="102">
        <v>6</v>
      </c>
      <c r="R567" s="99">
        <v>1000</v>
      </c>
      <c r="S567" s="55">
        <f t="shared" si="348"/>
        <v>45684</v>
      </c>
      <c r="T567" s="55"/>
      <c r="U567" s="56">
        <f t="shared" ca="1" si="350"/>
        <v>-156</v>
      </c>
      <c r="V567" s="55">
        <f t="shared" si="349"/>
        <v>45700</v>
      </c>
      <c r="W567" s="55"/>
      <c r="X567" s="56">
        <f t="shared" ca="1" si="351"/>
        <v>-140</v>
      </c>
      <c r="Y567" s="55"/>
      <c r="Z567" s="57"/>
      <c r="AA567" s="58" t="str">
        <f t="shared" si="324"/>
        <v>-</v>
      </c>
      <c r="AB567" s="59"/>
      <c r="AC567" s="58" t="str">
        <f t="shared" si="325"/>
        <v/>
      </c>
      <c r="AD567" s="59"/>
      <c r="AE567" s="58" t="str">
        <f t="shared" si="326"/>
        <v/>
      </c>
      <c r="AF567" s="59"/>
      <c r="AG567" s="58" t="str">
        <f t="shared" si="327"/>
        <v/>
      </c>
      <c r="AH567" s="59"/>
      <c r="AI567" s="58" t="str">
        <f t="shared" si="328"/>
        <v/>
      </c>
      <c r="AJ567" s="59"/>
      <c r="AK567" s="58" t="str">
        <f t="shared" si="329"/>
        <v/>
      </c>
      <c r="AL567" s="59"/>
      <c r="AM567" s="58" t="str">
        <f t="shared" si="330"/>
        <v/>
      </c>
      <c r="AN567" s="59"/>
      <c r="AO567" s="58" t="str">
        <f t="shared" si="331"/>
        <v/>
      </c>
      <c r="AP567" s="59"/>
      <c r="AQ567" s="58" t="str">
        <f t="shared" si="332"/>
        <v/>
      </c>
      <c r="AR567" s="59"/>
      <c r="AS567" s="58" t="str">
        <f t="shared" si="333"/>
        <v/>
      </c>
      <c r="AT567" s="59"/>
      <c r="AU567" s="58" t="str">
        <f t="shared" si="334"/>
        <v/>
      </c>
      <c r="AV567" s="59"/>
      <c r="AW567" s="58" t="str">
        <f t="shared" si="335"/>
        <v/>
      </c>
      <c r="AX567" s="59"/>
      <c r="AY567" s="58" t="str">
        <f t="shared" si="336"/>
        <v/>
      </c>
      <c r="AZ567" s="59"/>
      <c r="BA567" s="58" t="str">
        <f t="shared" si="337"/>
        <v/>
      </c>
      <c r="BB567" s="59"/>
      <c r="BC567" s="58" t="str">
        <f t="shared" si="338"/>
        <v/>
      </c>
      <c r="BD567" s="59"/>
      <c r="BE567" s="58" t="str">
        <f t="shared" si="339"/>
        <v/>
      </c>
      <c r="BF567" s="59"/>
      <c r="BG567" s="58" t="str">
        <f t="shared" si="340"/>
        <v/>
      </c>
      <c r="BH567" s="59"/>
      <c r="BI567" s="58" t="str">
        <f t="shared" si="341"/>
        <v/>
      </c>
      <c r="BJ567" s="59"/>
      <c r="BK567" s="58">
        <f t="shared" si="342"/>
        <v>2754</v>
      </c>
      <c r="BL567" s="59"/>
      <c r="BM567" s="58" t="str">
        <f t="shared" si="343"/>
        <v/>
      </c>
      <c r="BN567" s="59"/>
      <c r="BO567" s="58" t="str">
        <f t="shared" si="344"/>
        <v/>
      </c>
      <c r="BP567" s="59"/>
      <c r="BQ567" s="58" t="str">
        <f t="shared" si="345"/>
        <v/>
      </c>
      <c r="BR567" s="59"/>
      <c r="BS567" s="58" t="str">
        <f t="shared" si="346"/>
        <v/>
      </c>
      <c r="BT567" s="59"/>
      <c r="BU567" s="58" t="str">
        <f t="shared" si="347"/>
        <v/>
      </c>
      <c r="BV567" s="59"/>
    </row>
    <row r="568" spans="1:74" ht="14.5">
      <c r="A568" s="51" t="s">
        <v>58</v>
      </c>
      <c r="B568" s="52">
        <v>412</v>
      </c>
      <c r="C568" s="52" t="s">
        <v>188</v>
      </c>
      <c r="D568" s="41">
        <f t="shared" si="296"/>
        <v>9</v>
      </c>
      <c r="E568" s="52" t="s">
        <v>158</v>
      </c>
      <c r="F568" s="52" t="s">
        <v>242</v>
      </c>
      <c r="G568" s="52" t="s">
        <v>156</v>
      </c>
      <c r="H568" s="52" t="s">
        <v>432</v>
      </c>
      <c r="I568" s="53">
        <v>45716</v>
      </c>
      <c r="J568" s="108">
        <v>1368</v>
      </c>
      <c r="K568" s="101"/>
      <c r="L568" s="101"/>
      <c r="M568" s="101">
        <f t="shared" si="297"/>
        <v>1368</v>
      </c>
      <c r="N568" s="54">
        <f t="shared" si="298"/>
        <v>1368</v>
      </c>
      <c r="O568" s="101" t="s">
        <v>439</v>
      </c>
      <c r="P568" s="102">
        <f t="shared" si="299"/>
        <v>1.9</v>
      </c>
      <c r="Q568" s="102">
        <v>6</v>
      </c>
      <c r="R568" s="99">
        <v>120</v>
      </c>
      <c r="S568" s="55">
        <f t="shared" si="348"/>
        <v>45684</v>
      </c>
      <c r="T568" s="55"/>
      <c r="U568" s="56">
        <f t="shared" ca="1" si="350"/>
        <v>-156</v>
      </c>
      <c r="V568" s="55">
        <f t="shared" si="349"/>
        <v>45700</v>
      </c>
      <c r="W568" s="55"/>
      <c r="X568" s="56">
        <f t="shared" ca="1" si="351"/>
        <v>-140</v>
      </c>
      <c r="Y568" s="55"/>
      <c r="Z568" s="57"/>
      <c r="AA568" s="58" t="str">
        <f t="shared" si="324"/>
        <v>-</v>
      </c>
      <c r="AB568" s="59"/>
      <c r="AC568" s="58" t="str">
        <f t="shared" si="325"/>
        <v/>
      </c>
      <c r="AD568" s="59"/>
      <c r="AE568" s="58" t="str">
        <f t="shared" si="326"/>
        <v/>
      </c>
      <c r="AF568" s="59"/>
      <c r="AG568" s="58" t="str">
        <f t="shared" si="327"/>
        <v/>
      </c>
      <c r="AH568" s="59"/>
      <c r="AI568" s="58" t="str">
        <f t="shared" si="328"/>
        <v/>
      </c>
      <c r="AJ568" s="59"/>
      <c r="AK568" s="58" t="str">
        <f t="shared" si="329"/>
        <v/>
      </c>
      <c r="AL568" s="59"/>
      <c r="AM568" s="58" t="str">
        <f t="shared" si="330"/>
        <v/>
      </c>
      <c r="AN568" s="59"/>
      <c r="AO568" s="58" t="str">
        <f t="shared" si="331"/>
        <v/>
      </c>
      <c r="AP568" s="59"/>
      <c r="AQ568" s="58" t="str">
        <f t="shared" si="332"/>
        <v/>
      </c>
      <c r="AR568" s="59"/>
      <c r="AS568" s="58" t="str">
        <f t="shared" si="333"/>
        <v/>
      </c>
      <c r="AT568" s="59"/>
      <c r="AU568" s="58" t="str">
        <f t="shared" si="334"/>
        <v/>
      </c>
      <c r="AV568" s="59"/>
      <c r="AW568" s="58" t="str">
        <f t="shared" si="335"/>
        <v/>
      </c>
      <c r="AX568" s="59"/>
      <c r="AY568" s="58" t="str">
        <f t="shared" si="336"/>
        <v/>
      </c>
      <c r="AZ568" s="59"/>
      <c r="BA568" s="58" t="str">
        <f t="shared" si="337"/>
        <v/>
      </c>
      <c r="BB568" s="59"/>
      <c r="BC568" s="58" t="str">
        <f t="shared" si="338"/>
        <v/>
      </c>
      <c r="BD568" s="59"/>
      <c r="BE568" s="58" t="str">
        <f t="shared" si="339"/>
        <v/>
      </c>
      <c r="BF568" s="59"/>
      <c r="BG568" s="58" t="str">
        <f t="shared" si="340"/>
        <v/>
      </c>
      <c r="BH568" s="59"/>
      <c r="BI568" s="58" t="str">
        <f t="shared" si="341"/>
        <v/>
      </c>
      <c r="BJ568" s="59"/>
      <c r="BK568" s="58">
        <f t="shared" si="342"/>
        <v>1368</v>
      </c>
      <c r="BL568" s="59"/>
      <c r="BM568" s="58" t="str">
        <f t="shared" si="343"/>
        <v/>
      </c>
      <c r="BN568" s="59"/>
      <c r="BO568" s="58" t="str">
        <f t="shared" si="344"/>
        <v/>
      </c>
      <c r="BP568" s="59"/>
      <c r="BQ568" s="58" t="str">
        <f t="shared" si="345"/>
        <v/>
      </c>
      <c r="BR568" s="59"/>
      <c r="BS568" s="58" t="str">
        <f t="shared" si="346"/>
        <v/>
      </c>
      <c r="BT568" s="59"/>
      <c r="BU568" s="58" t="str">
        <f t="shared" si="347"/>
        <v/>
      </c>
      <c r="BV568" s="59"/>
    </row>
    <row r="569" spans="1:74" ht="14.5">
      <c r="A569" s="51" t="s">
        <v>58</v>
      </c>
      <c r="B569" s="52">
        <v>412</v>
      </c>
      <c r="C569" s="52" t="s">
        <v>188</v>
      </c>
      <c r="D569" s="41">
        <f t="shared" si="296"/>
        <v>9</v>
      </c>
      <c r="E569" s="52" t="s">
        <v>190</v>
      </c>
      <c r="F569" s="52" t="s">
        <v>242</v>
      </c>
      <c r="G569" s="52" t="s">
        <v>244</v>
      </c>
      <c r="H569" s="52" t="s">
        <v>438</v>
      </c>
      <c r="I569" s="53">
        <v>45716</v>
      </c>
      <c r="J569" s="108">
        <v>1452</v>
      </c>
      <c r="K569" s="101"/>
      <c r="L569" s="101"/>
      <c r="M569" s="101">
        <f t="shared" si="297"/>
        <v>1452</v>
      </c>
      <c r="N569" s="54">
        <f t="shared" si="298"/>
        <v>1452</v>
      </c>
      <c r="O569" s="101" t="s">
        <v>439</v>
      </c>
      <c r="P569" s="102">
        <f t="shared" si="299"/>
        <v>2.0166666666666666</v>
      </c>
      <c r="Q569" s="102">
        <v>6</v>
      </c>
      <c r="R569" s="99">
        <v>120</v>
      </c>
      <c r="S569" s="55">
        <f t="shared" si="348"/>
        <v>45684</v>
      </c>
      <c r="T569" s="55"/>
      <c r="U569" s="56">
        <f t="shared" ca="1" si="350"/>
        <v>-156</v>
      </c>
      <c r="V569" s="55">
        <f t="shared" si="349"/>
        <v>45700</v>
      </c>
      <c r="W569" s="55"/>
      <c r="X569" s="56">
        <f t="shared" ca="1" si="351"/>
        <v>-140</v>
      </c>
      <c r="Y569" s="55"/>
      <c r="Z569" s="57"/>
      <c r="AA569" s="58" t="str">
        <f t="shared" si="324"/>
        <v>-</v>
      </c>
      <c r="AB569" s="59"/>
      <c r="AC569" s="58" t="str">
        <f t="shared" si="325"/>
        <v/>
      </c>
      <c r="AD569" s="59"/>
      <c r="AE569" s="58" t="str">
        <f t="shared" si="326"/>
        <v/>
      </c>
      <c r="AF569" s="59"/>
      <c r="AG569" s="58" t="str">
        <f t="shared" si="327"/>
        <v/>
      </c>
      <c r="AH569" s="59"/>
      <c r="AI569" s="58" t="str">
        <f t="shared" si="328"/>
        <v/>
      </c>
      <c r="AJ569" s="59"/>
      <c r="AK569" s="58" t="str">
        <f t="shared" si="329"/>
        <v/>
      </c>
      <c r="AL569" s="59"/>
      <c r="AM569" s="58" t="str">
        <f t="shared" si="330"/>
        <v/>
      </c>
      <c r="AN569" s="59"/>
      <c r="AO569" s="58" t="str">
        <f t="shared" si="331"/>
        <v/>
      </c>
      <c r="AP569" s="59"/>
      <c r="AQ569" s="58" t="str">
        <f t="shared" si="332"/>
        <v/>
      </c>
      <c r="AR569" s="59"/>
      <c r="AS569" s="58" t="str">
        <f t="shared" si="333"/>
        <v/>
      </c>
      <c r="AT569" s="59"/>
      <c r="AU569" s="58" t="str">
        <f t="shared" si="334"/>
        <v/>
      </c>
      <c r="AV569" s="59"/>
      <c r="AW569" s="58" t="str">
        <f t="shared" si="335"/>
        <v/>
      </c>
      <c r="AX569" s="59"/>
      <c r="AY569" s="58" t="str">
        <f t="shared" si="336"/>
        <v/>
      </c>
      <c r="AZ569" s="59"/>
      <c r="BA569" s="58" t="str">
        <f t="shared" si="337"/>
        <v/>
      </c>
      <c r="BB569" s="59"/>
      <c r="BC569" s="58" t="str">
        <f t="shared" si="338"/>
        <v/>
      </c>
      <c r="BD569" s="59"/>
      <c r="BE569" s="58" t="str">
        <f t="shared" si="339"/>
        <v/>
      </c>
      <c r="BF569" s="59"/>
      <c r="BG569" s="58" t="str">
        <f t="shared" si="340"/>
        <v/>
      </c>
      <c r="BH569" s="59"/>
      <c r="BI569" s="58" t="str">
        <f t="shared" si="341"/>
        <v/>
      </c>
      <c r="BJ569" s="59"/>
      <c r="BK569" s="58">
        <f t="shared" si="342"/>
        <v>1452</v>
      </c>
      <c r="BL569" s="59"/>
      <c r="BM569" s="58" t="str">
        <f t="shared" si="343"/>
        <v/>
      </c>
      <c r="BN569" s="59"/>
      <c r="BO569" s="58" t="str">
        <f t="shared" si="344"/>
        <v/>
      </c>
      <c r="BP569" s="59"/>
      <c r="BQ569" s="58" t="str">
        <f t="shared" si="345"/>
        <v/>
      </c>
      <c r="BR569" s="59"/>
      <c r="BS569" s="58" t="str">
        <f t="shared" si="346"/>
        <v/>
      </c>
      <c r="BT569" s="59"/>
      <c r="BU569" s="58" t="str">
        <f t="shared" si="347"/>
        <v/>
      </c>
      <c r="BV569" s="59"/>
    </row>
    <row r="570" spans="1:74" ht="14.5">
      <c r="A570" s="51" t="s">
        <v>58</v>
      </c>
      <c r="B570" s="52">
        <v>415</v>
      </c>
      <c r="C570" s="52" t="s">
        <v>188</v>
      </c>
      <c r="D570" s="41">
        <f t="shared" si="296"/>
        <v>9</v>
      </c>
      <c r="E570" s="52" t="s">
        <v>157</v>
      </c>
      <c r="F570" s="52" t="s">
        <v>243</v>
      </c>
      <c r="G570" s="52" t="s">
        <v>155</v>
      </c>
      <c r="H570" s="52" t="s">
        <v>428</v>
      </c>
      <c r="I570" s="53">
        <v>45716</v>
      </c>
      <c r="J570" s="108">
        <v>3708</v>
      </c>
      <c r="K570" s="101"/>
      <c r="L570" s="101"/>
      <c r="M570" s="101">
        <f t="shared" si="297"/>
        <v>3708</v>
      </c>
      <c r="N570" s="54">
        <f t="shared" si="298"/>
        <v>3708</v>
      </c>
      <c r="O570" s="101" t="s">
        <v>429</v>
      </c>
      <c r="P570" s="102">
        <f t="shared" si="299"/>
        <v>0.61799999999999999</v>
      </c>
      <c r="Q570" s="102">
        <v>6</v>
      </c>
      <c r="R570" s="99">
        <v>1000</v>
      </c>
      <c r="S570" s="55">
        <f t="shared" si="348"/>
        <v>45684</v>
      </c>
      <c r="T570" s="55"/>
      <c r="U570" s="56">
        <f t="shared" ca="1" si="350"/>
        <v>-156</v>
      </c>
      <c r="V570" s="55">
        <f t="shared" si="349"/>
        <v>45700</v>
      </c>
      <c r="W570" s="55"/>
      <c r="X570" s="56">
        <f t="shared" ca="1" si="351"/>
        <v>-140</v>
      </c>
      <c r="Y570" s="55"/>
      <c r="Z570" s="57"/>
      <c r="AA570" s="58" t="str">
        <f t="shared" si="324"/>
        <v>-</v>
      </c>
      <c r="AB570" s="59"/>
      <c r="AC570" s="58" t="str">
        <f t="shared" si="325"/>
        <v/>
      </c>
      <c r="AD570" s="59"/>
      <c r="AE570" s="58" t="str">
        <f t="shared" si="326"/>
        <v/>
      </c>
      <c r="AF570" s="59"/>
      <c r="AG570" s="58" t="str">
        <f t="shared" si="327"/>
        <v/>
      </c>
      <c r="AH570" s="59"/>
      <c r="AI570" s="58" t="str">
        <f t="shared" si="328"/>
        <v/>
      </c>
      <c r="AJ570" s="59"/>
      <c r="AK570" s="58" t="str">
        <f t="shared" si="329"/>
        <v/>
      </c>
      <c r="AL570" s="59"/>
      <c r="AM570" s="58" t="str">
        <f t="shared" si="330"/>
        <v/>
      </c>
      <c r="AN570" s="59"/>
      <c r="AO570" s="58" t="str">
        <f t="shared" si="331"/>
        <v/>
      </c>
      <c r="AP570" s="59"/>
      <c r="AQ570" s="58" t="str">
        <f t="shared" si="332"/>
        <v/>
      </c>
      <c r="AR570" s="59"/>
      <c r="AS570" s="58" t="str">
        <f t="shared" si="333"/>
        <v/>
      </c>
      <c r="AT570" s="59"/>
      <c r="AU570" s="58" t="str">
        <f t="shared" si="334"/>
        <v/>
      </c>
      <c r="AV570" s="59"/>
      <c r="AW570" s="58" t="str">
        <f t="shared" si="335"/>
        <v/>
      </c>
      <c r="AX570" s="59"/>
      <c r="AY570" s="58" t="str">
        <f t="shared" si="336"/>
        <v/>
      </c>
      <c r="AZ570" s="59"/>
      <c r="BA570" s="58" t="str">
        <f t="shared" si="337"/>
        <v/>
      </c>
      <c r="BB570" s="59"/>
      <c r="BC570" s="58" t="str">
        <f t="shared" si="338"/>
        <v/>
      </c>
      <c r="BD570" s="59"/>
      <c r="BE570" s="58" t="str">
        <f t="shared" si="339"/>
        <v/>
      </c>
      <c r="BF570" s="59"/>
      <c r="BG570" s="58" t="str">
        <f t="shared" si="340"/>
        <v/>
      </c>
      <c r="BH570" s="59"/>
      <c r="BI570" s="58" t="str">
        <f t="shared" si="341"/>
        <v/>
      </c>
      <c r="BJ570" s="59"/>
      <c r="BK570" s="58">
        <f t="shared" si="342"/>
        <v>3708</v>
      </c>
      <c r="BL570" s="59"/>
      <c r="BM570" s="58" t="str">
        <f t="shared" si="343"/>
        <v/>
      </c>
      <c r="BN570" s="59"/>
      <c r="BO570" s="58" t="str">
        <f t="shared" si="344"/>
        <v/>
      </c>
      <c r="BP570" s="59"/>
      <c r="BQ570" s="58" t="str">
        <f t="shared" si="345"/>
        <v/>
      </c>
      <c r="BR570" s="59"/>
      <c r="BS570" s="58" t="str">
        <f t="shared" si="346"/>
        <v/>
      </c>
      <c r="BT570" s="59"/>
      <c r="BU570" s="58" t="str">
        <f t="shared" si="347"/>
        <v/>
      </c>
      <c r="BV570" s="59"/>
    </row>
    <row r="571" spans="1:74" ht="14.5">
      <c r="A571" s="51" t="s">
        <v>58</v>
      </c>
      <c r="B571" s="52">
        <v>415</v>
      </c>
      <c r="C571" s="52" t="s">
        <v>188</v>
      </c>
      <c r="D571" s="41">
        <f t="shared" si="296"/>
        <v>9</v>
      </c>
      <c r="E571" s="52" t="s">
        <v>158</v>
      </c>
      <c r="F571" s="52" t="s">
        <v>242</v>
      </c>
      <c r="G571" s="52" t="s">
        <v>156</v>
      </c>
      <c r="H571" s="52" t="s">
        <v>432</v>
      </c>
      <c r="I571" s="53">
        <v>45716</v>
      </c>
      <c r="J571" s="108">
        <v>1040</v>
      </c>
      <c r="K571" s="101"/>
      <c r="L571" s="101"/>
      <c r="M571" s="101">
        <f t="shared" si="297"/>
        <v>1040</v>
      </c>
      <c r="N571" s="54">
        <f t="shared" si="298"/>
        <v>1040</v>
      </c>
      <c r="O571" s="101" t="s">
        <v>439</v>
      </c>
      <c r="P571" s="102">
        <f t="shared" si="299"/>
        <v>1.4444444444444444</v>
      </c>
      <c r="Q571" s="102">
        <v>6</v>
      </c>
      <c r="R571" s="99">
        <v>120</v>
      </c>
      <c r="S571" s="55">
        <f t="shared" si="348"/>
        <v>45684</v>
      </c>
      <c r="T571" s="55"/>
      <c r="U571" s="56">
        <f t="shared" ca="1" si="350"/>
        <v>-156</v>
      </c>
      <c r="V571" s="55">
        <f t="shared" si="349"/>
        <v>45700</v>
      </c>
      <c r="W571" s="55"/>
      <c r="X571" s="56">
        <f t="shared" ca="1" si="351"/>
        <v>-140</v>
      </c>
      <c r="Y571" s="55"/>
      <c r="Z571" s="57"/>
      <c r="AA571" s="58" t="str">
        <f t="shared" si="324"/>
        <v>-</v>
      </c>
      <c r="AB571" s="59"/>
      <c r="AC571" s="58" t="str">
        <f t="shared" si="325"/>
        <v/>
      </c>
      <c r="AD571" s="59"/>
      <c r="AE571" s="58" t="str">
        <f t="shared" si="326"/>
        <v/>
      </c>
      <c r="AF571" s="59"/>
      <c r="AG571" s="58" t="str">
        <f t="shared" si="327"/>
        <v/>
      </c>
      <c r="AH571" s="59"/>
      <c r="AI571" s="58" t="str">
        <f t="shared" si="328"/>
        <v/>
      </c>
      <c r="AJ571" s="59"/>
      <c r="AK571" s="58" t="str">
        <f t="shared" si="329"/>
        <v/>
      </c>
      <c r="AL571" s="59"/>
      <c r="AM571" s="58" t="str">
        <f t="shared" si="330"/>
        <v/>
      </c>
      <c r="AN571" s="59"/>
      <c r="AO571" s="58" t="str">
        <f t="shared" si="331"/>
        <v/>
      </c>
      <c r="AP571" s="59"/>
      <c r="AQ571" s="58" t="str">
        <f t="shared" si="332"/>
        <v/>
      </c>
      <c r="AR571" s="59"/>
      <c r="AS571" s="58" t="str">
        <f t="shared" si="333"/>
        <v/>
      </c>
      <c r="AT571" s="59"/>
      <c r="AU571" s="58" t="str">
        <f t="shared" si="334"/>
        <v/>
      </c>
      <c r="AV571" s="59"/>
      <c r="AW571" s="58" t="str">
        <f t="shared" si="335"/>
        <v/>
      </c>
      <c r="AX571" s="59"/>
      <c r="AY571" s="58" t="str">
        <f t="shared" si="336"/>
        <v/>
      </c>
      <c r="AZ571" s="59"/>
      <c r="BA571" s="58" t="str">
        <f t="shared" si="337"/>
        <v/>
      </c>
      <c r="BB571" s="59"/>
      <c r="BC571" s="58" t="str">
        <f t="shared" si="338"/>
        <v/>
      </c>
      <c r="BD571" s="59"/>
      <c r="BE571" s="58" t="str">
        <f t="shared" si="339"/>
        <v/>
      </c>
      <c r="BF571" s="59"/>
      <c r="BG571" s="58" t="str">
        <f t="shared" si="340"/>
        <v/>
      </c>
      <c r="BH571" s="59"/>
      <c r="BI571" s="58" t="str">
        <f t="shared" si="341"/>
        <v/>
      </c>
      <c r="BJ571" s="59"/>
      <c r="BK571" s="58">
        <f t="shared" si="342"/>
        <v>1040</v>
      </c>
      <c r="BL571" s="59"/>
      <c r="BM571" s="58" t="str">
        <f t="shared" si="343"/>
        <v/>
      </c>
      <c r="BN571" s="59"/>
      <c r="BO571" s="58" t="str">
        <f t="shared" si="344"/>
        <v/>
      </c>
      <c r="BP571" s="59"/>
      <c r="BQ571" s="58" t="str">
        <f t="shared" si="345"/>
        <v/>
      </c>
      <c r="BR571" s="59"/>
      <c r="BS571" s="58" t="str">
        <f t="shared" si="346"/>
        <v/>
      </c>
      <c r="BT571" s="59"/>
      <c r="BU571" s="58" t="str">
        <f t="shared" si="347"/>
        <v/>
      </c>
      <c r="BV571" s="59"/>
    </row>
    <row r="572" spans="1:74" ht="14.5">
      <c r="A572" s="51" t="s">
        <v>58</v>
      </c>
      <c r="B572" s="52">
        <v>415</v>
      </c>
      <c r="C572" s="52" t="s">
        <v>188</v>
      </c>
      <c r="D572" s="41">
        <f t="shared" si="296"/>
        <v>9</v>
      </c>
      <c r="E572" s="52" t="s">
        <v>190</v>
      </c>
      <c r="F572" s="52" t="s">
        <v>242</v>
      </c>
      <c r="G572" s="52" t="s">
        <v>244</v>
      </c>
      <c r="H572" s="52" t="s">
        <v>438</v>
      </c>
      <c r="I572" s="53">
        <v>45716</v>
      </c>
      <c r="J572" s="108">
        <v>1400</v>
      </c>
      <c r="K572" s="101"/>
      <c r="L572" s="101"/>
      <c r="M572" s="101">
        <f t="shared" si="297"/>
        <v>1400</v>
      </c>
      <c r="N572" s="54">
        <f t="shared" si="298"/>
        <v>1400</v>
      </c>
      <c r="O572" s="101" t="s">
        <v>439</v>
      </c>
      <c r="P572" s="102">
        <f t="shared" si="299"/>
        <v>1.9444444444444444</v>
      </c>
      <c r="Q572" s="102">
        <v>6</v>
      </c>
      <c r="R572" s="99">
        <v>120</v>
      </c>
      <c r="S572" s="55">
        <f t="shared" si="348"/>
        <v>45684</v>
      </c>
      <c r="T572" s="55"/>
      <c r="U572" s="56">
        <f t="shared" ca="1" si="350"/>
        <v>-156</v>
      </c>
      <c r="V572" s="55">
        <f t="shared" si="349"/>
        <v>45700</v>
      </c>
      <c r="W572" s="55"/>
      <c r="X572" s="56">
        <f t="shared" ca="1" si="351"/>
        <v>-140</v>
      </c>
      <c r="Y572" s="55"/>
      <c r="Z572" s="57"/>
      <c r="AA572" s="58" t="str">
        <f t="shared" si="324"/>
        <v>-</v>
      </c>
      <c r="AB572" s="59"/>
      <c r="AC572" s="58" t="str">
        <f t="shared" si="325"/>
        <v/>
      </c>
      <c r="AD572" s="59"/>
      <c r="AE572" s="58" t="str">
        <f t="shared" si="326"/>
        <v/>
      </c>
      <c r="AF572" s="59"/>
      <c r="AG572" s="58" t="str">
        <f t="shared" si="327"/>
        <v/>
      </c>
      <c r="AH572" s="59"/>
      <c r="AI572" s="58" t="str">
        <f t="shared" si="328"/>
        <v/>
      </c>
      <c r="AJ572" s="59"/>
      <c r="AK572" s="58" t="str">
        <f t="shared" si="329"/>
        <v/>
      </c>
      <c r="AL572" s="59"/>
      <c r="AM572" s="58" t="str">
        <f t="shared" si="330"/>
        <v/>
      </c>
      <c r="AN572" s="59"/>
      <c r="AO572" s="58" t="str">
        <f t="shared" si="331"/>
        <v/>
      </c>
      <c r="AP572" s="59"/>
      <c r="AQ572" s="58" t="str">
        <f t="shared" si="332"/>
        <v/>
      </c>
      <c r="AR572" s="59"/>
      <c r="AS572" s="58" t="str">
        <f t="shared" si="333"/>
        <v/>
      </c>
      <c r="AT572" s="59"/>
      <c r="AU572" s="58" t="str">
        <f t="shared" si="334"/>
        <v/>
      </c>
      <c r="AV572" s="59"/>
      <c r="AW572" s="58" t="str">
        <f t="shared" si="335"/>
        <v/>
      </c>
      <c r="AX572" s="59"/>
      <c r="AY572" s="58" t="str">
        <f t="shared" si="336"/>
        <v/>
      </c>
      <c r="AZ572" s="59"/>
      <c r="BA572" s="58" t="str">
        <f t="shared" si="337"/>
        <v/>
      </c>
      <c r="BB572" s="59"/>
      <c r="BC572" s="58" t="str">
        <f t="shared" si="338"/>
        <v/>
      </c>
      <c r="BD572" s="59"/>
      <c r="BE572" s="58" t="str">
        <f t="shared" si="339"/>
        <v/>
      </c>
      <c r="BF572" s="59"/>
      <c r="BG572" s="58" t="str">
        <f t="shared" si="340"/>
        <v/>
      </c>
      <c r="BH572" s="59"/>
      <c r="BI572" s="58" t="str">
        <f t="shared" si="341"/>
        <v/>
      </c>
      <c r="BJ572" s="59"/>
      <c r="BK572" s="58">
        <f t="shared" si="342"/>
        <v>1400</v>
      </c>
      <c r="BL572" s="59"/>
      <c r="BM572" s="58" t="str">
        <f t="shared" si="343"/>
        <v/>
      </c>
      <c r="BN572" s="59"/>
      <c r="BO572" s="58" t="str">
        <f t="shared" si="344"/>
        <v/>
      </c>
      <c r="BP572" s="59"/>
      <c r="BQ572" s="58" t="str">
        <f t="shared" si="345"/>
        <v/>
      </c>
      <c r="BR572" s="59"/>
      <c r="BS572" s="58" t="str">
        <f t="shared" si="346"/>
        <v/>
      </c>
      <c r="BT572" s="59"/>
      <c r="BU572" s="58" t="str">
        <f t="shared" si="347"/>
        <v/>
      </c>
      <c r="BV572" s="59"/>
    </row>
    <row r="573" spans="1:74" ht="14.5">
      <c r="A573" s="51" t="s">
        <v>58</v>
      </c>
      <c r="B573" s="52">
        <v>432</v>
      </c>
      <c r="C573" s="52" t="s">
        <v>188</v>
      </c>
      <c r="D573" s="41">
        <f t="shared" si="296"/>
        <v>9</v>
      </c>
      <c r="E573" s="52" t="s">
        <v>193</v>
      </c>
      <c r="F573" s="52" t="s">
        <v>246</v>
      </c>
      <c r="G573" s="52" t="s">
        <v>162</v>
      </c>
      <c r="H573" s="52" t="s">
        <v>434</v>
      </c>
      <c r="I573" s="53">
        <v>45716</v>
      </c>
      <c r="J573" s="108">
        <v>3000</v>
      </c>
      <c r="K573" s="101"/>
      <c r="L573" s="101"/>
      <c r="M573" s="101">
        <f t="shared" si="297"/>
        <v>3000</v>
      </c>
      <c r="N573" s="54">
        <f t="shared" si="298"/>
        <v>3000</v>
      </c>
      <c r="O573" s="101" t="s">
        <v>431</v>
      </c>
      <c r="P573" s="102">
        <f t="shared" si="299"/>
        <v>1.4285714285714286</v>
      </c>
      <c r="Q573" s="102">
        <v>6</v>
      </c>
      <c r="R573" s="99">
        <v>350</v>
      </c>
      <c r="S573" s="55">
        <f t="shared" si="348"/>
        <v>45684</v>
      </c>
      <c r="T573" s="55"/>
      <c r="U573" s="56">
        <f t="shared" ca="1" si="350"/>
        <v>-156</v>
      </c>
      <c r="V573" s="55">
        <f t="shared" si="349"/>
        <v>45700</v>
      </c>
      <c r="W573" s="55"/>
      <c r="X573" s="56">
        <f t="shared" ca="1" si="351"/>
        <v>-140</v>
      </c>
      <c r="Y573" s="55"/>
      <c r="Z573" s="57"/>
      <c r="AA573" s="58" t="str">
        <f t="shared" ref="AA573:AA604" si="352">+IF($AA$4=WEEKNUM(S573),J573,"-")</f>
        <v>-</v>
      </c>
      <c r="AB573" s="59"/>
      <c r="AC573" s="58" t="str">
        <f t="shared" ref="AC573:AC604" si="353">+IF($AC$4=WEEKNUM(S573),J573,"")</f>
        <v/>
      </c>
      <c r="AD573" s="59"/>
      <c r="AE573" s="58" t="str">
        <f t="shared" ref="AE573:AE604" si="354">+IF($AE$4=WEEKNUM(S573),J573,"")</f>
        <v/>
      </c>
      <c r="AF573" s="59"/>
      <c r="AG573" s="58" t="str">
        <f t="shared" ref="AG573:AG604" si="355">+IF($AG$4=WEEKNUM(S573),J573,"")</f>
        <v/>
      </c>
      <c r="AH573" s="59"/>
      <c r="AI573" s="58" t="str">
        <f t="shared" ref="AI573:AI604" si="356">+IF($AI$4=WEEKNUM(S573),J573,"")</f>
        <v/>
      </c>
      <c r="AJ573" s="59"/>
      <c r="AK573" s="58" t="str">
        <f t="shared" ref="AK573:AK604" si="357">+IF($AK$4=WEEKNUM(S573),J573,"")</f>
        <v/>
      </c>
      <c r="AL573" s="59"/>
      <c r="AM573" s="58" t="str">
        <f t="shared" ref="AM573:AM604" si="358">+IF($AM$4=WEEKNUM(S573),J573,"")</f>
        <v/>
      </c>
      <c r="AN573" s="59"/>
      <c r="AO573" s="58" t="str">
        <f t="shared" ref="AO573:AO604" si="359">+IF($AO$4=WEEKNUM(S573),J573,"")</f>
        <v/>
      </c>
      <c r="AP573" s="59"/>
      <c r="AQ573" s="58" t="str">
        <f t="shared" ref="AQ573:AQ604" si="360">+IF($AQ$4=WEEKNUM(S573),J573,"")</f>
        <v/>
      </c>
      <c r="AR573" s="59"/>
      <c r="AS573" s="58" t="str">
        <f t="shared" ref="AS573:AS604" si="361">+IF($AS$4=WEEKNUM(S573),J573,"")</f>
        <v/>
      </c>
      <c r="AT573" s="59"/>
      <c r="AU573" s="58" t="str">
        <f t="shared" ref="AU573:AU604" si="362">+IF($AU$4=WEEKNUM(S573),J573,"")</f>
        <v/>
      </c>
      <c r="AV573" s="59"/>
      <c r="AW573" s="58" t="str">
        <f t="shared" ref="AW573:AW604" si="363">+IF($AW$4=WEEKNUM(S573),J573,"")</f>
        <v/>
      </c>
      <c r="AX573" s="59"/>
      <c r="AY573" s="58" t="str">
        <f t="shared" ref="AY573:AY604" si="364">+IF($AY$4=WEEKNUM(S573),J573,"")</f>
        <v/>
      </c>
      <c r="AZ573" s="59"/>
      <c r="BA573" s="58" t="str">
        <f t="shared" ref="BA573:BA604" si="365">+IF($BA$4=WEEKNUM(S573),J573,"")</f>
        <v/>
      </c>
      <c r="BB573" s="59"/>
      <c r="BC573" s="58" t="str">
        <f t="shared" ref="BC573:BC604" si="366">+IF($BC$4=WEEKNUM(S573),J573,"")</f>
        <v/>
      </c>
      <c r="BD573" s="59"/>
      <c r="BE573" s="58" t="str">
        <f t="shared" ref="BE573:BE604" si="367">+IF($BE$4=WEEKNUM(S573),J573,"")</f>
        <v/>
      </c>
      <c r="BF573" s="59"/>
      <c r="BG573" s="58">
        <f t="shared" ref="BG573:BG604" si="368">+IF($BG$4=WEEKNUM(S573),J573,"")</f>
        <v>3000</v>
      </c>
      <c r="BH573" s="59"/>
      <c r="BI573" s="58" t="str">
        <f t="shared" ref="BI573:BI604" si="369">+IF($BI$4=WEEKNUM(S573),J573,"")</f>
        <v/>
      </c>
      <c r="BJ573" s="59"/>
      <c r="BK573" s="58" t="str">
        <f t="shared" ref="BK573:BK604" si="370">+IF($BK$4=WEEKNUM(S573),J573,"")</f>
        <v/>
      </c>
      <c r="BL573" s="59"/>
      <c r="BM573" s="58" t="str">
        <f t="shared" ref="BM573:BM604" si="371">+IF($BM$4=WEEKNUM(S573),J573,"")</f>
        <v/>
      </c>
      <c r="BN573" s="59"/>
      <c r="BO573" s="58" t="str">
        <f t="shared" ref="BO573:BO604" si="372">+IF($BO$4=WEEKNUM(S573),J573,"")</f>
        <v/>
      </c>
      <c r="BP573" s="59"/>
      <c r="BQ573" s="58" t="str">
        <f t="shared" ref="BQ573:BQ604" si="373">+IF($BQ$4=WEEKNUM(S573),J573,"")</f>
        <v/>
      </c>
      <c r="BR573" s="59"/>
      <c r="BS573" s="58" t="str">
        <f t="shared" ref="BS573:BS604" si="374">+IF($BS$4=WEEKNUM(S573),J573,"")</f>
        <v/>
      </c>
      <c r="BT573" s="59"/>
      <c r="BU573" s="58" t="str">
        <f t="shared" ref="BU573:BU604" si="375">+IF($BU$4=WEEKNUM(S573),J573,"")</f>
        <v/>
      </c>
      <c r="BV573" s="59"/>
    </row>
    <row r="574" spans="1:74" ht="14.5">
      <c r="A574" s="51" t="s">
        <v>58</v>
      </c>
      <c r="B574" s="52">
        <v>432</v>
      </c>
      <c r="C574" s="52" t="s">
        <v>188</v>
      </c>
      <c r="D574" s="41">
        <f t="shared" si="296"/>
        <v>9</v>
      </c>
      <c r="E574" s="52" t="s">
        <v>158</v>
      </c>
      <c r="F574" s="52" t="s">
        <v>242</v>
      </c>
      <c r="G574" s="52" t="s">
        <v>154</v>
      </c>
      <c r="H574" s="52" t="s">
        <v>432</v>
      </c>
      <c r="I574" s="53">
        <v>45716</v>
      </c>
      <c r="J574" s="108">
        <v>1780</v>
      </c>
      <c r="K574" s="101"/>
      <c r="L574" s="101"/>
      <c r="M574" s="101">
        <f t="shared" si="297"/>
        <v>1780</v>
      </c>
      <c r="N574" s="54">
        <f t="shared" si="298"/>
        <v>1780</v>
      </c>
      <c r="O574" s="101" t="s">
        <v>431</v>
      </c>
      <c r="P574" s="102">
        <f t="shared" si="299"/>
        <v>2.4722222222222223</v>
      </c>
      <c r="Q574" s="102">
        <v>6</v>
      </c>
      <c r="R574" s="99">
        <v>120</v>
      </c>
      <c r="S574" s="55">
        <f t="shared" si="348"/>
        <v>45684</v>
      </c>
      <c r="T574" s="55"/>
      <c r="U574" s="56">
        <f t="shared" ca="1" si="350"/>
        <v>-156</v>
      </c>
      <c r="V574" s="55">
        <f t="shared" si="349"/>
        <v>45700</v>
      </c>
      <c r="W574" s="55"/>
      <c r="X574" s="56">
        <f t="shared" ca="1" si="351"/>
        <v>-140</v>
      </c>
      <c r="Y574" s="55"/>
      <c r="Z574" s="57"/>
      <c r="AA574" s="58" t="str">
        <f t="shared" si="352"/>
        <v>-</v>
      </c>
      <c r="AB574" s="59"/>
      <c r="AC574" s="58" t="str">
        <f t="shared" si="353"/>
        <v/>
      </c>
      <c r="AD574" s="59"/>
      <c r="AE574" s="58" t="str">
        <f t="shared" si="354"/>
        <v/>
      </c>
      <c r="AF574" s="59"/>
      <c r="AG574" s="58" t="str">
        <f t="shared" si="355"/>
        <v/>
      </c>
      <c r="AH574" s="59"/>
      <c r="AI574" s="58" t="str">
        <f t="shared" si="356"/>
        <v/>
      </c>
      <c r="AJ574" s="59"/>
      <c r="AK574" s="58" t="str">
        <f t="shared" si="357"/>
        <v/>
      </c>
      <c r="AL574" s="59"/>
      <c r="AM574" s="58" t="str">
        <f t="shared" si="358"/>
        <v/>
      </c>
      <c r="AN574" s="59"/>
      <c r="AO574" s="58" t="str">
        <f t="shared" si="359"/>
        <v/>
      </c>
      <c r="AP574" s="59"/>
      <c r="AQ574" s="58" t="str">
        <f t="shared" si="360"/>
        <v/>
      </c>
      <c r="AR574" s="59"/>
      <c r="AS574" s="58" t="str">
        <f t="shared" si="361"/>
        <v/>
      </c>
      <c r="AT574" s="59"/>
      <c r="AU574" s="58" t="str">
        <f t="shared" si="362"/>
        <v/>
      </c>
      <c r="AV574" s="59"/>
      <c r="AW574" s="58" t="str">
        <f t="shared" si="363"/>
        <v/>
      </c>
      <c r="AX574" s="59"/>
      <c r="AY574" s="58" t="str">
        <f t="shared" si="364"/>
        <v/>
      </c>
      <c r="AZ574" s="59"/>
      <c r="BA574" s="58" t="str">
        <f t="shared" si="365"/>
        <v/>
      </c>
      <c r="BB574" s="59"/>
      <c r="BC574" s="58" t="str">
        <f t="shared" si="366"/>
        <v/>
      </c>
      <c r="BD574" s="59"/>
      <c r="BE574" s="58" t="str">
        <f t="shared" si="367"/>
        <v/>
      </c>
      <c r="BF574" s="59"/>
      <c r="BG574" s="58">
        <f t="shared" si="368"/>
        <v>1780</v>
      </c>
      <c r="BH574" s="59"/>
      <c r="BI574" s="58" t="str">
        <f t="shared" si="369"/>
        <v/>
      </c>
      <c r="BJ574" s="59"/>
      <c r="BK574" s="58" t="str">
        <f t="shared" si="370"/>
        <v/>
      </c>
      <c r="BL574" s="59"/>
      <c r="BM574" s="58" t="str">
        <f t="shared" si="371"/>
        <v/>
      </c>
      <c r="BN574" s="59"/>
      <c r="BO574" s="58" t="str">
        <f t="shared" si="372"/>
        <v/>
      </c>
      <c r="BP574" s="59"/>
      <c r="BQ574" s="58" t="str">
        <f t="shared" si="373"/>
        <v/>
      </c>
      <c r="BR574" s="59"/>
      <c r="BS574" s="58" t="str">
        <f t="shared" si="374"/>
        <v/>
      </c>
      <c r="BT574" s="59"/>
      <c r="BU574" s="58" t="str">
        <f t="shared" si="375"/>
        <v/>
      </c>
      <c r="BV574" s="59"/>
    </row>
    <row r="575" spans="1:74" ht="14.5">
      <c r="A575" s="51" t="s">
        <v>58</v>
      </c>
      <c r="B575" s="52">
        <v>432</v>
      </c>
      <c r="C575" s="52" t="s">
        <v>188</v>
      </c>
      <c r="D575" s="41">
        <f t="shared" si="296"/>
        <v>9</v>
      </c>
      <c r="E575" s="52" t="s">
        <v>158</v>
      </c>
      <c r="F575" s="52" t="s">
        <v>242</v>
      </c>
      <c r="G575" s="52" t="s">
        <v>156</v>
      </c>
      <c r="H575" s="52" t="s">
        <v>432</v>
      </c>
      <c r="I575" s="53">
        <v>45716</v>
      </c>
      <c r="J575" s="108">
        <v>180</v>
      </c>
      <c r="K575" s="101"/>
      <c r="L575" s="101"/>
      <c r="M575" s="101">
        <f t="shared" si="297"/>
        <v>180</v>
      </c>
      <c r="N575" s="54">
        <f t="shared" si="298"/>
        <v>180</v>
      </c>
      <c r="O575" s="101" t="s">
        <v>431</v>
      </c>
      <c r="P575" s="102">
        <f t="shared" si="299"/>
        <v>0.25</v>
      </c>
      <c r="Q575" s="102">
        <v>6</v>
      </c>
      <c r="R575" s="99">
        <v>120</v>
      </c>
      <c r="S575" s="55">
        <f t="shared" si="348"/>
        <v>45684</v>
      </c>
      <c r="T575" s="55"/>
      <c r="U575" s="56">
        <f t="shared" ca="1" si="350"/>
        <v>-156</v>
      </c>
      <c r="V575" s="55">
        <f t="shared" si="349"/>
        <v>45700</v>
      </c>
      <c r="W575" s="55"/>
      <c r="X575" s="56">
        <f t="shared" ca="1" si="351"/>
        <v>-140</v>
      </c>
      <c r="Y575" s="55"/>
      <c r="Z575" s="57"/>
      <c r="AA575" s="58" t="str">
        <f t="shared" si="352"/>
        <v>-</v>
      </c>
      <c r="AB575" s="59"/>
      <c r="AC575" s="58" t="str">
        <f t="shared" si="353"/>
        <v/>
      </c>
      <c r="AD575" s="59"/>
      <c r="AE575" s="58" t="str">
        <f t="shared" si="354"/>
        <v/>
      </c>
      <c r="AF575" s="59"/>
      <c r="AG575" s="58" t="str">
        <f t="shared" si="355"/>
        <v/>
      </c>
      <c r="AH575" s="59"/>
      <c r="AI575" s="58" t="str">
        <f t="shared" si="356"/>
        <v/>
      </c>
      <c r="AJ575" s="59"/>
      <c r="AK575" s="58" t="str">
        <f t="shared" si="357"/>
        <v/>
      </c>
      <c r="AL575" s="59"/>
      <c r="AM575" s="58" t="str">
        <f t="shared" si="358"/>
        <v/>
      </c>
      <c r="AN575" s="59"/>
      <c r="AO575" s="58" t="str">
        <f t="shared" si="359"/>
        <v/>
      </c>
      <c r="AP575" s="59"/>
      <c r="AQ575" s="58" t="str">
        <f t="shared" si="360"/>
        <v/>
      </c>
      <c r="AR575" s="59"/>
      <c r="AS575" s="58" t="str">
        <f t="shared" si="361"/>
        <v/>
      </c>
      <c r="AT575" s="59"/>
      <c r="AU575" s="58" t="str">
        <f t="shared" si="362"/>
        <v/>
      </c>
      <c r="AV575" s="59"/>
      <c r="AW575" s="58" t="str">
        <f t="shared" si="363"/>
        <v/>
      </c>
      <c r="AX575" s="59"/>
      <c r="AY575" s="58" t="str">
        <f t="shared" si="364"/>
        <v/>
      </c>
      <c r="AZ575" s="59"/>
      <c r="BA575" s="58" t="str">
        <f t="shared" si="365"/>
        <v/>
      </c>
      <c r="BB575" s="59"/>
      <c r="BC575" s="58" t="str">
        <f t="shared" si="366"/>
        <v/>
      </c>
      <c r="BD575" s="59"/>
      <c r="BE575" s="58" t="str">
        <f t="shared" si="367"/>
        <v/>
      </c>
      <c r="BF575" s="59"/>
      <c r="BG575" s="58">
        <f t="shared" si="368"/>
        <v>180</v>
      </c>
      <c r="BH575" s="59"/>
      <c r="BI575" s="58" t="str">
        <f t="shared" si="369"/>
        <v/>
      </c>
      <c r="BJ575" s="59"/>
      <c r="BK575" s="58" t="str">
        <f t="shared" si="370"/>
        <v/>
      </c>
      <c r="BL575" s="59"/>
      <c r="BM575" s="58" t="str">
        <f t="shared" si="371"/>
        <v/>
      </c>
      <c r="BN575" s="59"/>
      <c r="BO575" s="58" t="str">
        <f t="shared" si="372"/>
        <v/>
      </c>
      <c r="BP575" s="59"/>
      <c r="BQ575" s="58" t="str">
        <f t="shared" si="373"/>
        <v/>
      </c>
      <c r="BR575" s="59"/>
      <c r="BS575" s="58" t="str">
        <f t="shared" si="374"/>
        <v/>
      </c>
      <c r="BT575" s="59"/>
      <c r="BU575" s="58" t="str">
        <f t="shared" si="375"/>
        <v/>
      </c>
      <c r="BV575" s="59"/>
    </row>
    <row r="576" spans="1:74" ht="14.5">
      <c r="A576" s="51" t="s">
        <v>58</v>
      </c>
      <c r="B576" s="52">
        <v>432</v>
      </c>
      <c r="C576" s="52" t="s">
        <v>188</v>
      </c>
      <c r="D576" s="41">
        <f t="shared" si="296"/>
        <v>9</v>
      </c>
      <c r="E576" s="52" t="s">
        <v>190</v>
      </c>
      <c r="F576" s="52" t="s">
        <v>242</v>
      </c>
      <c r="G576" s="52" t="s">
        <v>244</v>
      </c>
      <c r="H576" s="52" t="s">
        <v>438</v>
      </c>
      <c r="I576" s="53">
        <v>45716</v>
      </c>
      <c r="J576" s="108">
        <v>1856</v>
      </c>
      <c r="K576" s="101"/>
      <c r="L576" s="101"/>
      <c r="M576" s="101">
        <f t="shared" si="297"/>
        <v>1856</v>
      </c>
      <c r="N576" s="54">
        <f t="shared" si="298"/>
        <v>1856</v>
      </c>
      <c r="O576" s="101" t="s">
        <v>431</v>
      </c>
      <c r="P576" s="102">
        <f t="shared" si="299"/>
        <v>2.5777777777777779</v>
      </c>
      <c r="Q576" s="102">
        <v>6</v>
      </c>
      <c r="R576" s="99">
        <v>120</v>
      </c>
      <c r="S576" s="55">
        <f t="shared" si="348"/>
        <v>45684</v>
      </c>
      <c r="T576" s="55"/>
      <c r="U576" s="56">
        <f t="shared" ca="1" si="350"/>
        <v>-156</v>
      </c>
      <c r="V576" s="55">
        <f t="shared" si="349"/>
        <v>45700</v>
      </c>
      <c r="W576" s="55"/>
      <c r="X576" s="56">
        <f t="shared" ca="1" si="351"/>
        <v>-140</v>
      </c>
      <c r="Y576" s="55"/>
      <c r="Z576" s="57"/>
      <c r="AA576" s="58" t="str">
        <f t="shared" si="352"/>
        <v>-</v>
      </c>
      <c r="AB576" s="59"/>
      <c r="AC576" s="58" t="str">
        <f t="shared" si="353"/>
        <v/>
      </c>
      <c r="AD576" s="59"/>
      <c r="AE576" s="58" t="str">
        <f t="shared" si="354"/>
        <v/>
      </c>
      <c r="AF576" s="59"/>
      <c r="AG576" s="58" t="str">
        <f t="shared" si="355"/>
        <v/>
      </c>
      <c r="AH576" s="59"/>
      <c r="AI576" s="58" t="str">
        <f t="shared" si="356"/>
        <v/>
      </c>
      <c r="AJ576" s="59"/>
      <c r="AK576" s="58" t="str">
        <f t="shared" si="357"/>
        <v/>
      </c>
      <c r="AL576" s="59"/>
      <c r="AM576" s="58" t="str">
        <f t="shared" si="358"/>
        <v/>
      </c>
      <c r="AN576" s="59"/>
      <c r="AO576" s="58" t="str">
        <f t="shared" si="359"/>
        <v/>
      </c>
      <c r="AP576" s="59"/>
      <c r="AQ576" s="58" t="str">
        <f t="shared" si="360"/>
        <v/>
      </c>
      <c r="AR576" s="59"/>
      <c r="AS576" s="58" t="str">
        <f t="shared" si="361"/>
        <v/>
      </c>
      <c r="AT576" s="59"/>
      <c r="AU576" s="58" t="str">
        <f t="shared" si="362"/>
        <v/>
      </c>
      <c r="AV576" s="59"/>
      <c r="AW576" s="58" t="str">
        <f t="shared" si="363"/>
        <v/>
      </c>
      <c r="AX576" s="59"/>
      <c r="AY576" s="58" t="str">
        <f t="shared" si="364"/>
        <v/>
      </c>
      <c r="AZ576" s="59"/>
      <c r="BA576" s="58" t="str">
        <f t="shared" si="365"/>
        <v/>
      </c>
      <c r="BB576" s="59"/>
      <c r="BC576" s="58" t="str">
        <f t="shared" si="366"/>
        <v/>
      </c>
      <c r="BD576" s="59"/>
      <c r="BE576" s="58" t="str">
        <f t="shared" si="367"/>
        <v/>
      </c>
      <c r="BF576" s="59"/>
      <c r="BG576" s="58">
        <f t="shared" si="368"/>
        <v>1856</v>
      </c>
      <c r="BH576" s="59"/>
      <c r="BI576" s="58" t="str">
        <f t="shared" si="369"/>
        <v/>
      </c>
      <c r="BJ576" s="59"/>
      <c r="BK576" s="58" t="str">
        <f t="shared" si="370"/>
        <v/>
      </c>
      <c r="BL576" s="59"/>
      <c r="BM576" s="58" t="str">
        <f t="shared" si="371"/>
        <v/>
      </c>
      <c r="BN576" s="59"/>
      <c r="BO576" s="58" t="str">
        <f t="shared" si="372"/>
        <v/>
      </c>
      <c r="BP576" s="59"/>
      <c r="BQ576" s="58" t="str">
        <f t="shared" si="373"/>
        <v/>
      </c>
      <c r="BR576" s="59"/>
      <c r="BS576" s="58" t="str">
        <f t="shared" si="374"/>
        <v/>
      </c>
      <c r="BT576" s="59"/>
      <c r="BU576" s="58" t="str">
        <f t="shared" si="375"/>
        <v/>
      </c>
      <c r="BV576" s="59"/>
    </row>
    <row r="577" spans="1:74" ht="14.5">
      <c r="A577" s="51" t="s">
        <v>58</v>
      </c>
      <c r="B577" s="52">
        <v>433</v>
      </c>
      <c r="C577" s="52" t="s">
        <v>188</v>
      </c>
      <c r="D577" s="41">
        <f t="shared" si="296"/>
        <v>9</v>
      </c>
      <c r="E577" s="52" t="s">
        <v>271</v>
      </c>
      <c r="F577" s="52" t="s">
        <v>242</v>
      </c>
      <c r="G577" s="52" t="s">
        <v>244</v>
      </c>
      <c r="H577" s="52" t="s">
        <v>438</v>
      </c>
      <c r="I577" s="53">
        <v>45716</v>
      </c>
      <c r="J577" s="108">
        <v>448</v>
      </c>
      <c r="K577" s="101"/>
      <c r="L577" s="101"/>
      <c r="M577" s="101">
        <f t="shared" si="297"/>
        <v>448</v>
      </c>
      <c r="N577" s="54">
        <f t="shared" si="298"/>
        <v>448</v>
      </c>
      <c r="O577" s="101" t="s">
        <v>431</v>
      </c>
      <c r="P577" s="102">
        <f t="shared" si="299"/>
        <v>0.62222222222222223</v>
      </c>
      <c r="Q577" s="102">
        <v>6</v>
      </c>
      <c r="R577" s="99">
        <v>120</v>
      </c>
      <c r="S577" s="55">
        <f t="shared" si="348"/>
        <v>45684</v>
      </c>
      <c r="T577" s="55"/>
      <c r="U577" s="56">
        <f t="shared" ca="1" si="350"/>
        <v>-156</v>
      </c>
      <c r="V577" s="55">
        <f t="shared" si="349"/>
        <v>45700</v>
      </c>
      <c r="W577" s="55"/>
      <c r="X577" s="56">
        <f t="shared" ca="1" si="351"/>
        <v>-140</v>
      </c>
      <c r="Y577" s="55"/>
      <c r="Z577" s="57"/>
      <c r="AA577" s="58" t="str">
        <f t="shared" si="352"/>
        <v>-</v>
      </c>
      <c r="AB577" s="59"/>
      <c r="AC577" s="58" t="str">
        <f t="shared" si="353"/>
        <v/>
      </c>
      <c r="AD577" s="59"/>
      <c r="AE577" s="58" t="str">
        <f t="shared" si="354"/>
        <v/>
      </c>
      <c r="AF577" s="59"/>
      <c r="AG577" s="58" t="str">
        <f t="shared" si="355"/>
        <v/>
      </c>
      <c r="AH577" s="59"/>
      <c r="AI577" s="58" t="str">
        <f t="shared" si="356"/>
        <v/>
      </c>
      <c r="AJ577" s="59"/>
      <c r="AK577" s="58" t="str">
        <f t="shared" si="357"/>
        <v/>
      </c>
      <c r="AL577" s="59"/>
      <c r="AM577" s="58" t="str">
        <f t="shared" si="358"/>
        <v/>
      </c>
      <c r="AN577" s="59"/>
      <c r="AO577" s="58" t="str">
        <f t="shared" si="359"/>
        <v/>
      </c>
      <c r="AP577" s="59"/>
      <c r="AQ577" s="58" t="str">
        <f t="shared" si="360"/>
        <v/>
      </c>
      <c r="AR577" s="59"/>
      <c r="AS577" s="58" t="str">
        <f t="shared" si="361"/>
        <v/>
      </c>
      <c r="AT577" s="59"/>
      <c r="AU577" s="58" t="str">
        <f t="shared" si="362"/>
        <v/>
      </c>
      <c r="AV577" s="59"/>
      <c r="AW577" s="58" t="str">
        <f t="shared" si="363"/>
        <v/>
      </c>
      <c r="AX577" s="59"/>
      <c r="AY577" s="58" t="str">
        <f t="shared" si="364"/>
        <v/>
      </c>
      <c r="AZ577" s="59"/>
      <c r="BA577" s="58" t="str">
        <f t="shared" si="365"/>
        <v/>
      </c>
      <c r="BB577" s="59"/>
      <c r="BC577" s="58" t="str">
        <f t="shared" si="366"/>
        <v/>
      </c>
      <c r="BD577" s="59"/>
      <c r="BE577" s="58" t="str">
        <f t="shared" si="367"/>
        <v/>
      </c>
      <c r="BF577" s="59"/>
      <c r="BG577" s="58">
        <f t="shared" si="368"/>
        <v>448</v>
      </c>
      <c r="BH577" s="59"/>
      <c r="BI577" s="58" t="str">
        <f t="shared" si="369"/>
        <v/>
      </c>
      <c r="BJ577" s="59"/>
      <c r="BK577" s="58" t="str">
        <f t="shared" si="370"/>
        <v/>
      </c>
      <c r="BL577" s="59"/>
      <c r="BM577" s="58" t="str">
        <f t="shared" si="371"/>
        <v/>
      </c>
      <c r="BN577" s="59"/>
      <c r="BO577" s="58" t="str">
        <f t="shared" si="372"/>
        <v/>
      </c>
      <c r="BP577" s="59"/>
      <c r="BQ577" s="58" t="str">
        <f t="shared" si="373"/>
        <v/>
      </c>
      <c r="BR577" s="59"/>
      <c r="BS577" s="58" t="str">
        <f t="shared" si="374"/>
        <v/>
      </c>
      <c r="BT577" s="59"/>
      <c r="BU577" s="58" t="str">
        <f t="shared" si="375"/>
        <v/>
      </c>
      <c r="BV577" s="59"/>
    </row>
    <row r="578" spans="1:74" ht="14.5">
      <c r="A578" s="51" t="s">
        <v>58</v>
      </c>
      <c r="B578" s="52">
        <v>433</v>
      </c>
      <c r="C578" s="52" t="s">
        <v>188</v>
      </c>
      <c r="D578" s="41">
        <f t="shared" si="296"/>
        <v>9</v>
      </c>
      <c r="E578" s="52" t="s">
        <v>190</v>
      </c>
      <c r="F578" s="52" t="s">
        <v>242</v>
      </c>
      <c r="G578" s="52" t="s">
        <v>244</v>
      </c>
      <c r="H578" s="52" t="s">
        <v>438</v>
      </c>
      <c r="I578" s="53">
        <v>45716</v>
      </c>
      <c r="J578" s="108">
        <v>1348</v>
      </c>
      <c r="K578" s="101"/>
      <c r="L578" s="101"/>
      <c r="M578" s="101">
        <f t="shared" si="297"/>
        <v>1348</v>
      </c>
      <c r="N578" s="54">
        <f t="shared" si="298"/>
        <v>1348</v>
      </c>
      <c r="O578" s="101" t="s">
        <v>431</v>
      </c>
      <c r="P578" s="102">
        <f t="shared" si="299"/>
        <v>1.8722222222222222</v>
      </c>
      <c r="Q578" s="102">
        <v>6</v>
      </c>
      <c r="R578" s="99">
        <v>120</v>
      </c>
      <c r="S578" s="55">
        <f t="shared" si="348"/>
        <v>45684</v>
      </c>
      <c r="T578" s="55"/>
      <c r="U578" s="56">
        <f t="shared" ca="1" si="350"/>
        <v>-156</v>
      </c>
      <c r="V578" s="55">
        <f t="shared" si="349"/>
        <v>45700</v>
      </c>
      <c r="W578" s="55"/>
      <c r="X578" s="56">
        <f t="shared" ca="1" si="351"/>
        <v>-140</v>
      </c>
      <c r="Y578" s="55"/>
      <c r="Z578" s="57"/>
      <c r="AA578" s="58" t="str">
        <f t="shared" si="352"/>
        <v>-</v>
      </c>
      <c r="AB578" s="59"/>
      <c r="AC578" s="58" t="str">
        <f t="shared" si="353"/>
        <v/>
      </c>
      <c r="AD578" s="59"/>
      <c r="AE578" s="58" t="str">
        <f t="shared" si="354"/>
        <v/>
      </c>
      <c r="AF578" s="59"/>
      <c r="AG578" s="58" t="str">
        <f t="shared" si="355"/>
        <v/>
      </c>
      <c r="AH578" s="59"/>
      <c r="AI578" s="58" t="str">
        <f t="shared" si="356"/>
        <v/>
      </c>
      <c r="AJ578" s="59"/>
      <c r="AK578" s="58" t="str">
        <f t="shared" si="357"/>
        <v/>
      </c>
      <c r="AL578" s="59"/>
      <c r="AM578" s="58" t="str">
        <f t="shared" si="358"/>
        <v/>
      </c>
      <c r="AN578" s="59"/>
      <c r="AO578" s="58" t="str">
        <f t="shared" si="359"/>
        <v/>
      </c>
      <c r="AP578" s="59"/>
      <c r="AQ578" s="58" t="str">
        <f t="shared" si="360"/>
        <v/>
      </c>
      <c r="AR578" s="59"/>
      <c r="AS578" s="58" t="str">
        <f t="shared" si="361"/>
        <v/>
      </c>
      <c r="AT578" s="59"/>
      <c r="AU578" s="58" t="str">
        <f t="shared" si="362"/>
        <v/>
      </c>
      <c r="AV578" s="59"/>
      <c r="AW578" s="58" t="str">
        <f t="shared" si="363"/>
        <v/>
      </c>
      <c r="AX578" s="59"/>
      <c r="AY578" s="58" t="str">
        <f t="shared" si="364"/>
        <v/>
      </c>
      <c r="AZ578" s="59"/>
      <c r="BA578" s="58" t="str">
        <f t="shared" si="365"/>
        <v/>
      </c>
      <c r="BB578" s="59"/>
      <c r="BC578" s="58" t="str">
        <f t="shared" si="366"/>
        <v/>
      </c>
      <c r="BD578" s="59"/>
      <c r="BE578" s="58" t="str">
        <f t="shared" si="367"/>
        <v/>
      </c>
      <c r="BF578" s="59"/>
      <c r="BG578" s="58">
        <f t="shared" si="368"/>
        <v>1348</v>
      </c>
      <c r="BH578" s="59"/>
      <c r="BI578" s="58" t="str">
        <f t="shared" si="369"/>
        <v/>
      </c>
      <c r="BJ578" s="59"/>
      <c r="BK578" s="58" t="str">
        <f t="shared" si="370"/>
        <v/>
      </c>
      <c r="BL578" s="59"/>
      <c r="BM578" s="58" t="str">
        <f t="shared" si="371"/>
        <v/>
      </c>
      <c r="BN578" s="59"/>
      <c r="BO578" s="58" t="str">
        <f t="shared" si="372"/>
        <v/>
      </c>
      <c r="BP578" s="59"/>
      <c r="BQ578" s="58" t="str">
        <f t="shared" si="373"/>
        <v/>
      </c>
      <c r="BR578" s="59"/>
      <c r="BS578" s="58" t="str">
        <f t="shared" si="374"/>
        <v/>
      </c>
      <c r="BT578" s="59"/>
      <c r="BU578" s="58" t="str">
        <f t="shared" si="375"/>
        <v/>
      </c>
      <c r="BV578" s="59"/>
    </row>
    <row r="579" spans="1:74" ht="14.5">
      <c r="A579" s="51" t="s">
        <v>58</v>
      </c>
      <c r="B579" s="52">
        <v>434</v>
      </c>
      <c r="C579" s="52" t="s">
        <v>188</v>
      </c>
      <c r="D579" s="41">
        <f t="shared" si="296"/>
        <v>9</v>
      </c>
      <c r="E579" s="52" t="s">
        <v>190</v>
      </c>
      <c r="F579" s="52" t="s">
        <v>242</v>
      </c>
      <c r="G579" s="52" t="s">
        <v>244</v>
      </c>
      <c r="H579" s="52" t="s">
        <v>438</v>
      </c>
      <c r="I579" s="53">
        <v>45716</v>
      </c>
      <c r="J579" s="108">
        <v>1796</v>
      </c>
      <c r="K579" s="101"/>
      <c r="L579" s="101"/>
      <c r="M579" s="101">
        <f t="shared" si="297"/>
        <v>1796</v>
      </c>
      <c r="N579" s="54">
        <f t="shared" si="298"/>
        <v>1796</v>
      </c>
      <c r="O579" s="101" t="s">
        <v>431</v>
      </c>
      <c r="P579" s="102">
        <f t="shared" si="299"/>
        <v>2.4944444444444445</v>
      </c>
      <c r="Q579" s="102">
        <v>6</v>
      </c>
      <c r="R579" s="99">
        <v>120</v>
      </c>
      <c r="S579" s="55">
        <f t="shared" si="348"/>
        <v>45684</v>
      </c>
      <c r="T579" s="55"/>
      <c r="U579" s="56">
        <f t="shared" ca="1" si="350"/>
        <v>-156</v>
      </c>
      <c r="V579" s="55">
        <f t="shared" si="349"/>
        <v>45700</v>
      </c>
      <c r="W579" s="55"/>
      <c r="X579" s="56">
        <f t="shared" ca="1" si="351"/>
        <v>-140</v>
      </c>
      <c r="Y579" s="55"/>
      <c r="Z579" s="57"/>
      <c r="AA579" s="58" t="str">
        <f t="shared" si="352"/>
        <v>-</v>
      </c>
      <c r="AB579" s="59"/>
      <c r="AC579" s="58" t="str">
        <f t="shared" si="353"/>
        <v/>
      </c>
      <c r="AD579" s="59"/>
      <c r="AE579" s="58" t="str">
        <f t="shared" si="354"/>
        <v/>
      </c>
      <c r="AF579" s="59"/>
      <c r="AG579" s="58" t="str">
        <f t="shared" si="355"/>
        <v/>
      </c>
      <c r="AH579" s="59"/>
      <c r="AI579" s="58" t="str">
        <f t="shared" si="356"/>
        <v/>
      </c>
      <c r="AJ579" s="59"/>
      <c r="AK579" s="58" t="str">
        <f t="shared" si="357"/>
        <v/>
      </c>
      <c r="AL579" s="59"/>
      <c r="AM579" s="58" t="str">
        <f t="shared" si="358"/>
        <v/>
      </c>
      <c r="AN579" s="59"/>
      <c r="AO579" s="58" t="str">
        <f t="shared" si="359"/>
        <v/>
      </c>
      <c r="AP579" s="59"/>
      <c r="AQ579" s="58" t="str">
        <f t="shared" si="360"/>
        <v/>
      </c>
      <c r="AR579" s="59"/>
      <c r="AS579" s="58" t="str">
        <f t="shared" si="361"/>
        <v/>
      </c>
      <c r="AT579" s="59"/>
      <c r="AU579" s="58" t="str">
        <f t="shared" si="362"/>
        <v/>
      </c>
      <c r="AV579" s="59"/>
      <c r="AW579" s="58" t="str">
        <f t="shared" si="363"/>
        <v/>
      </c>
      <c r="AX579" s="59"/>
      <c r="AY579" s="58" t="str">
        <f t="shared" si="364"/>
        <v/>
      </c>
      <c r="AZ579" s="59"/>
      <c r="BA579" s="58" t="str">
        <f t="shared" si="365"/>
        <v/>
      </c>
      <c r="BB579" s="59"/>
      <c r="BC579" s="58" t="str">
        <f t="shared" si="366"/>
        <v/>
      </c>
      <c r="BD579" s="59"/>
      <c r="BE579" s="58" t="str">
        <f t="shared" si="367"/>
        <v/>
      </c>
      <c r="BF579" s="59"/>
      <c r="BG579" s="58">
        <f t="shared" si="368"/>
        <v>1796</v>
      </c>
      <c r="BH579" s="59"/>
      <c r="BI579" s="58" t="str">
        <f t="shared" si="369"/>
        <v/>
      </c>
      <c r="BJ579" s="59"/>
      <c r="BK579" s="58" t="str">
        <f t="shared" si="370"/>
        <v/>
      </c>
      <c r="BL579" s="59"/>
      <c r="BM579" s="58" t="str">
        <f t="shared" si="371"/>
        <v/>
      </c>
      <c r="BN579" s="59"/>
      <c r="BO579" s="58" t="str">
        <f t="shared" si="372"/>
        <v/>
      </c>
      <c r="BP579" s="59"/>
      <c r="BQ579" s="58" t="str">
        <f t="shared" si="373"/>
        <v/>
      </c>
      <c r="BR579" s="59"/>
      <c r="BS579" s="58" t="str">
        <f t="shared" si="374"/>
        <v/>
      </c>
      <c r="BT579" s="59"/>
      <c r="BU579" s="58" t="str">
        <f t="shared" si="375"/>
        <v/>
      </c>
      <c r="BV579" s="59"/>
    </row>
    <row r="580" spans="1:74" ht="14.5">
      <c r="A580" s="51" t="s">
        <v>466</v>
      </c>
      <c r="B580" s="52">
        <v>421</v>
      </c>
      <c r="C580" s="52" t="s">
        <v>55</v>
      </c>
      <c r="D580" s="41">
        <f t="shared" si="296"/>
        <v>10</v>
      </c>
      <c r="E580" s="52" t="s">
        <v>539</v>
      </c>
      <c r="F580" s="52" t="s">
        <v>286</v>
      </c>
      <c r="G580" s="52" t="s">
        <v>162</v>
      </c>
      <c r="H580" s="52" t="s">
        <v>581</v>
      </c>
      <c r="I580" s="53">
        <v>45718</v>
      </c>
      <c r="J580" s="108">
        <v>45900</v>
      </c>
      <c r="K580" s="101"/>
      <c r="L580" s="101"/>
      <c r="M580" s="101">
        <f t="shared" si="297"/>
        <v>45900</v>
      </c>
      <c r="N580" s="54">
        <f t="shared" si="298"/>
        <v>45900</v>
      </c>
      <c r="O580" s="101" t="s">
        <v>178</v>
      </c>
      <c r="P580" s="102">
        <f t="shared" si="299"/>
        <v>95.625</v>
      </c>
      <c r="Q580" s="102">
        <v>6</v>
      </c>
      <c r="R580" s="99">
        <v>80</v>
      </c>
      <c r="S580" s="55">
        <f t="shared" si="348"/>
        <v>45686</v>
      </c>
      <c r="T580" s="55"/>
      <c r="U580" s="56">
        <f t="shared" ca="1" si="350"/>
        <v>-154</v>
      </c>
      <c r="V580" s="55">
        <f t="shared" si="349"/>
        <v>45702</v>
      </c>
      <c r="W580" s="55"/>
      <c r="X580" s="56">
        <f t="shared" ca="1" si="351"/>
        <v>-138</v>
      </c>
      <c r="Y580" s="55"/>
      <c r="Z580" s="57"/>
      <c r="AA580" s="58" t="str">
        <f t="shared" si="352"/>
        <v>-</v>
      </c>
      <c r="AB580" s="59"/>
      <c r="AC580" s="58" t="str">
        <f t="shared" si="353"/>
        <v/>
      </c>
      <c r="AD580" s="59"/>
      <c r="AE580" s="58" t="str">
        <f t="shared" si="354"/>
        <v/>
      </c>
      <c r="AF580" s="59"/>
      <c r="AG580" s="58" t="str">
        <f t="shared" si="355"/>
        <v/>
      </c>
      <c r="AH580" s="59"/>
      <c r="AI580" s="58" t="str">
        <f t="shared" si="356"/>
        <v/>
      </c>
      <c r="AJ580" s="59"/>
      <c r="AK580" s="58" t="str">
        <f t="shared" si="357"/>
        <v/>
      </c>
      <c r="AL580" s="59"/>
      <c r="AM580" s="58" t="str">
        <f t="shared" si="358"/>
        <v/>
      </c>
      <c r="AN580" s="59"/>
      <c r="AO580" s="58" t="str">
        <f t="shared" si="359"/>
        <v/>
      </c>
      <c r="AP580" s="59"/>
      <c r="AQ580" s="58" t="str">
        <f t="shared" si="360"/>
        <v/>
      </c>
      <c r="AR580" s="59"/>
      <c r="AS580" s="58" t="str">
        <f t="shared" si="361"/>
        <v/>
      </c>
      <c r="AT580" s="59"/>
      <c r="AU580" s="58" t="str">
        <f t="shared" si="362"/>
        <v/>
      </c>
      <c r="AV580" s="59"/>
      <c r="AW580" s="58" t="str">
        <f t="shared" si="363"/>
        <v/>
      </c>
      <c r="AX580" s="59"/>
      <c r="AY580" s="58" t="str">
        <f t="shared" si="364"/>
        <v/>
      </c>
      <c r="AZ580" s="59"/>
      <c r="BA580" s="58" t="str">
        <f t="shared" si="365"/>
        <v/>
      </c>
      <c r="BB580" s="59"/>
      <c r="BC580" s="58" t="str">
        <f t="shared" si="366"/>
        <v/>
      </c>
      <c r="BD580" s="59"/>
      <c r="BE580" s="58" t="str">
        <f t="shared" si="367"/>
        <v/>
      </c>
      <c r="BF580" s="59"/>
      <c r="BG580" s="58">
        <f t="shared" si="368"/>
        <v>45900</v>
      </c>
      <c r="BH580" s="59"/>
      <c r="BI580" s="58" t="str">
        <f t="shared" si="369"/>
        <v/>
      </c>
      <c r="BJ580" s="59"/>
      <c r="BK580" s="58" t="str">
        <f t="shared" si="370"/>
        <v/>
      </c>
      <c r="BL580" s="59"/>
      <c r="BM580" s="58" t="str">
        <f t="shared" si="371"/>
        <v/>
      </c>
      <c r="BN580" s="59"/>
      <c r="BO580" s="58" t="str">
        <f t="shared" si="372"/>
        <v/>
      </c>
      <c r="BP580" s="59"/>
      <c r="BQ580" s="58" t="str">
        <f t="shared" si="373"/>
        <v/>
      </c>
      <c r="BR580" s="59"/>
      <c r="BS580" s="58" t="str">
        <f t="shared" si="374"/>
        <v/>
      </c>
      <c r="BT580" s="59"/>
      <c r="BU580" s="58" t="str">
        <f t="shared" si="375"/>
        <v/>
      </c>
      <c r="BV580" s="59"/>
    </row>
    <row r="581" spans="1:74" ht="14.5">
      <c r="A581" s="51" t="s">
        <v>466</v>
      </c>
      <c r="B581" s="52">
        <v>421</v>
      </c>
      <c r="C581" s="52" t="s">
        <v>55</v>
      </c>
      <c r="D581" s="41">
        <f t="shared" si="296"/>
        <v>10</v>
      </c>
      <c r="E581" s="52" t="s">
        <v>539</v>
      </c>
      <c r="F581" s="52" t="s">
        <v>286</v>
      </c>
      <c r="G581" s="52" t="s">
        <v>155</v>
      </c>
      <c r="H581" s="52" t="s">
        <v>581</v>
      </c>
      <c r="I581" s="53">
        <v>45718</v>
      </c>
      <c r="J581" s="108">
        <v>46920</v>
      </c>
      <c r="K581" s="101"/>
      <c r="L581" s="101"/>
      <c r="M581" s="101">
        <f t="shared" si="297"/>
        <v>46920</v>
      </c>
      <c r="N581" s="54">
        <f t="shared" si="298"/>
        <v>46920</v>
      </c>
      <c r="O581" s="101" t="s">
        <v>178</v>
      </c>
      <c r="P581" s="102">
        <f t="shared" si="299"/>
        <v>97.75</v>
      </c>
      <c r="Q581" s="102">
        <v>6</v>
      </c>
      <c r="R581" s="99">
        <v>80</v>
      </c>
      <c r="S581" s="55">
        <f t="shared" si="348"/>
        <v>45686</v>
      </c>
      <c r="T581" s="55"/>
      <c r="U581" s="56">
        <f t="shared" ca="1" si="350"/>
        <v>-154</v>
      </c>
      <c r="V581" s="55">
        <f t="shared" si="349"/>
        <v>45702</v>
      </c>
      <c r="W581" s="55"/>
      <c r="X581" s="56">
        <f t="shared" ca="1" si="351"/>
        <v>-138</v>
      </c>
      <c r="Y581" s="55"/>
      <c r="Z581" s="57"/>
      <c r="AA581" s="58" t="str">
        <f t="shared" si="352"/>
        <v>-</v>
      </c>
      <c r="AB581" s="59"/>
      <c r="AC581" s="58" t="str">
        <f t="shared" si="353"/>
        <v/>
      </c>
      <c r="AD581" s="59"/>
      <c r="AE581" s="58" t="str">
        <f t="shared" si="354"/>
        <v/>
      </c>
      <c r="AF581" s="59"/>
      <c r="AG581" s="58" t="str">
        <f t="shared" si="355"/>
        <v/>
      </c>
      <c r="AH581" s="59"/>
      <c r="AI581" s="58" t="str">
        <f t="shared" si="356"/>
        <v/>
      </c>
      <c r="AJ581" s="59"/>
      <c r="AK581" s="58" t="str">
        <f t="shared" si="357"/>
        <v/>
      </c>
      <c r="AL581" s="59"/>
      <c r="AM581" s="58" t="str">
        <f t="shared" si="358"/>
        <v/>
      </c>
      <c r="AN581" s="59"/>
      <c r="AO581" s="58" t="str">
        <f t="shared" si="359"/>
        <v/>
      </c>
      <c r="AP581" s="59"/>
      <c r="AQ581" s="58" t="str">
        <f t="shared" si="360"/>
        <v/>
      </c>
      <c r="AR581" s="59"/>
      <c r="AS581" s="58" t="str">
        <f t="shared" si="361"/>
        <v/>
      </c>
      <c r="AT581" s="59"/>
      <c r="AU581" s="58" t="str">
        <f t="shared" si="362"/>
        <v/>
      </c>
      <c r="AV581" s="59"/>
      <c r="AW581" s="58" t="str">
        <f t="shared" si="363"/>
        <v/>
      </c>
      <c r="AX581" s="59"/>
      <c r="AY581" s="58" t="str">
        <f t="shared" si="364"/>
        <v/>
      </c>
      <c r="AZ581" s="59"/>
      <c r="BA581" s="58" t="str">
        <f t="shared" si="365"/>
        <v/>
      </c>
      <c r="BB581" s="59"/>
      <c r="BC581" s="58" t="str">
        <f t="shared" si="366"/>
        <v/>
      </c>
      <c r="BD581" s="59"/>
      <c r="BE581" s="58" t="str">
        <f t="shared" si="367"/>
        <v/>
      </c>
      <c r="BF581" s="59"/>
      <c r="BG581" s="58">
        <f t="shared" si="368"/>
        <v>46920</v>
      </c>
      <c r="BH581" s="59"/>
      <c r="BI581" s="58" t="str">
        <f t="shared" si="369"/>
        <v/>
      </c>
      <c r="BJ581" s="59"/>
      <c r="BK581" s="58" t="str">
        <f t="shared" si="370"/>
        <v/>
      </c>
      <c r="BL581" s="59"/>
      <c r="BM581" s="58" t="str">
        <f t="shared" si="371"/>
        <v/>
      </c>
      <c r="BN581" s="59"/>
      <c r="BO581" s="58" t="str">
        <f t="shared" si="372"/>
        <v/>
      </c>
      <c r="BP581" s="59"/>
      <c r="BQ581" s="58" t="str">
        <f t="shared" si="373"/>
        <v/>
      </c>
      <c r="BR581" s="59"/>
      <c r="BS581" s="58" t="str">
        <f t="shared" si="374"/>
        <v/>
      </c>
      <c r="BT581" s="59"/>
      <c r="BU581" s="58" t="str">
        <f t="shared" si="375"/>
        <v/>
      </c>
      <c r="BV581" s="59"/>
    </row>
    <row r="582" spans="1:74" ht="14.5">
      <c r="A582" s="51" t="s">
        <v>446</v>
      </c>
      <c r="B582" s="52" t="s">
        <v>582</v>
      </c>
      <c r="C582" s="52" t="s">
        <v>60</v>
      </c>
      <c r="D582" s="41">
        <f t="shared" si="296"/>
        <v>10</v>
      </c>
      <c r="E582" s="52" t="s">
        <v>187</v>
      </c>
      <c r="F582" s="52" t="s">
        <v>448</v>
      </c>
      <c r="G582" s="52" t="s">
        <v>164</v>
      </c>
      <c r="H582" s="52" t="s">
        <v>449</v>
      </c>
      <c r="I582" s="53">
        <v>45721</v>
      </c>
      <c r="J582" s="108">
        <v>9000</v>
      </c>
      <c r="K582" s="101"/>
      <c r="L582" s="101"/>
      <c r="M582" s="101">
        <f t="shared" si="297"/>
        <v>9000</v>
      </c>
      <c r="N582" s="54">
        <f t="shared" si="298"/>
        <v>9000</v>
      </c>
      <c r="O582" s="101" t="s">
        <v>429</v>
      </c>
      <c r="P582" s="102">
        <f t="shared" si="299"/>
        <v>1.3636363636363635</v>
      </c>
      <c r="Q582" s="102">
        <v>6</v>
      </c>
      <c r="R582" s="99">
        <v>1100</v>
      </c>
      <c r="S582" s="55">
        <f>+I582-(28)</f>
        <v>45693</v>
      </c>
      <c r="T582" s="55"/>
      <c r="U582" s="56">
        <f t="shared" ca="1" si="350"/>
        <v>-147</v>
      </c>
      <c r="V582" s="55">
        <f t="shared" si="349"/>
        <v>45709</v>
      </c>
      <c r="W582" s="55"/>
      <c r="X582" s="56">
        <f t="shared" ca="1" si="351"/>
        <v>-131</v>
      </c>
      <c r="Y582" s="55"/>
      <c r="Z582" s="57"/>
      <c r="AA582" s="58" t="str">
        <f t="shared" si="352"/>
        <v>-</v>
      </c>
      <c r="AB582" s="59"/>
      <c r="AC582" s="58" t="str">
        <f t="shared" si="353"/>
        <v/>
      </c>
      <c r="AD582" s="59"/>
      <c r="AE582" s="58" t="str">
        <f t="shared" si="354"/>
        <v/>
      </c>
      <c r="AF582" s="59"/>
      <c r="AG582" s="58" t="str">
        <f t="shared" si="355"/>
        <v/>
      </c>
      <c r="AH582" s="59"/>
      <c r="AI582" s="58" t="str">
        <f t="shared" si="356"/>
        <v/>
      </c>
      <c r="AJ582" s="59"/>
      <c r="AK582" s="58" t="str">
        <f t="shared" si="357"/>
        <v/>
      </c>
      <c r="AL582" s="59"/>
      <c r="AM582" s="58" t="str">
        <f t="shared" si="358"/>
        <v/>
      </c>
      <c r="AN582" s="59"/>
      <c r="AO582" s="58" t="str">
        <f t="shared" si="359"/>
        <v/>
      </c>
      <c r="AP582" s="59"/>
      <c r="AQ582" s="58" t="str">
        <f t="shared" si="360"/>
        <v/>
      </c>
      <c r="AR582" s="59"/>
      <c r="AS582" s="58" t="str">
        <f t="shared" si="361"/>
        <v/>
      </c>
      <c r="AT582" s="59"/>
      <c r="AU582" s="58" t="str">
        <f t="shared" si="362"/>
        <v/>
      </c>
      <c r="AV582" s="59"/>
      <c r="AW582" s="58" t="str">
        <f t="shared" si="363"/>
        <v/>
      </c>
      <c r="AX582" s="59"/>
      <c r="AY582" s="58" t="str">
        <f t="shared" si="364"/>
        <v/>
      </c>
      <c r="AZ582" s="59"/>
      <c r="BA582" s="58" t="str">
        <f t="shared" si="365"/>
        <v/>
      </c>
      <c r="BB582" s="59"/>
      <c r="BC582" s="58" t="str">
        <f t="shared" si="366"/>
        <v/>
      </c>
      <c r="BD582" s="59"/>
      <c r="BE582" s="58" t="str">
        <f t="shared" si="367"/>
        <v/>
      </c>
      <c r="BF582" s="59"/>
      <c r="BG582" s="58" t="str">
        <f t="shared" si="368"/>
        <v/>
      </c>
      <c r="BH582" s="59"/>
      <c r="BI582" s="58">
        <f t="shared" si="369"/>
        <v>9000</v>
      </c>
      <c r="BJ582" s="59"/>
      <c r="BK582" s="58" t="str">
        <f t="shared" si="370"/>
        <v/>
      </c>
      <c r="BL582" s="59"/>
      <c r="BM582" s="58" t="str">
        <f t="shared" si="371"/>
        <v/>
      </c>
      <c r="BN582" s="59"/>
      <c r="BO582" s="58" t="str">
        <f t="shared" si="372"/>
        <v/>
      </c>
      <c r="BP582" s="59"/>
      <c r="BQ582" s="58" t="str">
        <f t="shared" si="373"/>
        <v/>
      </c>
      <c r="BR582" s="59"/>
      <c r="BS582" s="58" t="str">
        <f t="shared" si="374"/>
        <v/>
      </c>
      <c r="BT582" s="59"/>
      <c r="BU582" s="58" t="str">
        <f t="shared" si="375"/>
        <v/>
      </c>
      <c r="BV582" s="59"/>
    </row>
    <row r="583" spans="1:74" ht="14.5">
      <c r="A583" s="51" t="s">
        <v>446</v>
      </c>
      <c r="B583" s="52" t="s">
        <v>582</v>
      </c>
      <c r="C583" s="52" t="s">
        <v>60</v>
      </c>
      <c r="D583" s="41">
        <f t="shared" ref="D583:D646" si="376">+WEEKNUM(I583)</f>
        <v>10</v>
      </c>
      <c r="E583" s="52" t="s">
        <v>187</v>
      </c>
      <c r="F583" s="52" t="s">
        <v>448</v>
      </c>
      <c r="G583" s="52" t="s">
        <v>155</v>
      </c>
      <c r="H583" s="52" t="s">
        <v>449</v>
      </c>
      <c r="I583" s="53">
        <v>45721</v>
      </c>
      <c r="J583" s="108">
        <v>9000</v>
      </c>
      <c r="K583" s="101"/>
      <c r="L583" s="101"/>
      <c r="M583" s="101">
        <f t="shared" ref="M583:M646" si="377">+J583-L583</f>
        <v>9000</v>
      </c>
      <c r="N583" s="54">
        <f t="shared" ref="N583:N646" si="378">+J583-K583</f>
        <v>9000</v>
      </c>
      <c r="O583" s="101" t="s">
        <v>429</v>
      </c>
      <c r="P583" s="102">
        <f t="shared" ref="P583:P646" si="379">J583/(R583*Q583)</f>
        <v>1.3636363636363635</v>
      </c>
      <c r="Q583" s="102">
        <v>6</v>
      </c>
      <c r="R583" s="99">
        <v>1100</v>
      </c>
      <c r="S583" s="55">
        <f>+I583-(28)</f>
        <v>45693</v>
      </c>
      <c r="T583" s="55"/>
      <c r="U583" s="56">
        <f t="shared" ca="1" si="350"/>
        <v>-147</v>
      </c>
      <c r="V583" s="55">
        <f t="shared" si="349"/>
        <v>45709</v>
      </c>
      <c r="W583" s="55"/>
      <c r="X583" s="56">
        <f t="shared" ca="1" si="351"/>
        <v>-131</v>
      </c>
      <c r="Y583" s="55"/>
      <c r="Z583" s="57"/>
      <c r="AA583" s="58" t="str">
        <f t="shared" si="352"/>
        <v>-</v>
      </c>
      <c r="AB583" s="59"/>
      <c r="AC583" s="58" t="str">
        <f t="shared" si="353"/>
        <v/>
      </c>
      <c r="AD583" s="59"/>
      <c r="AE583" s="58" t="str">
        <f t="shared" si="354"/>
        <v/>
      </c>
      <c r="AF583" s="59"/>
      <c r="AG583" s="58" t="str">
        <f t="shared" si="355"/>
        <v/>
      </c>
      <c r="AH583" s="59"/>
      <c r="AI583" s="58" t="str">
        <f t="shared" si="356"/>
        <v/>
      </c>
      <c r="AJ583" s="59"/>
      <c r="AK583" s="58" t="str">
        <f t="shared" si="357"/>
        <v/>
      </c>
      <c r="AL583" s="59"/>
      <c r="AM583" s="58" t="str">
        <f t="shared" si="358"/>
        <v/>
      </c>
      <c r="AN583" s="59"/>
      <c r="AO583" s="58" t="str">
        <f t="shared" si="359"/>
        <v/>
      </c>
      <c r="AP583" s="59"/>
      <c r="AQ583" s="58" t="str">
        <f t="shared" si="360"/>
        <v/>
      </c>
      <c r="AR583" s="59"/>
      <c r="AS583" s="58" t="str">
        <f t="shared" si="361"/>
        <v/>
      </c>
      <c r="AT583" s="59"/>
      <c r="AU583" s="58" t="str">
        <f t="shared" si="362"/>
        <v/>
      </c>
      <c r="AV583" s="59"/>
      <c r="AW583" s="58" t="str">
        <f t="shared" si="363"/>
        <v/>
      </c>
      <c r="AX583" s="59"/>
      <c r="AY583" s="58" t="str">
        <f t="shared" si="364"/>
        <v/>
      </c>
      <c r="AZ583" s="59"/>
      <c r="BA583" s="58" t="str">
        <f t="shared" si="365"/>
        <v/>
      </c>
      <c r="BB583" s="59"/>
      <c r="BC583" s="58" t="str">
        <f t="shared" si="366"/>
        <v/>
      </c>
      <c r="BD583" s="59"/>
      <c r="BE583" s="58" t="str">
        <f t="shared" si="367"/>
        <v/>
      </c>
      <c r="BF583" s="59"/>
      <c r="BG583" s="58" t="str">
        <f t="shared" si="368"/>
        <v/>
      </c>
      <c r="BH583" s="59"/>
      <c r="BI583" s="58">
        <f t="shared" si="369"/>
        <v>9000</v>
      </c>
      <c r="BJ583" s="59"/>
      <c r="BK583" s="58" t="str">
        <f t="shared" si="370"/>
        <v/>
      </c>
      <c r="BL583" s="59"/>
      <c r="BM583" s="58" t="str">
        <f t="shared" si="371"/>
        <v/>
      </c>
      <c r="BN583" s="59"/>
      <c r="BO583" s="58" t="str">
        <f t="shared" si="372"/>
        <v/>
      </c>
      <c r="BP583" s="59"/>
      <c r="BQ583" s="58" t="str">
        <f t="shared" si="373"/>
        <v/>
      </c>
      <c r="BR583" s="59"/>
      <c r="BS583" s="58" t="str">
        <f t="shared" si="374"/>
        <v/>
      </c>
      <c r="BT583" s="59"/>
      <c r="BU583" s="58" t="str">
        <f t="shared" si="375"/>
        <v/>
      </c>
      <c r="BV583" s="59"/>
    </row>
    <row r="584" spans="1:74" ht="14.5">
      <c r="A584" s="51" t="s">
        <v>446</v>
      </c>
      <c r="B584" s="52" t="s">
        <v>582</v>
      </c>
      <c r="C584" s="52" t="s">
        <v>60</v>
      </c>
      <c r="D584" s="41">
        <f t="shared" si="376"/>
        <v>10</v>
      </c>
      <c r="E584" s="52" t="s">
        <v>187</v>
      </c>
      <c r="F584" s="52" t="s">
        <v>448</v>
      </c>
      <c r="G584" s="52" t="s">
        <v>450</v>
      </c>
      <c r="H584" s="52" t="s">
        <v>449</v>
      </c>
      <c r="I584" s="53">
        <v>45721</v>
      </c>
      <c r="J584" s="108">
        <v>6000</v>
      </c>
      <c r="K584" s="101"/>
      <c r="L584" s="101"/>
      <c r="M584" s="101">
        <f t="shared" si="377"/>
        <v>6000</v>
      </c>
      <c r="N584" s="54">
        <f t="shared" si="378"/>
        <v>6000</v>
      </c>
      <c r="O584" s="101" t="s">
        <v>429</v>
      </c>
      <c r="P584" s="102">
        <f t="shared" si="379"/>
        <v>0.90909090909090906</v>
      </c>
      <c r="Q584" s="102">
        <v>6</v>
      </c>
      <c r="R584" s="99">
        <v>1100</v>
      </c>
      <c r="S584" s="55">
        <f>+I584-(28)</f>
        <v>45693</v>
      </c>
      <c r="T584" s="55"/>
      <c r="U584" s="56">
        <f t="shared" ca="1" si="350"/>
        <v>-147</v>
      </c>
      <c r="V584" s="55">
        <f t="shared" si="349"/>
        <v>45709</v>
      </c>
      <c r="W584" s="55"/>
      <c r="X584" s="56">
        <f t="shared" ca="1" si="351"/>
        <v>-131</v>
      </c>
      <c r="Y584" s="55"/>
      <c r="Z584" s="57"/>
      <c r="AA584" s="58" t="str">
        <f t="shared" si="352"/>
        <v>-</v>
      </c>
      <c r="AB584" s="59"/>
      <c r="AC584" s="58" t="str">
        <f t="shared" si="353"/>
        <v/>
      </c>
      <c r="AD584" s="59"/>
      <c r="AE584" s="58" t="str">
        <f t="shared" si="354"/>
        <v/>
      </c>
      <c r="AF584" s="59"/>
      <c r="AG584" s="58" t="str">
        <f t="shared" si="355"/>
        <v/>
      </c>
      <c r="AH584" s="59"/>
      <c r="AI584" s="58" t="str">
        <f t="shared" si="356"/>
        <v/>
      </c>
      <c r="AJ584" s="59"/>
      <c r="AK584" s="58" t="str">
        <f t="shared" si="357"/>
        <v/>
      </c>
      <c r="AL584" s="59"/>
      <c r="AM584" s="58" t="str">
        <f t="shared" si="358"/>
        <v/>
      </c>
      <c r="AN584" s="59"/>
      <c r="AO584" s="58" t="str">
        <f t="shared" si="359"/>
        <v/>
      </c>
      <c r="AP584" s="59"/>
      <c r="AQ584" s="58" t="str">
        <f t="shared" si="360"/>
        <v/>
      </c>
      <c r="AR584" s="59"/>
      <c r="AS584" s="58" t="str">
        <f t="shared" si="361"/>
        <v/>
      </c>
      <c r="AT584" s="59"/>
      <c r="AU584" s="58" t="str">
        <f t="shared" si="362"/>
        <v/>
      </c>
      <c r="AV584" s="59"/>
      <c r="AW584" s="58" t="str">
        <f t="shared" si="363"/>
        <v/>
      </c>
      <c r="AX584" s="59"/>
      <c r="AY584" s="58" t="str">
        <f t="shared" si="364"/>
        <v/>
      </c>
      <c r="AZ584" s="59"/>
      <c r="BA584" s="58" t="str">
        <f t="shared" si="365"/>
        <v/>
      </c>
      <c r="BB584" s="59"/>
      <c r="BC584" s="58" t="str">
        <f t="shared" si="366"/>
        <v/>
      </c>
      <c r="BD584" s="59"/>
      <c r="BE584" s="58" t="str">
        <f t="shared" si="367"/>
        <v/>
      </c>
      <c r="BF584" s="59"/>
      <c r="BG584" s="58" t="str">
        <f t="shared" si="368"/>
        <v/>
      </c>
      <c r="BH584" s="59"/>
      <c r="BI584" s="58">
        <f t="shared" si="369"/>
        <v>6000</v>
      </c>
      <c r="BJ584" s="59"/>
      <c r="BK584" s="58" t="str">
        <f t="shared" si="370"/>
        <v/>
      </c>
      <c r="BL584" s="59"/>
      <c r="BM584" s="58" t="str">
        <f t="shared" si="371"/>
        <v/>
      </c>
      <c r="BN584" s="59"/>
      <c r="BO584" s="58" t="str">
        <f t="shared" si="372"/>
        <v/>
      </c>
      <c r="BP584" s="59"/>
      <c r="BQ584" s="58" t="str">
        <f t="shared" si="373"/>
        <v/>
      </c>
      <c r="BR584" s="59"/>
      <c r="BS584" s="58" t="str">
        <f t="shared" si="374"/>
        <v/>
      </c>
      <c r="BT584" s="59"/>
      <c r="BU584" s="58" t="str">
        <f t="shared" si="375"/>
        <v/>
      </c>
      <c r="BV584" s="59"/>
    </row>
    <row r="585" spans="1:74" ht="14.5">
      <c r="A585" s="51" t="s">
        <v>58</v>
      </c>
      <c r="B585" s="52">
        <v>411</v>
      </c>
      <c r="C585" s="52" t="s">
        <v>188</v>
      </c>
      <c r="D585" s="41">
        <f t="shared" si="376"/>
        <v>10</v>
      </c>
      <c r="E585" s="52" t="s">
        <v>189</v>
      </c>
      <c r="F585" s="52" t="s">
        <v>242</v>
      </c>
      <c r="G585" s="52" t="s">
        <v>162</v>
      </c>
      <c r="H585" s="52" t="s">
        <v>432</v>
      </c>
      <c r="I585" s="53">
        <v>45723</v>
      </c>
      <c r="J585" s="108">
        <v>1668</v>
      </c>
      <c r="K585" s="101"/>
      <c r="L585" s="101"/>
      <c r="M585" s="101">
        <f t="shared" si="377"/>
        <v>1668</v>
      </c>
      <c r="N585" s="54">
        <f t="shared" si="378"/>
        <v>1668</v>
      </c>
      <c r="O585" s="101" t="s">
        <v>178</v>
      </c>
      <c r="P585" s="102">
        <f t="shared" si="379"/>
        <v>2.3166666666666669</v>
      </c>
      <c r="Q585" s="102">
        <v>6</v>
      </c>
      <c r="R585" s="99">
        <v>120</v>
      </c>
      <c r="S585" s="55">
        <f t="shared" ref="S585:S608" si="380">+I585-(32)</f>
        <v>45691</v>
      </c>
      <c r="T585" s="55"/>
      <c r="U585" s="56">
        <f t="shared" ca="1" si="350"/>
        <v>-149</v>
      </c>
      <c r="V585" s="55">
        <f t="shared" si="349"/>
        <v>45707</v>
      </c>
      <c r="W585" s="55"/>
      <c r="X585" s="56">
        <f t="shared" ca="1" si="351"/>
        <v>-133</v>
      </c>
      <c r="Y585" s="55"/>
      <c r="Z585" s="57"/>
      <c r="AA585" s="58" t="str">
        <f t="shared" si="352"/>
        <v>-</v>
      </c>
      <c r="AB585" s="59"/>
      <c r="AC585" s="58" t="str">
        <f t="shared" si="353"/>
        <v/>
      </c>
      <c r="AD585" s="59"/>
      <c r="AE585" s="58" t="str">
        <f t="shared" si="354"/>
        <v/>
      </c>
      <c r="AF585" s="59"/>
      <c r="AG585" s="58" t="str">
        <f t="shared" si="355"/>
        <v/>
      </c>
      <c r="AH585" s="59"/>
      <c r="AI585" s="58" t="str">
        <f t="shared" si="356"/>
        <v/>
      </c>
      <c r="AJ585" s="59"/>
      <c r="AK585" s="58" t="str">
        <f t="shared" si="357"/>
        <v/>
      </c>
      <c r="AL585" s="59"/>
      <c r="AM585" s="58" t="str">
        <f t="shared" si="358"/>
        <v/>
      </c>
      <c r="AN585" s="59"/>
      <c r="AO585" s="58" t="str">
        <f t="shared" si="359"/>
        <v/>
      </c>
      <c r="AP585" s="59"/>
      <c r="AQ585" s="58" t="str">
        <f t="shared" si="360"/>
        <v/>
      </c>
      <c r="AR585" s="59"/>
      <c r="AS585" s="58" t="str">
        <f t="shared" si="361"/>
        <v/>
      </c>
      <c r="AT585" s="59"/>
      <c r="AU585" s="58" t="str">
        <f t="shared" si="362"/>
        <v/>
      </c>
      <c r="AV585" s="59"/>
      <c r="AW585" s="58" t="str">
        <f t="shared" si="363"/>
        <v/>
      </c>
      <c r="AX585" s="59"/>
      <c r="AY585" s="58" t="str">
        <f t="shared" si="364"/>
        <v/>
      </c>
      <c r="AZ585" s="59"/>
      <c r="BA585" s="58" t="str">
        <f t="shared" si="365"/>
        <v/>
      </c>
      <c r="BB585" s="59"/>
      <c r="BC585" s="58" t="str">
        <f t="shared" si="366"/>
        <v/>
      </c>
      <c r="BD585" s="59"/>
      <c r="BE585" s="58" t="str">
        <f t="shared" si="367"/>
        <v/>
      </c>
      <c r="BF585" s="59"/>
      <c r="BG585" s="58" t="str">
        <f t="shared" si="368"/>
        <v/>
      </c>
      <c r="BH585" s="59"/>
      <c r="BI585" s="58">
        <f t="shared" si="369"/>
        <v>1668</v>
      </c>
      <c r="BJ585" s="59"/>
      <c r="BK585" s="58" t="str">
        <f t="shared" si="370"/>
        <v/>
      </c>
      <c r="BL585" s="59"/>
      <c r="BM585" s="58" t="str">
        <f t="shared" si="371"/>
        <v/>
      </c>
      <c r="BN585" s="59"/>
      <c r="BO585" s="58" t="str">
        <f t="shared" si="372"/>
        <v/>
      </c>
      <c r="BP585" s="59"/>
      <c r="BQ585" s="58" t="str">
        <f t="shared" si="373"/>
        <v/>
      </c>
      <c r="BR585" s="59"/>
      <c r="BS585" s="58" t="str">
        <f t="shared" si="374"/>
        <v/>
      </c>
      <c r="BT585" s="59"/>
      <c r="BU585" s="58" t="str">
        <f t="shared" si="375"/>
        <v/>
      </c>
      <c r="BV585" s="59"/>
    </row>
    <row r="586" spans="1:74" ht="14.5">
      <c r="A586" s="51" t="s">
        <v>58</v>
      </c>
      <c r="B586" s="52">
        <v>416</v>
      </c>
      <c r="C586" s="52" t="s">
        <v>188</v>
      </c>
      <c r="D586" s="41">
        <f t="shared" si="376"/>
        <v>10</v>
      </c>
      <c r="E586" s="52" t="s">
        <v>157</v>
      </c>
      <c r="F586" s="52" t="s">
        <v>243</v>
      </c>
      <c r="G586" s="52" t="s">
        <v>155</v>
      </c>
      <c r="H586" s="52" t="s">
        <v>428</v>
      </c>
      <c r="I586" s="53">
        <v>45723</v>
      </c>
      <c r="J586" s="108">
        <v>3756</v>
      </c>
      <c r="K586" s="101"/>
      <c r="L586" s="101"/>
      <c r="M586" s="101">
        <f t="shared" si="377"/>
        <v>3756</v>
      </c>
      <c r="N586" s="54">
        <f t="shared" si="378"/>
        <v>3756</v>
      </c>
      <c r="O586" s="101" t="s">
        <v>429</v>
      </c>
      <c r="P586" s="102">
        <f t="shared" si="379"/>
        <v>0.626</v>
      </c>
      <c r="Q586" s="102">
        <v>6</v>
      </c>
      <c r="R586" s="99">
        <v>1000</v>
      </c>
      <c r="S586" s="55">
        <f t="shared" si="380"/>
        <v>45691</v>
      </c>
      <c r="T586" s="55"/>
      <c r="U586" s="56">
        <f t="shared" ca="1" si="350"/>
        <v>-149</v>
      </c>
      <c r="V586" s="55">
        <f t="shared" si="349"/>
        <v>45707</v>
      </c>
      <c r="W586" s="55"/>
      <c r="X586" s="56">
        <f t="shared" ca="1" si="351"/>
        <v>-133</v>
      </c>
      <c r="Y586" s="55"/>
      <c r="Z586" s="57"/>
      <c r="AA586" s="58" t="str">
        <f t="shared" si="352"/>
        <v>-</v>
      </c>
      <c r="AB586" s="59"/>
      <c r="AC586" s="58" t="str">
        <f t="shared" si="353"/>
        <v/>
      </c>
      <c r="AD586" s="59"/>
      <c r="AE586" s="58" t="str">
        <f t="shared" si="354"/>
        <v/>
      </c>
      <c r="AF586" s="59"/>
      <c r="AG586" s="58" t="str">
        <f t="shared" si="355"/>
        <v/>
      </c>
      <c r="AH586" s="59"/>
      <c r="AI586" s="58" t="str">
        <f t="shared" si="356"/>
        <v/>
      </c>
      <c r="AJ586" s="59"/>
      <c r="AK586" s="58" t="str">
        <f t="shared" si="357"/>
        <v/>
      </c>
      <c r="AL586" s="59"/>
      <c r="AM586" s="58" t="str">
        <f t="shared" si="358"/>
        <v/>
      </c>
      <c r="AN586" s="59"/>
      <c r="AO586" s="58" t="str">
        <f t="shared" si="359"/>
        <v/>
      </c>
      <c r="AP586" s="59"/>
      <c r="AQ586" s="58" t="str">
        <f t="shared" si="360"/>
        <v/>
      </c>
      <c r="AR586" s="59"/>
      <c r="AS586" s="58" t="str">
        <f t="shared" si="361"/>
        <v/>
      </c>
      <c r="AT586" s="59"/>
      <c r="AU586" s="58" t="str">
        <f t="shared" si="362"/>
        <v/>
      </c>
      <c r="AV586" s="59"/>
      <c r="AW586" s="58" t="str">
        <f t="shared" si="363"/>
        <v/>
      </c>
      <c r="AX586" s="59"/>
      <c r="AY586" s="58" t="str">
        <f t="shared" si="364"/>
        <v/>
      </c>
      <c r="AZ586" s="59"/>
      <c r="BA586" s="58" t="str">
        <f t="shared" si="365"/>
        <v/>
      </c>
      <c r="BB586" s="59"/>
      <c r="BC586" s="58" t="str">
        <f t="shared" si="366"/>
        <v/>
      </c>
      <c r="BD586" s="59"/>
      <c r="BE586" s="58" t="str">
        <f t="shared" si="367"/>
        <v/>
      </c>
      <c r="BF586" s="59"/>
      <c r="BG586" s="58" t="str">
        <f t="shared" si="368"/>
        <v/>
      </c>
      <c r="BH586" s="59"/>
      <c r="BI586" s="58">
        <f t="shared" si="369"/>
        <v>3756</v>
      </c>
      <c r="BJ586" s="59"/>
      <c r="BK586" s="58" t="str">
        <f t="shared" si="370"/>
        <v/>
      </c>
      <c r="BL586" s="59"/>
      <c r="BM586" s="58" t="str">
        <f t="shared" si="371"/>
        <v/>
      </c>
      <c r="BN586" s="59"/>
      <c r="BO586" s="58" t="str">
        <f t="shared" si="372"/>
        <v/>
      </c>
      <c r="BP586" s="59"/>
      <c r="BQ586" s="58" t="str">
        <f t="shared" si="373"/>
        <v/>
      </c>
      <c r="BR586" s="59"/>
      <c r="BS586" s="58" t="str">
        <f t="shared" si="374"/>
        <v/>
      </c>
      <c r="BT586" s="59"/>
      <c r="BU586" s="58" t="str">
        <f t="shared" si="375"/>
        <v/>
      </c>
      <c r="BV586" s="59"/>
    </row>
    <row r="587" spans="1:74" ht="14.5">
      <c r="A587" s="51" t="s">
        <v>58</v>
      </c>
      <c r="B587" s="52">
        <v>416</v>
      </c>
      <c r="C587" s="52" t="s">
        <v>188</v>
      </c>
      <c r="D587" s="41">
        <f t="shared" si="376"/>
        <v>10</v>
      </c>
      <c r="E587" s="52" t="s">
        <v>158</v>
      </c>
      <c r="F587" s="52" t="s">
        <v>242</v>
      </c>
      <c r="G587" s="52" t="s">
        <v>154</v>
      </c>
      <c r="H587" s="52" t="s">
        <v>432</v>
      </c>
      <c r="I587" s="53">
        <v>45723</v>
      </c>
      <c r="J587" s="108">
        <v>1444</v>
      </c>
      <c r="K587" s="101"/>
      <c r="L587" s="101"/>
      <c r="M587" s="101">
        <f t="shared" si="377"/>
        <v>1444</v>
      </c>
      <c r="N587" s="54">
        <f t="shared" si="378"/>
        <v>1444</v>
      </c>
      <c r="O587" s="101" t="s">
        <v>439</v>
      </c>
      <c r="P587" s="102">
        <f t="shared" si="379"/>
        <v>2.0055555555555555</v>
      </c>
      <c r="Q587" s="102">
        <v>6</v>
      </c>
      <c r="R587" s="99">
        <v>120</v>
      </c>
      <c r="S587" s="55">
        <f t="shared" si="380"/>
        <v>45691</v>
      </c>
      <c r="T587" s="55"/>
      <c r="U587" s="56">
        <f t="shared" ca="1" si="350"/>
        <v>-149</v>
      </c>
      <c r="V587" s="55">
        <f t="shared" si="349"/>
        <v>45707</v>
      </c>
      <c r="W587" s="55"/>
      <c r="X587" s="56">
        <f t="shared" ca="1" si="351"/>
        <v>-133</v>
      </c>
      <c r="Y587" s="55"/>
      <c r="Z587" s="57"/>
      <c r="AA587" s="58" t="str">
        <f t="shared" si="352"/>
        <v>-</v>
      </c>
      <c r="AB587" s="59"/>
      <c r="AC587" s="58" t="str">
        <f t="shared" si="353"/>
        <v/>
      </c>
      <c r="AD587" s="59"/>
      <c r="AE587" s="58" t="str">
        <f t="shared" si="354"/>
        <v/>
      </c>
      <c r="AF587" s="59"/>
      <c r="AG587" s="58" t="str">
        <f t="shared" si="355"/>
        <v/>
      </c>
      <c r="AH587" s="59"/>
      <c r="AI587" s="58" t="str">
        <f t="shared" si="356"/>
        <v/>
      </c>
      <c r="AJ587" s="59"/>
      <c r="AK587" s="58" t="str">
        <f t="shared" si="357"/>
        <v/>
      </c>
      <c r="AL587" s="59"/>
      <c r="AM587" s="58" t="str">
        <f t="shared" si="358"/>
        <v/>
      </c>
      <c r="AN587" s="59"/>
      <c r="AO587" s="58" t="str">
        <f t="shared" si="359"/>
        <v/>
      </c>
      <c r="AP587" s="59"/>
      <c r="AQ587" s="58" t="str">
        <f t="shared" si="360"/>
        <v/>
      </c>
      <c r="AR587" s="59"/>
      <c r="AS587" s="58" t="str">
        <f t="shared" si="361"/>
        <v/>
      </c>
      <c r="AT587" s="59"/>
      <c r="AU587" s="58" t="str">
        <f t="shared" si="362"/>
        <v/>
      </c>
      <c r="AV587" s="59"/>
      <c r="AW587" s="58" t="str">
        <f t="shared" si="363"/>
        <v/>
      </c>
      <c r="AX587" s="59"/>
      <c r="AY587" s="58" t="str">
        <f t="shared" si="364"/>
        <v/>
      </c>
      <c r="AZ587" s="59"/>
      <c r="BA587" s="58" t="str">
        <f t="shared" si="365"/>
        <v/>
      </c>
      <c r="BB587" s="59"/>
      <c r="BC587" s="58" t="str">
        <f t="shared" si="366"/>
        <v/>
      </c>
      <c r="BD587" s="59"/>
      <c r="BE587" s="58" t="str">
        <f t="shared" si="367"/>
        <v/>
      </c>
      <c r="BF587" s="59"/>
      <c r="BG587" s="58" t="str">
        <f t="shared" si="368"/>
        <v/>
      </c>
      <c r="BH587" s="59"/>
      <c r="BI587" s="58">
        <f t="shared" si="369"/>
        <v>1444</v>
      </c>
      <c r="BJ587" s="59"/>
      <c r="BK587" s="58" t="str">
        <f t="shared" si="370"/>
        <v/>
      </c>
      <c r="BL587" s="59"/>
      <c r="BM587" s="58" t="str">
        <f t="shared" si="371"/>
        <v/>
      </c>
      <c r="BN587" s="59"/>
      <c r="BO587" s="58" t="str">
        <f t="shared" si="372"/>
        <v/>
      </c>
      <c r="BP587" s="59"/>
      <c r="BQ587" s="58" t="str">
        <f t="shared" si="373"/>
        <v/>
      </c>
      <c r="BR587" s="59"/>
      <c r="BS587" s="58" t="str">
        <f t="shared" si="374"/>
        <v/>
      </c>
      <c r="BT587" s="59"/>
      <c r="BU587" s="58" t="str">
        <f t="shared" si="375"/>
        <v/>
      </c>
      <c r="BV587" s="59"/>
    </row>
    <row r="588" spans="1:74" ht="14.5">
      <c r="A588" s="51" t="s">
        <v>58</v>
      </c>
      <c r="B588" s="52">
        <v>416</v>
      </c>
      <c r="C588" s="52" t="s">
        <v>188</v>
      </c>
      <c r="D588" s="41">
        <f t="shared" si="376"/>
        <v>10</v>
      </c>
      <c r="E588" s="52" t="s">
        <v>189</v>
      </c>
      <c r="F588" s="52" t="s">
        <v>242</v>
      </c>
      <c r="G588" s="52" t="s">
        <v>162</v>
      </c>
      <c r="H588" s="52" t="s">
        <v>432</v>
      </c>
      <c r="I588" s="53">
        <v>45723</v>
      </c>
      <c r="J588" s="108">
        <v>968</v>
      </c>
      <c r="K588" s="101"/>
      <c r="L588" s="101"/>
      <c r="M588" s="101">
        <f t="shared" si="377"/>
        <v>968</v>
      </c>
      <c r="N588" s="54">
        <f t="shared" si="378"/>
        <v>968</v>
      </c>
      <c r="O588" s="101" t="s">
        <v>178</v>
      </c>
      <c r="P588" s="102">
        <f t="shared" si="379"/>
        <v>1.3444444444444446</v>
      </c>
      <c r="Q588" s="102">
        <v>6</v>
      </c>
      <c r="R588" s="99">
        <v>120</v>
      </c>
      <c r="S588" s="55">
        <f t="shared" si="380"/>
        <v>45691</v>
      </c>
      <c r="T588" s="55"/>
      <c r="U588" s="56">
        <f t="shared" ca="1" si="350"/>
        <v>-149</v>
      </c>
      <c r="V588" s="55">
        <f t="shared" si="349"/>
        <v>45707</v>
      </c>
      <c r="W588" s="55"/>
      <c r="X588" s="56">
        <f t="shared" ca="1" si="351"/>
        <v>-133</v>
      </c>
      <c r="Y588" s="55"/>
      <c r="Z588" s="57"/>
      <c r="AA588" s="58" t="str">
        <f t="shared" si="352"/>
        <v>-</v>
      </c>
      <c r="AB588" s="59"/>
      <c r="AC588" s="58" t="str">
        <f t="shared" si="353"/>
        <v/>
      </c>
      <c r="AD588" s="59"/>
      <c r="AE588" s="58" t="str">
        <f t="shared" si="354"/>
        <v/>
      </c>
      <c r="AF588" s="59"/>
      <c r="AG588" s="58" t="str">
        <f t="shared" si="355"/>
        <v/>
      </c>
      <c r="AH588" s="59"/>
      <c r="AI588" s="58" t="str">
        <f t="shared" si="356"/>
        <v/>
      </c>
      <c r="AJ588" s="59"/>
      <c r="AK588" s="58" t="str">
        <f t="shared" si="357"/>
        <v/>
      </c>
      <c r="AL588" s="59"/>
      <c r="AM588" s="58" t="str">
        <f t="shared" si="358"/>
        <v/>
      </c>
      <c r="AN588" s="59"/>
      <c r="AO588" s="58" t="str">
        <f t="shared" si="359"/>
        <v/>
      </c>
      <c r="AP588" s="59"/>
      <c r="AQ588" s="58" t="str">
        <f t="shared" si="360"/>
        <v/>
      </c>
      <c r="AR588" s="59"/>
      <c r="AS588" s="58" t="str">
        <f t="shared" si="361"/>
        <v/>
      </c>
      <c r="AT588" s="59"/>
      <c r="AU588" s="58" t="str">
        <f t="shared" si="362"/>
        <v/>
      </c>
      <c r="AV588" s="59"/>
      <c r="AW588" s="58" t="str">
        <f t="shared" si="363"/>
        <v/>
      </c>
      <c r="AX588" s="59"/>
      <c r="AY588" s="58" t="str">
        <f t="shared" si="364"/>
        <v/>
      </c>
      <c r="AZ588" s="59"/>
      <c r="BA588" s="58" t="str">
        <f t="shared" si="365"/>
        <v/>
      </c>
      <c r="BB588" s="59"/>
      <c r="BC588" s="58" t="str">
        <f t="shared" si="366"/>
        <v/>
      </c>
      <c r="BD588" s="59"/>
      <c r="BE588" s="58" t="str">
        <f t="shared" si="367"/>
        <v/>
      </c>
      <c r="BF588" s="59"/>
      <c r="BG588" s="58" t="str">
        <f t="shared" si="368"/>
        <v/>
      </c>
      <c r="BH588" s="59"/>
      <c r="BI588" s="58">
        <f t="shared" si="369"/>
        <v>968</v>
      </c>
      <c r="BJ588" s="59"/>
      <c r="BK588" s="58" t="str">
        <f t="shared" si="370"/>
        <v/>
      </c>
      <c r="BL588" s="59"/>
      <c r="BM588" s="58" t="str">
        <f t="shared" si="371"/>
        <v/>
      </c>
      <c r="BN588" s="59"/>
      <c r="BO588" s="58" t="str">
        <f t="shared" si="372"/>
        <v/>
      </c>
      <c r="BP588" s="59"/>
      <c r="BQ588" s="58" t="str">
        <f t="shared" si="373"/>
        <v/>
      </c>
      <c r="BR588" s="59"/>
      <c r="BS588" s="58" t="str">
        <f t="shared" si="374"/>
        <v/>
      </c>
      <c r="BT588" s="59"/>
      <c r="BU588" s="58" t="str">
        <f t="shared" si="375"/>
        <v/>
      </c>
      <c r="BV588" s="59"/>
    </row>
    <row r="589" spans="1:74" ht="14.5">
      <c r="A589" s="51" t="s">
        <v>58</v>
      </c>
      <c r="B589" s="52">
        <v>435</v>
      </c>
      <c r="C589" s="52" t="s">
        <v>188</v>
      </c>
      <c r="D589" s="41">
        <f t="shared" si="376"/>
        <v>10</v>
      </c>
      <c r="E589" s="52" t="s">
        <v>245</v>
      </c>
      <c r="F589" s="52" t="s">
        <v>242</v>
      </c>
      <c r="G589" s="52" t="s">
        <v>244</v>
      </c>
      <c r="H589" s="52" t="s">
        <v>432</v>
      </c>
      <c r="I589" s="53">
        <v>45723</v>
      </c>
      <c r="J589" s="108">
        <v>968</v>
      </c>
      <c r="K589" s="101"/>
      <c r="L589" s="101"/>
      <c r="M589" s="101">
        <f t="shared" si="377"/>
        <v>968</v>
      </c>
      <c r="N589" s="54">
        <f t="shared" si="378"/>
        <v>968</v>
      </c>
      <c r="O589" s="101" t="s">
        <v>431</v>
      </c>
      <c r="P589" s="102">
        <f t="shared" si="379"/>
        <v>1.3444444444444446</v>
      </c>
      <c r="Q589" s="102">
        <v>6</v>
      </c>
      <c r="R589" s="99">
        <v>120</v>
      </c>
      <c r="S589" s="55">
        <f t="shared" si="380"/>
        <v>45691</v>
      </c>
      <c r="T589" s="55"/>
      <c r="U589" s="56">
        <f t="shared" ca="1" si="350"/>
        <v>-149</v>
      </c>
      <c r="V589" s="55">
        <f t="shared" si="349"/>
        <v>45707</v>
      </c>
      <c r="W589" s="55"/>
      <c r="X589" s="56">
        <f t="shared" ca="1" si="351"/>
        <v>-133</v>
      </c>
      <c r="Y589" s="55"/>
      <c r="Z589" s="57"/>
      <c r="AA589" s="58" t="str">
        <f t="shared" si="352"/>
        <v>-</v>
      </c>
      <c r="AB589" s="59"/>
      <c r="AC589" s="58" t="str">
        <f t="shared" si="353"/>
        <v/>
      </c>
      <c r="AD589" s="59"/>
      <c r="AE589" s="58" t="str">
        <f t="shared" si="354"/>
        <v/>
      </c>
      <c r="AF589" s="59"/>
      <c r="AG589" s="58" t="str">
        <f t="shared" si="355"/>
        <v/>
      </c>
      <c r="AH589" s="59"/>
      <c r="AI589" s="58" t="str">
        <f t="shared" si="356"/>
        <v/>
      </c>
      <c r="AJ589" s="59"/>
      <c r="AK589" s="58" t="str">
        <f t="shared" si="357"/>
        <v/>
      </c>
      <c r="AL589" s="59"/>
      <c r="AM589" s="58" t="str">
        <f t="shared" si="358"/>
        <v/>
      </c>
      <c r="AN589" s="59"/>
      <c r="AO589" s="58" t="str">
        <f t="shared" si="359"/>
        <v/>
      </c>
      <c r="AP589" s="59"/>
      <c r="AQ589" s="58" t="str">
        <f t="shared" si="360"/>
        <v/>
      </c>
      <c r="AR589" s="59"/>
      <c r="AS589" s="58" t="str">
        <f t="shared" si="361"/>
        <v/>
      </c>
      <c r="AT589" s="59"/>
      <c r="AU589" s="58" t="str">
        <f t="shared" si="362"/>
        <v/>
      </c>
      <c r="AV589" s="59"/>
      <c r="AW589" s="58" t="str">
        <f t="shared" si="363"/>
        <v/>
      </c>
      <c r="AX589" s="59"/>
      <c r="AY589" s="58" t="str">
        <f t="shared" si="364"/>
        <v/>
      </c>
      <c r="AZ589" s="59"/>
      <c r="BA589" s="58" t="str">
        <f t="shared" si="365"/>
        <v/>
      </c>
      <c r="BB589" s="59"/>
      <c r="BC589" s="58" t="str">
        <f t="shared" si="366"/>
        <v/>
      </c>
      <c r="BD589" s="59"/>
      <c r="BE589" s="58" t="str">
        <f t="shared" si="367"/>
        <v/>
      </c>
      <c r="BF589" s="59"/>
      <c r="BG589" s="58" t="str">
        <f t="shared" si="368"/>
        <v/>
      </c>
      <c r="BH589" s="59"/>
      <c r="BI589" s="58">
        <f t="shared" si="369"/>
        <v>968</v>
      </c>
      <c r="BJ589" s="59"/>
      <c r="BK589" s="58" t="str">
        <f t="shared" si="370"/>
        <v/>
      </c>
      <c r="BL589" s="59"/>
      <c r="BM589" s="58" t="str">
        <f t="shared" si="371"/>
        <v/>
      </c>
      <c r="BN589" s="59"/>
      <c r="BO589" s="58" t="str">
        <f t="shared" si="372"/>
        <v/>
      </c>
      <c r="BP589" s="59"/>
      <c r="BQ589" s="58" t="str">
        <f t="shared" si="373"/>
        <v/>
      </c>
      <c r="BR589" s="59"/>
      <c r="BS589" s="58" t="str">
        <f t="shared" si="374"/>
        <v/>
      </c>
      <c r="BT589" s="59"/>
      <c r="BU589" s="58" t="str">
        <f t="shared" si="375"/>
        <v/>
      </c>
      <c r="BV589" s="59"/>
    </row>
    <row r="590" spans="1:74" ht="14.5">
      <c r="A590" s="51" t="s">
        <v>58</v>
      </c>
      <c r="B590" s="52">
        <v>435</v>
      </c>
      <c r="C590" s="52" t="s">
        <v>188</v>
      </c>
      <c r="D590" s="41">
        <f t="shared" si="376"/>
        <v>10</v>
      </c>
      <c r="E590" s="52" t="s">
        <v>158</v>
      </c>
      <c r="F590" s="52" t="s">
        <v>242</v>
      </c>
      <c r="G590" s="52" t="s">
        <v>154</v>
      </c>
      <c r="H590" s="52" t="s">
        <v>432</v>
      </c>
      <c r="I590" s="53">
        <v>45723</v>
      </c>
      <c r="J590" s="108">
        <v>1412</v>
      </c>
      <c r="K590" s="101"/>
      <c r="L590" s="101"/>
      <c r="M590" s="101">
        <f t="shared" si="377"/>
        <v>1412</v>
      </c>
      <c r="N590" s="54">
        <f t="shared" si="378"/>
        <v>1412</v>
      </c>
      <c r="O590" s="101" t="s">
        <v>431</v>
      </c>
      <c r="P590" s="102">
        <f t="shared" si="379"/>
        <v>1.961111111111111</v>
      </c>
      <c r="Q590" s="102">
        <v>6</v>
      </c>
      <c r="R590" s="99">
        <v>120</v>
      </c>
      <c r="S590" s="55">
        <f t="shared" si="380"/>
        <v>45691</v>
      </c>
      <c r="T590" s="55"/>
      <c r="U590" s="56">
        <f t="shared" ca="1" si="350"/>
        <v>-149</v>
      </c>
      <c r="V590" s="55">
        <f t="shared" si="349"/>
        <v>45707</v>
      </c>
      <c r="W590" s="55"/>
      <c r="X590" s="56">
        <f t="shared" ca="1" si="351"/>
        <v>-133</v>
      </c>
      <c r="Y590" s="55"/>
      <c r="Z590" s="57"/>
      <c r="AA590" s="58" t="str">
        <f t="shared" si="352"/>
        <v>-</v>
      </c>
      <c r="AB590" s="59"/>
      <c r="AC590" s="58" t="str">
        <f t="shared" si="353"/>
        <v/>
      </c>
      <c r="AD590" s="59"/>
      <c r="AE590" s="58" t="str">
        <f t="shared" si="354"/>
        <v/>
      </c>
      <c r="AF590" s="59"/>
      <c r="AG590" s="58" t="str">
        <f t="shared" si="355"/>
        <v/>
      </c>
      <c r="AH590" s="59"/>
      <c r="AI590" s="58" t="str">
        <f t="shared" si="356"/>
        <v/>
      </c>
      <c r="AJ590" s="59"/>
      <c r="AK590" s="58" t="str">
        <f t="shared" si="357"/>
        <v/>
      </c>
      <c r="AL590" s="59"/>
      <c r="AM590" s="58" t="str">
        <f t="shared" si="358"/>
        <v/>
      </c>
      <c r="AN590" s="59"/>
      <c r="AO590" s="58" t="str">
        <f t="shared" si="359"/>
        <v/>
      </c>
      <c r="AP590" s="59"/>
      <c r="AQ590" s="58" t="str">
        <f t="shared" si="360"/>
        <v/>
      </c>
      <c r="AR590" s="59"/>
      <c r="AS590" s="58" t="str">
        <f t="shared" si="361"/>
        <v/>
      </c>
      <c r="AT590" s="59"/>
      <c r="AU590" s="58" t="str">
        <f t="shared" si="362"/>
        <v/>
      </c>
      <c r="AV590" s="59"/>
      <c r="AW590" s="58" t="str">
        <f t="shared" si="363"/>
        <v/>
      </c>
      <c r="AX590" s="59"/>
      <c r="AY590" s="58" t="str">
        <f t="shared" si="364"/>
        <v/>
      </c>
      <c r="AZ590" s="59"/>
      <c r="BA590" s="58" t="str">
        <f t="shared" si="365"/>
        <v/>
      </c>
      <c r="BB590" s="59"/>
      <c r="BC590" s="58" t="str">
        <f t="shared" si="366"/>
        <v/>
      </c>
      <c r="BD590" s="59"/>
      <c r="BE590" s="58" t="str">
        <f t="shared" si="367"/>
        <v/>
      </c>
      <c r="BF590" s="59"/>
      <c r="BG590" s="58" t="str">
        <f t="shared" si="368"/>
        <v/>
      </c>
      <c r="BH590" s="59"/>
      <c r="BI590" s="58">
        <f t="shared" si="369"/>
        <v>1412</v>
      </c>
      <c r="BJ590" s="59"/>
      <c r="BK590" s="58" t="str">
        <f t="shared" si="370"/>
        <v/>
      </c>
      <c r="BL590" s="59"/>
      <c r="BM590" s="58" t="str">
        <f t="shared" si="371"/>
        <v/>
      </c>
      <c r="BN590" s="59"/>
      <c r="BO590" s="58" t="str">
        <f t="shared" si="372"/>
        <v/>
      </c>
      <c r="BP590" s="59"/>
      <c r="BQ590" s="58" t="str">
        <f t="shared" si="373"/>
        <v/>
      </c>
      <c r="BR590" s="59"/>
      <c r="BS590" s="58" t="str">
        <f t="shared" si="374"/>
        <v/>
      </c>
      <c r="BT590" s="59"/>
      <c r="BU590" s="58" t="str">
        <f t="shared" si="375"/>
        <v/>
      </c>
      <c r="BV590" s="59"/>
    </row>
    <row r="591" spans="1:74" ht="14.5">
      <c r="A591" s="51" t="s">
        <v>58</v>
      </c>
      <c r="B591" s="52">
        <v>435</v>
      </c>
      <c r="C591" s="52" t="s">
        <v>188</v>
      </c>
      <c r="D591" s="41">
        <f t="shared" si="376"/>
        <v>10</v>
      </c>
      <c r="E591" s="52" t="s">
        <v>158</v>
      </c>
      <c r="F591" s="52" t="s">
        <v>242</v>
      </c>
      <c r="G591" s="52" t="s">
        <v>155</v>
      </c>
      <c r="H591" s="52" t="s">
        <v>432</v>
      </c>
      <c r="I591" s="53">
        <v>45723</v>
      </c>
      <c r="J591" s="108">
        <v>1368</v>
      </c>
      <c r="K591" s="101"/>
      <c r="L591" s="101"/>
      <c r="M591" s="101">
        <f t="shared" si="377"/>
        <v>1368</v>
      </c>
      <c r="N591" s="54">
        <f t="shared" si="378"/>
        <v>1368</v>
      </c>
      <c r="O591" s="101" t="s">
        <v>431</v>
      </c>
      <c r="P591" s="102">
        <f t="shared" si="379"/>
        <v>1.9</v>
      </c>
      <c r="Q591" s="102">
        <v>6</v>
      </c>
      <c r="R591" s="99">
        <v>120</v>
      </c>
      <c r="S591" s="55">
        <f t="shared" si="380"/>
        <v>45691</v>
      </c>
      <c r="T591" s="55"/>
      <c r="U591" s="56">
        <f t="shared" ca="1" si="350"/>
        <v>-149</v>
      </c>
      <c r="V591" s="55">
        <f t="shared" si="349"/>
        <v>45707</v>
      </c>
      <c r="W591" s="55"/>
      <c r="X591" s="56">
        <f t="shared" ca="1" si="351"/>
        <v>-133</v>
      </c>
      <c r="Y591" s="55"/>
      <c r="Z591" s="57"/>
      <c r="AA591" s="58" t="str">
        <f t="shared" si="352"/>
        <v>-</v>
      </c>
      <c r="AB591" s="59"/>
      <c r="AC591" s="58" t="str">
        <f t="shared" si="353"/>
        <v/>
      </c>
      <c r="AD591" s="59"/>
      <c r="AE591" s="58" t="str">
        <f t="shared" si="354"/>
        <v/>
      </c>
      <c r="AF591" s="59"/>
      <c r="AG591" s="58" t="str">
        <f t="shared" si="355"/>
        <v/>
      </c>
      <c r="AH591" s="59"/>
      <c r="AI591" s="58" t="str">
        <f t="shared" si="356"/>
        <v/>
      </c>
      <c r="AJ591" s="59"/>
      <c r="AK591" s="58" t="str">
        <f t="shared" si="357"/>
        <v/>
      </c>
      <c r="AL591" s="59"/>
      <c r="AM591" s="58" t="str">
        <f t="shared" si="358"/>
        <v/>
      </c>
      <c r="AN591" s="59"/>
      <c r="AO591" s="58" t="str">
        <f t="shared" si="359"/>
        <v/>
      </c>
      <c r="AP591" s="59"/>
      <c r="AQ591" s="58" t="str">
        <f t="shared" si="360"/>
        <v/>
      </c>
      <c r="AR591" s="59"/>
      <c r="AS591" s="58" t="str">
        <f t="shared" si="361"/>
        <v/>
      </c>
      <c r="AT591" s="59"/>
      <c r="AU591" s="58" t="str">
        <f t="shared" si="362"/>
        <v/>
      </c>
      <c r="AV591" s="59"/>
      <c r="AW591" s="58" t="str">
        <f t="shared" si="363"/>
        <v/>
      </c>
      <c r="AX591" s="59"/>
      <c r="AY591" s="58" t="str">
        <f t="shared" si="364"/>
        <v/>
      </c>
      <c r="AZ591" s="59"/>
      <c r="BA591" s="58" t="str">
        <f t="shared" si="365"/>
        <v/>
      </c>
      <c r="BB591" s="59"/>
      <c r="BC591" s="58" t="str">
        <f t="shared" si="366"/>
        <v/>
      </c>
      <c r="BD591" s="59"/>
      <c r="BE591" s="58" t="str">
        <f t="shared" si="367"/>
        <v/>
      </c>
      <c r="BF591" s="59"/>
      <c r="BG591" s="58" t="str">
        <f t="shared" si="368"/>
        <v/>
      </c>
      <c r="BH591" s="59"/>
      <c r="BI591" s="58">
        <f t="shared" si="369"/>
        <v>1368</v>
      </c>
      <c r="BJ591" s="59"/>
      <c r="BK591" s="58" t="str">
        <f t="shared" si="370"/>
        <v/>
      </c>
      <c r="BL591" s="59"/>
      <c r="BM591" s="58" t="str">
        <f t="shared" si="371"/>
        <v/>
      </c>
      <c r="BN591" s="59"/>
      <c r="BO591" s="58" t="str">
        <f t="shared" si="372"/>
        <v/>
      </c>
      <c r="BP591" s="59"/>
      <c r="BQ591" s="58" t="str">
        <f t="shared" si="373"/>
        <v/>
      </c>
      <c r="BR591" s="59"/>
      <c r="BS591" s="58" t="str">
        <f t="shared" si="374"/>
        <v/>
      </c>
      <c r="BT591" s="59"/>
      <c r="BU591" s="58" t="str">
        <f t="shared" si="375"/>
        <v/>
      </c>
      <c r="BV591" s="59"/>
    </row>
    <row r="592" spans="1:74" ht="14.5">
      <c r="A592" s="51" t="s">
        <v>58</v>
      </c>
      <c r="B592" s="52">
        <v>436</v>
      </c>
      <c r="C592" s="52" t="s">
        <v>188</v>
      </c>
      <c r="D592" s="41">
        <f t="shared" si="376"/>
        <v>10</v>
      </c>
      <c r="E592" s="52" t="s">
        <v>193</v>
      </c>
      <c r="F592" s="52" t="s">
        <v>246</v>
      </c>
      <c r="G592" s="52" t="s">
        <v>162</v>
      </c>
      <c r="H592" s="52" t="s">
        <v>434</v>
      </c>
      <c r="I592" s="53">
        <v>45723</v>
      </c>
      <c r="J592" s="108">
        <v>3000</v>
      </c>
      <c r="K592" s="101"/>
      <c r="L592" s="101"/>
      <c r="M592" s="101">
        <f t="shared" si="377"/>
        <v>3000</v>
      </c>
      <c r="N592" s="54">
        <f t="shared" si="378"/>
        <v>3000</v>
      </c>
      <c r="O592" s="101" t="s">
        <v>431</v>
      </c>
      <c r="P592" s="102">
        <f t="shared" si="379"/>
        <v>1.4285714285714286</v>
      </c>
      <c r="Q592" s="102">
        <v>6</v>
      </c>
      <c r="R592" s="99">
        <v>350</v>
      </c>
      <c r="S592" s="55">
        <f t="shared" si="380"/>
        <v>45691</v>
      </c>
      <c r="T592" s="55"/>
      <c r="U592" s="56">
        <f t="shared" ca="1" si="350"/>
        <v>-149</v>
      </c>
      <c r="V592" s="55">
        <f t="shared" si="349"/>
        <v>45707</v>
      </c>
      <c r="W592" s="55"/>
      <c r="X592" s="56">
        <f t="shared" ca="1" si="351"/>
        <v>-133</v>
      </c>
      <c r="Y592" s="55"/>
      <c r="Z592" s="57"/>
      <c r="AA592" s="58" t="str">
        <f t="shared" si="352"/>
        <v>-</v>
      </c>
      <c r="AB592" s="59"/>
      <c r="AC592" s="58" t="str">
        <f t="shared" si="353"/>
        <v/>
      </c>
      <c r="AD592" s="59"/>
      <c r="AE592" s="58" t="str">
        <f t="shared" si="354"/>
        <v/>
      </c>
      <c r="AF592" s="59"/>
      <c r="AG592" s="58" t="str">
        <f t="shared" si="355"/>
        <v/>
      </c>
      <c r="AH592" s="59"/>
      <c r="AI592" s="58" t="str">
        <f t="shared" si="356"/>
        <v/>
      </c>
      <c r="AJ592" s="59"/>
      <c r="AK592" s="58" t="str">
        <f t="shared" si="357"/>
        <v/>
      </c>
      <c r="AL592" s="59"/>
      <c r="AM592" s="58" t="str">
        <f t="shared" si="358"/>
        <v/>
      </c>
      <c r="AN592" s="59"/>
      <c r="AO592" s="58" t="str">
        <f t="shared" si="359"/>
        <v/>
      </c>
      <c r="AP592" s="59"/>
      <c r="AQ592" s="58" t="str">
        <f t="shared" si="360"/>
        <v/>
      </c>
      <c r="AR592" s="59"/>
      <c r="AS592" s="58" t="str">
        <f t="shared" si="361"/>
        <v/>
      </c>
      <c r="AT592" s="59"/>
      <c r="AU592" s="58" t="str">
        <f t="shared" si="362"/>
        <v/>
      </c>
      <c r="AV592" s="59"/>
      <c r="AW592" s="58" t="str">
        <f t="shared" si="363"/>
        <v/>
      </c>
      <c r="AX592" s="59"/>
      <c r="AY592" s="58" t="str">
        <f t="shared" si="364"/>
        <v/>
      </c>
      <c r="AZ592" s="59"/>
      <c r="BA592" s="58" t="str">
        <f t="shared" si="365"/>
        <v/>
      </c>
      <c r="BB592" s="59"/>
      <c r="BC592" s="58" t="str">
        <f t="shared" si="366"/>
        <v/>
      </c>
      <c r="BD592" s="59"/>
      <c r="BE592" s="58" t="str">
        <f t="shared" si="367"/>
        <v/>
      </c>
      <c r="BF592" s="59"/>
      <c r="BG592" s="58" t="str">
        <f t="shared" si="368"/>
        <v/>
      </c>
      <c r="BH592" s="59"/>
      <c r="BI592" s="58">
        <f t="shared" si="369"/>
        <v>3000</v>
      </c>
      <c r="BJ592" s="59"/>
      <c r="BK592" s="58" t="str">
        <f t="shared" si="370"/>
        <v/>
      </c>
      <c r="BL592" s="59"/>
      <c r="BM592" s="58" t="str">
        <f t="shared" si="371"/>
        <v/>
      </c>
      <c r="BN592" s="59"/>
      <c r="BO592" s="58" t="str">
        <f t="shared" si="372"/>
        <v/>
      </c>
      <c r="BP592" s="59"/>
      <c r="BQ592" s="58" t="str">
        <f t="shared" si="373"/>
        <v/>
      </c>
      <c r="BR592" s="59"/>
      <c r="BS592" s="58" t="str">
        <f t="shared" si="374"/>
        <v/>
      </c>
      <c r="BT592" s="59"/>
      <c r="BU592" s="58" t="str">
        <f t="shared" si="375"/>
        <v/>
      </c>
      <c r="BV592" s="59"/>
    </row>
    <row r="593" spans="1:74" ht="14.5">
      <c r="A593" s="51" t="s">
        <v>58</v>
      </c>
      <c r="B593" s="52">
        <v>436</v>
      </c>
      <c r="C593" s="52" t="s">
        <v>188</v>
      </c>
      <c r="D593" s="41">
        <f t="shared" si="376"/>
        <v>10</v>
      </c>
      <c r="E593" s="52" t="s">
        <v>157</v>
      </c>
      <c r="F593" s="52" t="s">
        <v>243</v>
      </c>
      <c r="G593" s="52" t="s">
        <v>155</v>
      </c>
      <c r="H593" s="52" t="s">
        <v>428</v>
      </c>
      <c r="I593" s="53">
        <v>45723</v>
      </c>
      <c r="J593" s="108">
        <v>2514</v>
      </c>
      <c r="K593" s="101"/>
      <c r="L593" s="101"/>
      <c r="M593" s="101">
        <f t="shared" si="377"/>
        <v>2514</v>
      </c>
      <c r="N593" s="54">
        <f t="shared" si="378"/>
        <v>2514</v>
      </c>
      <c r="O593" s="101" t="s">
        <v>431</v>
      </c>
      <c r="P593" s="102">
        <f t="shared" si="379"/>
        <v>0.41899999999999998</v>
      </c>
      <c r="Q593" s="102">
        <v>6</v>
      </c>
      <c r="R593" s="99">
        <v>1000</v>
      </c>
      <c r="S593" s="55">
        <f t="shared" si="380"/>
        <v>45691</v>
      </c>
      <c r="T593" s="55"/>
      <c r="U593" s="56">
        <f t="shared" ca="1" si="350"/>
        <v>-149</v>
      </c>
      <c r="V593" s="55">
        <f t="shared" si="349"/>
        <v>45707</v>
      </c>
      <c r="W593" s="55"/>
      <c r="X593" s="56">
        <f t="shared" ca="1" si="351"/>
        <v>-133</v>
      </c>
      <c r="Y593" s="55"/>
      <c r="Z593" s="57"/>
      <c r="AA593" s="58" t="str">
        <f t="shared" si="352"/>
        <v>-</v>
      </c>
      <c r="AB593" s="59"/>
      <c r="AC593" s="58" t="str">
        <f t="shared" si="353"/>
        <v/>
      </c>
      <c r="AD593" s="59"/>
      <c r="AE593" s="58" t="str">
        <f t="shared" si="354"/>
        <v/>
      </c>
      <c r="AF593" s="59"/>
      <c r="AG593" s="58" t="str">
        <f t="shared" si="355"/>
        <v/>
      </c>
      <c r="AH593" s="59"/>
      <c r="AI593" s="58" t="str">
        <f t="shared" si="356"/>
        <v/>
      </c>
      <c r="AJ593" s="59"/>
      <c r="AK593" s="58" t="str">
        <f t="shared" si="357"/>
        <v/>
      </c>
      <c r="AL593" s="59"/>
      <c r="AM593" s="58" t="str">
        <f t="shared" si="358"/>
        <v/>
      </c>
      <c r="AN593" s="59"/>
      <c r="AO593" s="58" t="str">
        <f t="shared" si="359"/>
        <v/>
      </c>
      <c r="AP593" s="59"/>
      <c r="AQ593" s="58" t="str">
        <f t="shared" si="360"/>
        <v/>
      </c>
      <c r="AR593" s="59"/>
      <c r="AS593" s="58" t="str">
        <f t="shared" si="361"/>
        <v/>
      </c>
      <c r="AT593" s="59"/>
      <c r="AU593" s="58" t="str">
        <f t="shared" si="362"/>
        <v/>
      </c>
      <c r="AV593" s="59"/>
      <c r="AW593" s="58" t="str">
        <f t="shared" si="363"/>
        <v/>
      </c>
      <c r="AX593" s="59"/>
      <c r="AY593" s="58" t="str">
        <f t="shared" si="364"/>
        <v/>
      </c>
      <c r="AZ593" s="59"/>
      <c r="BA593" s="58" t="str">
        <f t="shared" si="365"/>
        <v/>
      </c>
      <c r="BB593" s="59"/>
      <c r="BC593" s="58" t="str">
        <f t="shared" si="366"/>
        <v/>
      </c>
      <c r="BD593" s="59"/>
      <c r="BE593" s="58" t="str">
        <f t="shared" si="367"/>
        <v/>
      </c>
      <c r="BF593" s="59"/>
      <c r="BG593" s="58" t="str">
        <f t="shared" si="368"/>
        <v/>
      </c>
      <c r="BH593" s="59"/>
      <c r="BI593" s="58">
        <f t="shared" si="369"/>
        <v>2514</v>
      </c>
      <c r="BJ593" s="59"/>
      <c r="BK593" s="58" t="str">
        <f t="shared" si="370"/>
        <v/>
      </c>
      <c r="BL593" s="59"/>
      <c r="BM593" s="58" t="str">
        <f t="shared" si="371"/>
        <v/>
      </c>
      <c r="BN593" s="59"/>
      <c r="BO593" s="58" t="str">
        <f t="shared" si="372"/>
        <v/>
      </c>
      <c r="BP593" s="59"/>
      <c r="BQ593" s="58" t="str">
        <f t="shared" si="373"/>
        <v/>
      </c>
      <c r="BR593" s="59"/>
      <c r="BS593" s="58" t="str">
        <f t="shared" si="374"/>
        <v/>
      </c>
      <c r="BT593" s="59"/>
      <c r="BU593" s="58" t="str">
        <f t="shared" si="375"/>
        <v/>
      </c>
      <c r="BV593" s="59"/>
    </row>
    <row r="594" spans="1:74" ht="14.5">
      <c r="A594" s="51" t="s">
        <v>58</v>
      </c>
      <c r="B594" s="52">
        <v>436</v>
      </c>
      <c r="C594" s="52" t="s">
        <v>188</v>
      </c>
      <c r="D594" s="41">
        <f t="shared" si="376"/>
        <v>10</v>
      </c>
      <c r="E594" s="52" t="s">
        <v>158</v>
      </c>
      <c r="F594" s="52" t="s">
        <v>242</v>
      </c>
      <c r="G594" s="52" t="s">
        <v>154</v>
      </c>
      <c r="H594" s="52" t="s">
        <v>432</v>
      </c>
      <c r="I594" s="53">
        <v>45723</v>
      </c>
      <c r="J594" s="108">
        <v>1336</v>
      </c>
      <c r="K594" s="101"/>
      <c r="L594" s="101"/>
      <c r="M594" s="101">
        <f t="shared" si="377"/>
        <v>1336</v>
      </c>
      <c r="N594" s="54">
        <f t="shared" si="378"/>
        <v>1336</v>
      </c>
      <c r="O594" s="101" t="s">
        <v>431</v>
      </c>
      <c r="P594" s="102">
        <f t="shared" si="379"/>
        <v>1.8555555555555556</v>
      </c>
      <c r="Q594" s="102">
        <v>6</v>
      </c>
      <c r="R594" s="99">
        <v>120</v>
      </c>
      <c r="S594" s="55">
        <f t="shared" si="380"/>
        <v>45691</v>
      </c>
      <c r="T594" s="55"/>
      <c r="U594" s="56">
        <f t="shared" ca="1" si="350"/>
        <v>-149</v>
      </c>
      <c r="V594" s="55">
        <f t="shared" si="349"/>
        <v>45707</v>
      </c>
      <c r="W594" s="55"/>
      <c r="X594" s="56">
        <f t="shared" ca="1" si="351"/>
        <v>-133</v>
      </c>
      <c r="Y594" s="55"/>
      <c r="Z594" s="57"/>
      <c r="AA594" s="58" t="str">
        <f t="shared" si="352"/>
        <v>-</v>
      </c>
      <c r="AB594" s="59"/>
      <c r="AC594" s="58" t="str">
        <f t="shared" si="353"/>
        <v/>
      </c>
      <c r="AD594" s="59"/>
      <c r="AE594" s="58" t="str">
        <f t="shared" si="354"/>
        <v/>
      </c>
      <c r="AF594" s="59"/>
      <c r="AG594" s="58" t="str">
        <f t="shared" si="355"/>
        <v/>
      </c>
      <c r="AH594" s="59"/>
      <c r="AI594" s="58" t="str">
        <f t="shared" si="356"/>
        <v/>
      </c>
      <c r="AJ594" s="59"/>
      <c r="AK594" s="58" t="str">
        <f t="shared" si="357"/>
        <v/>
      </c>
      <c r="AL594" s="59"/>
      <c r="AM594" s="58" t="str">
        <f t="shared" si="358"/>
        <v/>
      </c>
      <c r="AN594" s="59"/>
      <c r="AO594" s="58" t="str">
        <f t="shared" si="359"/>
        <v/>
      </c>
      <c r="AP594" s="59"/>
      <c r="AQ594" s="58" t="str">
        <f t="shared" si="360"/>
        <v/>
      </c>
      <c r="AR594" s="59"/>
      <c r="AS594" s="58" t="str">
        <f t="shared" si="361"/>
        <v/>
      </c>
      <c r="AT594" s="59"/>
      <c r="AU594" s="58" t="str">
        <f t="shared" si="362"/>
        <v/>
      </c>
      <c r="AV594" s="59"/>
      <c r="AW594" s="58" t="str">
        <f t="shared" si="363"/>
        <v/>
      </c>
      <c r="AX594" s="59"/>
      <c r="AY594" s="58" t="str">
        <f t="shared" si="364"/>
        <v/>
      </c>
      <c r="AZ594" s="59"/>
      <c r="BA594" s="58" t="str">
        <f t="shared" si="365"/>
        <v/>
      </c>
      <c r="BB594" s="59"/>
      <c r="BC594" s="58" t="str">
        <f t="shared" si="366"/>
        <v/>
      </c>
      <c r="BD594" s="59"/>
      <c r="BE594" s="58" t="str">
        <f t="shared" si="367"/>
        <v/>
      </c>
      <c r="BF594" s="59"/>
      <c r="BG594" s="58" t="str">
        <f t="shared" si="368"/>
        <v/>
      </c>
      <c r="BH594" s="59"/>
      <c r="BI594" s="58">
        <f t="shared" si="369"/>
        <v>1336</v>
      </c>
      <c r="BJ594" s="59"/>
      <c r="BK594" s="58" t="str">
        <f t="shared" si="370"/>
        <v/>
      </c>
      <c r="BL594" s="59"/>
      <c r="BM594" s="58" t="str">
        <f t="shared" si="371"/>
        <v/>
      </c>
      <c r="BN594" s="59"/>
      <c r="BO594" s="58" t="str">
        <f t="shared" si="372"/>
        <v/>
      </c>
      <c r="BP594" s="59"/>
      <c r="BQ594" s="58" t="str">
        <f t="shared" si="373"/>
        <v/>
      </c>
      <c r="BR594" s="59"/>
      <c r="BS594" s="58" t="str">
        <f t="shared" si="374"/>
        <v/>
      </c>
      <c r="BT594" s="59"/>
      <c r="BU594" s="58" t="str">
        <f t="shared" si="375"/>
        <v/>
      </c>
      <c r="BV594" s="59"/>
    </row>
    <row r="595" spans="1:74" ht="14.5">
      <c r="A595" s="51" t="s">
        <v>58</v>
      </c>
      <c r="B595" s="52">
        <v>436</v>
      </c>
      <c r="C595" s="52" t="s">
        <v>188</v>
      </c>
      <c r="D595" s="41">
        <f t="shared" si="376"/>
        <v>10</v>
      </c>
      <c r="E595" s="52" t="s">
        <v>158</v>
      </c>
      <c r="F595" s="52" t="s">
        <v>242</v>
      </c>
      <c r="G595" s="52" t="s">
        <v>156</v>
      </c>
      <c r="H595" s="52" t="s">
        <v>432</v>
      </c>
      <c r="I595" s="53">
        <v>45723</v>
      </c>
      <c r="J595" s="108">
        <v>172</v>
      </c>
      <c r="K595" s="101"/>
      <c r="L595" s="101"/>
      <c r="M595" s="101">
        <f t="shared" si="377"/>
        <v>172</v>
      </c>
      <c r="N595" s="54">
        <f t="shared" si="378"/>
        <v>172</v>
      </c>
      <c r="O595" s="101" t="s">
        <v>431</v>
      </c>
      <c r="P595" s="102">
        <f t="shared" si="379"/>
        <v>0.2388888888888889</v>
      </c>
      <c r="Q595" s="102">
        <v>6</v>
      </c>
      <c r="R595" s="99">
        <v>120</v>
      </c>
      <c r="S595" s="55">
        <f t="shared" si="380"/>
        <v>45691</v>
      </c>
      <c r="T595" s="55"/>
      <c r="U595" s="56">
        <f t="shared" ca="1" si="350"/>
        <v>-149</v>
      </c>
      <c r="V595" s="55">
        <f t="shared" si="349"/>
        <v>45707</v>
      </c>
      <c r="W595" s="55"/>
      <c r="X595" s="56">
        <f t="shared" ca="1" si="351"/>
        <v>-133</v>
      </c>
      <c r="Y595" s="55"/>
      <c r="Z595" s="57"/>
      <c r="AA595" s="58" t="str">
        <f t="shared" si="352"/>
        <v>-</v>
      </c>
      <c r="AB595" s="59"/>
      <c r="AC595" s="58" t="str">
        <f t="shared" si="353"/>
        <v/>
      </c>
      <c r="AD595" s="59"/>
      <c r="AE595" s="58" t="str">
        <f t="shared" si="354"/>
        <v/>
      </c>
      <c r="AF595" s="59"/>
      <c r="AG595" s="58" t="str">
        <f t="shared" si="355"/>
        <v/>
      </c>
      <c r="AH595" s="59"/>
      <c r="AI595" s="58" t="str">
        <f t="shared" si="356"/>
        <v/>
      </c>
      <c r="AJ595" s="59"/>
      <c r="AK595" s="58" t="str">
        <f t="shared" si="357"/>
        <v/>
      </c>
      <c r="AL595" s="59"/>
      <c r="AM595" s="58" t="str">
        <f t="shared" si="358"/>
        <v/>
      </c>
      <c r="AN595" s="59"/>
      <c r="AO595" s="58" t="str">
        <f t="shared" si="359"/>
        <v/>
      </c>
      <c r="AP595" s="59"/>
      <c r="AQ595" s="58" t="str">
        <f t="shared" si="360"/>
        <v/>
      </c>
      <c r="AR595" s="59"/>
      <c r="AS595" s="58" t="str">
        <f t="shared" si="361"/>
        <v/>
      </c>
      <c r="AT595" s="59"/>
      <c r="AU595" s="58" t="str">
        <f t="shared" si="362"/>
        <v/>
      </c>
      <c r="AV595" s="59"/>
      <c r="AW595" s="58" t="str">
        <f t="shared" si="363"/>
        <v/>
      </c>
      <c r="AX595" s="59"/>
      <c r="AY595" s="58" t="str">
        <f t="shared" si="364"/>
        <v/>
      </c>
      <c r="AZ595" s="59"/>
      <c r="BA595" s="58" t="str">
        <f t="shared" si="365"/>
        <v/>
      </c>
      <c r="BB595" s="59"/>
      <c r="BC595" s="58" t="str">
        <f t="shared" si="366"/>
        <v/>
      </c>
      <c r="BD595" s="59"/>
      <c r="BE595" s="58" t="str">
        <f t="shared" si="367"/>
        <v/>
      </c>
      <c r="BF595" s="59"/>
      <c r="BG595" s="58" t="str">
        <f t="shared" si="368"/>
        <v/>
      </c>
      <c r="BH595" s="59"/>
      <c r="BI595" s="58">
        <f t="shared" si="369"/>
        <v>172</v>
      </c>
      <c r="BJ595" s="59"/>
      <c r="BK595" s="58" t="str">
        <f t="shared" si="370"/>
        <v/>
      </c>
      <c r="BL595" s="59"/>
      <c r="BM595" s="58" t="str">
        <f t="shared" si="371"/>
        <v/>
      </c>
      <c r="BN595" s="59"/>
      <c r="BO595" s="58" t="str">
        <f t="shared" si="372"/>
        <v/>
      </c>
      <c r="BP595" s="59"/>
      <c r="BQ595" s="58" t="str">
        <f t="shared" si="373"/>
        <v/>
      </c>
      <c r="BR595" s="59"/>
      <c r="BS595" s="58" t="str">
        <f t="shared" si="374"/>
        <v/>
      </c>
      <c r="BT595" s="59"/>
      <c r="BU595" s="58" t="str">
        <f t="shared" si="375"/>
        <v/>
      </c>
      <c r="BV595" s="59"/>
    </row>
    <row r="596" spans="1:74" ht="14.5">
      <c r="A596" s="51" t="s">
        <v>58</v>
      </c>
      <c r="B596" s="52">
        <v>436</v>
      </c>
      <c r="C596" s="52" t="s">
        <v>188</v>
      </c>
      <c r="D596" s="41">
        <f t="shared" si="376"/>
        <v>10</v>
      </c>
      <c r="E596" s="52" t="s">
        <v>190</v>
      </c>
      <c r="F596" s="52" t="s">
        <v>242</v>
      </c>
      <c r="G596" s="52" t="s">
        <v>244</v>
      </c>
      <c r="H596" s="52" t="s">
        <v>438</v>
      </c>
      <c r="I596" s="53">
        <v>45723</v>
      </c>
      <c r="J596" s="108">
        <v>1336</v>
      </c>
      <c r="K596" s="101"/>
      <c r="L596" s="101"/>
      <c r="M596" s="101">
        <f t="shared" si="377"/>
        <v>1336</v>
      </c>
      <c r="N596" s="54">
        <f t="shared" si="378"/>
        <v>1336</v>
      </c>
      <c r="O596" s="101" t="s">
        <v>431</v>
      </c>
      <c r="P596" s="102">
        <f t="shared" si="379"/>
        <v>1.8555555555555556</v>
      </c>
      <c r="Q596" s="102">
        <v>6</v>
      </c>
      <c r="R596" s="99">
        <v>120</v>
      </c>
      <c r="S596" s="55">
        <f t="shared" si="380"/>
        <v>45691</v>
      </c>
      <c r="T596" s="55"/>
      <c r="U596" s="56">
        <f t="shared" ca="1" si="350"/>
        <v>-149</v>
      </c>
      <c r="V596" s="55">
        <f t="shared" si="349"/>
        <v>45707</v>
      </c>
      <c r="W596" s="55"/>
      <c r="X596" s="56">
        <f t="shared" ca="1" si="351"/>
        <v>-133</v>
      </c>
      <c r="Y596" s="55"/>
      <c r="Z596" s="57"/>
      <c r="AA596" s="58" t="str">
        <f t="shared" si="352"/>
        <v>-</v>
      </c>
      <c r="AB596" s="59"/>
      <c r="AC596" s="58" t="str">
        <f t="shared" si="353"/>
        <v/>
      </c>
      <c r="AD596" s="59"/>
      <c r="AE596" s="58" t="str">
        <f t="shared" si="354"/>
        <v/>
      </c>
      <c r="AF596" s="59"/>
      <c r="AG596" s="58" t="str">
        <f t="shared" si="355"/>
        <v/>
      </c>
      <c r="AH596" s="59"/>
      <c r="AI596" s="58" t="str">
        <f t="shared" si="356"/>
        <v/>
      </c>
      <c r="AJ596" s="59"/>
      <c r="AK596" s="58" t="str">
        <f t="shared" si="357"/>
        <v/>
      </c>
      <c r="AL596" s="59"/>
      <c r="AM596" s="58" t="str">
        <f t="shared" si="358"/>
        <v/>
      </c>
      <c r="AN596" s="59"/>
      <c r="AO596" s="58" t="str">
        <f t="shared" si="359"/>
        <v/>
      </c>
      <c r="AP596" s="59"/>
      <c r="AQ596" s="58" t="str">
        <f t="shared" si="360"/>
        <v/>
      </c>
      <c r="AR596" s="59"/>
      <c r="AS596" s="58" t="str">
        <f t="shared" si="361"/>
        <v/>
      </c>
      <c r="AT596" s="59"/>
      <c r="AU596" s="58" t="str">
        <f t="shared" si="362"/>
        <v/>
      </c>
      <c r="AV596" s="59"/>
      <c r="AW596" s="58" t="str">
        <f t="shared" si="363"/>
        <v/>
      </c>
      <c r="AX596" s="59"/>
      <c r="AY596" s="58" t="str">
        <f t="shared" si="364"/>
        <v/>
      </c>
      <c r="AZ596" s="59"/>
      <c r="BA596" s="58" t="str">
        <f t="shared" si="365"/>
        <v/>
      </c>
      <c r="BB596" s="59"/>
      <c r="BC596" s="58" t="str">
        <f t="shared" si="366"/>
        <v/>
      </c>
      <c r="BD596" s="59"/>
      <c r="BE596" s="58" t="str">
        <f t="shared" si="367"/>
        <v/>
      </c>
      <c r="BF596" s="59"/>
      <c r="BG596" s="58" t="str">
        <f t="shared" si="368"/>
        <v/>
      </c>
      <c r="BH596" s="59"/>
      <c r="BI596" s="58">
        <f t="shared" si="369"/>
        <v>1336</v>
      </c>
      <c r="BJ596" s="59"/>
      <c r="BK596" s="58" t="str">
        <f t="shared" si="370"/>
        <v/>
      </c>
      <c r="BL596" s="59"/>
      <c r="BM596" s="58" t="str">
        <f t="shared" si="371"/>
        <v/>
      </c>
      <c r="BN596" s="59"/>
      <c r="BO596" s="58" t="str">
        <f t="shared" si="372"/>
        <v/>
      </c>
      <c r="BP596" s="59"/>
      <c r="BQ596" s="58" t="str">
        <f t="shared" si="373"/>
        <v/>
      </c>
      <c r="BR596" s="59"/>
      <c r="BS596" s="58" t="str">
        <f t="shared" si="374"/>
        <v/>
      </c>
      <c r="BT596" s="59"/>
      <c r="BU596" s="58" t="str">
        <f t="shared" si="375"/>
        <v/>
      </c>
      <c r="BV596" s="59"/>
    </row>
    <row r="597" spans="1:74" ht="14.5">
      <c r="A597" s="51" t="s">
        <v>58</v>
      </c>
      <c r="B597" s="52">
        <v>437</v>
      </c>
      <c r="C597" s="52" t="s">
        <v>188</v>
      </c>
      <c r="D597" s="41">
        <f t="shared" si="376"/>
        <v>10</v>
      </c>
      <c r="E597" s="52" t="s">
        <v>136</v>
      </c>
      <c r="F597" s="52" t="s">
        <v>247</v>
      </c>
      <c r="G597" s="52" t="s">
        <v>162</v>
      </c>
      <c r="H597" s="52" t="s">
        <v>500</v>
      </c>
      <c r="I597" s="53">
        <v>45723</v>
      </c>
      <c r="J597" s="108">
        <v>3712</v>
      </c>
      <c r="K597" s="101"/>
      <c r="L597" s="101"/>
      <c r="M597" s="101">
        <f t="shared" si="377"/>
        <v>3712</v>
      </c>
      <c r="N597" s="54">
        <f t="shared" si="378"/>
        <v>3712</v>
      </c>
      <c r="O597" s="101" t="s">
        <v>431</v>
      </c>
      <c r="P597" s="102">
        <f t="shared" si="379"/>
        <v>1.7676190476190476</v>
      </c>
      <c r="Q597" s="102">
        <v>6</v>
      </c>
      <c r="R597" s="99">
        <v>350</v>
      </c>
      <c r="S597" s="55">
        <f t="shared" si="380"/>
        <v>45691</v>
      </c>
      <c r="T597" s="55"/>
      <c r="U597" s="56">
        <f t="shared" ca="1" si="350"/>
        <v>-149</v>
      </c>
      <c r="V597" s="55">
        <f t="shared" si="349"/>
        <v>45707</v>
      </c>
      <c r="W597" s="55"/>
      <c r="X597" s="56">
        <f t="shared" ca="1" si="351"/>
        <v>-133</v>
      </c>
      <c r="Y597" s="55"/>
      <c r="Z597" s="57"/>
      <c r="AA597" s="58" t="str">
        <f t="shared" si="352"/>
        <v>-</v>
      </c>
      <c r="AB597" s="59"/>
      <c r="AC597" s="58" t="str">
        <f t="shared" si="353"/>
        <v/>
      </c>
      <c r="AD597" s="59"/>
      <c r="AE597" s="58" t="str">
        <f t="shared" si="354"/>
        <v/>
      </c>
      <c r="AF597" s="59"/>
      <c r="AG597" s="58" t="str">
        <f t="shared" si="355"/>
        <v/>
      </c>
      <c r="AH597" s="59"/>
      <c r="AI597" s="58" t="str">
        <f t="shared" si="356"/>
        <v/>
      </c>
      <c r="AJ597" s="59"/>
      <c r="AK597" s="58" t="str">
        <f t="shared" si="357"/>
        <v/>
      </c>
      <c r="AL597" s="59"/>
      <c r="AM597" s="58" t="str">
        <f t="shared" si="358"/>
        <v/>
      </c>
      <c r="AN597" s="59"/>
      <c r="AO597" s="58" t="str">
        <f t="shared" si="359"/>
        <v/>
      </c>
      <c r="AP597" s="59"/>
      <c r="AQ597" s="58" t="str">
        <f t="shared" si="360"/>
        <v/>
      </c>
      <c r="AR597" s="59"/>
      <c r="AS597" s="58" t="str">
        <f t="shared" si="361"/>
        <v/>
      </c>
      <c r="AT597" s="59"/>
      <c r="AU597" s="58" t="str">
        <f t="shared" si="362"/>
        <v/>
      </c>
      <c r="AV597" s="59"/>
      <c r="AW597" s="58" t="str">
        <f t="shared" si="363"/>
        <v/>
      </c>
      <c r="AX597" s="59"/>
      <c r="AY597" s="58" t="str">
        <f t="shared" si="364"/>
        <v/>
      </c>
      <c r="AZ597" s="59"/>
      <c r="BA597" s="58" t="str">
        <f t="shared" si="365"/>
        <v/>
      </c>
      <c r="BB597" s="59"/>
      <c r="BC597" s="58" t="str">
        <f t="shared" si="366"/>
        <v/>
      </c>
      <c r="BD597" s="59"/>
      <c r="BE597" s="58" t="str">
        <f t="shared" si="367"/>
        <v/>
      </c>
      <c r="BF597" s="59"/>
      <c r="BG597" s="58" t="str">
        <f t="shared" si="368"/>
        <v/>
      </c>
      <c r="BH597" s="59"/>
      <c r="BI597" s="58">
        <f t="shared" si="369"/>
        <v>3712</v>
      </c>
      <c r="BJ597" s="59"/>
      <c r="BK597" s="58" t="str">
        <f t="shared" si="370"/>
        <v/>
      </c>
      <c r="BL597" s="59"/>
      <c r="BM597" s="58" t="str">
        <f t="shared" si="371"/>
        <v/>
      </c>
      <c r="BN597" s="59"/>
      <c r="BO597" s="58" t="str">
        <f t="shared" si="372"/>
        <v/>
      </c>
      <c r="BP597" s="59"/>
      <c r="BQ597" s="58" t="str">
        <f t="shared" si="373"/>
        <v/>
      </c>
      <c r="BR597" s="59"/>
      <c r="BS597" s="58" t="str">
        <f t="shared" si="374"/>
        <v/>
      </c>
      <c r="BT597" s="59"/>
      <c r="BU597" s="58" t="str">
        <f t="shared" si="375"/>
        <v/>
      </c>
      <c r="BV597" s="59"/>
    </row>
    <row r="598" spans="1:74" ht="14.5">
      <c r="A598" s="51" t="s">
        <v>58</v>
      </c>
      <c r="B598" s="52">
        <v>437</v>
      </c>
      <c r="C598" s="52" t="s">
        <v>188</v>
      </c>
      <c r="D598" s="41">
        <f t="shared" si="376"/>
        <v>10</v>
      </c>
      <c r="E598" s="52" t="s">
        <v>136</v>
      </c>
      <c r="F598" s="52" t="s">
        <v>247</v>
      </c>
      <c r="G598" s="52" t="s">
        <v>163</v>
      </c>
      <c r="H598" s="52" t="s">
        <v>500</v>
      </c>
      <c r="I598" s="53">
        <v>45723</v>
      </c>
      <c r="J598" s="108">
        <v>3712</v>
      </c>
      <c r="K598" s="101"/>
      <c r="L598" s="101"/>
      <c r="M598" s="101">
        <f t="shared" si="377"/>
        <v>3712</v>
      </c>
      <c r="N598" s="54">
        <f t="shared" si="378"/>
        <v>3712</v>
      </c>
      <c r="O598" s="101" t="s">
        <v>431</v>
      </c>
      <c r="P598" s="102">
        <f t="shared" si="379"/>
        <v>1.7676190476190476</v>
      </c>
      <c r="Q598" s="102">
        <v>6</v>
      </c>
      <c r="R598" s="99">
        <v>350</v>
      </c>
      <c r="S598" s="55">
        <f t="shared" si="380"/>
        <v>45691</v>
      </c>
      <c r="T598" s="55"/>
      <c r="U598" s="56">
        <f t="shared" ca="1" si="350"/>
        <v>-149</v>
      </c>
      <c r="V598" s="55">
        <f t="shared" si="349"/>
        <v>45707</v>
      </c>
      <c r="W598" s="55"/>
      <c r="X598" s="56">
        <f t="shared" ca="1" si="351"/>
        <v>-133</v>
      </c>
      <c r="Y598" s="55"/>
      <c r="Z598" s="57"/>
      <c r="AA598" s="58" t="str">
        <f t="shared" si="352"/>
        <v>-</v>
      </c>
      <c r="AB598" s="59"/>
      <c r="AC598" s="58" t="str">
        <f t="shared" si="353"/>
        <v/>
      </c>
      <c r="AD598" s="59"/>
      <c r="AE598" s="58" t="str">
        <f t="shared" si="354"/>
        <v/>
      </c>
      <c r="AF598" s="59"/>
      <c r="AG598" s="58" t="str">
        <f t="shared" si="355"/>
        <v/>
      </c>
      <c r="AH598" s="59"/>
      <c r="AI598" s="58" t="str">
        <f t="shared" si="356"/>
        <v/>
      </c>
      <c r="AJ598" s="59"/>
      <c r="AK598" s="58" t="str">
        <f t="shared" si="357"/>
        <v/>
      </c>
      <c r="AL598" s="59"/>
      <c r="AM598" s="58" t="str">
        <f t="shared" si="358"/>
        <v/>
      </c>
      <c r="AN598" s="59"/>
      <c r="AO598" s="58" t="str">
        <f t="shared" si="359"/>
        <v/>
      </c>
      <c r="AP598" s="59"/>
      <c r="AQ598" s="58" t="str">
        <f t="shared" si="360"/>
        <v/>
      </c>
      <c r="AR598" s="59"/>
      <c r="AS598" s="58" t="str">
        <f t="shared" si="361"/>
        <v/>
      </c>
      <c r="AT598" s="59"/>
      <c r="AU598" s="58" t="str">
        <f t="shared" si="362"/>
        <v/>
      </c>
      <c r="AV598" s="59"/>
      <c r="AW598" s="58" t="str">
        <f t="shared" si="363"/>
        <v/>
      </c>
      <c r="AX598" s="59"/>
      <c r="AY598" s="58" t="str">
        <f t="shared" si="364"/>
        <v/>
      </c>
      <c r="AZ598" s="59"/>
      <c r="BA598" s="58" t="str">
        <f t="shared" si="365"/>
        <v/>
      </c>
      <c r="BB598" s="59"/>
      <c r="BC598" s="58" t="str">
        <f t="shared" si="366"/>
        <v/>
      </c>
      <c r="BD598" s="59"/>
      <c r="BE598" s="58" t="str">
        <f t="shared" si="367"/>
        <v/>
      </c>
      <c r="BF598" s="59"/>
      <c r="BG598" s="58" t="str">
        <f t="shared" si="368"/>
        <v/>
      </c>
      <c r="BH598" s="59"/>
      <c r="BI598" s="58">
        <f t="shared" si="369"/>
        <v>3712</v>
      </c>
      <c r="BJ598" s="59"/>
      <c r="BK598" s="58" t="str">
        <f t="shared" si="370"/>
        <v/>
      </c>
      <c r="BL598" s="59"/>
      <c r="BM598" s="58" t="str">
        <f t="shared" si="371"/>
        <v/>
      </c>
      <c r="BN598" s="59"/>
      <c r="BO598" s="58" t="str">
        <f t="shared" si="372"/>
        <v/>
      </c>
      <c r="BP598" s="59"/>
      <c r="BQ598" s="58" t="str">
        <f t="shared" si="373"/>
        <v/>
      </c>
      <c r="BR598" s="59"/>
      <c r="BS598" s="58" t="str">
        <f t="shared" si="374"/>
        <v/>
      </c>
      <c r="BT598" s="59"/>
      <c r="BU598" s="58" t="str">
        <f t="shared" si="375"/>
        <v/>
      </c>
      <c r="BV598" s="59"/>
    </row>
    <row r="599" spans="1:74" ht="14.5">
      <c r="A599" s="51" t="s">
        <v>58</v>
      </c>
      <c r="B599" s="52">
        <v>437</v>
      </c>
      <c r="C599" s="52" t="s">
        <v>188</v>
      </c>
      <c r="D599" s="41">
        <f t="shared" si="376"/>
        <v>10</v>
      </c>
      <c r="E599" s="52" t="s">
        <v>136</v>
      </c>
      <c r="F599" s="52" t="s">
        <v>247</v>
      </c>
      <c r="G599" s="52" t="s">
        <v>501</v>
      </c>
      <c r="H599" s="52" t="s">
        <v>500</v>
      </c>
      <c r="I599" s="53">
        <v>45723</v>
      </c>
      <c r="J599" s="108">
        <v>3712</v>
      </c>
      <c r="K599" s="101"/>
      <c r="L599" s="101"/>
      <c r="M599" s="101">
        <f t="shared" si="377"/>
        <v>3712</v>
      </c>
      <c r="N599" s="54">
        <f t="shared" si="378"/>
        <v>3712</v>
      </c>
      <c r="O599" s="101" t="s">
        <v>431</v>
      </c>
      <c r="P599" s="102">
        <f t="shared" si="379"/>
        <v>1.7676190476190476</v>
      </c>
      <c r="Q599" s="102">
        <v>6</v>
      </c>
      <c r="R599" s="99">
        <v>350</v>
      </c>
      <c r="S599" s="55">
        <f t="shared" si="380"/>
        <v>45691</v>
      </c>
      <c r="T599" s="55"/>
      <c r="U599" s="56">
        <f t="shared" ca="1" si="350"/>
        <v>-149</v>
      </c>
      <c r="V599" s="55">
        <f t="shared" si="349"/>
        <v>45707</v>
      </c>
      <c r="W599" s="55"/>
      <c r="X599" s="56">
        <f t="shared" ca="1" si="351"/>
        <v>-133</v>
      </c>
      <c r="Y599" s="55"/>
      <c r="Z599" s="57"/>
      <c r="AA599" s="58" t="str">
        <f t="shared" si="352"/>
        <v>-</v>
      </c>
      <c r="AB599" s="59"/>
      <c r="AC599" s="58" t="str">
        <f t="shared" si="353"/>
        <v/>
      </c>
      <c r="AD599" s="59"/>
      <c r="AE599" s="58" t="str">
        <f t="shared" si="354"/>
        <v/>
      </c>
      <c r="AF599" s="59"/>
      <c r="AG599" s="58" t="str">
        <f t="shared" si="355"/>
        <v/>
      </c>
      <c r="AH599" s="59"/>
      <c r="AI599" s="58" t="str">
        <f t="shared" si="356"/>
        <v/>
      </c>
      <c r="AJ599" s="59"/>
      <c r="AK599" s="58" t="str">
        <f t="shared" si="357"/>
        <v/>
      </c>
      <c r="AL599" s="59"/>
      <c r="AM599" s="58" t="str">
        <f t="shared" si="358"/>
        <v/>
      </c>
      <c r="AN599" s="59"/>
      <c r="AO599" s="58" t="str">
        <f t="shared" si="359"/>
        <v/>
      </c>
      <c r="AP599" s="59"/>
      <c r="AQ599" s="58" t="str">
        <f t="shared" si="360"/>
        <v/>
      </c>
      <c r="AR599" s="59"/>
      <c r="AS599" s="58" t="str">
        <f t="shared" si="361"/>
        <v/>
      </c>
      <c r="AT599" s="59"/>
      <c r="AU599" s="58" t="str">
        <f t="shared" si="362"/>
        <v/>
      </c>
      <c r="AV599" s="59"/>
      <c r="AW599" s="58" t="str">
        <f t="shared" si="363"/>
        <v/>
      </c>
      <c r="AX599" s="59"/>
      <c r="AY599" s="58" t="str">
        <f t="shared" si="364"/>
        <v/>
      </c>
      <c r="AZ599" s="59"/>
      <c r="BA599" s="58" t="str">
        <f t="shared" si="365"/>
        <v/>
      </c>
      <c r="BB599" s="59"/>
      <c r="BC599" s="58" t="str">
        <f t="shared" si="366"/>
        <v/>
      </c>
      <c r="BD599" s="59"/>
      <c r="BE599" s="58" t="str">
        <f t="shared" si="367"/>
        <v/>
      </c>
      <c r="BF599" s="59"/>
      <c r="BG599" s="58" t="str">
        <f t="shared" si="368"/>
        <v/>
      </c>
      <c r="BH599" s="59"/>
      <c r="BI599" s="58">
        <f t="shared" si="369"/>
        <v>3712</v>
      </c>
      <c r="BJ599" s="59"/>
      <c r="BK599" s="58" t="str">
        <f t="shared" si="370"/>
        <v/>
      </c>
      <c r="BL599" s="59"/>
      <c r="BM599" s="58" t="str">
        <f t="shared" si="371"/>
        <v/>
      </c>
      <c r="BN599" s="59"/>
      <c r="BO599" s="58" t="str">
        <f t="shared" si="372"/>
        <v/>
      </c>
      <c r="BP599" s="59"/>
      <c r="BQ599" s="58" t="str">
        <f t="shared" si="373"/>
        <v/>
      </c>
      <c r="BR599" s="59"/>
      <c r="BS599" s="58" t="str">
        <f t="shared" si="374"/>
        <v/>
      </c>
      <c r="BT599" s="59"/>
      <c r="BU599" s="58" t="str">
        <f t="shared" si="375"/>
        <v/>
      </c>
      <c r="BV599" s="59"/>
    </row>
    <row r="600" spans="1:74" ht="14.5">
      <c r="A600" s="51" t="s">
        <v>58</v>
      </c>
      <c r="B600" s="52">
        <v>437</v>
      </c>
      <c r="C600" s="52" t="s">
        <v>188</v>
      </c>
      <c r="D600" s="41">
        <f t="shared" si="376"/>
        <v>10</v>
      </c>
      <c r="E600" s="52" t="s">
        <v>390</v>
      </c>
      <c r="F600" s="52" t="s">
        <v>242</v>
      </c>
      <c r="G600" s="52" t="s">
        <v>162</v>
      </c>
      <c r="H600" s="52" t="s">
        <v>430</v>
      </c>
      <c r="I600" s="53">
        <v>45723</v>
      </c>
      <c r="J600" s="108">
        <v>1824</v>
      </c>
      <c r="K600" s="101"/>
      <c r="L600" s="101"/>
      <c r="M600" s="101">
        <f t="shared" si="377"/>
        <v>1824</v>
      </c>
      <c r="N600" s="54">
        <f t="shared" si="378"/>
        <v>1824</v>
      </c>
      <c r="O600" s="101" t="s">
        <v>431</v>
      </c>
      <c r="P600" s="102">
        <f t="shared" si="379"/>
        <v>2.5333333333333332</v>
      </c>
      <c r="Q600" s="102">
        <v>6</v>
      </c>
      <c r="R600" s="99">
        <v>120</v>
      </c>
      <c r="S600" s="55">
        <f t="shared" si="380"/>
        <v>45691</v>
      </c>
      <c r="T600" s="55"/>
      <c r="U600" s="56">
        <f t="shared" ca="1" si="350"/>
        <v>-149</v>
      </c>
      <c r="V600" s="55">
        <f t="shared" si="349"/>
        <v>45707</v>
      </c>
      <c r="W600" s="55"/>
      <c r="X600" s="56">
        <f t="shared" ca="1" si="351"/>
        <v>-133</v>
      </c>
      <c r="Y600" s="55"/>
      <c r="Z600" s="57"/>
      <c r="AA600" s="58" t="str">
        <f t="shared" si="352"/>
        <v>-</v>
      </c>
      <c r="AB600" s="59"/>
      <c r="AC600" s="58" t="str">
        <f t="shared" si="353"/>
        <v/>
      </c>
      <c r="AD600" s="59"/>
      <c r="AE600" s="58" t="str">
        <f t="shared" si="354"/>
        <v/>
      </c>
      <c r="AF600" s="59"/>
      <c r="AG600" s="58" t="str">
        <f t="shared" si="355"/>
        <v/>
      </c>
      <c r="AH600" s="59"/>
      <c r="AI600" s="58" t="str">
        <f t="shared" si="356"/>
        <v/>
      </c>
      <c r="AJ600" s="59"/>
      <c r="AK600" s="58" t="str">
        <f t="shared" si="357"/>
        <v/>
      </c>
      <c r="AL600" s="59"/>
      <c r="AM600" s="58" t="str">
        <f t="shared" si="358"/>
        <v/>
      </c>
      <c r="AN600" s="59"/>
      <c r="AO600" s="58" t="str">
        <f t="shared" si="359"/>
        <v/>
      </c>
      <c r="AP600" s="59"/>
      <c r="AQ600" s="58" t="str">
        <f t="shared" si="360"/>
        <v/>
      </c>
      <c r="AR600" s="59"/>
      <c r="AS600" s="58" t="str">
        <f t="shared" si="361"/>
        <v/>
      </c>
      <c r="AT600" s="59"/>
      <c r="AU600" s="58" t="str">
        <f t="shared" si="362"/>
        <v/>
      </c>
      <c r="AV600" s="59"/>
      <c r="AW600" s="58" t="str">
        <f t="shared" si="363"/>
        <v/>
      </c>
      <c r="AX600" s="59"/>
      <c r="AY600" s="58" t="str">
        <f t="shared" si="364"/>
        <v/>
      </c>
      <c r="AZ600" s="59"/>
      <c r="BA600" s="58" t="str">
        <f t="shared" si="365"/>
        <v/>
      </c>
      <c r="BB600" s="59"/>
      <c r="BC600" s="58" t="str">
        <f t="shared" si="366"/>
        <v/>
      </c>
      <c r="BD600" s="59"/>
      <c r="BE600" s="58" t="str">
        <f t="shared" si="367"/>
        <v/>
      </c>
      <c r="BF600" s="59"/>
      <c r="BG600" s="58" t="str">
        <f t="shared" si="368"/>
        <v/>
      </c>
      <c r="BH600" s="59"/>
      <c r="BI600" s="58">
        <f t="shared" si="369"/>
        <v>1824</v>
      </c>
      <c r="BJ600" s="59"/>
      <c r="BK600" s="58" t="str">
        <f t="shared" si="370"/>
        <v/>
      </c>
      <c r="BL600" s="59"/>
      <c r="BM600" s="58" t="str">
        <f t="shared" si="371"/>
        <v/>
      </c>
      <c r="BN600" s="59"/>
      <c r="BO600" s="58" t="str">
        <f t="shared" si="372"/>
        <v/>
      </c>
      <c r="BP600" s="59"/>
      <c r="BQ600" s="58" t="str">
        <f t="shared" si="373"/>
        <v/>
      </c>
      <c r="BR600" s="59"/>
      <c r="BS600" s="58" t="str">
        <f t="shared" si="374"/>
        <v/>
      </c>
      <c r="BT600" s="59"/>
      <c r="BU600" s="58" t="str">
        <f t="shared" si="375"/>
        <v/>
      </c>
      <c r="BV600" s="59"/>
    </row>
    <row r="601" spans="1:74" ht="14.5">
      <c r="A601" s="51" t="s">
        <v>58</v>
      </c>
      <c r="B601" s="52">
        <v>437</v>
      </c>
      <c r="C601" s="52" t="s">
        <v>188</v>
      </c>
      <c r="D601" s="41">
        <f t="shared" si="376"/>
        <v>10</v>
      </c>
      <c r="E601" s="52" t="s">
        <v>158</v>
      </c>
      <c r="F601" s="52" t="s">
        <v>242</v>
      </c>
      <c r="G601" s="52" t="s">
        <v>154</v>
      </c>
      <c r="H601" s="52" t="s">
        <v>432</v>
      </c>
      <c r="I601" s="53">
        <v>45723</v>
      </c>
      <c r="J601" s="108">
        <v>920</v>
      </c>
      <c r="K601" s="101"/>
      <c r="L601" s="101"/>
      <c r="M601" s="101">
        <f t="shared" si="377"/>
        <v>920</v>
      </c>
      <c r="N601" s="54">
        <f t="shared" si="378"/>
        <v>920</v>
      </c>
      <c r="O601" s="101" t="s">
        <v>431</v>
      </c>
      <c r="P601" s="102">
        <f t="shared" si="379"/>
        <v>1.2777777777777777</v>
      </c>
      <c r="Q601" s="102">
        <v>6</v>
      </c>
      <c r="R601" s="99">
        <v>120</v>
      </c>
      <c r="S601" s="55">
        <f t="shared" si="380"/>
        <v>45691</v>
      </c>
      <c r="T601" s="55"/>
      <c r="U601" s="56">
        <f t="shared" ca="1" si="350"/>
        <v>-149</v>
      </c>
      <c r="V601" s="55">
        <f t="shared" si="349"/>
        <v>45707</v>
      </c>
      <c r="W601" s="55"/>
      <c r="X601" s="56">
        <f t="shared" ca="1" si="351"/>
        <v>-133</v>
      </c>
      <c r="Y601" s="55"/>
      <c r="Z601" s="57"/>
      <c r="AA601" s="58" t="str">
        <f t="shared" si="352"/>
        <v>-</v>
      </c>
      <c r="AB601" s="59"/>
      <c r="AC601" s="58" t="str">
        <f t="shared" si="353"/>
        <v/>
      </c>
      <c r="AD601" s="59"/>
      <c r="AE601" s="58" t="str">
        <f t="shared" si="354"/>
        <v/>
      </c>
      <c r="AF601" s="59"/>
      <c r="AG601" s="58" t="str">
        <f t="shared" si="355"/>
        <v/>
      </c>
      <c r="AH601" s="59"/>
      <c r="AI601" s="58" t="str">
        <f t="shared" si="356"/>
        <v/>
      </c>
      <c r="AJ601" s="59"/>
      <c r="AK601" s="58" t="str">
        <f t="shared" si="357"/>
        <v/>
      </c>
      <c r="AL601" s="59"/>
      <c r="AM601" s="58" t="str">
        <f t="shared" si="358"/>
        <v/>
      </c>
      <c r="AN601" s="59"/>
      <c r="AO601" s="58" t="str">
        <f t="shared" si="359"/>
        <v/>
      </c>
      <c r="AP601" s="59"/>
      <c r="AQ601" s="58" t="str">
        <f t="shared" si="360"/>
        <v/>
      </c>
      <c r="AR601" s="59"/>
      <c r="AS601" s="58" t="str">
        <f t="shared" si="361"/>
        <v/>
      </c>
      <c r="AT601" s="59"/>
      <c r="AU601" s="58" t="str">
        <f t="shared" si="362"/>
        <v/>
      </c>
      <c r="AV601" s="59"/>
      <c r="AW601" s="58" t="str">
        <f t="shared" si="363"/>
        <v/>
      </c>
      <c r="AX601" s="59"/>
      <c r="AY601" s="58" t="str">
        <f t="shared" si="364"/>
        <v/>
      </c>
      <c r="AZ601" s="59"/>
      <c r="BA601" s="58" t="str">
        <f t="shared" si="365"/>
        <v/>
      </c>
      <c r="BB601" s="59"/>
      <c r="BC601" s="58" t="str">
        <f t="shared" si="366"/>
        <v/>
      </c>
      <c r="BD601" s="59"/>
      <c r="BE601" s="58" t="str">
        <f t="shared" si="367"/>
        <v/>
      </c>
      <c r="BF601" s="59"/>
      <c r="BG601" s="58" t="str">
        <f t="shared" si="368"/>
        <v/>
      </c>
      <c r="BH601" s="59"/>
      <c r="BI601" s="58">
        <f t="shared" si="369"/>
        <v>920</v>
      </c>
      <c r="BJ601" s="59"/>
      <c r="BK601" s="58" t="str">
        <f t="shared" si="370"/>
        <v/>
      </c>
      <c r="BL601" s="59"/>
      <c r="BM601" s="58" t="str">
        <f t="shared" si="371"/>
        <v/>
      </c>
      <c r="BN601" s="59"/>
      <c r="BO601" s="58" t="str">
        <f t="shared" si="372"/>
        <v/>
      </c>
      <c r="BP601" s="59"/>
      <c r="BQ601" s="58" t="str">
        <f t="shared" si="373"/>
        <v/>
      </c>
      <c r="BR601" s="59"/>
      <c r="BS601" s="58" t="str">
        <f t="shared" si="374"/>
        <v/>
      </c>
      <c r="BT601" s="59"/>
      <c r="BU601" s="58" t="str">
        <f t="shared" si="375"/>
        <v/>
      </c>
      <c r="BV601" s="59"/>
    </row>
    <row r="602" spans="1:74" ht="14.5">
      <c r="A602" s="51" t="s">
        <v>58</v>
      </c>
      <c r="B602" s="52">
        <v>437</v>
      </c>
      <c r="C602" s="52" t="s">
        <v>188</v>
      </c>
      <c r="D602" s="41">
        <f t="shared" si="376"/>
        <v>10</v>
      </c>
      <c r="E602" s="52" t="s">
        <v>190</v>
      </c>
      <c r="F602" s="52" t="s">
        <v>242</v>
      </c>
      <c r="G602" s="52" t="s">
        <v>244</v>
      </c>
      <c r="H602" s="52" t="s">
        <v>513</v>
      </c>
      <c r="I602" s="53">
        <v>45723</v>
      </c>
      <c r="J602" s="108">
        <v>1336</v>
      </c>
      <c r="K602" s="101"/>
      <c r="L602" s="101"/>
      <c r="M602" s="101">
        <f t="shared" si="377"/>
        <v>1336</v>
      </c>
      <c r="N602" s="54">
        <f t="shared" si="378"/>
        <v>1336</v>
      </c>
      <c r="O602" s="101" t="s">
        <v>431</v>
      </c>
      <c r="P602" s="102">
        <f t="shared" si="379"/>
        <v>1.8555555555555556</v>
      </c>
      <c r="Q602" s="102">
        <v>6</v>
      </c>
      <c r="R602" s="99">
        <v>120</v>
      </c>
      <c r="S602" s="55">
        <f t="shared" si="380"/>
        <v>45691</v>
      </c>
      <c r="T602" s="55"/>
      <c r="U602" s="56">
        <f t="shared" ca="1" si="350"/>
        <v>-149</v>
      </c>
      <c r="V602" s="55">
        <f t="shared" si="349"/>
        <v>45707</v>
      </c>
      <c r="W602" s="55"/>
      <c r="X602" s="56">
        <f t="shared" ca="1" si="351"/>
        <v>-133</v>
      </c>
      <c r="Y602" s="55"/>
      <c r="Z602" s="57"/>
      <c r="AA602" s="58" t="str">
        <f t="shared" si="352"/>
        <v>-</v>
      </c>
      <c r="AB602" s="59"/>
      <c r="AC602" s="58" t="str">
        <f t="shared" si="353"/>
        <v/>
      </c>
      <c r="AD602" s="59"/>
      <c r="AE602" s="58" t="str">
        <f t="shared" si="354"/>
        <v/>
      </c>
      <c r="AF602" s="59"/>
      <c r="AG602" s="58" t="str">
        <f t="shared" si="355"/>
        <v/>
      </c>
      <c r="AH602" s="59"/>
      <c r="AI602" s="58" t="str">
        <f t="shared" si="356"/>
        <v/>
      </c>
      <c r="AJ602" s="59"/>
      <c r="AK602" s="58" t="str">
        <f t="shared" si="357"/>
        <v/>
      </c>
      <c r="AL602" s="59"/>
      <c r="AM602" s="58" t="str">
        <f t="shared" si="358"/>
        <v/>
      </c>
      <c r="AN602" s="59"/>
      <c r="AO602" s="58" t="str">
        <f t="shared" si="359"/>
        <v/>
      </c>
      <c r="AP602" s="59"/>
      <c r="AQ602" s="58" t="str">
        <f t="shared" si="360"/>
        <v/>
      </c>
      <c r="AR602" s="59"/>
      <c r="AS602" s="58" t="str">
        <f t="shared" si="361"/>
        <v/>
      </c>
      <c r="AT602" s="59"/>
      <c r="AU602" s="58" t="str">
        <f t="shared" si="362"/>
        <v/>
      </c>
      <c r="AV602" s="59"/>
      <c r="AW602" s="58" t="str">
        <f t="shared" si="363"/>
        <v/>
      </c>
      <c r="AX602" s="59"/>
      <c r="AY602" s="58" t="str">
        <f t="shared" si="364"/>
        <v/>
      </c>
      <c r="AZ602" s="59"/>
      <c r="BA602" s="58" t="str">
        <f t="shared" si="365"/>
        <v/>
      </c>
      <c r="BB602" s="59"/>
      <c r="BC602" s="58" t="str">
        <f t="shared" si="366"/>
        <v/>
      </c>
      <c r="BD602" s="59"/>
      <c r="BE602" s="58" t="str">
        <f t="shared" si="367"/>
        <v/>
      </c>
      <c r="BF602" s="59"/>
      <c r="BG602" s="58" t="str">
        <f t="shared" si="368"/>
        <v/>
      </c>
      <c r="BH602" s="59"/>
      <c r="BI602" s="58">
        <f t="shared" si="369"/>
        <v>1336</v>
      </c>
      <c r="BJ602" s="59"/>
      <c r="BK602" s="58" t="str">
        <f t="shared" si="370"/>
        <v/>
      </c>
      <c r="BL602" s="59"/>
      <c r="BM602" s="58" t="str">
        <f t="shared" si="371"/>
        <v/>
      </c>
      <c r="BN602" s="59"/>
      <c r="BO602" s="58" t="str">
        <f t="shared" si="372"/>
        <v/>
      </c>
      <c r="BP602" s="59"/>
      <c r="BQ602" s="58" t="str">
        <f t="shared" si="373"/>
        <v/>
      </c>
      <c r="BR602" s="59"/>
      <c r="BS602" s="58" t="str">
        <f t="shared" si="374"/>
        <v/>
      </c>
      <c r="BT602" s="59"/>
      <c r="BU602" s="58" t="str">
        <f t="shared" si="375"/>
        <v/>
      </c>
      <c r="BV602" s="59"/>
    </row>
    <row r="603" spans="1:74" ht="14.5">
      <c r="A603" s="51" t="s">
        <v>58</v>
      </c>
      <c r="B603" s="52">
        <v>438</v>
      </c>
      <c r="C603" s="52" t="s">
        <v>188</v>
      </c>
      <c r="D603" s="41">
        <f t="shared" si="376"/>
        <v>10</v>
      </c>
      <c r="E603" s="52" t="s">
        <v>193</v>
      </c>
      <c r="F603" s="52" t="s">
        <v>398</v>
      </c>
      <c r="G603" s="52" t="s">
        <v>162</v>
      </c>
      <c r="H603" s="52" t="s">
        <v>583</v>
      </c>
      <c r="I603" s="53">
        <v>45723</v>
      </c>
      <c r="J603" s="108">
        <v>1812</v>
      </c>
      <c r="K603" s="101"/>
      <c r="L603" s="101"/>
      <c r="M603" s="101">
        <f t="shared" si="377"/>
        <v>1812</v>
      </c>
      <c r="N603" s="54">
        <f t="shared" si="378"/>
        <v>1812</v>
      </c>
      <c r="O603" s="101" t="s">
        <v>431</v>
      </c>
      <c r="P603" s="102">
        <f t="shared" si="379"/>
        <v>2.5166666666666666</v>
      </c>
      <c r="Q603" s="102">
        <v>6</v>
      </c>
      <c r="R603" s="99">
        <v>120</v>
      </c>
      <c r="S603" s="55">
        <f t="shared" si="380"/>
        <v>45691</v>
      </c>
      <c r="T603" s="55"/>
      <c r="U603" s="56">
        <f t="shared" ca="1" si="350"/>
        <v>-149</v>
      </c>
      <c r="V603" s="55">
        <f t="shared" si="349"/>
        <v>45707</v>
      </c>
      <c r="W603" s="55"/>
      <c r="X603" s="56">
        <f t="shared" ca="1" si="351"/>
        <v>-133</v>
      </c>
      <c r="Y603" s="55"/>
      <c r="Z603" s="57"/>
      <c r="AA603" s="58" t="str">
        <f t="shared" si="352"/>
        <v>-</v>
      </c>
      <c r="AB603" s="59"/>
      <c r="AC603" s="58" t="str">
        <f t="shared" si="353"/>
        <v/>
      </c>
      <c r="AD603" s="59"/>
      <c r="AE603" s="58" t="str">
        <f t="shared" si="354"/>
        <v/>
      </c>
      <c r="AF603" s="59"/>
      <c r="AG603" s="58" t="str">
        <f t="shared" si="355"/>
        <v/>
      </c>
      <c r="AH603" s="59"/>
      <c r="AI603" s="58" t="str">
        <f t="shared" si="356"/>
        <v/>
      </c>
      <c r="AJ603" s="59"/>
      <c r="AK603" s="58" t="str">
        <f t="shared" si="357"/>
        <v/>
      </c>
      <c r="AL603" s="59"/>
      <c r="AM603" s="58" t="str">
        <f t="shared" si="358"/>
        <v/>
      </c>
      <c r="AN603" s="59"/>
      <c r="AO603" s="58" t="str">
        <f t="shared" si="359"/>
        <v/>
      </c>
      <c r="AP603" s="59"/>
      <c r="AQ603" s="58" t="str">
        <f t="shared" si="360"/>
        <v/>
      </c>
      <c r="AR603" s="59"/>
      <c r="AS603" s="58" t="str">
        <f t="shared" si="361"/>
        <v/>
      </c>
      <c r="AT603" s="59"/>
      <c r="AU603" s="58" t="str">
        <f t="shared" si="362"/>
        <v/>
      </c>
      <c r="AV603" s="59"/>
      <c r="AW603" s="58" t="str">
        <f t="shared" si="363"/>
        <v/>
      </c>
      <c r="AX603" s="59"/>
      <c r="AY603" s="58" t="str">
        <f t="shared" si="364"/>
        <v/>
      </c>
      <c r="AZ603" s="59"/>
      <c r="BA603" s="58" t="str">
        <f t="shared" si="365"/>
        <v/>
      </c>
      <c r="BB603" s="59"/>
      <c r="BC603" s="58" t="str">
        <f t="shared" si="366"/>
        <v/>
      </c>
      <c r="BD603" s="59"/>
      <c r="BE603" s="58" t="str">
        <f t="shared" si="367"/>
        <v/>
      </c>
      <c r="BF603" s="59"/>
      <c r="BG603" s="58" t="str">
        <f t="shared" si="368"/>
        <v/>
      </c>
      <c r="BH603" s="59"/>
      <c r="BI603" s="58">
        <f t="shared" si="369"/>
        <v>1812</v>
      </c>
      <c r="BJ603" s="59"/>
      <c r="BK603" s="58" t="str">
        <f t="shared" si="370"/>
        <v/>
      </c>
      <c r="BL603" s="59"/>
      <c r="BM603" s="58" t="str">
        <f t="shared" si="371"/>
        <v/>
      </c>
      <c r="BN603" s="59"/>
      <c r="BO603" s="58" t="str">
        <f t="shared" si="372"/>
        <v/>
      </c>
      <c r="BP603" s="59"/>
      <c r="BQ603" s="58" t="str">
        <f t="shared" si="373"/>
        <v/>
      </c>
      <c r="BR603" s="59"/>
      <c r="BS603" s="58" t="str">
        <f t="shared" si="374"/>
        <v/>
      </c>
      <c r="BT603" s="59"/>
      <c r="BU603" s="58" t="str">
        <f t="shared" si="375"/>
        <v/>
      </c>
      <c r="BV603" s="59"/>
    </row>
    <row r="604" spans="1:74" ht="14.5">
      <c r="A604" s="51" t="s">
        <v>58</v>
      </c>
      <c r="B604" s="52">
        <v>438</v>
      </c>
      <c r="C604" s="52" t="s">
        <v>188</v>
      </c>
      <c r="D604" s="41">
        <f t="shared" si="376"/>
        <v>10</v>
      </c>
      <c r="E604" s="52" t="s">
        <v>250</v>
      </c>
      <c r="F604" s="52" t="s">
        <v>398</v>
      </c>
      <c r="G604" s="52" t="s">
        <v>162</v>
      </c>
      <c r="H604" s="52" t="s">
        <v>440</v>
      </c>
      <c r="I604" s="53">
        <v>45723</v>
      </c>
      <c r="J604" s="108">
        <v>1725</v>
      </c>
      <c r="K604" s="101"/>
      <c r="L604" s="101"/>
      <c r="M604" s="101">
        <f t="shared" si="377"/>
        <v>1725</v>
      </c>
      <c r="N604" s="54">
        <f t="shared" si="378"/>
        <v>1725</v>
      </c>
      <c r="O604" s="101" t="s">
        <v>431</v>
      </c>
      <c r="P604" s="102">
        <f t="shared" si="379"/>
        <v>2.3958333333333335</v>
      </c>
      <c r="Q604" s="102">
        <v>6</v>
      </c>
      <c r="R604" s="99">
        <v>120</v>
      </c>
      <c r="S604" s="55">
        <f t="shared" si="380"/>
        <v>45691</v>
      </c>
      <c r="T604" s="55"/>
      <c r="U604" s="56">
        <f t="shared" ca="1" si="350"/>
        <v>-149</v>
      </c>
      <c r="V604" s="55">
        <f t="shared" si="349"/>
        <v>45707</v>
      </c>
      <c r="W604" s="55"/>
      <c r="X604" s="56">
        <f t="shared" ca="1" si="351"/>
        <v>-133</v>
      </c>
      <c r="Y604" s="55"/>
      <c r="Z604" s="57"/>
      <c r="AA604" s="58" t="str">
        <f t="shared" si="352"/>
        <v>-</v>
      </c>
      <c r="AB604" s="59"/>
      <c r="AC604" s="58" t="str">
        <f t="shared" si="353"/>
        <v/>
      </c>
      <c r="AD604" s="59"/>
      <c r="AE604" s="58" t="str">
        <f t="shared" si="354"/>
        <v/>
      </c>
      <c r="AF604" s="59"/>
      <c r="AG604" s="58" t="str">
        <f t="shared" si="355"/>
        <v/>
      </c>
      <c r="AH604" s="59"/>
      <c r="AI604" s="58" t="str">
        <f t="shared" si="356"/>
        <v/>
      </c>
      <c r="AJ604" s="59"/>
      <c r="AK604" s="58" t="str">
        <f t="shared" si="357"/>
        <v/>
      </c>
      <c r="AL604" s="59"/>
      <c r="AM604" s="58" t="str">
        <f t="shared" si="358"/>
        <v/>
      </c>
      <c r="AN604" s="59"/>
      <c r="AO604" s="58" t="str">
        <f t="shared" si="359"/>
        <v/>
      </c>
      <c r="AP604" s="59"/>
      <c r="AQ604" s="58" t="str">
        <f t="shared" si="360"/>
        <v/>
      </c>
      <c r="AR604" s="59"/>
      <c r="AS604" s="58" t="str">
        <f t="shared" si="361"/>
        <v/>
      </c>
      <c r="AT604" s="59"/>
      <c r="AU604" s="58" t="str">
        <f t="shared" si="362"/>
        <v/>
      </c>
      <c r="AV604" s="59"/>
      <c r="AW604" s="58" t="str">
        <f t="shared" si="363"/>
        <v/>
      </c>
      <c r="AX604" s="59"/>
      <c r="AY604" s="58" t="str">
        <f t="shared" si="364"/>
        <v/>
      </c>
      <c r="AZ604" s="59"/>
      <c r="BA604" s="58" t="str">
        <f t="shared" si="365"/>
        <v/>
      </c>
      <c r="BB604" s="59"/>
      <c r="BC604" s="58" t="str">
        <f t="shared" si="366"/>
        <v/>
      </c>
      <c r="BD604" s="59"/>
      <c r="BE604" s="58" t="str">
        <f t="shared" si="367"/>
        <v/>
      </c>
      <c r="BF604" s="59"/>
      <c r="BG604" s="58" t="str">
        <f t="shared" si="368"/>
        <v/>
      </c>
      <c r="BH604" s="59"/>
      <c r="BI604" s="58">
        <f t="shared" si="369"/>
        <v>1725</v>
      </c>
      <c r="BJ604" s="59"/>
      <c r="BK604" s="58" t="str">
        <f t="shared" si="370"/>
        <v/>
      </c>
      <c r="BL604" s="59"/>
      <c r="BM604" s="58" t="str">
        <f t="shared" si="371"/>
        <v/>
      </c>
      <c r="BN604" s="59"/>
      <c r="BO604" s="58" t="str">
        <f t="shared" si="372"/>
        <v/>
      </c>
      <c r="BP604" s="59"/>
      <c r="BQ604" s="58" t="str">
        <f t="shared" si="373"/>
        <v/>
      </c>
      <c r="BR604" s="59"/>
      <c r="BS604" s="58" t="str">
        <f t="shared" si="374"/>
        <v/>
      </c>
      <c r="BT604" s="59"/>
      <c r="BU604" s="58" t="str">
        <f t="shared" si="375"/>
        <v/>
      </c>
      <c r="BV604" s="59"/>
    </row>
    <row r="605" spans="1:74" ht="14.5">
      <c r="A605" s="51" t="s">
        <v>58</v>
      </c>
      <c r="B605" s="52">
        <v>438</v>
      </c>
      <c r="C605" s="52" t="s">
        <v>188</v>
      </c>
      <c r="D605" s="41">
        <f t="shared" si="376"/>
        <v>10</v>
      </c>
      <c r="E605" s="52" t="s">
        <v>201</v>
      </c>
      <c r="F605" s="52" t="s">
        <v>247</v>
      </c>
      <c r="G605" s="52" t="s">
        <v>155</v>
      </c>
      <c r="H605" s="52" t="s">
        <v>442</v>
      </c>
      <c r="I605" s="53">
        <v>45723</v>
      </c>
      <c r="J605" s="108">
        <v>7560</v>
      </c>
      <c r="K605" s="101"/>
      <c r="L605" s="101"/>
      <c r="M605" s="101">
        <f t="shared" si="377"/>
        <v>7560</v>
      </c>
      <c r="N605" s="54">
        <f t="shared" si="378"/>
        <v>7560</v>
      </c>
      <c r="O605" s="101" t="s">
        <v>431</v>
      </c>
      <c r="P605" s="102">
        <f t="shared" si="379"/>
        <v>3.6</v>
      </c>
      <c r="Q605" s="102">
        <v>6</v>
      </c>
      <c r="R605" s="99">
        <v>350</v>
      </c>
      <c r="S605" s="55">
        <f t="shared" si="380"/>
        <v>45691</v>
      </c>
      <c r="T605" s="55"/>
      <c r="U605" s="56">
        <f t="shared" ca="1" si="350"/>
        <v>-149</v>
      </c>
      <c r="V605" s="55">
        <f t="shared" si="349"/>
        <v>45707</v>
      </c>
      <c r="W605" s="55"/>
      <c r="X605" s="56">
        <f t="shared" ca="1" si="351"/>
        <v>-133</v>
      </c>
      <c r="Y605" s="55"/>
      <c r="Z605" s="57"/>
      <c r="AA605" s="58" t="str">
        <f t="shared" ref="AA605:AA636" si="381">+IF($AA$4=WEEKNUM(S605),J605,"-")</f>
        <v>-</v>
      </c>
      <c r="AB605" s="59"/>
      <c r="AC605" s="58" t="str">
        <f t="shared" ref="AC605:AC636" si="382">+IF($AC$4=WEEKNUM(S605),J605,"")</f>
        <v/>
      </c>
      <c r="AD605" s="59"/>
      <c r="AE605" s="58" t="str">
        <f t="shared" ref="AE605:AE636" si="383">+IF($AE$4=WEEKNUM(S605),J605,"")</f>
        <v/>
      </c>
      <c r="AF605" s="59"/>
      <c r="AG605" s="58" t="str">
        <f t="shared" ref="AG605:AG636" si="384">+IF($AG$4=WEEKNUM(S605),J605,"")</f>
        <v/>
      </c>
      <c r="AH605" s="59"/>
      <c r="AI605" s="58" t="str">
        <f t="shared" ref="AI605:AI636" si="385">+IF($AI$4=WEEKNUM(S605),J605,"")</f>
        <v/>
      </c>
      <c r="AJ605" s="59"/>
      <c r="AK605" s="58" t="str">
        <f t="shared" ref="AK605:AK636" si="386">+IF($AK$4=WEEKNUM(S605),J605,"")</f>
        <v/>
      </c>
      <c r="AL605" s="59"/>
      <c r="AM605" s="58" t="str">
        <f t="shared" ref="AM605:AM636" si="387">+IF($AM$4=WEEKNUM(S605),J605,"")</f>
        <v/>
      </c>
      <c r="AN605" s="59"/>
      <c r="AO605" s="58" t="str">
        <f t="shared" ref="AO605:AO636" si="388">+IF($AO$4=WEEKNUM(S605),J605,"")</f>
        <v/>
      </c>
      <c r="AP605" s="59"/>
      <c r="AQ605" s="58" t="str">
        <f t="shared" ref="AQ605:AQ636" si="389">+IF($AQ$4=WEEKNUM(S605),J605,"")</f>
        <v/>
      </c>
      <c r="AR605" s="59"/>
      <c r="AS605" s="58" t="str">
        <f t="shared" ref="AS605:AS636" si="390">+IF($AS$4=WEEKNUM(S605),J605,"")</f>
        <v/>
      </c>
      <c r="AT605" s="59"/>
      <c r="AU605" s="58" t="str">
        <f t="shared" ref="AU605:AU636" si="391">+IF($AU$4=WEEKNUM(S605),J605,"")</f>
        <v/>
      </c>
      <c r="AV605" s="59"/>
      <c r="AW605" s="58" t="str">
        <f t="shared" ref="AW605:AW636" si="392">+IF($AW$4=WEEKNUM(S605),J605,"")</f>
        <v/>
      </c>
      <c r="AX605" s="59"/>
      <c r="AY605" s="58" t="str">
        <f t="shared" ref="AY605:AY636" si="393">+IF($AY$4=WEEKNUM(S605),J605,"")</f>
        <v/>
      </c>
      <c r="AZ605" s="59"/>
      <c r="BA605" s="58" t="str">
        <f t="shared" ref="BA605:BA636" si="394">+IF($BA$4=WEEKNUM(S605),J605,"")</f>
        <v/>
      </c>
      <c r="BB605" s="59"/>
      <c r="BC605" s="58" t="str">
        <f t="shared" ref="BC605:BC636" si="395">+IF($BC$4=WEEKNUM(S605),J605,"")</f>
        <v/>
      </c>
      <c r="BD605" s="59"/>
      <c r="BE605" s="58" t="str">
        <f t="shared" ref="BE605:BE636" si="396">+IF($BE$4=WEEKNUM(S605),J605,"")</f>
        <v/>
      </c>
      <c r="BF605" s="59"/>
      <c r="BG605" s="58" t="str">
        <f t="shared" ref="BG605:BG636" si="397">+IF($BG$4=WEEKNUM(S605),J605,"")</f>
        <v/>
      </c>
      <c r="BH605" s="59"/>
      <c r="BI605" s="58">
        <f t="shared" ref="BI605:BI636" si="398">+IF($BI$4=WEEKNUM(S605),J605,"")</f>
        <v>7560</v>
      </c>
      <c r="BJ605" s="59"/>
      <c r="BK605" s="58" t="str">
        <f t="shared" ref="BK605:BK636" si="399">+IF($BK$4=WEEKNUM(S605),J605,"")</f>
        <v/>
      </c>
      <c r="BL605" s="59"/>
      <c r="BM605" s="58" t="str">
        <f t="shared" ref="BM605:BM636" si="400">+IF($BM$4=WEEKNUM(S605),J605,"")</f>
        <v/>
      </c>
      <c r="BN605" s="59"/>
      <c r="BO605" s="58" t="str">
        <f t="shared" ref="BO605:BO636" si="401">+IF($BO$4=WEEKNUM(S605),J605,"")</f>
        <v/>
      </c>
      <c r="BP605" s="59"/>
      <c r="BQ605" s="58" t="str">
        <f t="shared" ref="BQ605:BQ636" si="402">+IF($BQ$4=WEEKNUM(S605),J605,"")</f>
        <v/>
      </c>
      <c r="BR605" s="59"/>
      <c r="BS605" s="58" t="str">
        <f t="shared" ref="BS605:BS636" si="403">+IF($BS$4=WEEKNUM(S605),J605,"")</f>
        <v/>
      </c>
      <c r="BT605" s="59"/>
      <c r="BU605" s="58" t="str">
        <f t="shared" ref="BU605:BU636" si="404">+IF($BU$4=WEEKNUM(S605),J605,"")</f>
        <v/>
      </c>
      <c r="BV605" s="59"/>
    </row>
    <row r="606" spans="1:74" ht="14.5">
      <c r="A606" s="51" t="s">
        <v>58</v>
      </c>
      <c r="B606" s="52">
        <v>438</v>
      </c>
      <c r="C606" s="52" t="s">
        <v>188</v>
      </c>
      <c r="D606" s="41">
        <f t="shared" si="376"/>
        <v>10</v>
      </c>
      <c r="E606" s="52" t="s">
        <v>391</v>
      </c>
      <c r="F606" s="52" t="s">
        <v>392</v>
      </c>
      <c r="G606" s="52" t="s">
        <v>393</v>
      </c>
      <c r="H606" s="52" t="s">
        <v>433</v>
      </c>
      <c r="I606" s="53">
        <v>45723</v>
      </c>
      <c r="J606" s="108">
        <v>1488</v>
      </c>
      <c r="K606" s="101"/>
      <c r="L606" s="101"/>
      <c r="M606" s="101">
        <f t="shared" si="377"/>
        <v>1488</v>
      </c>
      <c r="N606" s="54">
        <f t="shared" si="378"/>
        <v>1488</v>
      </c>
      <c r="O606" s="101" t="s">
        <v>431</v>
      </c>
      <c r="P606" s="102">
        <f t="shared" si="379"/>
        <v>3.1</v>
      </c>
      <c r="Q606" s="102">
        <v>6</v>
      </c>
      <c r="R606" s="99">
        <v>80</v>
      </c>
      <c r="S606" s="55">
        <f t="shared" si="380"/>
        <v>45691</v>
      </c>
      <c r="T606" s="55"/>
      <c r="U606" s="56">
        <f t="shared" ca="1" si="350"/>
        <v>-149</v>
      </c>
      <c r="V606" s="55">
        <f t="shared" si="349"/>
        <v>45707</v>
      </c>
      <c r="W606" s="55"/>
      <c r="X606" s="56">
        <f t="shared" ca="1" si="351"/>
        <v>-133</v>
      </c>
      <c r="Y606" s="55"/>
      <c r="Z606" s="57"/>
      <c r="AA606" s="58" t="str">
        <f t="shared" si="381"/>
        <v>-</v>
      </c>
      <c r="AB606" s="59"/>
      <c r="AC606" s="58" t="str">
        <f t="shared" si="382"/>
        <v/>
      </c>
      <c r="AD606" s="59"/>
      <c r="AE606" s="58" t="str">
        <f t="shared" si="383"/>
        <v/>
      </c>
      <c r="AF606" s="59"/>
      <c r="AG606" s="58" t="str">
        <f t="shared" si="384"/>
        <v/>
      </c>
      <c r="AH606" s="59"/>
      <c r="AI606" s="58" t="str">
        <f t="shared" si="385"/>
        <v/>
      </c>
      <c r="AJ606" s="59"/>
      <c r="AK606" s="58" t="str">
        <f t="shared" si="386"/>
        <v/>
      </c>
      <c r="AL606" s="59"/>
      <c r="AM606" s="58" t="str">
        <f t="shared" si="387"/>
        <v/>
      </c>
      <c r="AN606" s="59"/>
      <c r="AO606" s="58" t="str">
        <f t="shared" si="388"/>
        <v/>
      </c>
      <c r="AP606" s="59"/>
      <c r="AQ606" s="58" t="str">
        <f t="shared" si="389"/>
        <v/>
      </c>
      <c r="AR606" s="59"/>
      <c r="AS606" s="58" t="str">
        <f t="shared" si="390"/>
        <v/>
      </c>
      <c r="AT606" s="59"/>
      <c r="AU606" s="58" t="str">
        <f t="shared" si="391"/>
        <v/>
      </c>
      <c r="AV606" s="59"/>
      <c r="AW606" s="58" t="str">
        <f t="shared" si="392"/>
        <v/>
      </c>
      <c r="AX606" s="59"/>
      <c r="AY606" s="58" t="str">
        <f t="shared" si="393"/>
        <v/>
      </c>
      <c r="AZ606" s="59"/>
      <c r="BA606" s="58" t="str">
        <f t="shared" si="394"/>
        <v/>
      </c>
      <c r="BB606" s="59"/>
      <c r="BC606" s="58" t="str">
        <f t="shared" si="395"/>
        <v/>
      </c>
      <c r="BD606" s="59"/>
      <c r="BE606" s="58" t="str">
        <f t="shared" si="396"/>
        <v/>
      </c>
      <c r="BF606" s="59"/>
      <c r="BG606" s="58" t="str">
        <f t="shared" si="397"/>
        <v/>
      </c>
      <c r="BH606" s="59"/>
      <c r="BI606" s="58">
        <f t="shared" si="398"/>
        <v>1488</v>
      </c>
      <c r="BJ606" s="59"/>
      <c r="BK606" s="58" t="str">
        <f t="shared" si="399"/>
        <v/>
      </c>
      <c r="BL606" s="59"/>
      <c r="BM606" s="58" t="str">
        <f t="shared" si="400"/>
        <v/>
      </c>
      <c r="BN606" s="59"/>
      <c r="BO606" s="58" t="str">
        <f t="shared" si="401"/>
        <v/>
      </c>
      <c r="BP606" s="59"/>
      <c r="BQ606" s="58" t="str">
        <f t="shared" si="402"/>
        <v/>
      </c>
      <c r="BR606" s="59"/>
      <c r="BS606" s="58" t="str">
        <f t="shared" si="403"/>
        <v/>
      </c>
      <c r="BT606" s="59"/>
      <c r="BU606" s="58" t="str">
        <f t="shared" si="404"/>
        <v/>
      </c>
      <c r="BV606" s="59"/>
    </row>
    <row r="607" spans="1:74" ht="14.5">
      <c r="A607" s="51" t="s">
        <v>58</v>
      </c>
      <c r="B607" s="52">
        <v>438</v>
      </c>
      <c r="C607" s="52" t="s">
        <v>188</v>
      </c>
      <c r="D607" s="41">
        <f t="shared" si="376"/>
        <v>10</v>
      </c>
      <c r="E607" s="52" t="s">
        <v>158</v>
      </c>
      <c r="F607" s="52" t="s">
        <v>242</v>
      </c>
      <c r="G607" s="52" t="s">
        <v>156</v>
      </c>
      <c r="H607" s="52" t="s">
        <v>432</v>
      </c>
      <c r="I607" s="53">
        <v>45723</v>
      </c>
      <c r="J607" s="108">
        <v>992</v>
      </c>
      <c r="K607" s="101"/>
      <c r="L607" s="101"/>
      <c r="M607" s="101">
        <f t="shared" si="377"/>
        <v>992</v>
      </c>
      <c r="N607" s="54">
        <f t="shared" si="378"/>
        <v>992</v>
      </c>
      <c r="O607" s="101" t="s">
        <v>431</v>
      </c>
      <c r="P607" s="102">
        <f t="shared" si="379"/>
        <v>1.3777777777777778</v>
      </c>
      <c r="Q607" s="102">
        <v>6</v>
      </c>
      <c r="R607" s="99">
        <v>120</v>
      </c>
      <c r="S607" s="55">
        <f t="shared" si="380"/>
        <v>45691</v>
      </c>
      <c r="T607" s="55"/>
      <c r="U607" s="56">
        <f t="shared" ca="1" si="350"/>
        <v>-149</v>
      </c>
      <c r="V607" s="55">
        <f t="shared" si="349"/>
        <v>45707</v>
      </c>
      <c r="W607" s="55"/>
      <c r="X607" s="56">
        <f t="shared" ca="1" si="351"/>
        <v>-133</v>
      </c>
      <c r="Y607" s="55"/>
      <c r="Z607" s="57"/>
      <c r="AA607" s="58" t="str">
        <f t="shared" si="381"/>
        <v>-</v>
      </c>
      <c r="AB607" s="59"/>
      <c r="AC607" s="58" t="str">
        <f t="shared" si="382"/>
        <v/>
      </c>
      <c r="AD607" s="59"/>
      <c r="AE607" s="58" t="str">
        <f t="shared" si="383"/>
        <v/>
      </c>
      <c r="AF607" s="59"/>
      <c r="AG607" s="58" t="str">
        <f t="shared" si="384"/>
        <v/>
      </c>
      <c r="AH607" s="59"/>
      <c r="AI607" s="58" t="str">
        <f t="shared" si="385"/>
        <v/>
      </c>
      <c r="AJ607" s="59"/>
      <c r="AK607" s="58" t="str">
        <f t="shared" si="386"/>
        <v/>
      </c>
      <c r="AL607" s="59"/>
      <c r="AM607" s="58" t="str">
        <f t="shared" si="387"/>
        <v/>
      </c>
      <c r="AN607" s="59"/>
      <c r="AO607" s="58" t="str">
        <f t="shared" si="388"/>
        <v/>
      </c>
      <c r="AP607" s="59"/>
      <c r="AQ607" s="58" t="str">
        <f t="shared" si="389"/>
        <v/>
      </c>
      <c r="AR607" s="59"/>
      <c r="AS607" s="58" t="str">
        <f t="shared" si="390"/>
        <v/>
      </c>
      <c r="AT607" s="59"/>
      <c r="AU607" s="58" t="str">
        <f t="shared" si="391"/>
        <v/>
      </c>
      <c r="AV607" s="59"/>
      <c r="AW607" s="58" t="str">
        <f t="shared" si="392"/>
        <v/>
      </c>
      <c r="AX607" s="59"/>
      <c r="AY607" s="58" t="str">
        <f t="shared" si="393"/>
        <v/>
      </c>
      <c r="AZ607" s="59"/>
      <c r="BA607" s="58" t="str">
        <f t="shared" si="394"/>
        <v/>
      </c>
      <c r="BB607" s="59"/>
      <c r="BC607" s="58" t="str">
        <f t="shared" si="395"/>
        <v/>
      </c>
      <c r="BD607" s="59"/>
      <c r="BE607" s="58" t="str">
        <f t="shared" si="396"/>
        <v/>
      </c>
      <c r="BF607" s="59"/>
      <c r="BG607" s="58" t="str">
        <f t="shared" si="397"/>
        <v/>
      </c>
      <c r="BH607" s="59"/>
      <c r="BI607" s="58">
        <f t="shared" si="398"/>
        <v>992</v>
      </c>
      <c r="BJ607" s="59"/>
      <c r="BK607" s="58" t="str">
        <f t="shared" si="399"/>
        <v/>
      </c>
      <c r="BL607" s="59"/>
      <c r="BM607" s="58" t="str">
        <f t="shared" si="400"/>
        <v/>
      </c>
      <c r="BN607" s="59"/>
      <c r="BO607" s="58" t="str">
        <f t="shared" si="401"/>
        <v/>
      </c>
      <c r="BP607" s="59"/>
      <c r="BQ607" s="58" t="str">
        <f t="shared" si="402"/>
        <v/>
      </c>
      <c r="BR607" s="59"/>
      <c r="BS607" s="58" t="str">
        <f t="shared" si="403"/>
        <v/>
      </c>
      <c r="BT607" s="59"/>
      <c r="BU607" s="58" t="str">
        <f t="shared" si="404"/>
        <v/>
      </c>
      <c r="BV607" s="59"/>
    </row>
    <row r="608" spans="1:74" ht="14.5">
      <c r="A608" s="51" t="s">
        <v>58</v>
      </c>
      <c r="B608" s="52">
        <v>438</v>
      </c>
      <c r="C608" s="52" t="s">
        <v>188</v>
      </c>
      <c r="D608" s="41">
        <f t="shared" si="376"/>
        <v>10</v>
      </c>
      <c r="E608" s="52" t="s">
        <v>190</v>
      </c>
      <c r="F608" s="52" t="s">
        <v>242</v>
      </c>
      <c r="G608" s="52" t="s">
        <v>244</v>
      </c>
      <c r="H608" s="52" t="s">
        <v>438</v>
      </c>
      <c r="I608" s="53">
        <v>45723</v>
      </c>
      <c r="J608" s="108">
        <v>1336</v>
      </c>
      <c r="K608" s="101"/>
      <c r="L608" s="101"/>
      <c r="M608" s="101">
        <f t="shared" si="377"/>
        <v>1336</v>
      </c>
      <c r="N608" s="54">
        <f t="shared" si="378"/>
        <v>1336</v>
      </c>
      <c r="O608" s="101" t="s">
        <v>431</v>
      </c>
      <c r="P608" s="102">
        <f t="shared" si="379"/>
        <v>1.8555555555555556</v>
      </c>
      <c r="Q608" s="102">
        <v>6</v>
      </c>
      <c r="R608" s="99">
        <v>120</v>
      </c>
      <c r="S608" s="55">
        <f t="shared" si="380"/>
        <v>45691</v>
      </c>
      <c r="T608" s="55"/>
      <c r="U608" s="56">
        <f t="shared" ca="1" si="350"/>
        <v>-149</v>
      </c>
      <c r="V608" s="55">
        <f t="shared" si="349"/>
        <v>45707</v>
      </c>
      <c r="W608" s="55"/>
      <c r="X608" s="56">
        <f t="shared" ca="1" si="351"/>
        <v>-133</v>
      </c>
      <c r="Y608" s="55"/>
      <c r="Z608" s="57"/>
      <c r="AA608" s="58" t="str">
        <f t="shared" si="381"/>
        <v>-</v>
      </c>
      <c r="AB608" s="59"/>
      <c r="AC608" s="58" t="str">
        <f t="shared" si="382"/>
        <v/>
      </c>
      <c r="AD608" s="59"/>
      <c r="AE608" s="58" t="str">
        <f t="shared" si="383"/>
        <v/>
      </c>
      <c r="AF608" s="59"/>
      <c r="AG608" s="58" t="str">
        <f t="shared" si="384"/>
        <v/>
      </c>
      <c r="AH608" s="59"/>
      <c r="AI608" s="58" t="str">
        <f t="shared" si="385"/>
        <v/>
      </c>
      <c r="AJ608" s="59"/>
      <c r="AK608" s="58" t="str">
        <f t="shared" si="386"/>
        <v/>
      </c>
      <c r="AL608" s="59"/>
      <c r="AM608" s="58" t="str">
        <f t="shared" si="387"/>
        <v/>
      </c>
      <c r="AN608" s="59"/>
      <c r="AO608" s="58" t="str">
        <f t="shared" si="388"/>
        <v/>
      </c>
      <c r="AP608" s="59"/>
      <c r="AQ608" s="58" t="str">
        <f t="shared" si="389"/>
        <v/>
      </c>
      <c r="AR608" s="59"/>
      <c r="AS608" s="58" t="str">
        <f t="shared" si="390"/>
        <v/>
      </c>
      <c r="AT608" s="59"/>
      <c r="AU608" s="58" t="str">
        <f t="shared" si="391"/>
        <v/>
      </c>
      <c r="AV608" s="59"/>
      <c r="AW608" s="58" t="str">
        <f t="shared" si="392"/>
        <v/>
      </c>
      <c r="AX608" s="59"/>
      <c r="AY608" s="58" t="str">
        <f t="shared" si="393"/>
        <v/>
      </c>
      <c r="AZ608" s="59"/>
      <c r="BA608" s="58" t="str">
        <f t="shared" si="394"/>
        <v/>
      </c>
      <c r="BB608" s="59"/>
      <c r="BC608" s="58" t="str">
        <f t="shared" si="395"/>
        <v/>
      </c>
      <c r="BD608" s="59"/>
      <c r="BE608" s="58" t="str">
        <f t="shared" si="396"/>
        <v/>
      </c>
      <c r="BF608" s="59"/>
      <c r="BG608" s="58" t="str">
        <f t="shared" si="397"/>
        <v/>
      </c>
      <c r="BH608" s="59"/>
      <c r="BI608" s="58">
        <f t="shared" si="398"/>
        <v>1336</v>
      </c>
      <c r="BJ608" s="59"/>
      <c r="BK608" s="58" t="str">
        <f t="shared" si="399"/>
        <v/>
      </c>
      <c r="BL608" s="59"/>
      <c r="BM608" s="58" t="str">
        <f t="shared" si="400"/>
        <v/>
      </c>
      <c r="BN608" s="59"/>
      <c r="BO608" s="58" t="str">
        <f t="shared" si="401"/>
        <v/>
      </c>
      <c r="BP608" s="59"/>
      <c r="BQ608" s="58" t="str">
        <f t="shared" si="402"/>
        <v/>
      </c>
      <c r="BR608" s="59"/>
      <c r="BS608" s="58" t="str">
        <f t="shared" si="403"/>
        <v/>
      </c>
      <c r="BT608" s="59"/>
      <c r="BU608" s="58" t="str">
        <f t="shared" si="404"/>
        <v/>
      </c>
      <c r="BV608" s="59"/>
    </row>
    <row r="609" spans="1:74" ht="14.5">
      <c r="A609" s="51" t="s">
        <v>446</v>
      </c>
      <c r="B609" s="52" t="s">
        <v>584</v>
      </c>
      <c r="C609" s="52" t="s">
        <v>60</v>
      </c>
      <c r="D609" s="41">
        <f t="shared" si="376"/>
        <v>11</v>
      </c>
      <c r="E609" s="52" t="s">
        <v>187</v>
      </c>
      <c r="F609" s="52" t="s">
        <v>448</v>
      </c>
      <c r="G609" s="52" t="s">
        <v>164</v>
      </c>
      <c r="H609" s="52" t="s">
        <v>449</v>
      </c>
      <c r="I609" s="53">
        <v>45727</v>
      </c>
      <c r="J609" s="108">
        <v>9000</v>
      </c>
      <c r="K609" s="101"/>
      <c r="L609" s="101"/>
      <c r="M609" s="101">
        <f t="shared" si="377"/>
        <v>9000</v>
      </c>
      <c r="N609" s="54">
        <f t="shared" si="378"/>
        <v>9000</v>
      </c>
      <c r="O609" s="101" t="s">
        <v>429</v>
      </c>
      <c r="P609" s="102">
        <f t="shared" si="379"/>
        <v>1.3636363636363635</v>
      </c>
      <c r="Q609" s="102">
        <v>6</v>
      </c>
      <c r="R609" s="99">
        <v>1100</v>
      </c>
      <c r="S609" s="55">
        <f>+I609-(28)</f>
        <v>45699</v>
      </c>
      <c r="T609" s="55"/>
      <c r="U609" s="56">
        <f t="shared" ca="1" si="350"/>
        <v>-141</v>
      </c>
      <c r="V609" s="55">
        <f t="shared" si="349"/>
        <v>45715</v>
      </c>
      <c r="W609" s="55"/>
      <c r="X609" s="56">
        <f t="shared" ca="1" si="351"/>
        <v>-125</v>
      </c>
      <c r="Y609" s="55"/>
      <c r="Z609" s="57"/>
      <c r="AA609" s="58" t="str">
        <f t="shared" si="381"/>
        <v>-</v>
      </c>
      <c r="AB609" s="59"/>
      <c r="AC609" s="58" t="str">
        <f t="shared" si="382"/>
        <v/>
      </c>
      <c r="AD609" s="59"/>
      <c r="AE609" s="58" t="str">
        <f t="shared" si="383"/>
        <v/>
      </c>
      <c r="AF609" s="59"/>
      <c r="AG609" s="58" t="str">
        <f t="shared" si="384"/>
        <v/>
      </c>
      <c r="AH609" s="59"/>
      <c r="AI609" s="58" t="str">
        <f t="shared" si="385"/>
        <v/>
      </c>
      <c r="AJ609" s="59"/>
      <c r="AK609" s="58" t="str">
        <f t="shared" si="386"/>
        <v/>
      </c>
      <c r="AL609" s="59"/>
      <c r="AM609" s="58" t="str">
        <f t="shared" si="387"/>
        <v/>
      </c>
      <c r="AN609" s="59"/>
      <c r="AO609" s="58" t="str">
        <f t="shared" si="388"/>
        <v/>
      </c>
      <c r="AP609" s="59"/>
      <c r="AQ609" s="58" t="str">
        <f t="shared" si="389"/>
        <v/>
      </c>
      <c r="AR609" s="59"/>
      <c r="AS609" s="58" t="str">
        <f t="shared" si="390"/>
        <v/>
      </c>
      <c r="AT609" s="59"/>
      <c r="AU609" s="58" t="str">
        <f t="shared" si="391"/>
        <v/>
      </c>
      <c r="AV609" s="59"/>
      <c r="AW609" s="58" t="str">
        <f t="shared" si="392"/>
        <v/>
      </c>
      <c r="AX609" s="59"/>
      <c r="AY609" s="58" t="str">
        <f t="shared" si="393"/>
        <v/>
      </c>
      <c r="AZ609" s="59"/>
      <c r="BA609" s="58" t="str">
        <f t="shared" si="394"/>
        <v/>
      </c>
      <c r="BB609" s="59"/>
      <c r="BC609" s="58" t="str">
        <f t="shared" si="395"/>
        <v/>
      </c>
      <c r="BD609" s="59"/>
      <c r="BE609" s="58" t="str">
        <f t="shared" si="396"/>
        <v/>
      </c>
      <c r="BF609" s="59"/>
      <c r="BG609" s="58" t="str">
        <f t="shared" si="397"/>
        <v/>
      </c>
      <c r="BH609" s="59"/>
      <c r="BI609" s="58" t="str">
        <f t="shared" si="398"/>
        <v/>
      </c>
      <c r="BJ609" s="59"/>
      <c r="BK609" s="58">
        <f t="shared" si="399"/>
        <v>9000</v>
      </c>
      <c r="BL609" s="59"/>
      <c r="BM609" s="58" t="str">
        <f t="shared" si="400"/>
        <v/>
      </c>
      <c r="BN609" s="59"/>
      <c r="BO609" s="58" t="str">
        <f t="shared" si="401"/>
        <v/>
      </c>
      <c r="BP609" s="59"/>
      <c r="BQ609" s="58" t="str">
        <f t="shared" si="402"/>
        <v/>
      </c>
      <c r="BR609" s="59"/>
      <c r="BS609" s="58" t="str">
        <f t="shared" si="403"/>
        <v/>
      </c>
      <c r="BT609" s="59"/>
      <c r="BU609" s="58" t="str">
        <f t="shared" si="404"/>
        <v/>
      </c>
      <c r="BV609" s="59"/>
    </row>
    <row r="610" spans="1:74" ht="14.5">
      <c r="A610" s="51" t="s">
        <v>446</v>
      </c>
      <c r="B610" s="52" t="s">
        <v>584</v>
      </c>
      <c r="C610" s="52" t="s">
        <v>60</v>
      </c>
      <c r="D610" s="41">
        <f t="shared" si="376"/>
        <v>11</v>
      </c>
      <c r="E610" s="52" t="s">
        <v>187</v>
      </c>
      <c r="F610" s="52" t="s">
        <v>448</v>
      </c>
      <c r="G610" s="52" t="s">
        <v>155</v>
      </c>
      <c r="H610" s="52" t="s">
        <v>449</v>
      </c>
      <c r="I610" s="53">
        <v>45727</v>
      </c>
      <c r="J610" s="108">
        <v>9000</v>
      </c>
      <c r="K610" s="101"/>
      <c r="L610" s="101"/>
      <c r="M610" s="101">
        <f t="shared" si="377"/>
        <v>9000</v>
      </c>
      <c r="N610" s="54">
        <f t="shared" si="378"/>
        <v>9000</v>
      </c>
      <c r="O610" s="101" t="s">
        <v>429</v>
      </c>
      <c r="P610" s="102">
        <f t="shared" si="379"/>
        <v>1.3636363636363635</v>
      </c>
      <c r="Q610" s="102">
        <v>6</v>
      </c>
      <c r="R610" s="99">
        <v>1100</v>
      </c>
      <c r="S610" s="55">
        <f>+I610-(28)</f>
        <v>45699</v>
      </c>
      <c r="T610" s="55"/>
      <c r="U610" s="56">
        <f t="shared" ca="1" si="350"/>
        <v>-141</v>
      </c>
      <c r="V610" s="55">
        <f t="shared" si="349"/>
        <v>45715</v>
      </c>
      <c r="W610" s="55"/>
      <c r="X610" s="56">
        <f t="shared" ca="1" si="351"/>
        <v>-125</v>
      </c>
      <c r="Y610" s="55"/>
      <c r="Z610" s="57"/>
      <c r="AA610" s="58" t="str">
        <f t="shared" si="381"/>
        <v>-</v>
      </c>
      <c r="AB610" s="59"/>
      <c r="AC610" s="58" t="str">
        <f t="shared" si="382"/>
        <v/>
      </c>
      <c r="AD610" s="59"/>
      <c r="AE610" s="58" t="str">
        <f t="shared" si="383"/>
        <v/>
      </c>
      <c r="AF610" s="59"/>
      <c r="AG610" s="58" t="str">
        <f t="shared" si="384"/>
        <v/>
      </c>
      <c r="AH610" s="59"/>
      <c r="AI610" s="58" t="str">
        <f t="shared" si="385"/>
        <v/>
      </c>
      <c r="AJ610" s="59"/>
      <c r="AK610" s="58" t="str">
        <f t="shared" si="386"/>
        <v/>
      </c>
      <c r="AL610" s="59"/>
      <c r="AM610" s="58" t="str">
        <f t="shared" si="387"/>
        <v/>
      </c>
      <c r="AN610" s="59"/>
      <c r="AO610" s="58" t="str">
        <f t="shared" si="388"/>
        <v/>
      </c>
      <c r="AP610" s="59"/>
      <c r="AQ610" s="58" t="str">
        <f t="shared" si="389"/>
        <v/>
      </c>
      <c r="AR610" s="59"/>
      <c r="AS610" s="58" t="str">
        <f t="shared" si="390"/>
        <v/>
      </c>
      <c r="AT610" s="59"/>
      <c r="AU610" s="58" t="str">
        <f t="shared" si="391"/>
        <v/>
      </c>
      <c r="AV610" s="59"/>
      <c r="AW610" s="58" t="str">
        <f t="shared" si="392"/>
        <v/>
      </c>
      <c r="AX610" s="59"/>
      <c r="AY610" s="58" t="str">
        <f t="shared" si="393"/>
        <v/>
      </c>
      <c r="AZ610" s="59"/>
      <c r="BA610" s="58" t="str">
        <f t="shared" si="394"/>
        <v/>
      </c>
      <c r="BB610" s="59"/>
      <c r="BC610" s="58" t="str">
        <f t="shared" si="395"/>
        <v/>
      </c>
      <c r="BD610" s="59"/>
      <c r="BE610" s="58" t="str">
        <f t="shared" si="396"/>
        <v/>
      </c>
      <c r="BF610" s="59"/>
      <c r="BG610" s="58" t="str">
        <f t="shared" si="397"/>
        <v/>
      </c>
      <c r="BH610" s="59"/>
      <c r="BI610" s="58" t="str">
        <f t="shared" si="398"/>
        <v/>
      </c>
      <c r="BJ610" s="59"/>
      <c r="BK610" s="58">
        <f t="shared" si="399"/>
        <v>9000</v>
      </c>
      <c r="BL610" s="59"/>
      <c r="BM610" s="58" t="str">
        <f t="shared" si="400"/>
        <v/>
      </c>
      <c r="BN610" s="59"/>
      <c r="BO610" s="58" t="str">
        <f t="shared" si="401"/>
        <v/>
      </c>
      <c r="BP610" s="59"/>
      <c r="BQ610" s="58" t="str">
        <f t="shared" si="402"/>
        <v/>
      </c>
      <c r="BR610" s="59"/>
      <c r="BS610" s="58" t="str">
        <f t="shared" si="403"/>
        <v/>
      </c>
      <c r="BT610" s="59"/>
      <c r="BU610" s="58" t="str">
        <f t="shared" si="404"/>
        <v/>
      </c>
      <c r="BV610" s="59"/>
    </row>
    <row r="611" spans="1:74" ht="14.5">
      <c r="A611" s="51" t="s">
        <v>446</v>
      </c>
      <c r="B611" s="52" t="s">
        <v>584</v>
      </c>
      <c r="C611" s="52" t="s">
        <v>60</v>
      </c>
      <c r="D611" s="41">
        <f t="shared" si="376"/>
        <v>11</v>
      </c>
      <c r="E611" s="52" t="s">
        <v>187</v>
      </c>
      <c r="F611" s="52" t="s">
        <v>448</v>
      </c>
      <c r="G611" s="52" t="s">
        <v>450</v>
      </c>
      <c r="H611" s="52" t="s">
        <v>449</v>
      </c>
      <c r="I611" s="53">
        <v>45727</v>
      </c>
      <c r="J611" s="108">
        <v>6000</v>
      </c>
      <c r="K611" s="101"/>
      <c r="L611" s="101"/>
      <c r="M611" s="101">
        <f t="shared" si="377"/>
        <v>6000</v>
      </c>
      <c r="N611" s="54">
        <f t="shared" si="378"/>
        <v>6000</v>
      </c>
      <c r="O611" s="101" t="s">
        <v>429</v>
      </c>
      <c r="P611" s="102">
        <f t="shared" si="379"/>
        <v>0.90909090909090906</v>
      </c>
      <c r="Q611" s="102">
        <v>6</v>
      </c>
      <c r="R611" s="99">
        <v>1100</v>
      </c>
      <c r="S611" s="55">
        <f>+I611-(28)</f>
        <v>45699</v>
      </c>
      <c r="T611" s="55"/>
      <c r="U611" s="56">
        <f t="shared" ca="1" si="350"/>
        <v>-141</v>
      </c>
      <c r="V611" s="55">
        <f t="shared" si="349"/>
        <v>45715</v>
      </c>
      <c r="W611" s="55"/>
      <c r="X611" s="56">
        <f t="shared" ca="1" si="351"/>
        <v>-125</v>
      </c>
      <c r="Y611" s="55"/>
      <c r="Z611" s="57"/>
      <c r="AA611" s="58" t="str">
        <f t="shared" si="381"/>
        <v>-</v>
      </c>
      <c r="AB611" s="59"/>
      <c r="AC611" s="58" t="str">
        <f t="shared" si="382"/>
        <v/>
      </c>
      <c r="AD611" s="59"/>
      <c r="AE611" s="58" t="str">
        <f t="shared" si="383"/>
        <v/>
      </c>
      <c r="AF611" s="59"/>
      <c r="AG611" s="58" t="str">
        <f t="shared" si="384"/>
        <v/>
      </c>
      <c r="AH611" s="59"/>
      <c r="AI611" s="58" t="str">
        <f t="shared" si="385"/>
        <v/>
      </c>
      <c r="AJ611" s="59"/>
      <c r="AK611" s="58" t="str">
        <f t="shared" si="386"/>
        <v/>
      </c>
      <c r="AL611" s="59"/>
      <c r="AM611" s="58" t="str">
        <f t="shared" si="387"/>
        <v/>
      </c>
      <c r="AN611" s="59"/>
      <c r="AO611" s="58" t="str">
        <f t="shared" si="388"/>
        <v/>
      </c>
      <c r="AP611" s="59"/>
      <c r="AQ611" s="58" t="str">
        <f t="shared" si="389"/>
        <v/>
      </c>
      <c r="AR611" s="59"/>
      <c r="AS611" s="58" t="str">
        <f t="shared" si="390"/>
        <v/>
      </c>
      <c r="AT611" s="59"/>
      <c r="AU611" s="58" t="str">
        <f t="shared" si="391"/>
        <v/>
      </c>
      <c r="AV611" s="59"/>
      <c r="AW611" s="58" t="str">
        <f t="shared" si="392"/>
        <v/>
      </c>
      <c r="AX611" s="59"/>
      <c r="AY611" s="58" t="str">
        <f t="shared" si="393"/>
        <v/>
      </c>
      <c r="AZ611" s="59"/>
      <c r="BA611" s="58" t="str">
        <f t="shared" si="394"/>
        <v/>
      </c>
      <c r="BB611" s="59"/>
      <c r="BC611" s="58" t="str">
        <f t="shared" si="395"/>
        <v/>
      </c>
      <c r="BD611" s="59"/>
      <c r="BE611" s="58" t="str">
        <f t="shared" si="396"/>
        <v/>
      </c>
      <c r="BF611" s="59"/>
      <c r="BG611" s="58" t="str">
        <f t="shared" si="397"/>
        <v/>
      </c>
      <c r="BH611" s="59"/>
      <c r="BI611" s="58" t="str">
        <f t="shared" si="398"/>
        <v/>
      </c>
      <c r="BJ611" s="59"/>
      <c r="BK611" s="58">
        <f t="shared" si="399"/>
        <v>6000</v>
      </c>
      <c r="BL611" s="59"/>
      <c r="BM611" s="58" t="str">
        <f t="shared" si="400"/>
        <v/>
      </c>
      <c r="BN611" s="59"/>
      <c r="BO611" s="58" t="str">
        <f t="shared" si="401"/>
        <v/>
      </c>
      <c r="BP611" s="59"/>
      <c r="BQ611" s="58" t="str">
        <f t="shared" si="402"/>
        <v/>
      </c>
      <c r="BR611" s="59"/>
      <c r="BS611" s="58" t="str">
        <f t="shared" si="403"/>
        <v/>
      </c>
      <c r="BT611" s="59"/>
      <c r="BU611" s="58" t="str">
        <f t="shared" si="404"/>
        <v/>
      </c>
      <c r="BV611" s="59"/>
    </row>
    <row r="612" spans="1:74" ht="14.5">
      <c r="A612" s="51" t="s">
        <v>58</v>
      </c>
      <c r="B612" s="52">
        <v>413</v>
      </c>
      <c r="C612" s="52" t="s">
        <v>188</v>
      </c>
      <c r="D612" s="41">
        <f t="shared" si="376"/>
        <v>11</v>
      </c>
      <c r="E612" s="52" t="s">
        <v>157</v>
      </c>
      <c r="F612" s="52" t="s">
        <v>243</v>
      </c>
      <c r="G612" s="52" t="s">
        <v>162</v>
      </c>
      <c r="H612" s="52" t="s">
        <v>428</v>
      </c>
      <c r="I612" s="53">
        <v>45730</v>
      </c>
      <c r="J612" s="108">
        <v>990</v>
      </c>
      <c r="K612" s="101"/>
      <c r="L612" s="101"/>
      <c r="M612" s="101">
        <f t="shared" si="377"/>
        <v>990</v>
      </c>
      <c r="N612" s="54">
        <f t="shared" si="378"/>
        <v>990</v>
      </c>
      <c r="O612" s="101" t="s">
        <v>429</v>
      </c>
      <c r="P612" s="102">
        <f t="shared" si="379"/>
        <v>0.16500000000000001</v>
      </c>
      <c r="Q612" s="102">
        <v>6</v>
      </c>
      <c r="R612" s="99">
        <v>1000</v>
      </c>
      <c r="S612" s="55">
        <f t="shared" ref="S612:S619" si="405">+I612-(32)</f>
        <v>45698</v>
      </c>
      <c r="T612" s="55"/>
      <c r="U612" s="56">
        <f t="shared" ca="1" si="350"/>
        <v>-142</v>
      </c>
      <c r="V612" s="55">
        <f t="shared" si="349"/>
        <v>45714</v>
      </c>
      <c r="W612" s="55"/>
      <c r="X612" s="56">
        <f t="shared" ca="1" si="351"/>
        <v>-126</v>
      </c>
      <c r="Y612" s="55"/>
      <c r="Z612" s="57"/>
      <c r="AA612" s="58" t="str">
        <f t="shared" si="381"/>
        <v>-</v>
      </c>
      <c r="AB612" s="59"/>
      <c r="AC612" s="58" t="str">
        <f t="shared" si="382"/>
        <v/>
      </c>
      <c r="AD612" s="59"/>
      <c r="AE612" s="58" t="str">
        <f t="shared" si="383"/>
        <v/>
      </c>
      <c r="AF612" s="59"/>
      <c r="AG612" s="58" t="str">
        <f t="shared" si="384"/>
        <v/>
      </c>
      <c r="AH612" s="59"/>
      <c r="AI612" s="58" t="str">
        <f t="shared" si="385"/>
        <v/>
      </c>
      <c r="AJ612" s="59"/>
      <c r="AK612" s="58" t="str">
        <f t="shared" si="386"/>
        <v/>
      </c>
      <c r="AL612" s="59"/>
      <c r="AM612" s="58" t="str">
        <f t="shared" si="387"/>
        <v/>
      </c>
      <c r="AN612" s="59"/>
      <c r="AO612" s="58" t="str">
        <f t="shared" si="388"/>
        <v/>
      </c>
      <c r="AP612" s="59"/>
      <c r="AQ612" s="58" t="str">
        <f t="shared" si="389"/>
        <v/>
      </c>
      <c r="AR612" s="59"/>
      <c r="AS612" s="58" t="str">
        <f t="shared" si="390"/>
        <v/>
      </c>
      <c r="AT612" s="59"/>
      <c r="AU612" s="58" t="str">
        <f t="shared" si="391"/>
        <v/>
      </c>
      <c r="AV612" s="59"/>
      <c r="AW612" s="58" t="str">
        <f t="shared" si="392"/>
        <v/>
      </c>
      <c r="AX612" s="59"/>
      <c r="AY612" s="58" t="str">
        <f t="shared" si="393"/>
        <v/>
      </c>
      <c r="AZ612" s="59"/>
      <c r="BA612" s="58" t="str">
        <f t="shared" si="394"/>
        <v/>
      </c>
      <c r="BB612" s="59"/>
      <c r="BC612" s="58" t="str">
        <f t="shared" si="395"/>
        <v/>
      </c>
      <c r="BD612" s="59"/>
      <c r="BE612" s="58" t="str">
        <f t="shared" si="396"/>
        <v/>
      </c>
      <c r="BF612" s="59"/>
      <c r="BG612" s="58" t="str">
        <f t="shared" si="397"/>
        <v/>
      </c>
      <c r="BH612" s="59"/>
      <c r="BI612" s="58" t="str">
        <f t="shared" si="398"/>
        <v/>
      </c>
      <c r="BJ612" s="59"/>
      <c r="BK612" s="58">
        <f t="shared" si="399"/>
        <v>990</v>
      </c>
      <c r="BL612" s="59"/>
      <c r="BM612" s="58" t="str">
        <f t="shared" si="400"/>
        <v/>
      </c>
      <c r="BN612" s="59"/>
      <c r="BO612" s="58" t="str">
        <f t="shared" si="401"/>
        <v/>
      </c>
      <c r="BP612" s="59"/>
      <c r="BQ612" s="58" t="str">
        <f t="shared" si="402"/>
        <v/>
      </c>
      <c r="BR612" s="59"/>
      <c r="BS612" s="58" t="str">
        <f t="shared" si="403"/>
        <v/>
      </c>
      <c r="BT612" s="59"/>
      <c r="BU612" s="58" t="str">
        <f t="shared" si="404"/>
        <v/>
      </c>
      <c r="BV612" s="59"/>
    </row>
    <row r="613" spans="1:74" ht="14.5">
      <c r="A613" s="51" t="s">
        <v>58</v>
      </c>
      <c r="B613" s="52">
        <v>413</v>
      </c>
      <c r="C613" s="52" t="s">
        <v>188</v>
      </c>
      <c r="D613" s="41">
        <f t="shared" si="376"/>
        <v>11</v>
      </c>
      <c r="E613" s="52" t="s">
        <v>390</v>
      </c>
      <c r="F613" s="52" t="s">
        <v>242</v>
      </c>
      <c r="G613" s="52" t="s">
        <v>162</v>
      </c>
      <c r="H613" s="52" t="s">
        <v>430</v>
      </c>
      <c r="I613" s="53">
        <v>45730</v>
      </c>
      <c r="J613" s="108">
        <v>2634</v>
      </c>
      <c r="K613" s="101"/>
      <c r="L613" s="101"/>
      <c r="M613" s="101">
        <f t="shared" si="377"/>
        <v>2634</v>
      </c>
      <c r="N613" s="54">
        <f t="shared" si="378"/>
        <v>2634</v>
      </c>
      <c r="O613" s="101" t="s">
        <v>431</v>
      </c>
      <c r="P613" s="102">
        <f t="shared" si="379"/>
        <v>3.6583333333333332</v>
      </c>
      <c r="Q613" s="102">
        <v>6</v>
      </c>
      <c r="R613" s="99">
        <v>120</v>
      </c>
      <c r="S613" s="55">
        <f t="shared" si="405"/>
        <v>45698</v>
      </c>
      <c r="T613" s="55"/>
      <c r="U613" s="56">
        <f t="shared" ca="1" si="350"/>
        <v>-142</v>
      </c>
      <c r="V613" s="55">
        <f t="shared" si="349"/>
        <v>45714</v>
      </c>
      <c r="W613" s="55"/>
      <c r="X613" s="56">
        <f t="shared" ca="1" si="351"/>
        <v>-126</v>
      </c>
      <c r="Y613" s="55"/>
      <c r="Z613" s="57"/>
      <c r="AA613" s="58" t="str">
        <f t="shared" si="381"/>
        <v>-</v>
      </c>
      <c r="AB613" s="59"/>
      <c r="AC613" s="58" t="str">
        <f t="shared" si="382"/>
        <v/>
      </c>
      <c r="AD613" s="59"/>
      <c r="AE613" s="58" t="str">
        <f t="shared" si="383"/>
        <v/>
      </c>
      <c r="AF613" s="59"/>
      <c r="AG613" s="58" t="str">
        <f t="shared" si="384"/>
        <v/>
      </c>
      <c r="AH613" s="59"/>
      <c r="AI613" s="58" t="str">
        <f t="shared" si="385"/>
        <v/>
      </c>
      <c r="AJ613" s="59"/>
      <c r="AK613" s="58" t="str">
        <f t="shared" si="386"/>
        <v/>
      </c>
      <c r="AL613" s="59"/>
      <c r="AM613" s="58" t="str">
        <f t="shared" si="387"/>
        <v/>
      </c>
      <c r="AN613" s="59"/>
      <c r="AO613" s="58" t="str">
        <f t="shared" si="388"/>
        <v/>
      </c>
      <c r="AP613" s="59"/>
      <c r="AQ613" s="58" t="str">
        <f t="shared" si="389"/>
        <v/>
      </c>
      <c r="AR613" s="59"/>
      <c r="AS613" s="58" t="str">
        <f t="shared" si="390"/>
        <v/>
      </c>
      <c r="AT613" s="59"/>
      <c r="AU613" s="58" t="str">
        <f t="shared" si="391"/>
        <v/>
      </c>
      <c r="AV613" s="59"/>
      <c r="AW613" s="58" t="str">
        <f t="shared" si="392"/>
        <v/>
      </c>
      <c r="AX613" s="59"/>
      <c r="AY613" s="58" t="str">
        <f t="shared" si="393"/>
        <v/>
      </c>
      <c r="AZ613" s="59"/>
      <c r="BA613" s="58" t="str">
        <f t="shared" si="394"/>
        <v/>
      </c>
      <c r="BB613" s="59"/>
      <c r="BC613" s="58" t="str">
        <f t="shared" si="395"/>
        <v/>
      </c>
      <c r="BD613" s="59"/>
      <c r="BE613" s="58" t="str">
        <f t="shared" si="396"/>
        <v/>
      </c>
      <c r="BF613" s="59"/>
      <c r="BG613" s="58" t="str">
        <f t="shared" si="397"/>
        <v/>
      </c>
      <c r="BH613" s="59"/>
      <c r="BI613" s="58" t="str">
        <f t="shared" si="398"/>
        <v/>
      </c>
      <c r="BJ613" s="59"/>
      <c r="BK613" s="58">
        <f t="shared" si="399"/>
        <v>2634</v>
      </c>
      <c r="BL613" s="59"/>
      <c r="BM613" s="58" t="str">
        <f t="shared" si="400"/>
        <v/>
      </c>
      <c r="BN613" s="59"/>
      <c r="BO613" s="58" t="str">
        <f t="shared" si="401"/>
        <v/>
      </c>
      <c r="BP613" s="59"/>
      <c r="BQ613" s="58" t="str">
        <f t="shared" si="402"/>
        <v/>
      </c>
      <c r="BR613" s="59"/>
      <c r="BS613" s="58" t="str">
        <f t="shared" si="403"/>
        <v/>
      </c>
      <c r="BT613" s="59"/>
      <c r="BU613" s="58" t="str">
        <f t="shared" si="404"/>
        <v/>
      </c>
      <c r="BV613" s="59"/>
    </row>
    <row r="614" spans="1:74" ht="14.5">
      <c r="A614" s="51" t="s">
        <v>58</v>
      </c>
      <c r="B614" s="52">
        <v>413</v>
      </c>
      <c r="C614" s="52" t="s">
        <v>188</v>
      </c>
      <c r="D614" s="41">
        <f t="shared" si="376"/>
        <v>11</v>
      </c>
      <c r="E614" s="52" t="s">
        <v>190</v>
      </c>
      <c r="F614" s="52" t="s">
        <v>242</v>
      </c>
      <c r="G614" s="52" t="s">
        <v>244</v>
      </c>
      <c r="H614" s="52" t="s">
        <v>438</v>
      </c>
      <c r="I614" s="53">
        <v>45730</v>
      </c>
      <c r="J614" s="108">
        <v>1560</v>
      </c>
      <c r="K614" s="101"/>
      <c r="L614" s="101"/>
      <c r="M614" s="101">
        <f t="shared" si="377"/>
        <v>1560</v>
      </c>
      <c r="N614" s="54">
        <f t="shared" si="378"/>
        <v>1560</v>
      </c>
      <c r="O614" s="101" t="s">
        <v>439</v>
      </c>
      <c r="P614" s="102">
        <f t="shared" si="379"/>
        <v>2.1666666666666665</v>
      </c>
      <c r="Q614" s="102">
        <v>6</v>
      </c>
      <c r="R614" s="99">
        <v>120</v>
      </c>
      <c r="S614" s="55">
        <f t="shared" si="405"/>
        <v>45698</v>
      </c>
      <c r="T614" s="55"/>
      <c r="U614" s="56">
        <f t="shared" ca="1" si="350"/>
        <v>-142</v>
      </c>
      <c r="V614" s="55">
        <f t="shared" si="349"/>
        <v>45714</v>
      </c>
      <c r="W614" s="55"/>
      <c r="X614" s="56">
        <f t="shared" ca="1" si="351"/>
        <v>-126</v>
      </c>
      <c r="Y614" s="55"/>
      <c r="Z614" s="57"/>
      <c r="AA614" s="58" t="str">
        <f t="shared" si="381"/>
        <v>-</v>
      </c>
      <c r="AB614" s="59"/>
      <c r="AC614" s="58" t="str">
        <f t="shared" si="382"/>
        <v/>
      </c>
      <c r="AD614" s="59"/>
      <c r="AE614" s="58" t="str">
        <f t="shared" si="383"/>
        <v/>
      </c>
      <c r="AF614" s="59"/>
      <c r="AG614" s="58" t="str">
        <f t="shared" si="384"/>
        <v/>
      </c>
      <c r="AH614" s="59"/>
      <c r="AI614" s="58" t="str">
        <f t="shared" si="385"/>
        <v/>
      </c>
      <c r="AJ614" s="59"/>
      <c r="AK614" s="58" t="str">
        <f t="shared" si="386"/>
        <v/>
      </c>
      <c r="AL614" s="59"/>
      <c r="AM614" s="58" t="str">
        <f t="shared" si="387"/>
        <v/>
      </c>
      <c r="AN614" s="59"/>
      <c r="AO614" s="58" t="str">
        <f t="shared" si="388"/>
        <v/>
      </c>
      <c r="AP614" s="59"/>
      <c r="AQ614" s="58" t="str">
        <f t="shared" si="389"/>
        <v/>
      </c>
      <c r="AR614" s="59"/>
      <c r="AS614" s="58" t="str">
        <f t="shared" si="390"/>
        <v/>
      </c>
      <c r="AT614" s="59"/>
      <c r="AU614" s="58" t="str">
        <f t="shared" si="391"/>
        <v/>
      </c>
      <c r="AV614" s="59"/>
      <c r="AW614" s="58" t="str">
        <f t="shared" si="392"/>
        <v/>
      </c>
      <c r="AX614" s="59"/>
      <c r="AY614" s="58" t="str">
        <f t="shared" si="393"/>
        <v/>
      </c>
      <c r="AZ614" s="59"/>
      <c r="BA614" s="58" t="str">
        <f t="shared" si="394"/>
        <v/>
      </c>
      <c r="BB614" s="59"/>
      <c r="BC614" s="58" t="str">
        <f t="shared" si="395"/>
        <v/>
      </c>
      <c r="BD614" s="59"/>
      <c r="BE614" s="58" t="str">
        <f t="shared" si="396"/>
        <v/>
      </c>
      <c r="BF614" s="59"/>
      <c r="BG614" s="58" t="str">
        <f t="shared" si="397"/>
        <v/>
      </c>
      <c r="BH614" s="59"/>
      <c r="BI614" s="58" t="str">
        <f t="shared" si="398"/>
        <v/>
      </c>
      <c r="BJ614" s="59"/>
      <c r="BK614" s="58">
        <f t="shared" si="399"/>
        <v>1560</v>
      </c>
      <c r="BL614" s="59"/>
      <c r="BM614" s="58" t="str">
        <f t="shared" si="400"/>
        <v/>
      </c>
      <c r="BN614" s="59"/>
      <c r="BO614" s="58" t="str">
        <f t="shared" si="401"/>
        <v/>
      </c>
      <c r="BP614" s="59"/>
      <c r="BQ614" s="58" t="str">
        <f t="shared" si="402"/>
        <v/>
      </c>
      <c r="BR614" s="59"/>
      <c r="BS614" s="58" t="str">
        <f t="shared" si="403"/>
        <v/>
      </c>
      <c r="BT614" s="59"/>
      <c r="BU614" s="58" t="str">
        <f t="shared" si="404"/>
        <v/>
      </c>
      <c r="BV614" s="59"/>
    </row>
    <row r="615" spans="1:74" ht="14.5">
      <c r="A615" s="51" t="s">
        <v>58</v>
      </c>
      <c r="B615" s="52">
        <v>439</v>
      </c>
      <c r="C615" s="52" t="s">
        <v>188</v>
      </c>
      <c r="D615" s="41">
        <f t="shared" si="376"/>
        <v>11</v>
      </c>
      <c r="E615" s="52" t="s">
        <v>157</v>
      </c>
      <c r="F615" s="52" t="s">
        <v>243</v>
      </c>
      <c r="G615" s="52" t="s">
        <v>162</v>
      </c>
      <c r="H615" s="52" t="s">
        <v>428</v>
      </c>
      <c r="I615" s="53">
        <v>45730</v>
      </c>
      <c r="J615" s="108">
        <v>1770</v>
      </c>
      <c r="K615" s="101"/>
      <c r="L615" s="101"/>
      <c r="M615" s="101">
        <f t="shared" si="377"/>
        <v>1770</v>
      </c>
      <c r="N615" s="54">
        <f t="shared" si="378"/>
        <v>1770</v>
      </c>
      <c r="O615" s="101" t="s">
        <v>431</v>
      </c>
      <c r="P615" s="102">
        <f t="shared" si="379"/>
        <v>0.29499999999999998</v>
      </c>
      <c r="Q615" s="102">
        <v>6</v>
      </c>
      <c r="R615" s="99">
        <v>1000</v>
      </c>
      <c r="S615" s="55">
        <f t="shared" si="405"/>
        <v>45698</v>
      </c>
      <c r="T615" s="55"/>
      <c r="U615" s="56">
        <f t="shared" ca="1" si="350"/>
        <v>-142</v>
      </c>
      <c r="V615" s="55">
        <f t="shared" si="349"/>
        <v>45714</v>
      </c>
      <c r="W615" s="55"/>
      <c r="X615" s="56">
        <f t="shared" ca="1" si="351"/>
        <v>-126</v>
      </c>
      <c r="Y615" s="55"/>
      <c r="Z615" s="57"/>
      <c r="AA615" s="58" t="str">
        <f t="shared" si="381"/>
        <v>-</v>
      </c>
      <c r="AB615" s="59"/>
      <c r="AC615" s="58" t="str">
        <f t="shared" si="382"/>
        <v/>
      </c>
      <c r="AD615" s="59"/>
      <c r="AE615" s="58" t="str">
        <f t="shared" si="383"/>
        <v/>
      </c>
      <c r="AF615" s="59"/>
      <c r="AG615" s="58" t="str">
        <f t="shared" si="384"/>
        <v/>
      </c>
      <c r="AH615" s="59"/>
      <c r="AI615" s="58" t="str">
        <f t="shared" si="385"/>
        <v/>
      </c>
      <c r="AJ615" s="59"/>
      <c r="AK615" s="58" t="str">
        <f t="shared" si="386"/>
        <v/>
      </c>
      <c r="AL615" s="59"/>
      <c r="AM615" s="58" t="str">
        <f t="shared" si="387"/>
        <v/>
      </c>
      <c r="AN615" s="59"/>
      <c r="AO615" s="58" t="str">
        <f t="shared" si="388"/>
        <v/>
      </c>
      <c r="AP615" s="59"/>
      <c r="AQ615" s="58" t="str">
        <f t="shared" si="389"/>
        <v/>
      </c>
      <c r="AR615" s="59"/>
      <c r="AS615" s="58" t="str">
        <f t="shared" si="390"/>
        <v/>
      </c>
      <c r="AT615" s="59"/>
      <c r="AU615" s="58" t="str">
        <f t="shared" si="391"/>
        <v/>
      </c>
      <c r="AV615" s="59"/>
      <c r="AW615" s="58" t="str">
        <f t="shared" si="392"/>
        <v/>
      </c>
      <c r="AX615" s="59"/>
      <c r="AY615" s="58" t="str">
        <f t="shared" si="393"/>
        <v/>
      </c>
      <c r="AZ615" s="59"/>
      <c r="BA615" s="58" t="str">
        <f t="shared" si="394"/>
        <v/>
      </c>
      <c r="BB615" s="59"/>
      <c r="BC615" s="58" t="str">
        <f t="shared" si="395"/>
        <v/>
      </c>
      <c r="BD615" s="59"/>
      <c r="BE615" s="58" t="str">
        <f t="shared" si="396"/>
        <v/>
      </c>
      <c r="BF615" s="59"/>
      <c r="BG615" s="58" t="str">
        <f t="shared" si="397"/>
        <v/>
      </c>
      <c r="BH615" s="59"/>
      <c r="BI615" s="58" t="str">
        <f t="shared" si="398"/>
        <v/>
      </c>
      <c r="BJ615" s="59"/>
      <c r="BK615" s="58">
        <f t="shared" si="399"/>
        <v>1770</v>
      </c>
      <c r="BL615" s="59"/>
      <c r="BM615" s="58" t="str">
        <f t="shared" si="400"/>
        <v/>
      </c>
      <c r="BN615" s="59"/>
      <c r="BO615" s="58" t="str">
        <f t="shared" si="401"/>
        <v/>
      </c>
      <c r="BP615" s="59"/>
      <c r="BQ615" s="58" t="str">
        <f t="shared" si="402"/>
        <v/>
      </c>
      <c r="BR615" s="59"/>
      <c r="BS615" s="58" t="str">
        <f t="shared" si="403"/>
        <v/>
      </c>
      <c r="BT615" s="59"/>
      <c r="BU615" s="58" t="str">
        <f t="shared" si="404"/>
        <v/>
      </c>
      <c r="BV615" s="59"/>
    </row>
    <row r="616" spans="1:74" ht="14.5">
      <c r="A616" s="51" t="s">
        <v>58</v>
      </c>
      <c r="B616" s="52">
        <v>439</v>
      </c>
      <c r="C616" s="52" t="s">
        <v>188</v>
      </c>
      <c r="D616" s="41">
        <f t="shared" si="376"/>
        <v>11</v>
      </c>
      <c r="E616" s="52" t="s">
        <v>390</v>
      </c>
      <c r="F616" s="52" t="s">
        <v>242</v>
      </c>
      <c r="G616" s="52" t="s">
        <v>162</v>
      </c>
      <c r="H616" s="52" t="s">
        <v>430</v>
      </c>
      <c r="I616" s="53">
        <v>45730</v>
      </c>
      <c r="J616" s="108">
        <v>1584</v>
      </c>
      <c r="K616" s="101"/>
      <c r="L616" s="101"/>
      <c r="M616" s="101">
        <f t="shared" si="377"/>
        <v>1584</v>
      </c>
      <c r="N616" s="54">
        <f t="shared" si="378"/>
        <v>1584</v>
      </c>
      <c r="O616" s="101" t="s">
        <v>431</v>
      </c>
      <c r="P616" s="102">
        <f t="shared" si="379"/>
        <v>2.2000000000000002</v>
      </c>
      <c r="Q616" s="102">
        <v>6</v>
      </c>
      <c r="R616" s="99">
        <v>120</v>
      </c>
      <c r="S616" s="55">
        <f t="shared" si="405"/>
        <v>45698</v>
      </c>
      <c r="T616" s="55"/>
      <c r="U616" s="56">
        <f t="shared" ca="1" si="350"/>
        <v>-142</v>
      </c>
      <c r="V616" s="55">
        <f t="shared" si="349"/>
        <v>45714</v>
      </c>
      <c r="W616" s="55"/>
      <c r="X616" s="56">
        <f t="shared" ca="1" si="351"/>
        <v>-126</v>
      </c>
      <c r="Y616" s="55"/>
      <c r="Z616" s="57"/>
      <c r="AA616" s="58" t="str">
        <f t="shared" si="381"/>
        <v>-</v>
      </c>
      <c r="AB616" s="59"/>
      <c r="AC616" s="58" t="str">
        <f t="shared" si="382"/>
        <v/>
      </c>
      <c r="AD616" s="59"/>
      <c r="AE616" s="58" t="str">
        <f t="shared" si="383"/>
        <v/>
      </c>
      <c r="AF616" s="59"/>
      <c r="AG616" s="58" t="str">
        <f t="shared" si="384"/>
        <v/>
      </c>
      <c r="AH616" s="59"/>
      <c r="AI616" s="58" t="str">
        <f t="shared" si="385"/>
        <v/>
      </c>
      <c r="AJ616" s="59"/>
      <c r="AK616" s="58" t="str">
        <f t="shared" si="386"/>
        <v/>
      </c>
      <c r="AL616" s="59"/>
      <c r="AM616" s="58" t="str">
        <f t="shared" si="387"/>
        <v/>
      </c>
      <c r="AN616" s="59"/>
      <c r="AO616" s="58" t="str">
        <f t="shared" si="388"/>
        <v/>
      </c>
      <c r="AP616" s="59"/>
      <c r="AQ616" s="58" t="str">
        <f t="shared" si="389"/>
        <v/>
      </c>
      <c r="AR616" s="59"/>
      <c r="AS616" s="58" t="str">
        <f t="shared" si="390"/>
        <v/>
      </c>
      <c r="AT616" s="59"/>
      <c r="AU616" s="58" t="str">
        <f t="shared" si="391"/>
        <v/>
      </c>
      <c r="AV616" s="59"/>
      <c r="AW616" s="58" t="str">
        <f t="shared" si="392"/>
        <v/>
      </c>
      <c r="AX616" s="59"/>
      <c r="AY616" s="58" t="str">
        <f t="shared" si="393"/>
        <v/>
      </c>
      <c r="AZ616" s="59"/>
      <c r="BA616" s="58" t="str">
        <f t="shared" si="394"/>
        <v/>
      </c>
      <c r="BB616" s="59"/>
      <c r="BC616" s="58" t="str">
        <f t="shared" si="395"/>
        <v/>
      </c>
      <c r="BD616" s="59"/>
      <c r="BE616" s="58" t="str">
        <f t="shared" si="396"/>
        <v/>
      </c>
      <c r="BF616" s="59"/>
      <c r="BG616" s="58" t="str">
        <f t="shared" si="397"/>
        <v/>
      </c>
      <c r="BH616" s="59"/>
      <c r="BI616" s="58" t="str">
        <f t="shared" si="398"/>
        <v/>
      </c>
      <c r="BJ616" s="59"/>
      <c r="BK616" s="58">
        <f t="shared" si="399"/>
        <v>1584</v>
      </c>
      <c r="BL616" s="59"/>
      <c r="BM616" s="58" t="str">
        <f t="shared" si="400"/>
        <v/>
      </c>
      <c r="BN616" s="59"/>
      <c r="BO616" s="58" t="str">
        <f t="shared" si="401"/>
        <v/>
      </c>
      <c r="BP616" s="59"/>
      <c r="BQ616" s="58" t="str">
        <f t="shared" si="402"/>
        <v/>
      </c>
      <c r="BR616" s="59"/>
      <c r="BS616" s="58" t="str">
        <f t="shared" si="403"/>
        <v/>
      </c>
      <c r="BT616" s="59"/>
      <c r="BU616" s="58" t="str">
        <f t="shared" si="404"/>
        <v/>
      </c>
      <c r="BV616" s="59"/>
    </row>
    <row r="617" spans="1:74" ht="14.5">
      <c r="A617" s="51" t="s">
        <v>58</v>
      </c>
      <c r="B617" s="52">
        <v>439</v>
      </c>
      <c r="C617" s="52" t="s">
        <v>188</v>
      </c>
      <c r="D617" s="41">
        <f t="shared" si="376"/>
        <v>11</v>
      </c>
      <c r="E617" s="52" t="s">
        <v>158</v>
      </c>
      <c r="F617" s="52" t="s">
        <v>242</v>
      </c>
      <c r="G617" s="52" t="s">
        <v>154</v>
      </c>
      <c r="H617" s="52" t="s">
        <v>432</v>
      </c>
      <c r="I617" s="53">
        <v>45730</v>
      </c>
      <c r="J617" s="108">
        <v>488</v>
      </c>
      <c r="K617" s="101"/>
      <c r="L617" s="101"/>
      <c r="M617" s="101">
        <f t="shared" si="377"/>
        <v>488</v>
      </c>
      <c r="N617" s="54">
        <f t="shared" si="378"/>
        <v>488</v>
      </c>
      <c r="O617" s="101" t="s">
        <v>431</v>
      </c>
      <c r="P617" s="102">
        <f t="shared" si="379"/>
        <v>0.67777777777777781</v>
      </c>
      <c r="Q617" s="102">
        <v>6</v>
      </c>
      <c r="R617" s="99">
        <v>120</v>
      </c>
      <c r="S617" s="55">
        <f t="shared" si="405"/>
        <v>45698</v>
      </c>
      <c r="T617" s="55"/>
      <c r="U617" s="56">
        <f t="shared" ca="1" si="350"/>
        <v>-142</v>
      </c>
      <c r="V617" s="55">
        <f t="shared" si="349"/>
        <v>45714</v>
      </c>
      <c r="W617" s="55"/>
      <c r="X617" s="56">
        <f t="shared" ca="1" si="351"/>
        <v>-126</v>
      </c>
      <c r="Y617" s="55"/>
      <c r="Z617" s="57"/>
      <c r="AA617" s="58" t="str">
        <f t="shared" si="381"/>
        <v>-</v>
      </c>
      <c r="AB617" s="59"/>
      <c r="AC617" s="58" t="str">
        <f t="shared" si="382"/>
        <v/>
      </c>
      <c r="AD617" s="59"/>
      <c r="AE617" s="58" t="str">
        <f t="shared" si="383"/>
        <v/>
      </c>
      <c r="AF617" s="59"/>
      <c r="AG617" s="58" t="str">
        <f t="shared" si="384"/>
        <v/>
      </c>
      <c r="AH617" s="59"/>
      <c r="AI617" s="58" t="str">
        <f t="shared" si="385"/>
        <v/>
      </c>
      <c r="AJ617" s="59"/>
      <c r="AK617" s="58" t="str">
        <f t="shared" si="386"/>
        <v/>
      </c>
      <c r="AL617" s="59"/>
      <c r="AM617" s="58" t="str">
        <f t="shared" si="387"/>
        <v/>
      </c>
      <c r="AN617" s="59"/>
      <c r="AO617" s="58" t="str">
        <f t="shared" si="388"/>
        <v/>
      </c>
      <c r="AP617" s="59"/>
      <c r="AQ617" s="58" t="str">
        <f t="shared" si="389"/>
        <v/>
      </c>
      <c r="AR617" s="59"/>
      <c r="AS617" s="58" t="str">
        <f t="shared" si="390"/>
        <v/>
      </c>
      <c r="AT617" s="59"/>
      <c r="AU617" s="58" t="str">
        <f t="shared" si="391"/>
        <v/>
      </c>
      <c r="AV617" s="59"/>
      <c r="AW617" s="58" t="str">
        <f t="shared" si="392"/>
        <v/>
      </c>
      <c r="AX617" s="59"/>
      <c r="AY617" s="58" t="str">
        <f t="shared" si="393"/>
        <v/>
      </c>
      <c r="AZ617" s="59"/>
      <c r="BA617" s="58" t="str">
        <f t="shared" si="394"/>
        <v/>
      </c>
      <c r="BB617" s="59"/>
      <c r="BC617" s="58" t="str">
        <f t="shared" si="395"/>
        <v/>
      </c>
      <c r="BD617" s="59"/>
      <c r="BE617" s="58" t="str">
        <f t="shared" si="396"/>
        <v/>
      </c>
      <c r="BF617" s="59"/>
      <c r="BG617" s="58" t="str">
        <f t="shared" si="397"/>
        <v/>
      </c>
      <c r="BH617" s="59"/>
      <c r="BI617" s="58" t="str">
        <f t="shared" si="398"/>
        <v/>
      </c>
      <c r="BJ617" s="59"/>
      <c r="BK617" s="58">
        <f t="shared" si="399"/>
        <v>488</v>
      </c>
      <c r="BL617" s="59"/>
      <c r="BM617" s="58" t="str">
        <f t="shared" si="400"/>
        <v/>
      </c>
      <c r="BN617" s="59"/>
      <c r="BO617" s="58" t="str">
        <f t="shared" si="401"/>
        <v/>
      </c>
      <c r="BP617" s="59"/>
      <c r="BQ617" s="58" t="str">
        <f t="shared" si="402"/>
        <v/>
      </c>
      <c r="BR617" s="59"/>
      <c r="BS617" s="58" t="str">
        <f t="shared" si="403"/>
        <v/>
      </c>
      <c r="BT617" s="59"/>
      <c r="BU617" s="58" t="str">
        <f t="shared" si="404"/>
        <v/>
      </c>
      <c r="BV617" s="59"/>
    </row>
    <row r="618" spans="1:74" ht="14.5">
      <c r="A618" s="51" t="s">
        <v>58</v>
      </c>
      <c r="B618" s="52">
        <v>439</v>
      </c>
      <c r="C618" s="52" t="s">
        <v>188</v>
      </c>
      <c r="D618" s="41">
        <f t="shared" si="376"/>
        <v>11</v>
      </c>
      <c r="E618" s="52" t="s">
        <v>158</v>
      </c>
      <c r="F618" s="52" t="s">
        <v>242</v>
      </c>
      <c r="G618" s="52" t="s">
        <v>156</v>
      </c>
      <c r="H618" s="52" t="s">
        <v>432</v>
      </c>
      <c r="I618" s="53">
        <v>45730</v>
      </c>
      <c r="J618" s="108">
        <v>1336</v>
      </c>
      <c r="K618" s="101"/>
      <c r="L618" s="101"/>
      <c r="M618" s="101">
        <f t="shared" si="377"/>
        <v>1336</v>
      </c>
      <c r="N618" s="54">
        <f t="shared" si="378"/>
        <v>1336</v>
      </c>
      <c r="O618" s="101" t="s">
        <v>431</v>
      </c>
      <c r="P618" s="102">
        <f t="shared" si="379"/>
        <v>1.8555555555555556</v>
      </c>
      <c r="Q618" s="102">
        <v>6</v>
      </c>
      <c r="R618" s="99">
        <v>120</v>
      </c>
      <c r="S618" s="55">
        <f t="shared" si="405"/>
        <v>45698</v>
      </c>
      <c r="T618" s="55"/>
      <c r="U618" s="56">
        <f t="shared" ca="1" si="350"/>
        <v>-142</v>
      </c>
      <c r="V618" s="55">
        <f t="shared" si="349"/>
        <v>45714</v>
      </c>
      <c r="W618" s="55"/>
      <c r="X618" s="56">
        <f t="shared" ca="1" si="351"/>
        <v>-126</v>
      </c>
      <c r="Y618" s="55"/>
      <c r="Z618" s="57"/>
      <c r="AA618" s="58" t="str">
        <f t="shared" si="381"/>
        <v>-</v>
      </c>
      <c r="AB618" s="59"/>
      <c r="AC618" s="58" t="str">
        <f t="shared" si="382"/>
        <v/>
      </c>
      <c r="AD618" s="59"/>
      <c r="AE618" s="58" t="str">
        <f t="shared" si="383"/>
        <v/>
      </c>
      <c r="AF618" s="59"/>
      <c r="AG618" s="58" t="str">
        <f t="shared" si="384"/>
        <v/>
      </c>
      <c r="AH618" s="59"/>
      <c r="AI618" s="58" t="str">
        <f t="shared" si="385"/>
        <v/>
      </c>
      <c r="AJ618" s="59"/>
      <c r="AK618" s="58" t="str">
        <f t="shared" si="386"/>
        <v/>
      </c>
      <c r="AL618" s="59"/>
      <c r="AM618" s="58" t="str">
        <f t="shared" si="387"/>
        <v/>
      </c>
      <c r="AN618" s="59"/>
      <c r="AO618" s="58" t="str">
        <f t="shared" si="388"/>
        <v/>
      </c>
      <c r="AP618" s="59"/>
      <c r="AQ618" s="58" t="str">
        <f t="shared" si="389"/>
        <v/>
      </c>
      <c r="AR618" s="59"/>
      <c r="AS618" s="58" t="str">
        <f t="shared" si="390"/>
        <v/>
      </c>
      <c r="AT618" s="59"/>
      <c r="AU618" s="58" t="str">
        <f t="shared" si="391"/>
        <v/>
      </c>
      <c r="AV618" s="59"/>
      <c r="AW618" s="58" t="str">
        <f t="shared" si="392"/>
        <v/>
      </c>
      <c r="AX618" s="59"/>
      <c r="AY618" s="58" t="str">
        <f t="shared" si="393"/>
        <v/>
      </c>
      <c r="AZ618" s="59"/>
      <c r="BA618" s="58" t="str">
        <f t="shared" si="394"/>
        <v/>
      </c>
      <c r="BB618" s="59"/>
      <c r="BC618" s="58" t="str">
        <f t="shared" si="395"/>
        <v/>
      </c>
      <c r="BD618" s="59"/>
      <c r="BE618" s="58" t="str">
        <f t="shared" si="396"/>
        <v/>
      </c>
      <c r="BF618" s="59"/>
      <c r="BG618" s="58" t="str">
        <f t="shared" si="397"/>
        <v/>
      </c>
      <c r="BH618" s="59"/>
      <c r="BI618" s="58" t="str">
        <f t="shared" si="398"/>
        <v/>
      </c>
      <c r="BJ618" s="59"/>
      <c r="BK618" s="58">
        <f t="shared" si="399"/>
        <v>1336</v>
      </c>
      <c r="BL618" s="59"/>
      <c r="BM618" s="58" t="str">
        <f t="shared" si="400"/>
        <v/>
      </c>
      <c r="BN618" s="59"/>
      <c r="BO618" s="58" t="str">
        <f t="shared" si="401"/>
        <v/>
      </c>
      <c r="BP618" s="59"/>
      <c r="BQ618" s="58" t="str">
        <f t="shared" si="402"/>
        <v/>
      </c>
      <c r="BR618" s="59"/>
      <c r="BS618" s="58" t="str">
        <f t="shared" si="403"/>
        <v/>
      </c>
      <c r="BT618" s="59"/>
      <c r="BU618" s="58" t="str">
        <f t="shared" si="404"/>
        <v/>
      </c>
      <c r="BV618" s="59"/>
    </row>
    <row r="619" spans="1:74" ht="14.5">
      <c r="A619" s="51" t="s">
        <v>58</v>
      </c>
      <c r="B619" s="52">
        <v>439</v>
      </c>
      <c r="C619" s="52" t="s">
        <v>188</v>
      </c>
      <c r="D619" s="41">
        <f t="shared" si="376"/>
        <v>11</v>
      </c>
      <c r="E619" s="52" t="s">
        <v>190</v>
      </c>
      <c r="F619" s="52" t="s">
        <v>242</v>
      </c>
      <c r="G619" s="52" t="s">
        <v>244</v>
      </c>
      <c r="H619" s="52" t="s">
        <v>438</v>
      </c>
      <c r="I619" s="53">
        <v>45730</v>
      </c>
      <c r="J619" s="108">
        <v>232</v>
      </c>
      <c r="K619" s="101"/>
      <c r="L619" s="101"/>
      <c r="M619" s="101">
        <f t="shared" si="377"/>
        <v>232</v>
      </c>
      <c r="N619" s="54">
        <f t="shared" si="378"/>
        <v>232</v>
      </c>
      <c r="O619" s="101" t="s">
        <v>431</v>
      </c>
      <c r="P619" s="102">
        <f t="shared" si="379"/>
        <v>0.32222222222222224</v>
      </c>
      <c r="Q619" s="102">
        <v>6</v>
      </c>
      <c r="R619" s="99">
        <v>120</v>
      </c>
      <c r="S619" s="55">
        <f t="shared" si="405"/>
        <v>45698</v>
      </c>
      <c r="T619" s="55"/>
      <c r="U619" s="56">
        <f t="shared" ca="1" si="350"/>
        <v>-142</v>
      </c>
      <c r="V619" s="55">
        <f t="shared" si="349"/>
        <v>45714</v>
      </c>
      <c r="W619" s="55"/>
      <c r="X619" s="56">
        <f t="shared" ca="1" si="351"/>
        <v>-126</v>
      </c>
      <c r="Y619" s="55"/>
      <c r="Z619" s="57"/>
      <c r="AA619" s="58" t="str">
        <f t="shared" si="381"/>
        <v>-</v>
      </c>
      <c r="AB619" s="59"/>
      <c r="AC619" s="58" t="str">
        <f t="shared" si="382"/>
        <v/>
      </c>
      <c r="AD619" s="59"/>
      <c r="AE619" s="58" t="str">
        <f t="shared" si="383"/>
        <v/>
      </c>
      <c r="AF619" s="59"/>
      <c r="AG619" s="58" t="str">
        <f t="shared" si="384"/>
        <v/>
      </c>
      <c r="AH619" s="59"/>
      <c r="AI619" s="58" t="str">
        <f t="shared" si="385"/>
        <v/>
      </c>
      <c r="AJ619" s="59"/>
      <c r="AK619" s="58" t="str">
        <f t="shared" si="386"/>
        <v/>
      </c>
      <c r="AL619" s="59"/>
      <c r="AM619" s="58" t="str">
        <f t="shared" si="387"/>
        <v/>
      </c>
      <c r="AN619" s="59"/>
      <c r="AO619" s="58" t="str">
        <f t="shared" si="388"/>
        <v/>
      </c>
      <c r="AP619" s="59"/>
      <c r="AQ619" s="58" t="str">
        <f t="shared" si="389"/>
        <v/>
      </c>
      <c r="AR619" s="59"/>
      <c r="AS619" s="58" t="str">
        <f t="shared" si="390"/>
        <v/>
      </c>
      <c r="AT619" s="59"/>
      <c r="AU619" s="58" t="str">
        <f t="shared" si="391"/>
        <v/>
      </c>
      <c r="AV619" s="59"/>
      <c r="AW619" s="58" t="str">
        <f t="shared" si="392"/>
        <v/>
      </c>
      <c r="AX619" s="59"/>
      <c r="AY619" s="58" t="str">
        <f t="shared" si="393"/>
        <v/>
      </c>
      <c r="AZ619" s="59"/>
      <c r="BA619" s="58" t="str">
        <f t="shared" si="394"/>
        <v/>
      </c>
      <c r="BB619" s="59"/>
      <c r="BC619" s="58" t="str">
        <f t="shared" si="395"/>
        <v/>
      </c>
      <c r="BD619" s="59"/>
      <c r="BE619" s="58" t="str">
        <f t="shared" si="396"/>
        <v/>
      </c>
      <c r="BF619" s="59"/>
      <c r="BG619" s="58" t="str">
        <f t="shared" si="397"/>
        <v/>
      </c>
      <c r="BH619" s="59"/>
      <c r="BI619" s="58" t="str">
        <f t="shared" si="398"/>
        <v/>
      </c>
      <c r="BJ619" s="59"/>
      <c r="BK619" s="58">
        <f t="shared" si="399"/>
        <v>232</v>
      </c>
      <c r="BL619" s="59"/>
      <c r="BM619" s="58" t="str">
        <f t="shared" si="400"/>
        <v/>
      </c>
      <c r="BN619" s="59"/>
      <c r="BO619" s="58" t="str">
        <f t="shared" si="401"/>
        <v/>
      </c>
      <c r="BP619" s="59"/>
      <c r="BQ619" s="58" t="str">
        <f t="shared" si="402"/>
        <v/>
      </c>
      <c r="BR619" s="59"/>
      <c r="BS619" s="58" t="str">
        <f t="shared" si="403"/>
        <v/>
      </c>
      <c r="BT619" s="59"/>
      <c r="BU619" s="58" t="str">
        <f t="shared" si="404"/>
        <v/>
      </c>
      <c r="BV619" s="59"/>
    </row>
    <row r="620" spans="1:74" ht="14.5">
      <c r="A620" s="51" t="s">
        <v>446</v>
      </c>
      <c r="B620" s="52" t="s">
        <v>585</v>
      </c>
      <c r="C620" s="52" t="s">
        <v>60</v>
      </c>
      <c r="D620" s="41">
        <f t="shared" si="376"/>
        <v>12</v>
      </c>
      <c r="E620" s="52" t="s">
        <v>187</v>
      </c>
      <c r="F620" s="52" t="s">
        <v>448</v>
      </c>
      <c r="G620" s="52" t="s">
        <v>164</v>
      </c>
      <c r="H620" s="52" t="s">
        <v>449</v>
      </c>
      <c r="I620" s="53">
        <v>45736</v>
      </c>
      <c r="J620" s="108">
        <v>9000</v>
      </c>
      <c r="K620" s="101"/>
      <c r="L620" s="101"/>
      <c r="M620" s="101">
        <f t="shared" si="377"/>
        <v>9000</v>
      </c>
      <c r="N620" s="54">
        <f t="shared" si="378"/>
        <v>9000</v>
      </c>
      <c r="O620" s="101" t="s">
        <v>429</v>
      </c>
      <c r="P620" s="102">
        <f t="shared" si="379"/>
        <v>1.3636363636363635</v>
      </c>
      <c r="Q620" s="102">
        <v>6</v>
      </c>
      <c r="R620" s="99">
        <v>1100</v>
      </c>
      <c r="S620" s="55">
        <f>+I620-(28)</f>
        <v>45708</v>
      </c>
      <c r="T620" s="55"/>
      <c r="U620" s="56">
        <f t="shared" ca="1" si="350"/>
        <v>-132</v>
      </c>
      <c r="V620" s="55">
        <f t="shared" si="349"/>
        <v>45724</v>
      </c>
      <c r="W620" s="55"/>
      <c r="X620" s="56">
        <f t="shared" ca="1" si="351"/>
        <v>-116</v>
      </c>
      <c r="Y620" s="55"/>
      <c r="Z620" s="57"/>
      <c r="AA620" s="58" t="str">
        <f t="shared" si="381"/>
        <v>-</v>
      </c>
      <c r="AB620" s="59"/>
      <c r="AC620" s="58" t="str">
        <f t="shared" si="382"/>
        <v/>
      </c>
      <c r="AD620" s="59"/>
      <c r="AE620" s="58" t="str">
        <f t="shared" si="383"/>
        <v/>
      </c>
      <c r="AF620" s="59"/>
      <c r="AG620" s="58" t="str">
        <f t="shared" si="384"/>
        <v/>
      </c>
      <c r="AH620" s="59"/>
      <c r="AI620" s="58" t="str">
        <f t="shared" si="385"/>
        <v/>
      </c>
      <c r="AJ620" s="59"/>
      <c r="AK620" s="58" t="str">
        <f t="shared" si="386"/>
        <v/>
      </c>
      <c r="AL620" s="59"/>
      <c r="AM620" s="58" t="str">
        <f t="shared" si="387"/>
        <v/>
      </c>
      <c r="AN620" s="59"/>
      <c r="AO620" s="58" t="str">
        <f t="shared" si="388"/>
        <v/>
      </c>
      <c r="AP620" s="59"/>
      <c r="AQ620" s="58" t="str">
        <f t="shared" si="389"/>
        <v/>
      </c>
      <c r="AR620" s="59"/>
      <c r="AS620" s="58" t="str">
        <f t="shared" si="390"/>
        <v/>
      </c>
      <c r="AT620" s="59"/>
      <c r="AU620" s="58" t="str">
        <f t="shared" si="391"/>
        <v/>
      </c>
      <c r="AV620" s="59"/>
      <c r="AW620" s="58" t="str">
        <f t="shared" si="392"/>
        <v/>
      </c>
      <c r="AX620" s="59"/>
      <c r="AY620" s="58" t="str">
        <f t="shared" si="393"/>
        <v/>
      </c>
      <c r="AZ620" s="59"/>
      <c r="BA620" s="58" t="str">
        <f t="shared" si="394"/>
        <v/>
      </c>
      <c r="BB620" s="59"/>
      <c r="BC620" s="58" t="str">
        <f t="shared" si="395"/>
        <v/>
      </c>
      <c r="BD620" s="59"/>
      <c r="BE620" s="58" t="str">
        <f t="shared" si="396"/>
        <v/>
      </c>
      <c r="BF620" s="59"/>
      <c r="BG620" s="58" t="str">
        <f t="shared" si="397"/>
        <v/>
      </c>
      <c r="BH620" s="59"/>
      <c r="BI620" s="58" t="str">
        <f t="shared" si="398"/>
        <v/>
      </c>
      <c r="BJ620" s="59"/>
      <c r="BK620" s="58" t="str">
        <f t="shared" si="399"/>
        <v/>
      </c>
      <c r="BL620" s="59"/>
      <c r="BM620" s="58">
        <f t="shared" si="400"/>
        <v>9000</v>
      </c>
      <c r="BN620" s="59"/>
      <c r="BO620" s="58" t="str">
        <f t="shared" si="401"/>
        <v/>
      </c>
      <c r="BP620" s="59"/>
      <c r="BQ620" s="58" t="str">
        <f t="shared" si="402"/>
        <v/>
      </c>
      <c r="BR620" s="59"/>
      <c r="BS620" s="58" t="str">
        <f t="shared" si="403"/>
        <v/>
      </c>
      <c r="BT620" s="59"/>
      <c r="BU620" s="58" t="str">
        <f t="shared" si="404"/>
        <v/>
      </c>
      <c r="BV620" s="59"/>
    </row>
    <row r="621" spans="1:74" ht="14.5">
      <c r="A621" s="51" t="s">
        <v>446</v>
      </c>
      <c r="B621" s="52" t="s">
        <v>585</v>
      </c>
      <c r="C621" s="52" t="s">
        <v>60</v>
      </c>
      <c r="D621" s="41">
        <f t="shared" si="376"/>
        <v>12</v>
      </c>
      <c r="E621" s="52" t="s">
        <v>187</v>
      </c>
      <c r="F621" s="52" t="s">
        <v>448</v>
      </c>
      <c r="G621" s="52" t="s">
        <v>155</v>
      </c>
      <c r="H621" s="52" t="s">
        <v>449</v>
      </c>
      <c r="I621" s="53">
        <v>45736</v>
      </c>
      <c r="J621" s="108">
        <v>9000</v>
      </c>
      <c r="K621" s="101"/>
      <c r="L621" s="101"/>
      <c r="M621" s="101">
        <f t="shared" si="377"/>
        <v>9000</v>
      </c>
      <c r="N621" s="54">
        <f t="shared" si="378"/>
        <v>9000</v>
      </c>
      <c r="O621" s="101" t="s">
        <v>429</v>
      </c>
      <c r="P621" s="102">
        <f t="shared" si="379"/>
        <v>1.3636363636363635</v>
      </c>
      <c r="Q621" s="102">
        <v>6</v>
      </c>
      <c r="R621" s="99">
        <v>1100</v>
      </c>
      <c r="S621" s="55">
        <f>+I621-(28)</f>
        <v>45708</v>
      </c>
      <c r="T621" s="55"/>
      <c r="U621" s="56">
        <f t="shared" ca="1" si="350"/>
        <v>-132</v>
      </c>
      <c r="V621" s="55">
        <f t="shared" si="349"/>
        <v>45724</v>
      </c>
      <c r="W621" s="55"/>
      <c r="X621" s="56">
        <f t="shared" ca="1" si="351"/>
        <v>-116</v>
      </c>
      <c r="Y621" s="55"/>
      <c r="Z621" s="57"/>
      <c r="AA621" s="58" t="str">
        <f t="shared" si="381"/>
        <v>-</v>
      </c>
      <c r="AB621" s="59"/>
      <c r="AC621" s="58" t="str">
        <f t="shared" si="382"/>
        <v/>
      </c>
      <c r="AD621" s="59"/>
      <c r="AE621" s="58" t="str">
        <f t="shared" si="383"/>
        <v/>
      </c>
      <c r="AF621" s="59"/>
      <c r="AG621" s="58" t="str">
        <f t="shared" si="384"/>
        <v/>
      </c>
      <c r="AH621" s="59"/>
      <c r="AI621" s="58" t="str">
        <f t="shared" si="385"/>
        <v/>
      </c>
      <c r="AJ621" s="59"/>
      <c r="AK621" s="58" t="str">
        <f t="shared" si="386"/>
        <v/>
      </c>
      <c r="AL621" s="59"/>
      <c r="AM621" s="58" t="str">
        <f t="shared" si="387"/>
        <v/>
      </c>
      <c r="AN621" s="59"/>
      <c r="AO621" s="58" t="str">
        <f t="shared" si="388"/>
        <v/>
      </c>
      <c r="AP621" s="59"/>
      <c r="AQ621" s="58" t="str">
        <f t="shared" si="389"/>
        <v/>
      </c>
      <c r="AR621" s="59"/>
      <c r="AS621" s="58" t="str">
        <f t="shared" si="390"/>
        <v/>
      </c>
      <c r="AT621" s="59"/>
      <c r="AU621" s="58" t="str">
        <f t="shared" si="391"/>
        <v/>
      </c>
      <c r="AV621" s="59"/>
      <c r="AW621" s="58" t="str">
        <f t="shared" si="392"/>
        <v/>
      </c>
      <c r="AX621" s="59"/>
      <c r="AY621" s="58" t="str">
        <f t="shared" si="393"/>
        <v/>
      </c>
      <c r="AZ621" s="59"/>
      <c r="BA621" s="58" t="str">
        <f t="shared" si="394"/>
        <v/>
      </c>
      <c r="BB621" s="59"/>
      <c r="BC621" s="58" t="str">
        <f t="shared" si="395"/>
        <v/>
      </c>
      <c r="BD621" s="59"/>
      <c r="BE621" s="58" t="str">
        <f t="shared" si="396"/>
        <v/>
      </c>
      <c r="BF621" s="59"/>
      <c r="BG621" s="58" t="str">
        <f t="shared" si="397"/>
        <v/>
      </c>
      <c r="BH621" s="59"/>
      <c r="BI621" s="58" t="str">
        <f t="shared" si="398"/>
        <v/>
      </c>
      <c r="BJ621" s="59"/>
      <c r="BK621" s="58" t="str">
        <f t="shared" si="399"/>
        <v/>
      </c>
      <c r="BL621" s="59"/>
      <c r="BM621" s="58">
        <f t="shared" si="400"/>
        <v>9000</v>
      </c>
      <c r="BN621" s="59"/>
      <c r="BO621" s="58" t="str">
        <f t="shared" si="401"/>
        <v/>
      </c>
      <c r="BP621" s="59"/>
      <c r="BQ621" s="58" t="str">
        <f t="shared" si="402"/>
        <v/>
      </c>
      <c r="BR621" s="59"/>
      <c r="BS621" s="58" t="str">
        <f t="shared" si="403"/>
        <v/>
      </c>
      <c r="BT621" s="59"/>
      <c r="BU621" s="58" t="str">
        <f t="shared" si="404"/>
        <v/>
      </c>
      <c r="BV621" s="59"/>
    </row>
    <row r="622" spans="1:74" ht="14.5">
      <c r="A622" s="51" t="s">
        <v>446</v>
      </c>
      <c r="B622" s="52" t="s">
        <v>585</v>
      </c>
      <c r="C622" s="52" t="s">
        <v>60</v>
      </c>
      <c r="D622" s="41">
        <f t="shared" si="376"/>
        <v>12</v>
      </c>
      <c r="E622" s="52" t="s">
        <v>187</v>
      </c>
      <c r="F622" s="52" t="s">
        <v>448</v>
      </c>
      <c r="G622" s="52" t="s">
        <v>450</v>
      </c>
      <c r="H622" s="52" t="s">
        <v>449</v>
      </c>
      <c r="I622" s="53">
        <v>45736</v>
      </c>
      <c r="J622" s="108">
        <v>6000</v>
      </c>
      <c r="K622" s="101"/>
      <c r="L622" s="101"/>
      <c r="M622" s="101">
        <f t="shared" si="377"/>
        <v>6000</v>
      </c>
      <c r="N622" s="54">
        <f t="shared" si="378"/>
        <v>6000</v>
      </c>
      <c r="O622" s="101" t="s">
        <v>429</v>
      </c>
      <c r="P622" s="102">
        <f t="shared" si="379"/>
        <v>0.90909090909090906</v>
      </c>
      <c r="Q622" s="102">
        <v>6</v>
      </c>
      <c r="R622" s="99">
        <v>1100</v>
      </c>
      <c r="S622" s="55">
        <f>+I622-(28)</f>
        <v>45708</v>
      </c>
      <c r="T622" s="55"/>
      <c r="U622" s="56">
        <f t="shared" ca="1" si="350"/>
        <v>-132</v>
      </c>
      <c r="V622" s="55">
        <f t="shared" si="349"/>
        <v>45724</v>
      </c>
      <c r="W622" s="55"/>
      <c r="X622" s="56">
        <f t="shared" ca="1" si="351"/>
        <v>-116</v>
      </c>
      <c r="Y622" s="55"/>
      <c r="Z622" s="57"/>
      <c r="AA622" s="58" t="str">
        <f t="shared" si="381"/>
        <v>-</v>
      </c>
      <c r="AB622" s="59"/>
      <c r="AC622" s="58" t="str">
        <f t="shared" si="382"/>
        <v/>
      </c>
      <c r="AD622" s="59"/>
      <c r="AE622" s="58" t="str">
        <f t="shared" si="383"/>
        <v/>
      </c>
      <c r="AF622" s="59"/>
      <c r="AG622" s="58" t="str">
        <f t="shared" si="384"/>
        <v/>
      </c>
      <c r="AH622" s="59"/>
      <c r="AI622" s="58" t="str">
        <f t="shared" si="385"/>
        <v/>
      </c>
      <c r="AJ622" s="59"/>
      <c r="AK622" s="58" t="str">
        <f t="shared" si="386"/>
        <v/>
      </c>
      <c r="AL622" s="59"/>
      <c r="AM622" s="58" t="str">
        <f t="shared" si="387"/>
        <v/>
      </c>
      <c r="AN622" s="59"/>
      <c r="AO622" s="58" t="str">
        <f t="shared" si="388"/>
        <v/>
      </c>
      <c r="AP622" s="59"/>
      <c r="AQ622" s="58" t="str">
        <f t="shared" si="389"/>
        <v/>
      </c>
      <c r="AR622" s="59"/>
      <c r="AS622" s="58" t="str">
        <f t="shared" si="390"/>
        <v/>
      </c>
      <c r="AT622" s="59"/>
      <c r="AU622" s="58" t="str">
        <f t="shared" si="391"/>
        <v/>
      </c>
      <c r="AV622" s="59"/>
      <c r="AW622" s="58" t="str">
        <f t="shared" si="392"/>
        <v/>
      </c>
      <c r="AX622" s="59"/>
      <c r="AY622" s="58" t="str">
        <f t="shared" si="393"/>
        <v/>
      </c>
      <c r="AZ622" s="59"/>
      <c r="BA622" s="58" t="str">
        <f t="shared" si="394"/>
        <v/>
      </c>
      <c r="BB622" s="59"/>
      <c r="BC622" s="58" t="str">
        <f t="shared" si="395"/>
        <v/>
      </c>
      <c r="BD622" s="59"/>
      <c r="BE622" s="58" t="str">
        <f t="shared" si="396"/>
        <v/>
      </c>
      <c r="BF622" s="59"/>
      <c r="BG622" s="58" t="str">
        <f t="shared" si="397"/>
        <v/>
      </c>
      <c r="BH622" s="59"/>
      <c r="BI622" s="58" t="str">
        <f t="shared" si="398"/>
        <v/>
      </c>
      <c r="BJ622" s="59"/>
      <c r="BK622" s="58" t="str">
        <f t="shared" si="399"/>
        <v/>
      </c>
      <c r="BL622" s="59"/>
      <c r="BM622" s="58">
        <f t="shared" si="400"/>
        <v>6000</v>
      </c>
      <c r="BN622" s="59"/>
      <c r="BO622" s="58" t="str">
        <f t="shared" si="401"/>
        <v/>
      </c>
      <c r="BP622" s="59"/>
      <c r="BQ622" s="58" t="str">
        <f t="shared" si="402"/>
        <v/>
      </c>
      <c r="BR622" s="59"/>
      <c r="BS622" s="58" t="str">
        <f t="shared" si="403"/>
        <v/>
      </c>
      <c r="BT622" s="59"/>
      <c r="BU622" s="58" t="str">
        <f t="shared" si="404"/>
        <v/>
      </c>
      <c r="BV622" s="59"/>
    </row>
    <row r="623" spans="1:74" ht="14.5">
      <c r="A623" s="51" t="s">
        <v>58</v>
      </c>
      <c r="B623" s="52">
        <v>428</v>
      </c>
      <c r="C623" s="52" t="s">
        <v>188</v>
      </c>
      <c r="D623" s="41">
        <f t="shared" si="376"/>
        <v>12</v>
      </c>
      <c r="E623" s="52" t="s">
        <v>81</v>
      </c>
      <c r="F623" s="52" t="s">
        <v>290</v>
      </c>
      <c r="G623" s="52" t="s">
        <v>291</v>
      </c>
      <c r="H623" s="52" t="s">
        <v>544</v>
      </c>
      <c r="I623" s="53">
        <v>45737</v>
      </c>
      <c r="J623" s="108">
        <v>4608</v>
      </c>
      <c r="K623" s="101"/>
      <c r="L623" s="101"/>
      <c r="M623" s="101">
        <f t="shared" si="377"/>
        <v>4608</v>
      </c>
      <c r="N623" s="54">
        <f t="shared" si="378"/>
        <v>4608</v>
      </c>
      <c r="O623" s="101" t="s">
        <v>178</v>
      </c>
      <c r="P623" s="102">
        <f t="shared" si="379"/>
        <v>0.16666666666666666</v>
      </c>
      <c r="Q623" s="102">
        <v>6</v>
      </c>
      <c r="R623" s="100">
        <v>4608</v>
      </c>
      <c r="S623" s="55">
        <f t="shared" ref="S623:S637" si="406">+I623-(32)</f>
        <v>45705</v>
      </c>
      <c r="T623" s="55"/>
      <c r="U623" s="56">
        <f t="shared" ca="1" si="350"/>
        <v>-135</v>
      </c>
      <c r="V623" s="55">
        <f t="shared" si="349"/>
        <v>45721</v>
      </c>
      <c r="W623" s="55"/>
      <c r="X623" s="56">
        <f t="shared" ca="1" si="351"/>
        <v>-119</v>
      </c>
      <c r="Y623" s="55"/>
      <c r="Z623" s="57"/>
      <c r="AA623" s="58" t="str">
        <f t="shared" si="381"/>
        <v>-</v>
      </c>
      <c r="AB623" s="59"/>
      <c r="AC623" s="58" t="str">
        <f t="shared" si="382"/>
        <v/>
      </c>
      <c r="AD623" s="59"/>
      <c r="AE623" s="58" t="str">
        <f t="shared" si="383"/>
        <v/>
      </c>
      <c r="AF623" s="59"/>
      <c r="AG623" s="58" t="str">
        <f t="shared" si="384"/>
        <v/>
      </c>
      <c r="AH623" s="59"/>
      <c r="AI623" s="58" t="str">
        <f t="shared" si="385"/>
        <v/>
      </c>
      <c r="AJ623" s="59"/>
      <c r="AK623" s="58" t="str">
        <f t="shared" si="386"/>
        <v/>
      </c>
      <c r="AL623" s="59"/>
      <c r="AM623" s="58" t="str">
        <f t="shared" si="387"/>
        <v/>
      </c>
      <c r="AN623" s="59"/>
      <c r="AO623" s="58" t="str">
        <f t="shared" si="388"/>
        <v/>
      </c>
      <c r="AP623" s="59"/>
      <c r="AQ623" s="58" t="str">
        <f t="shared" si="389"/>
        <v/>
      </c>
      <c r="AR623" s="59"/>
      <c r="AS623" s="58" t="str">
        <f t="shared" si="390"/>
        <v/>
      </c>
      <c r="AT623" s="59"/>
      <c r="AU623" s="58" t="str">
        <f t="shared" si="391"/>
        <v/>
      </c>
      <c r="AV623" s="59"/>
      <c r="AW623" s="58" t="str">
        <f t="shared" si="392"/>
        <v/>
      </c>
      <c r="AX623" s="59"/>
      <c r="AY623" s="58" t="str">
        <f t="shared" si="393"/>
        <v/>
      </c>
      <c r="AZ623" s="59"/>
      <c r="BA623" s="58" t="str">
        <f t="shared" si="394"/>
        <v/>
      </c>
      <c r="BB623" s="59"/>
      <c r="BC623" s="58" t="str">
        <f t="shared" si="395"/>
        <v/>
      </c>
      <c r="BD623" s="59"/>
      <c r="BE623" s="58" t="str">
        <f t="shared" si="396"/>
        <v/>
      </c>
      <c r="BF623" s="59"/>
      <c r="BG623" s="58" t="str">
        <f t="shared" si="397"/>
        <v/>
      </c>
      <c r="BH623" s="59"/>
      <c r="BI623" s="58" t="str">
        <f t="shared" si="398"/>
        <v/>
      </c>
      <c r="BJ623" s="59"/>
      <c r="BK623" s="58" t="str">
        <f t="shared" si="399"/>
        <v/>
      </c>
      <c r="BL623" s="59"/>
      <c r="BM623" s="58">
        <f t="shared" si="400"/>
        <v>4608</v>
      </c>
      <c r="BN623" s="59"/>
      <c r="BO623" s="58" t="str">
        <f t="shared" si="401"/>
        <v/>
      </c>
      <c r="BP623" s="59"/>
      <c r="BQ623" s="58" t="str">
        <f t="shared" si="402"/>
        <v/>
      </c>
      <c r="BR623" s="59"/>
      <c r="BS623" s="58" t="str">
        <f t="shared" si="403"/>
        <v/>
      </c>
      <c r="BT623" s="59"/>
      <c r="BU623" s="58" t="str">
        <f t="shared" si="404"/>
        <v/>
      </c>
      <c r="BV623" s="59"/>
    </row>
    <row r="624" spans="1:74" ht="14.5">
      <c r="A624" s="51" t="s">
        <v>58</v>
      </c>
      <c r="B624" s="52">
        <v>428</v>
      </c>
      <c r="C624" s="52" t="s">
        <v>188</v>
      </c>
      <c r="D624" s="41">
        <f t="shared" si="376"/>
        <v>12</v>
      </c>
      <c r="E624" s="52" t="s">
        <v>81</v>
      </c>
      <c r="F624" s="52" t="s">
        <v>290</v>
      </c>
      <c r="G624" s="52" t="s">
        <v>293</v>
      </c>
      <c r="H624" s="52" t="s">
        <v>544</v>
      </c>
      <c r="I624" s="53">
        <v>45737</v>
      </c>
      <c r="J624" s="108">
        <v>4608</v>
      </c>
      <c r="K624" s="101"/>
      <c r="L624" s="101"/>
      <c r="M624" s="101">
        <f t="shared" si="377"/>
        <v>4608</v>
      </c>
      <c r="N624" s="54">
        <f t="shared" si="378"/>
        <v>4608</v>
      </c>
      <c r="O624" s="101" t="s">
        <v>178</v>
      </c>
      <c r="P624" s="102">
        <f t="shared" si="379"/>
        <v>0.16666666666666666</v>
      </c>
      <c r="Q624" s="102">
        <v>6</v>
      </c>
      <c r="R624" s="100">
        <v>4608</v>
      </c>
      <c r="S624" s="55">
        <f t="shared" si="406"/>
        <v>45705</v>
      </c>
      <c r="T624" s="55"/>
      <c r="U624" s="56">
        <f t="shared" ca="1" si="350"/>
        <v>-135</v>
      </c>
      <c r="V624" s="55">
        <f t="shared" ref="V624:V652" si="407">+S624+16</f>
        <v>45721</v>
      </c>
      <c r="W624" s="55"/>
      <c r="X624" s="56">
        <f t="shared" ca="1" si="351"/>
        <v>-119</v>
      </c>
      <c r="Y624" s="55"/>
      <c r="Z624" s="57"/>
      <c r="AA624" s="58" t="str">
        <f t="shared" si="381"/>
        <v>-</v>
      </c>
      <c r="AB624" s="59"/>
      <c r="AC624" s="58" t="str">
        <f t="shared" si="382"/>
        <v/>
      </c>
      <c r="AD624" s="59"/>
      <c r="AE624" s="58" t="str">
        <f t="shared" si="383"/>
        <v/>
      </c>
      <c r="AF624" s="59"/>
      <c r="AG624" s="58" t="str">
        <f t="shared" si="384"/>
        <v/>
      </c>
      <c r="AH624" s="59"/>
      <c r="AI624" s="58" t="str">
        <f t="shared" si="385"/>
        <v/>
      </c>
      <c r="AJ624" s="59"/>
      <c r="AK624" s="58" t="str">
        <f t="shared" si="386"/>
        <v/>
      </c>
      <c r="AL624" s="59"/>
      <c r="AM624" s="58" t="str">
        <f t="shared" si="387"/>
        <v/>
      </c>
      <c r="AN624" s="59"/>
      <c r="AO624" s="58" t="str">
        <f t="shared" si="388"/>
        <v/>
      </c>
      <c r="AP624" s="59"/>
      <c r="AQ624" s="58" t="str">
        <f t="shared" si="389"/>
        <v/>
      </c>
      <c r="AR624" s="59"/>
      <c r="AS624" s="58" t="str">
        <f t="shared" si="390"/>
        <v/>
      </c>
      <c r="AT624" s="59"/>
      <c r="AU624" s="58" t="str">
        <f t="shared" si="391"/>
        <v/>
      </c>
      <c r="AV624" s="59"/>
      <c r="AW624" s="58" t="str">
        <f t="shared" si="392"/>
        <v/>
      </c>
      <c r="AX624" s="59"/>
      <c r="AY624" s="58" t="str">
        <f t="shared" si="393"/>
        <v/>
      </c>
      <c r="AZ624" s="59"/>
      <c r="BA624" s="58" t="str">
        <f t="shared" si="394"/>
        <v/>
      </c>
      <c r="BB624" s="59"/>
      <c r="BC624" s="58" t="str">
        <f t="shared" si="395"/>
        <v/>
      </c>
      <c r="BD624" s="59"/>
      <c r="BE624" s="58" t="str">
        <f t="shared" si="396"/>
        <v/>
      </c>
      <c r="BF624" s="59"/>
      <c r="BG624" s="58" t="str">
        <f t="shared" si="397"/>
        <v/>
      </c>
      <c r="BH624" s="59"/>
      <c r="BI624" s="58" t="str">
        <f t="shared" si="398"/>
        <v/>
      </c>
      <c r="BJ624" s="59"/>
      <c r="BK624" s="58" t="str">
        <f t="shared" si="399"/>
        <v/>
      </c>
      <c r="BL624" s="59"/>
      <c r="BM624" s="58">
        <f t="shared" si="400"/>
        <v>4608</v>
      </c>
      <c r="BN624" s="59"/>
      <c r="BO624" s="58" t="str">
        <f t="shared" si="401"/>
        <v/>
      </c>
      <c r="BP624" s="59"/>
      <c r="BQ624" s="58" t="str">
        <f t="shared" si="402"/>
        <v/>
      </c>
      <c r="BR624" s="59"/>
      <c r="BS624" s="58" t="str">
        <f t="shared" si="403"/>
        <v/>
      </c>
      <c r="BT624" s="59"/>
      <c r="BU624" s="58" t="str">
        <f t="shared" si="404"/>
        <v/>
      </c>
      <c r="BV624" s="59"/>
    </row>
    <row r="625" spans="1:74" ht="14.5">
      <c r="A625" s="51" t="s">
        <v>58</v>
      </c>
      <c r="B625" s="52">
        <v>428</v>
      </c>
      <c r="C625" s="52" t="s">
        <v>188</v>
      </c>
      <c r="D625" s="41">
        <f t="shared" si="376"/>
        <v>12</v>
      </c>
      <c r="E625" s="52" t="s">
        <v>81</v>
      </c>
      <c r="F625" s="52" t="s">
        <v>290</v>
      </c>
      <c r="G625" s="52" t="s">
        <v>294</v>
      </c>
      <c r="H625" s="52" t="s">
        <v>544</v>
      </c>
      <c r="I625" s="53">
        <v>45737</v>
      </c>
      <c r="J625" s="108">
        <v>4608</v>
      </c>
      <c r="K625" s="101"/>
      <c r="L625" s="101"/>
      <c r="M625" s="101">
        <f t="shared" si="377"/>
        <v>4608</v>
      </c>
      <c r="N625" s="54">
        <f t="shared" si="378"/>
        <v>4608</v>
      </c>
      <c r="O625" s="101" t="s">
        <v>178</v>
      </c>
      <c r="P625" s="102">
        <f t="shared" si="379"/>
        <v>0.16666666666666666</v>
      </c>
      <c r="Q625" s="102">
        <v>6</v>
      </c>
      <c r="R625" s="100">
        <v>4608</v>
      </c>
      <c r="S625" s="55">
        <f t="shared" si="406"/>
        <v>45705</v>
      </c>
      <c r="T625" s="55"/>
      <c r="U625" s="56">
        <f t="shared" ca="1" si="350"/>
        <v>-135</v>
      </c>
      <c r="V625" s="55">
        <f t="shared" si="407"/>
        <v>45721</v>
      </c>
      <c r="W625" s="55"/>
      <c r="X625" s="56">
        <f t="shared" ca="1" si="351"/>
        <v>-119</v>
      </c>
      <c r="Y625" s="55"/>
      <c r="Z625" s="57"/>
      <c r="AA625" s="58" t="str">
        <f t="shared" si="381"/>
        <v>-</v>
      </c>
      <c r="AB625" s="59"/>
      <c r="AC625" s="58" t="str">
        <f t="shared" si="382"/>
        <v/>
      </c>
      <c r="AD625" s="59"/>
      <c r="AE625" s="58" t="str">
        <f t="shared" si="383"/>
        <v/>
      </c>
      <c r="AF625" s="59"/>
      <c r="AG625" s="58" t="str">
        <f t="shared" si="384"/>
        <v/>
      </c>
      <c r="AH625" s="59"/>
      <c r="AI625" s="58" t="str">
        <f t="shared" si="385"/>
        <v/>
      </c>
      <c r="AJ625" s="59"/>
      <c r="AK625" s="58" t="str">
        <f t="shared" si="386"/>
        <v/>
      </c>
      <c r="AL625" s="59"/>
      <c r="AM625" s="58" t="str">
        <f t="shared" si="387"/>
        <v/>
      </c>
      <c r="AN625" s="59"/>
      <c r="AO625" s="58" t="str">
        <f t="shared" si="388"/>
        <v/>
      </c>
      <c r="AP625" s="59"/>
      <c r="AQ625" s="58" t="str">
        <f t="shared" si="389"/>
        <v/>
      </c>
      <c r="AR625" s="59"/>
      <c r="AS625" s="58" t="str">
        <f t="shared" si="390"/>
        <v/>
      </c>
      <c r="AT625" s="59"/>
      <c r="AU625" s="58" t="str">
        <f t="shared" si="391"/>
        <v/>
      </c>
      <c r="AV625" s="59"/>
      <c r="AW625" s="58" t="str">
        <f t="shared" si="392"/>
        <v/>
      </c>
      <c r="AX625" s="59"/>
      <c r="AY625" s="58" t="str">
        <f t="shared" si="393"/>
        <v/>
      </c>
      <c r="AZ625" s="59"/>
      <c r="BA625" s="58" t="str">
        <f t="shared" si="394"/>
        <v/>
      </c>
      <c r="BB625" s="59"/>
      <c r="BC625" s="58" t="str">
        <f t="shared" si="395"/>
        <v/>
      </c>
      <c r="BD625" s="59"/>
      <c r="BE625" s="58" t="str">
        <f t="shared" si="396"/>
        <v/>
      </c>
      <c r="BF625" s="59"/>
      <c r="BG625" s="58" t="str">
        <f t="shared" si="397"/>
        <v/>
      </c>
      <c r="BH625" s="59"/>
      <c r="BI625" s="58" t="str">
        <f t="shared" si="398"/>
        <v/>
      </c>
      <c r="BJ625" s="59"/>
      <c r="BK625" s="58" t="str">
        <f t="shared" si="399"/>
        <v/>
      </c>
      <c r="BL625" s="59"/>
      <c r="BM625" s="58">
        <f t="shared" si="400"/>
        <v>4608</v>
      </c>
      <c r="BN625" s="59"/>
      <c r="BO625" s="58" t="str">
        <f t="shared" si="401"/>
        <v/>
      </c>
      <c r="BP625" s="59"/>
      <c r="BQ625" s="58" t="str">
        <f t="shared" si="402"/>
        <v/>
      </c>
      <c r="BR625" s="59"/>
      <c r="BS625" s="58" t="str">
        <f t="shared" si="403"/>
        <v/>
      </c>
      <c r="BT625" s="59"/>
      <c r="BU625" s="58" t="str">
        <f t="shared" si="404"/>
        <v/>
      </c>
      <c r="BV625" s="59"/>
    </row>
    <row r="626" spans="1:74" ht="14.5">
      <c r="A626" s="51" t="s">
        <v>58</v>
      </c>
      <c r="B626" s="52">
        <v>428</v>
      </c>
      <c r="C626" s="52" t="s">
        <v>188</v>
      </c>
      <c r="D626" s="41">
        <f t="shared" si="376"/>
        <v>12</v>
      </c>
      <c r="E626" s="52" t="s">
        <v>391</v>
      </c>
      <c r="F626" s="52" t="s">
        <v>392</v>
      </c>
      <c r="G626" s="52" t="s">
        <v>393</v>
      </c>
      <c r="H626" s="52" t="s">
        <v>433</v>
      </c>
      <c r="I626" s="53">
        <v>45737</v>
      </c>
      <c r="J626" s="108">
        <v>1740</v>
      </c>
      <c r="K626" s="101"/>
      <c r="L626" s="101"/>
      <c r="M626" s="101">
        <f t="shared" si="377"/>
        <v>1740</v>
      </c>
      <c r="N626" s="54">
        <f t="shared" si="378"/>
        <v>1740</v>
      </c>
      <c r="O626" s="101" t="s">
        <v>178</v>
      </c>
      <c r="P626" s="102">
        <f t="shared" si="379"/>
        <v>3.625</v>
      </c>
      <c r="Q626" s="102">
        <v>6</v>
      </c>
      <c r="R626" s="99">
        <v>80</v>
      </c>
      <c r="S626" s="55">
        <f t="shared" si="406"/>
        <v>45705</v>
      </c>
      <c r="T626" s="55"/>
      <c r="U626" s="56">
        <f t="shared" ref="U626:U652" ca="1" si="408">+IF(T626="",S626-TODAY(),S626-T626)</f>
        <v>-135</v>
      </c>
      <c r="V626" s="55">
        <f t="shared" si="407"/>
        <v>45721</v>
      </c>
      <c r="W626" s="55"/>
      <c r="X626" s="56">
        <f t="shared" ref="X626:X652" ca="1" si="409">+IF(W626="",V626-TODAY(),V626-W626)</f>
        <v>-119</v>
      </c>
      <c r="Y626" s="55"/>
      <c r="Z626" s="57"/>
      <c r="AA626" s="58" t="str">
        <f t="shared" si="381"/>
        <v>-</v>
      </c>
      <c r="AB626" s="59"/>
      <c r="AC626" s="58" t="str">
        <f t="shared" si="382"/>
        <v/>
      </c>
      <c r="AD626" s="59"/>
      <c r="AE626" s="58" t="str">
        <f t="shared" si="383"/>
        <v/>
      </c>
      <c r="AF626" s="59"/>
      <c r="AG626" s="58" t="str">
        <f t="shared" si="384"/>
        <v/>
      </c>
      <c r="AH626" s="59"/>
      <c r="AI626" s="58" t="str">
        <f t="shared" si="385"/>
        <v/>
      </c>
      <c r="AJ626" s="59"/>
      <c r="AK626" s="58" t="str">
        <f t="shared" si="386"/>
        <v/>
      </c>
      <c r="AL626" s="59"/>
      <c r="AM626" s="58" t="str">
        <f t="shared" si="387"/>
        <v/>
      </c>
      <c r="AN626" s="59"/>
      <c r="AO626" s="58" t="str">
        <f t="shared" si="388"/>
        <v/>
      </c>
      <c r="AP626" s="59"/>
      <c r="AQ626" s="58" t="str">
        <f t="shared" si="389"/>
        <v/>
      </c>
      <c r="AR626" s="59"/>
      <c r="AS626" s="58" t="str">
        <f t="shared" si="390"/>
        <v/>
      </c>
      <c r="AT626" s="59"/>
      <c r="AU626" s="58" t="str">
        <f t="shared" si="391"/>
        <v/>
      </c>
      <c r="AV626" s="59"/>
      <c r="AW626" s="58" t="str">
        <f t="shared" si="392"/>
        <v/>
      </c>
      <c r="AX626" s="59"/>
      <c r="AY626" s="58" t="str">
        <f t="shared" si="393"/>
        <v/>
      </c>
      <c r="AZ626" s="59"/>
      <c r="BA626" s="58" t="str">
        <f t="shared" si="394"/>
        <v/>
      </c>
      <c r="BB626" s="59"/>
      <c r="BC626" s="58" t="str">
        <f t="shared" si="395"/>
        <v/>
      </c>
      <c r="BD626" s="59"/>
      <c r="BE626" s="58" t="str">
        <f t="shared" si="396"/>
        <v/>
      </c>
      <c r="BF626" s="59"/>
      <c r="BG626" s="58" t="str">
        <f t="shared" si="397"/>
        <v/>
      </c>
      <c r="BH626" s="59"/>
      <c r="BI626" s="58" t="str">
        <f t="shared" si="398"/>
        <v/>
      </c>
      <c r="BJ626" s="59"/>
      <c r="BK626" s="58" t="str">
        <f t="shared" si="399"/>
        <v/>
      </c>
      <c r="BL626" s="59"/>
      <c r="BM626" s="58">
        <f t="shared" si="400"/>
        <v>1740</v>
      </c>
      <c r="BN626" s="59"/>
      <c r="BO626" s="58" t="str">
        <f t="shared" si="401"/>
        <v/>
      </c>
      <c r="BP626" s="59"/>
      <c r="BQ626" s="58" t="str">
        <f t="shared" si="402"/>
        <v/>
      </c>
      <c r="BR626" s="59"/>
      <c r="BS626" s="58" t="str">
        <f t="shared" si="403"/>
        <v/>
      </c>
      <c r="BT626" s="59"/>
      <c r="BU626" s="58" t="str">
        <f t="shared" si="404"/>
        <v/>
      </c>
      <c r="BV626" s="59"/>
    </row>
    <row r="627" spans="1:74" ht="14.5">
      <c r="A627" s="51" t="s">
        <v>58</v>
      </c>
      <c r="B627" s="52">
        <v>428</v>
      </c>
      <c r="C627" s="52" t="s">
        <v>188</v>
      </c>
      <c r="D627" s="41">
        <f t="shared" si="376"/>
        <v>12</v>
      </c>
      <c r="E627" s="52" t="s">
        <v>158</v>
      </c>
      <c r="F627" s="52" t="s">
        <v>242</v>
      </c>
      <c r="G627" s="52" t="s">
        <v>156</v>
      </c>
      <c r="H627" s="52" t="s">
        <v>432</v>
      </c>
      <c r="I627" s="53">
        <v>45737</v>
      </c>
      <c r="J627" s="108">
        <v>1384</v>
      </c>
      <c r="K627" s="101"/>
      <c r="L627" s="101"/>
      <c r="M627" s="101">
        <f t="shared" si="377"/>
        <v>1384</v>
      </c>
      <c r="N627" s="54">
        <f t="shared" si="378"/>
        <v>1384</v>
      </c>
      <c r="O627" s="101" t="s">
        <v>439</v>
      </c>
      <c r="P627" s="102">
        <f t="shared" si="379"/>
        <v>1.9222222222222223</v>
      </c>
      <c r="Q627" s="102">
        <v>6</v>
      </c>
      <c r="R627" s="99">
        <v>120</v>
      </c>
      <c r="S627" s="55">
        <f t="shared" si="406"/>
        <v>45705</v>
      </c>
      <c r="T627" s="55"/>
      <c r="U627" s="56">
        <f t="shared" ca="1" si="408"/>
        <v>-135</v>
      </c>
      <c r="V627" s="55">
        <f t="shared" si="407"/>
        <v>45721</v>
      </c>
      <c r="W627" s="55"/>
      <c r="X627" s="56">
        <f t="shared" ca="1" si="409"/>
        <v>-119</v>
      </c>
      <c r="Y627" s="55"/>
      <c r="Z627" s="57"/>
      <c r="AA627" s="58" t="str">
        <f t="shared" si="381"/>
        <v>-</v>
      </c>
      <c r="AB627" s="59"/>
      <c r="AC627" s="58" t="str">
        <f t="shared" si="382"/>
        <v/>
      </c>
      <c r="AD627" s="59"/>
      <c r="AE627" s="58" t="str">
        <f t="shared" si="383"/>
        <v/>
      </c>
      <c r="AF627" s="59"/>
      <c r="AG627" s="58" t="str">
        <f t="shared" si="384"/>
        <v/>
      </c>
      <c r="AH627" s="59"/>
      <c r="AI627" s="58" t="str">
        <f t="shared" si="385"/>
        <v/>
      </c>
      <c r="AJ627" s="59"/>
      <c r="AK627" s="58" t="str">
        <f t="shared" si="386"/>
        <v/>
      </c>
      <c r="AL627" s="59"/>
      <c r="AM627" s="58" t="str">
        <f t="shared" si="387"/>
        <v/>
      </c>
      <c r="AN627" s="59"/>
      <c r="AO627" s="58" t="str">
        <f t="shared" si="388"/>
        <v/>
      </c>
      <c r="AP627" s="59"/>
      <c r="AQ627" s="58" t="str">
        <f t="shared" si="389"/>
        <v/>
      </c>
      <c r="AR627" s="59"/>
      <c r="AS627" s="58" t="str">
        <f t="shared" si="390"/>
        <v/>
      </c>
      <c r="AT627" s="59"/>
      <c r="AU627" s="58" t="str">
        <f t="shared" si="391"/>
        <v/>
      </c>
      <c r="AV627" s="59"/>
      <c r="AW627" s="58" t="str">
        <f t="shared" si="392"/>
        <v/>
      </c>
      <c r="AX627" s="59"/>
      <c r="AY627" s="58" t="str">
        <f t="shared" si="393"/>
        <v/>
      </c>
      <c r="AZ627" s="59"/>
      <c r="BA627" s="58" t="str">
        <f t="shared" si="394"/>
        <v/>
      </c>
      <c r="BB627" s="59"/>
      <c r="BC627" s="58" t="str">
        <f t="shared" si="395"/>
        <v/>
      </c>
      <c r="BD627" s="59"/>
      <c r="BE627" s="58" t="str">
        <f t="shared" si="396"/>
        <v/>
      </c>
      <c r="BF627" s="59"/>
      <c r="BG627" s="58" t="str">
        <f t="shared" si="397"/>
        <v/>
      </c>
      <c r="BH627" s="59"/>
      <c r="BI627" s="58" t="str">
        <f t="shared" si="398"/>
        <v/>
      </c>
      <c r="BJ627" s="59"/>
      <c r="BK627" s="58" t="str">
        <f t="shared" si="399"/>
        <v/>
      </c>
      <c r="BL627" s="59"/>
      <c r="BM627" s="58">
        <f t="shared" si="400"/>
        <v>1384</v>
      </c>
      <c r="BN627" s="59"/>
      <c r="BO627" s="58" t="str">
        <f t="shared" si="401"/>
        <v/>
      </c>
      <c r="BP627" s="59"/>
      <c r="BQ627" s="58" t="str">
        <f t="shared" si="402"/>
        <v/>
      </c>
      <c r="BR627" s="59"/>
      <c r="BS627" s="58" t="str">
        <f t="shared" si="403"/>
        <v/>
      </c>
      <c r="BT627" s="59"/>
      <c r="BU627" s="58" t="str">
        <f t="shared" si="404"/>
        <v/>
      </c>
      <c r="BV627" s="59"/>
    </row>
    <row r="628" spans="1:74" ht="14.5">
      <c r="A628" s="51" t="s">
        <v>58</v>
      </c>
      <c r="B628" s="52">
        <v>428</v>
      </c>
      <c r="C628" s="52" t="s">
        <v>188</v>
      </c>
      <c r="D628" s="41">
        <f t="shared" si="376"/>
        <v>12</v>
      </c>
      <c r="E628" s="52" t="s">
        <v>190</v>
      </c>
      <c r="F628" s="52" t="s">
        <v>242</v>
      </c>
      <c r="G628" s="52" t="s">
        <v>244</v>
      </c>
      <c r="H628" s="52" t="s">
        <v>438</v>
      </c>
      <c r="I628" s="53">
        <v>45737</v>
      </c>
      <c r="J628" s="108">
        <v>1384</v>
      </c>
      <c r="K628" s="101"/>
      <c r="L628" s="101"/>
      <c r="M628" s="101">
        <f t="shared" si="377"/>
        <v>1384</v>
      </c>
      <c r="N628" s="54">
        <f t="shared" si="378"/>
        <v>1384</v>
      </c>
      <c r="O628" s="101" t="s">
        <v>439</v>
      </c>
      <c r="P628" s="102">
        <f t="shared" si="379"/>
        <v>1.9222222222222223</v>
      </c>
      <c r="Q628" s="102">
        <v>6</v>
      </c>
      <c r="R628" s="99">
        <v>120</v>
      </c>
      <c r="S628" s="55">
        <f t="shared" si="406"/>
        <v>45705</v>
      </c>
      <c r="T628" s="55"/>
      <c r="U628" s="56">
        <f t="shared" ca="1" si="408"/>
        <v>-135</v>
      </c>
      <c r="V628" s="55">
        <f t="shared" si="407"/>
        <v>45721</v>
      </c>
      <c r="W628" s="55"/>
      <c r="X628" s="56">
        <f t="shared" ca="1" si="409"/>
        <v>-119</v>
      </c>
      <c r="Y628" s="55"/>
      <c r="Z628" s="57"/>
      <c r="AA628" s="58" t="str">
        <f t="shared" si="381"/>
        <v>-</v>
      </c>
      <c r="AB628" s="59"/>
      <c r="AC628" s="58" t="str">
        <f t="shared" si="382"/>
        <v/>
      </c>
      <c r="AD628" s="59"/>
      <c r="AE628" s="58" t="str">
        <f t="shared" si="383"/>
        <v/>
      </c>
      <c r="AF628" s="59"/>
      <c r="AG628" s="58" t="str">
        <f t="shared" si="384"/>
        <v/>
      </c>
      <c r="AH628" s="59"/>
      <c r="AI628" s="58" t="str">
        <f t="shared" si="385"/>
        <v/>
      </c>
      <c r="AJ628" s="59"/>
      <c r="AK628" s="58" t="str">
        <f t="shared" si="386"/>
        <v/>
      </c>
      <c r="AL628" s="59"/>
      <c r="AM628" s="58" t="str">
        <f t="shared" si="387"/>
        <v/>
      </c>
      <c r="AN628" s="59"/>
      <c r="AO628" s="58" t="str">
        <f t="shared" si="388"/>
        <v/>
      </c>
      <c r="AP628" s="59"/>
      <c r="AQ628" s="58" t="str">
        <f t="shared" si="389"/>
        <v/>
      </c>
      <c r="AR628" s="59"/>
      <c r="AS628" s="58" t="str">
        <f t="shared" si="390"/>
        <v/>
      </c>
      <c r="AT628" s="59"/>
      <c r="AU628" s="58" t="str">
        <f t="shared" si="391"/>
        <v/>
      </c>
      <c r="AV628" s="59"/>
      <c r="AW628" s="58" t="str">
        <f t="shared" si="392"/>
        <v/>
      </c>
      <c r="AX628" s="59"/>
      <c r="AY628" s="58" t="str">
        <f t="shared" si="393"/>
        <v/>
      </c>
      <c r="AZ628" s="59"/>
      <c r="BA628" s="58" t="str">
        <f t="shared" si="394"/>
        <v/>
      </c>
      <c r="BB628" s="59"/>
      <c r="BC628" s="58" t="str">
        <f t="shared" si="395"/>
        <v/>
      </c>
      <c r="BD628" s="59"/>
      <c r="BE628" s="58" t="str">
        <f t="shared" si="396"/>
        <v/>
      </c>
      <c r="BF628" s="59"/>
      <c r="BG628" s="58" t="str">
        <f t="shared" si="397"/>
        <v/>
      </c>
      <c r="BH628" s="59"/>
      <c r="BI628" s="58" t="str">
        <f t="shared" si="398"/>
        <v/>
      </c>
      <c r="BJ628" s="59"/>
      <c r="BK628" s="58" t="str">
        <f t="shared" si="399"/>
        <v/>
      </c>
      <c r="BL628" s="59"/>
      <c r="BM628" s="58">
        <f t="shared" si="400"/>
        <v>1384</v>
      </c>
      <c r="BN628" s="59"/>
      <c r="BO628" s="58" t="str">
        <f t="shared" si="401"/>
        <v/>
      </c>
      <c r="BP628" s="59"/>
      <c r="BQ628" s="58" t="str">
        <f t="shared" si="402"/>
        <v/>
      </c>
      <c r="BR628" s="59"/>
      <c r="BS628" s="58" t="str">
        <f t="shared" si="403"/>
        <v/>
      </c>
      <c r="BT628" s="59"/>
      <c r="BU628" s="58" t="str">
        <f t="shared" si="404"/>
        <v/>
      </c>
      <c r="BV628" s="59"/>
    </row>
    <row r="629" spans="1:74" ht="14.5">
      <c r="A629" s="51" t="s">
        <v>58</v>
      </c>
      <c r="B629" s="52">
        <v>440</v>
      </c>
      <c r="C629" s="52" t="s">
        <v>188</v>
      </c>
      <c r="D629" s="41">
        <f t="shared" si="376"/>
        <v>12</v>
      </c>
      <c r="E629" s="52" t="s">
        <v>157</v>
      </c>
      <c r="F629" s="52" t="s">
        <v>243</v>
      </c>
      <c r="G629" s="52" t="s">
        <v>155</v>
      </c>
      <c r="H629" s="52" t="s">
        <v>428</v>
      </c>
      <c r="I629" s="53">
        <v>45737</v>
      </c>
      <c r="J629" s="108">
        <v>2724</v>
      </c>
      <c r="K629" s="101"/>
      <c r="L629" s="101"/>
      <c r="M629" s="101">
        <f t="shared" si="377"/>
        <v>2724</v>
      </c>
      <c r="N629" s="54">
        <f t="shared" si="378"/>
        <v>2724</v>
      </c>
      <c r="O629" s="101" t="s">
        <v>431</v>
      </c>
      <c r="P629" s="102">
        <f t="shared" si="379"/>
        <v>0.45400000000000001</v>
      </c>
      <c r="Q629" s="102">
        <v>6</v>
      </c>
      <c r="R629" s="99">
        <v>1000</v>
      </c>
      <c r="S629" s="55">
        <f t="shared" si="406"/>
        <v>45705</v>
      </c>
      <c r="T629" s="55"/>
      <c r="U629" s="56">
        <f t="shared" ca="1" si="408"/>
        <v>-135</v>
      </c>
      <c r="V629" s="55">
        <f t="shared" si="407"/>
        <v>45721</v>
      </c>
      <c r="W629" s="55"/>
      <c r="X629" s="56">
        <f t="shared" ca="1" si="409"/>
        <v>-119</v>
      </c>
      <c r="Y629" s="55"/>
      <c r="Z629" s="57"/>
      <c r="AA629" s="58" t="str">
        <f t="shared" si="381"/>
        <v>-</v>
      </c>
      <c r="AB629" s="59"/>
      <c r="AC629" s="58" t="str">
        <f t="shared" si="382"/>
        <v/>
      </c>
      <c r="AD629" s="59"/>
      <c r="AE629" s="58" t="str">
        <f t="shared" si="383"/>
        <v/>
      </c>
      <c r="AF629" s="59"/>
      <c r="AG629" s="58" t="str">
        <f t="shared" si="384"/>
        <v/>
      </c>
      <c r="AH629" s="59"/>
      <c r="AI629" s="58" t="str">
        <f t="shared" si="385"/>
        <v/>
      </c>
      <c r="AJ629" s="59"/>
      <c r="AK629" s="58" t="str">
        <f t="shared" si="386"/>
        <v/>
      </c>
      <c r="AL629" s="59"/>
      <c r="AM629" s="58" t="str">
        <f t="shared" si="387"/>
        <v/>
      </c>
      <c r="AN629" s="59"/>
      <c r="AO629" s="58" t="str">
        <f t="shared" si="388"/>
        <v/>
      </c>
      <c r="AP629" s="59"/>
      <c r="AQ629" s="58" t="str">
        <f t="shared" si="389"/>
        <v/>
      </c>
      <c r="AR629" s="59"/>
      <c r="AS629" s="58" t="str">
        <f t="shared" si="390"/>
        <v/>
      </c>
      <c r="AT629" s="59"/>
      <c r="AU629" s="58" t="str">
        <f t="shared" si="391"/>
        <v/>
      </c>
      <c r="AV629" s="59"/>
      <c r="AW629" s="58" t="str">
        <f t="shared" si="392"/>
        <v/>
      </c>
      <c r="AX629" s="59"/>
      <c r="AY629" s="58" t="str">
        <f t="shared" si="393"/>
        <v/>
      </c>
      <c r="AZ629" s="59"/>
      <c r="BA629" s="58" t="str">
        <f t="shared" si="394"/>
        <v/>
      </c>
      <c r="BB629" s="59"/>
      <c r="BC629" s="58" t="str">
        <f t="shared" si="395"/>
        <v/>
      </c>
      <c r="BD629" s="59"/>
      <c r="BE629" s="58" t="str">
        <f t="shared" si="396"/>
        <v/>
      </c>
      <c r="BF629" s="59"/>
      <c r="BG629" s="58" t="str">
        <f t="shared" si="397"/>
        <v/>
      </c>
      <c r="BH629" s="59"/>
      <c r="BI629" s="58" t="str">
        <f t="shared" si="398"/>
        <v/>
      </c>
      <c r="BJ629" s="59"/>
      <c r="BK629" s="58" t="str">
        <f t="shared" si="399"/>
        <v/>
      </c>
      <c r="BL629" s="59"/>
      <c r="BM629" s="58">
        <f t="shared" si="400"/>
        <v>2724</v>
      </c>
      <c r="BN629" s="59"/>
      <c r="BO629" s="58" t="str">
        <f t="shared" si="401"/>
        <v/>
      </c>
      <c r="BP629" s="59"/>
      <c r="BQ629" s="58" t="str">
        <f t="shared" si="402"/>
        <v/>
      </c>
      <c r="BR629" s="59"/>
      <c r="BS629" s="58" t="str">
        <f t="shared" si="403"/>
        <v/>
      </c>
      <c r="BT629" s="59"/>
      <c r="BU629" s="58" t="str">
        <f t="shared" si="404"/>
        <v/>
      </c>
      <c r="BV629" s="59"/>
    </row>
    <row r="630" spans="1:74" ht="14.5">
      <c r="A630" s="51" t="s">
        <v>58</v>
      </c>
      <c r="B630" s="52">
        <v>440</v>
      </c>
      <c r="C630" s="52" t="s">
        <v>188</v>
      </c>
      <c r="D630" s="41">
        <f t="shared" si="376"/>
        <v>12</v>
      </c>
      <c r="E630" s="52" t="s">
        <v>158</v>
      </c>
      <c r="F630" s="52" t="s">
        <v>242</v>
      </c>
      <c r="G630" s="52" t="s">
        <v>155</v>
      </c>
      <c r="H630" s="52" t="s">
        <v>432</v>
      </c>
      <c r="I630" s="53">
        <v>45737</v>
      </c>
      <c r="J630" s="108">
        <v>1396</v>
      </c>
      <c r="K630" s="101"/>
      <c r="L630" s="101"/>
      <c r="M630" s="101">
        <f t="shared" si="377"/>
        <v>1396</v>
      </c>
      <c r="N630" s="54">
        <f t="shared" si="378"/>
        <v>1396</v>
      </c>
      <c r="O630" s="101" t="s">
        <v>431</v>
      </c>
      <c r="P630" s="102">
        <f t="shared" si="379"/>
        <v>1.9388888888888889</v>
      </c>
      <c r="Q630" s="102">
        <v>6</v>
      </c>
      <c r="R630" s="99">
        <v>120</v>
      </c>
      <c r="S630" s="55">
        <f t="shared" si="406"/>
        <v>45705</v>
      </c>
      <c r="T630" s="55"/>
      <c r="U630" s="56">
        <f t="shared" ca="1" si="408"/>
        <v>-135</v>
      </c>
      <c r="V630" s="55">
        <f t="shared" si="407"/>
        <v>45721</v>
      </c>
      <c r="W630" s="55"/>
      <c r="X630" s="56">
        <f t="shared" ca="1" si="409"/>
        <v>-119</v>
      </c>
      <c r="Y630" s="55"/>
      <c r="Z630" s="57"/>
      <c r="AA630" s="58" t="str">
        <f t="shared" si="381"/>
        <v>-</v>
      </c>
      <c r="AB630" s="59"/>
      <c r="AC630" s="58" t="str">
        <f t="shared" si="382"/>
        <v/>
      </c>
      <c r="AD630" s="59"/>
      <c r="AE630" s="58" t="str">
        <f t="shared" si="383"/>
        <v/>
      </c>
      <c r="AF630" s="59"/>
      <c r="AG630" s="58" t="str">
        <f t="shared" si="384"/>
        <v/>
      </c>
      <c r="AH630" s="59"/>
      <c r="AI630" s="58" t="str">
        <f t="shared" si="385"/>
        <v/>
      </c>
      <c r="AJ630" s="59"/>
      <c r="AK630" s="58" t="str">
        <f t="shared" si="386"/>
        <v/>
      </c>
      <c r="AL630" s="59"/>
      <c r="AM630" s="58" t="str">
        <f t="shared" si="387"/>
        <v/>
      </c>
      <c r="AN630" s="59"/>
      <c r="AO630" s="58" t="str">
        <f t="shared" si="388"/>
        <v/>
      </c>
      <c r="AP630" s="59"/>
      <c r="AQ630" s="58" t="str">
        <f t="shared" si="389"/>
        <v/>
      </c>
      <c r="AR630" s="59"/>
      <c r="AS630" s="58" t="str">
        <f t="shared" si="390"/>
        <v/>
      </c>
      <c r="AT630" s="59"/>
      <c r="AU630" s="58" t="str">
        <f t="shared" si="391"/>
        <v/>
      </c>
      <c r="AV630" s="59"/>
      <c r="AW630" s="58" t="str">
        <f t="shared" si="392"/>
        <v/>
      </c>
      <c r="AX630" s="59"/>
      <c r="AY630" s="58" t="str">
        <f t="shared" si="393"/>
        <v/>
      </c>
      <c r="AZ630" s="59"/>
      <c r="BA630" s="58" t="str">
        <f t="shared" si="394"/>
        <v/>
      </c>
      <c r="BB630" s="59"/>
      <c r="BC630" s="58" t="str">
        <f t="shared" si="395"/>
        <v/>
      </c>
      <c r="BD630" s="59"/>
      <c r="BE630" s="58" t="str">
        <f t="shared" si="396"/>
        <v/>
      </c>
      <c r="BF630" s="59"/>
      <c r="BG630" s="58" t="str">
        <f t="shared" si="397"/>
        <v/>
      </c>
      <c r="BH630" s="59"/>
      <c r="BI630" s="58" t="str">
        <f t="shared" si="398"/>
        <v/>
      </c>
      <c r="BJ630" s="59"/>
      <c r="BK630" s="58" t="str">
        <f t="shared" si="399"/>
        <v/>
      </c>
      <c r="BL630" s="59"/>
      <c r="BM630" s="58">
        <f t="shared" si="400"/>
        <v>1396</v>
      </c>
      <c r="BN630" s="59"/>
      <c r="BO630" s="58" t="str">
        <f t="shared" si="401"/>
        <v/>
      </c>
      <c r="BP630" s="59"/>
      <c r="BQ630" s="58" t="str">
        <f t="shared" si="402"/>
        <v/>
      </c>
      <c r="BR630" s="59"/>
      <c r="BS630" s="58" t="str">
        <f t="shared" si="403"/>
        <v/>
      </c>
      <c r="BT630" s="59"/>
      <c r="BU630" s="58" t="str">
        <f t="shared" si="404"/>
        <v/>
      </c>
      <c r="BV630" s="59"/>
    </row>
    <row r="631" spans="1:74" ht="14.5">
      <c r="A631" s="51" t="s">
        <v>58</v>
      </c>
      <c r="B631" s="52">
        <v>440</v>
      </c>
      <c r="C631" s="52" t="s">
        <v>188</v>
      </c>
      <c r="D631" s="41">
        <f t="shared" si="376"/>
        <v>12</v>
      </c>
      <c r="E631" s="52" t="s">
        <v>158</v>
      </c>
      <c r="F631" s="52" t="s">
        <v>242</v>
      </c>
      <c r="G631" s="52" t="s">
        <v>156</v>
      </c>
      <c r="H631" s="52" t="s">
        <v>432</v>
      </c>
      <c r="I631" s="53">
        <v>45737</v>
      </c>
      <c r="J631" s="108">
        <v>1396</v>
      </c>
      <c r="K631" s="101"/>
      <c r="L631" s="101"/>
      <c r="M631" s="101">
        <f t="shared" si="377"/>
        <v>1396</v>
      </c>
      <c r="N631" s="54">
        <f t="shared" si="378"/>
        <v>1396</v>
      </c>
      <c r="O631" s="101" t="s">
        <v>431</v>
      </c>
      <c r="P631" s="102">
        <f t="shared" si="379"/>
        <v>1.9388888888888889</v>
      </c>
      <c r="Q631" s="102">
        <v>6</v>
      </c>
      <c r="R631" s="99">
        <v>120</v>
      </c>
      <c r="S631" s="55">
        <f t="shared" si="406"/>
        <v>45705</v>
      </c>
      <c r="T631" s="55"/>
      <c r="U631" s="56">
        <f t="shared" ca="1" si="408"/>
        <v>-135</v>
      </c>
      <c r="V631" s="55">
        <f t="shared" si="407"/>
        <v>45721</v>
      </c>
      <c r="W631" s="55"/>
      <c r="X631" s="56">
        <f t="shared" ca="1" si="409"/>
        <v>-119</v>
      </c>
      <c r="Y631" s="55"/>
      <c r="Z631" s="57"/>
      <c r="AA631" s="58" t="str">
        <f t="shared" si="381"/>
        <v>-</v>
      </c>
      <c r="AB631" s="59"/>
      <c r="AC631" s="58" t="str">
        <f t="shared" si="382"/>
        <v/>
      </c>
      <c r="AD631" s="59"/>
      <c r="AE631" s="58" t="str">
        <f t="shared" si="383"/>
        <v/>
      </c>
      <c r="AF631" s="59"/>
      <c r="AG631" s="58" t="str">
        <f t="shared" si="384"/>
        <v/>
      </c>
      <c r="AH631" s="59"/>
      <c r="AI631" s="58" t="str">
        <f t="shared" si="385"/>
        <v/>
      </c>
      <c r="AJ631" s="59"/>
      <c r="AK631" s="58" t="str">
        <f t="shared" si="386"/>
        <v/>
      </c>
      <c r="AL631" s="59"/>
      <c r="AM631" s="58" t="str">
        <f t="shared" si="387"/>
        <v/>
      </c>
      <c r="AN631" s="59"/>
      <c r="AO631" s="58" t="str">
        <f t="shared" si="388"/>
        <v/>
      </c>
      <c r="AP631" s="59"/>
      <c r="AQ631" s="58" t="str">
        <f t="shared" si="389"/>
        <v/>
      </c>
      <c r="AR631" s="59"/>
      <c r="AS631" s="58" t="str">
        <f t="shared" si="390"/>
        <v/>
      </c>
      <c r="AT631" s="59"/>
      <c r="AU631" s="58" t="str">
        <f t="shared" si="391"/>
        <v/>
      </c>
      <c r="AV631" s="59"/>
      <c r="AW631" s="58" t="str">
        <f t="shared" si="392"/>
        <v/>
      </c>
      <c r="AX631" s="59"/>
      <c r="AY631" s="58" t="str">
        <f t="shared" si="393"/>
        <v/>
      </c>
      <c r="AZ631" s="59"/>
      <c r="BA631" s="58" t="str">
        <f t="shared" si="394"/>
        <v/>
      </c>
      <c r="BB631" s="59"/>
      <c r="BC631" s="58" t="str">
        <f t="shared" si="395"/>
        <v/>
      </c>
      <c r="BD631" s="59"/>
      <c r="BE631" s="58" t="str">
        <f t="shared" si="396"/>
        <v/>
      </c>
      <c r="BF631" s="59"/>
      <c r="BG631" s="58" t="str">
        <f t="shared" si="397"/>
        <v/>
      </c>
      <c r="BH631" s="59"/>
      <c r="BI631" s="58" t="str">
        <f t="shared" si="398"/>
        <v/>
      </c>
      <c r="BJ631" s="59"/>
      <c r="BK631" s="58" t="str">
        <f t="shared" si="399"/>
        <v/>
      </c>
      <c r="BL631" s="59"/>
      <c r="BM631" s="58">
        <f t="shared" si="400"/>
        <v>1396</v>
      </c>
      <c r="BN631" s="59"/>
      <c r="BO631" s="58" t="str">
        <f t="shared" si="401"/>
        <v/>
      </c>
      <c r="BP631" s="59"/>
      <c r="BQ631" s="58" t="str">
        <f t="shared" si="402"/>
        <v/>
      </c>
      <c r="BR631" s="59"/>
      <c r="BS631" s="58" t="str">
        <f t="shared" si="403"/>
        <v/>
      </c>
      <c r="BT631" s="59"/>
      <c r="BU631" s="58" t="str">
        <f t="shared" si="404"/>
        <v/>
      </c>
      <c r="BV631" s="59"/>
    </row>
    <row r="632" spans="1:74" ht="14.5">
      <c r="A632" s="51" t="s">
        <v>58</v>
      </c>
      <c r="B632" s="52">
        <v>441</v>
      </c>
      <c r="C632" s="52" t="s">
        <v>188</v>
      </c>
      <c r="D632" s="41">
        <f t="shared" si="376"/>
        <v>12</v>
      </c>
      <c r="E632" s="52" t="s">
        <v>201</v>
      </c>
      <c r="F632" s="52" t="s">
        <v>247</v>
      </c>
      <c r="G632" s="52" t="s">
        <v>155</v>
      </c>
      <c r="H632" s="52" t="s">
        <v>442</v>
      </c>
      <c r="I632" s="53">
        <v>45737</v>
      </c>
      <c r="J632" s="108">
        <v>14256</v>
      </c>
      <c r="K632" s="101"/>
      <c r="L632" s="101"/>
      <c r="M632" s="101">
        <f t="shared" si="377"/>
        <v>14256</v>
      </c>
      <c r="N632" s="54">
        <f t="shared" si="378"/>
        <v>14256</v>
      </c>
      <c r="O632" s="101" t="s">
        <v>431</v>
      </c>
      <c r="P632" s="102">
        <f t="shared" si="379"/>
        <v>6.7885714285714283</v>
      </c>
      <c r="Q632" s="102">
        <v>6</v>
      </c>
      <c r="R632" s="99">
        <v>350</v>
      </c>
      <c r="S632" s="55">
        <f t="shared" si="406"/>
        <v>45705</v>
      </c>
      <c r="T632" s="55"/>
      <c r="U632" s="56">
        <f t="shared" ca="1" si="408"/>
        <v>-135</v>
      </c>
      <c r="V632" s="55">
        <f t="shared" si="407"/>
        <v>45721</v>
      </c>
      <c r="W632" s="55"/>
      <c r="X632" s="56">
        <f t="shared" ca="1" si="409"/>
        <v>-119</v>
      </c>
      <c r="Y632" s="55"/>
      <c r="Z632" s="57"/>
      <c r="AA632" s="58" t="str">
        <f t="shared" si="381"/>
        <v>-</v>
      </c>
      <c r="AB632" s="59"/>
      <c r="AC632" s="58" t="str">
        <f t="shared" si="382"/>
        <v/>
      </c>
      <c r="AD632" s="59"/>
      <c r="AE632" s="58" t="str">
        <f t="shared" si="383"/>
        <v/>
      </c>
      <c r="AF632" s="59"/>
      <c r="AG632" s="58" t="str">
        <f t="shared" si="384"/>
        <v/>
      </c>
      <c r="AH632" s="59"/>
      <c r="AI632" s="58" t="str">
        <f t="shared" si="385"/>
        <v/>
      </c>
      <c r="AJ632" s="59"/>
      <c r="AK632" s="58" t="str">
        <f t="shared" si="386"/>
        <v/>
      </c>
      <c r="AL632" s="59"/>
      <c r="AM632" s="58" t="str">
        <f t="shared" si="387"/>
        <v/>
      </c>
      <c r="AN632" s="59"/>
      <c r="AO632" s="58" t="str">
        <f t="shared" si="388"/>
        <v/>
      </c>
      <c r="AP632" s="59"/>
      <c r="AQ632" s="58" t="str">
        <f t="shared" si="389"/>
        <v/>
      </c>
      <c r="AR632" s="59"/>
      <c r="AS632" s="58" t="str">
        <f t="shared" si="390"/>
        <v/>
      </c>
      <c r="AT632" s="59"/>
      <c r="AU632" s="58" t="str">
        <f t="shared" si="391"/>
        <v/>
      </c>
      <c r="AV632" s="59"/>
      <c r="AW632" s="58" t="str">
        <f t="shared" si="392"/>
        <v/>
      </c>
      <c r="AX632" s="59"/>
      <c r="AY632" s="58" t="str">
        <f t="shared" si="393"/>
        <v/>
      </c>
      <c r="AZ632" s="59"/>
      <c r="BA632" s="58" t="str">
        <f t="shared" si="394"/>
        <v/>
      </c>
      <c r="BB632" s="59"/>
      <c r="BC632" s="58" t="str">
        <f t="shared" si="395"/>
        <v/>
      </c>
      <c r="BD632" s="59"/>
      <c r="BE632" s="58" t="str">
        <f t="shared" si="396"/>
        <v/>
      </c>
      <c r="BF632" s="59"/>
      <c r="BG632" s="58" t="str">
        <f t="shared" si="397"/>
        <v/>
      </c>
      <c r="BH632" s="59"/>
      <c r="BI632" s="58" t="str">
        <f t="shared" si="398"/>
        <v/>
      </c>
      <c r="BJ632" s="59"/>
      <c r="BK632" s="58" t="str">
        <f t="shared" si="399"/>
        <v/>
      </c>
      <c r="BL632" s="59"/>
      <c r="BM632" s="58">
        <f t="shared" si="400"/>
        <v>14256</v>
      </c>
      <c r="BN632" s="59"/>
      <c r="BO632" s="58" t="str">
        <f t="shared" si="401"/>
        <v/>
      </c>
      <c r="BP632" s="59"/>
      <c r="BQ632" s="58" t="str">
        <f t="shared" si="402"/>
        <v/>
      </c>
      <c r="BR632" s="59"/>
      <c r="BS632" s="58" t="str">
        <f t="shared" si="403"/>
        <v/>
      </c>
      <c r="BT632" s="59"/>
      <c r="BU632" s="58" t="str">
        <f t="shared" si="404"/>
        <v/>
      </c>
      <c r="BV632" s="59"/>
    </row>
    <row r="633" spans="1:74" ht="14.5">
      <c r="A633" s="51" t="s">
        <v>58</v>
      </c>
      <c r="B633" s="52">
        <v>441</v>
      </c>
      <c r="C633" s="52" t="s">
        <v>188</v>
      </c>
      <c r="D633" s="41">
        <f t="shared" si="376"/>
        <v>12</v>
      </c>
      <c r="E633" s="52" t="s">
        <v>391</v>
      </c>
      <c r="F633" s="52" t="s">
        <v>392</v>
      </c>
      <c r="G633" s="52" t="s">
        <v>393</v>
      </c>
      <c r="H633" s="52" t="s">
        <v>433</v>
      </c>
      <c r="I633" s="53">
        <v>45737</v>
      </c>
      <c r="J633" s="108">
        <v>1488</v>
      </c>
      <c r="K633" s="101"/>
      <c r="L633" s="101"/>
      <c r="M633" s="101">
        <f t="shared" si="377"/>
        <v>1488</v>
      </c>
      <c r="N633" s="54">
        <f t="shared" si="378"/>
        <v>1488</v>
      </c>
      <c r="O633" s="101" t="s">
        <v>431</v>
      </c>
      <c r="P633" s="102">
        <f t="shared" si="379"/>
        <v>3.1</v>
      </c>
      <c r="Q633" s="102">
        <v>6</v>
      </c>
      <c r="R633" s="99">
        <v>80</v>
      </c>
      <c r="S633" s="55">
        <f t="shared" si="406"/>
        <v>45705</v>
      </c>
      <c r="T633" s="55"/>
      <c r="U633" s="56">
        <f t="shared" ca="1" si="408"/>
        <v>-135</v>
      </c>
      <c r="V633" s="55">
        <f t="shared" si="407"/>
        <v>45721</v>
      </c>
      <c r="W633" s="55"/>
      <c r="X633" s="56">
        <f t="shared" ca="1" si="409"/>
        <v>-119</v>
      </c>
      <c r="Y633" s="55"/>
      <c r="Z633" s="57"/>
      <c r="AA633" s="58" t="str">
        <f t="shared" si="381"/>
        <v>-</v>
      </c>
      <c r="AB633" s="59"/>
      <c r="AC633" s="58" t="str">
        <f t="shared" si="382"/>
        <v/>
      </c>
      <c r="AD633" s="59"/>
      <c r="AE633" s="58" t="str">
        <f t="shared" si="383"/>
        <v/>
      </c>
      <c r="AF633" s="59"/>
      <c r="AG633" s="58" t="str">
        <f t="shared" si="384"/>
        <v/>
      </c>
      <c r="AH633" s="59"/>
      <c r="AI633" s="58" t="str">
        <f t="shared" si="385"/>
        <v/>
      </c>
      <c r="AJ633" s="59"/>
      <c r="AK633" s="58" t="str">
        <f t="shared" si="386"/>
        <v/>
      </c>
      <c r="AL633" s="59"/>
      <c r="AM633" s="58" t="str">
        <f t="shared" si="387"/>
        <v/>
      </c>
      <c r="AN633" s="59"/>
      <c r="AO633" s="58" t="str">
        <f t="shared" si="388"/>
        <v/>
      </c>
      <c r="AP633" s="59"/>
      <c r="AQ633" s="58" t="str">
        <f t="shared" si="389"/>
        <v/>
      </c>
      <c r="AR633" s="59"/>
      <c r="AS633" s="58" t="str">
        <f t="shared" si="390"/>
        <v/>
      </c>
      <c r="AT633" s="59"/>
      <c r="AU633" s="58" t="str">
        <f t="shared" si="391"/>
        <v/>
      </c>
      <c r="AV633" s="59"/>
      <c r="AW633" s="58" t="str">
        <f t="shared" si="392"/>
        <v/>
      </c>
      <c r="AX633" s="59"/>
      <c r="AY633" s="58" t="str">
        <f t="shared" si="393"/>
        <v/>
      </c>
      <c r="AZ633" s="59"/>
      <c r="BA633" s="58" t="str">
        <f t="shared" si="394"/>
        <v/>
      </c>
      <c r="BB633" s="59"/>
      <c r="BC633" s="58" t="str">
        <f t="shared" si="395"/>
        <v/>
      </c>
      <c r="BD633" s="59"/>
      <c r="BE633" s="58" t="str">
        <f t="shared" si="396"/>
        <v/>
      </c>
      <c r="BF633" s="59"/>
      <c r="BG633" s="58" t="str">
        <f t="shared" si="397"/>
        <v/>
      </c>
      <c r="BH633" s="59"/>
      <c r="BI633" s="58" t="str">
        <f t="shared" si="398"/>
        <v/>
      </c>
      <c r="BJ633" s="59"/>
      <c r="BK633" s="58" t="str">
        <f t="shared" si="399"/>
        <v/>
      </c>
      <c r="BL633" s="59"/>
      <c r="BM633" s="58">
        <f t="shared" si="400"/>
        <v>1488</v>
      </c>
      <c r="BN633" s="59"/>
      <c r="BO633" s="58" t="str">
        <f t="shared" si="401"/>
        <v/>
      </c>
      <c r="BP633" s="59"/>
      <c r="BQ633" s="58" t="str">
        <f t="shared" si="402"/>
        <v/>
      </c>
      <c r="BR633" s="59"/>
      <c r="BS633" s="58" t="str">
        <f t="shared" si="403"/>
        <v/>
      </c>
      <c r="BT633" s="59"/>
      <c r="BU633" s="58" t="str">
        <f t="shared" si="404"/>
        <v/>
      </c>
      <c r="BV633" s="59"/>
    </row>
    <row r="634" spans="1:74" ht="14.5">
      <c r="A634" s="51" t="s">
        <v>58</v>
      </c>
      <c r="B634" s="52">
        <v>441</v>
      </c>
      <c r="C634" s="52" t="s">
        <v>188</v>
      </c>
      <c r="D634" s="41">
        <f t="shared" si="376"/>
        <v>12</v>
      </c>
      <c r="E634" s="52" t="s">
        <v>158</v>
      </c>
      <c r="F634" s="52" t="s">
        <v>242</v>
      </c>
      <c r="G634" s="52" t="s">
        <v>156</v>
      </c>
      <c r="H634" s="52" t="s">
        <v>432</v>
      </c>
      <c r="I634" s="53">
        <v>45737</v>
      </c>
      <c r="J634" s="108">
        <v>1356</v>
      </c>
      <c r="K634" s="101"/>
      <c r="L634" s="101"/>
      <c r="M634" s="101">
        <f t="shared" si="377"/>
        <v>1356</v>
      </c>
      <c r="N634" s="54">
        <f t="shared" si="378"/>
        <v>1356</v>
      </c>
      <c r="O634" s="101" t="s">
        <v>431</v>
      </c>
      <c r="P634" s="102">
        <f t="shared" si="379"/>
        <v>1.8833333333333333</v>
      </c>
      <c r="Q634" s="102">
        <v>6</v>
      </c>
      <c r="R634" s="99">
        <v>120</v>
      </c>
      <c r="S634" s="55">
        <f t="shared" si="406"/>
        <v>45705</v>
      </c>
      <c r="T634" s="55"/>
      <c r="U634" s="56">
        <f t="shared" ca="1" si="408"/>
        <v>-135</v>
      </c>
      <c r="V634" s="55">
        <f t="shared" si="407"/>
        <v>45721</v>
      </c>
      <c r="W634" s="55"/>
      <c r="X634" s="56">
        <f t="shared" ca="1" si="409"/>
        <v>-119</v>
      </c>
      <c r="Y634" s="55"/>
      <c r="Z634" s="57"/>
      <c r="AA634" s="58" t="str">
        <f t="shared" si="381"/>
        <v>-</v>
      </c>
      <c r="AB634" s="59"/>
      <c r="AC634" s="58" t="str">
        <f t="shared" si="382"/>
        <v/>
      </c>
      <c r="AD634" s="59"/>
      <c r="AE634" s="58" t="str">
        <f t="shared" si="383"/>
        <v/>
      </c>
      <c r="AF634" s="59"/>
      <c r="AG634" s="58" t="str">
        <f t="shared" si="384"/>
        <v/>
      </c>
      <c r="AH634" s="59"/>
      <c r="AI634" s="58" t="str">
        <f t="shared" si="385"/>
        <v/>
      </c>
      <c r="AJ634" s="59"/>
      <c r="AK634" s="58" t="str">
        <f t="shared" si="386"/>
        <v/>
      </c>
      <c r="AL634" s="59"/>
      <c r="AM634" s="58" t="str">
        <f t="shared" si="387"/>
        <v/>
      </c>
      <c r="AN634" s="59"/>
      <c r="AO634" s="58" t="str">
        <f t="shared" si="388"/>
        <v/>
      </c>
      <c r="AP634" s="59"/>
      <c r="AQ634" s="58" t="str">
        <f t="shared" si="389"/>
        <v/>
      </c>
      <c r="AR634" s="59"/>
      <c r="AS634" s="58" t="str">
        <f t="shared" si="390"/>
        <v/>
      </c>
      <c r="AT634" s="59"/>
      <c r="AU634" s="58" t="str">
        <f t="shared" si="391"/>
        <v/>
      </c>
      <c r="AV634" s="59"/>
      <c r="AW634" s="58" t="str">
        <f t="shared" si="392"/>
        <v/>
      </c>
      <c r="AX634" s="59"/>
      <c r="AY634" s="58" t="str">
        <f t="shared" si="393"/>
        <v/>
      </c>
      <c r="AZ634" s="59"/>
      <c r="BA634" s="58" t="str">
        <f t="shared" si="394"/>
        <v/>
      </c>
      <c r="BB634" s="59"/>
      <c r="BC634" s="58" t="str">
        <f t="shared" si="395"/>
        <v/>
      </c>
      <c r="BD634" s="59"/>
      <c r="BE634" s="58" t="str">
        <f t="shared" si="396"/>
        <v/>
      </c>
      <c r="BF634" s="59"/>
      <c r="BG634" s="58" t="str">
        <f t="shared" si="397"/>
        <v/>
      </c>
      <c r="BH634" s="59"/>
      <c r="BI634" s="58" t="str">
        <f t="shared" si="398"/>
        <v/>
      </c>
      <c r="BJ634" s="59"/>
      <c r="BK634" s="58" t="str">
        <f t="shared" si="399"/>
        <v/>
      </c>
      <c r="BL634" s="59"/>
      <c r="BM634" s="58">
        <f t="shared" si="400"/>
        <v>1356</v>
      </c>
      <c r="BN634" s="59"/>
      <c r="BO634" s="58" t="str">
        <f t="shared" si="401"/>
        <v/>
      </c>
      <c r="BP634" s="59"/>
      <c r="BQ634" s="58" t="str">
        <f t="shared" si="402"/>
        <v/>
      </c>
      <c r="BR634" s="59"/>
      <c r="BS634" s="58" t="str">
        <f t="shared" si="403"/>
        <v/>
      </c>
      <c r="BT634" s="59"/>
      <c r="BU634" s="58" t="str">
        <f t="shared" si="404"/>
        <v/>
      </c>
      <c r="BV634" s="59"/>
    </row>
    <row r="635" spans="1:74" ht="14.5">
      <c r="A635" s="51" t="s">
        <v>58</v>
      </c>
      <c r="B635" s="52">
        <v>441</v>
      </c>
      <c r="C635" s="52" t="s">
        <v>188</v>
      </c>
      <c r="D635" s="41">
        <f t="shared" si="376"/>
        <v>12</v>
      </c>
      <c r="E635" s="52" t="s">
        <v>190</v>
      </c>
      <c r="F635" s="52" t="s">
        <v>242</v>
      </c>
      <c r="G635" s="52" t="s">
        <v>244</v>
      </c>
      <c r="H635" s="52" t="s">
        <v>438</v>
      </c>
      <c r="I635" s="53">
        <v>45737</v>
      </c>
      <c r="J635" s="108">
        <v>1356</v>
      </c>
      <c r="K635" s="101"/>
      <c r="L635" s="101"/>
      <c r="M635" s="101">
        <f t="shared" si="377"/>
        <v>1356</v>
      </c>
      <c r="N635" s="54">
        <f t="shared" si="378"/>
        <v>1356</v>
      </c>
      <c r="O635" s="101" t="s">
        <v>431</v>
      </c>
      <c r="P635" s="102">
        <f t="shared" si="379"/>
        <v>1.8833333333333333</v>
      </c>
      <c r="Q635" s="102">
        <v>6</v>
      </c>
      <c r="R635" s="99">
        <v>120</v>
      </c>
      <c r="S635" s="55">
        <f t="shared" si="406"/>
        <v>45705</v>
      </c>
      <c r="T635" s="55"/>
      <c r="U635" s="56">
        <f t="shared" ca="1" si="408"/>
        <v>-135</v>
      </c>
      <c r="V635" s="55">
        <f t="shared" si="407"/>
        <v>45721</v>
      </c>
      <c r="W635" s="55"/>
      <c r="X635" s="56">
        <f t="shared" ca="1" si="409"/>
        <v>-119</v>
      </c>
      <c r="Y635" s="55"/>
      <c r="Z635" s="57"/>
      <c r="AA635" s="58" t="str">
        <f t="shared" si="381"/>
        <v>-</v>
      </c>
      <c r="AB635" s="59"/>
      <c r="AC635" s="58" t="str">
        <f t="shared" si="382"/>
        <v/>
      </c>
      <c r="AD635" s="59"/>
      <c r="AE635" s="58" t="str">
        <f t="shared" si="383"/>
        <v/>
      </c>
      <c r="AF635" s="59"/>
      <c r="AG635" s="58" t="str">
        <f t="shared" si="384"/>
        <v/>
      </c>
      <c r="AH635" s="59"/>
      <c r="AI635" s="58" t="str">
        <f t="shared" si="385"/>
        <v/>
      </c>
      <c r="AJ635" s="59"/>
      <c r="AK635" s="58" t="str">
        <f t="shared" si="386"/>
        <v/>
      </c>
      <c r="AL635" s="59"/>
      <c r="AM635" s="58" t="str">
        <f t="shared" si="387"/>
        <v/>
      </c>
      <c r="AN635" s="59"/>
      <c r="AO635" s="58" t="str">
        <f t="shared" si="388"/>
        <v/>
      </c>
      <c r="AP635" s="59"/>
      <c r="AQ635" s="58" t="str">
        <f t="shared" si="389"/>
        <v/>
      </c>
      <c r="AR635" s="59"/>
      <c r="AS635" s="58" t="str">
        <f t="shared" si="390"/>
        <v/>
      </c>
      <c r="AT635" s="59"/>
      <c r="AU635" s="58" t="str">
        <f t="shared" si="391"/>
        <v/>
      </c>
      <c r="AV635" s="59"/>
      <c r="AW635" s="58" t="str">
        <f t="shared" si="392"/>
        <v/>
      </c>
      <c r="AX635" s="59"/>
      <c r="AY635" s="58" t="str">
        <f t="shared" si="393"/>
        <v/>
      </c>
      <c r="AZ635" s="59"/>
      <c r="BA635" s="58" t="str">
        <f t="shared" si="394"/>
        <v/>
      </c>
      <c r="BB635" s="59"/>
      <c r="BC635" s="58" t="str">
        <f t="shared" si="395"/>
        <v/>
      </c>
      <c r="BD635" s="59"/>
      <c r="BE635" s="58" t="str">
        <f t="shared" si="396"/>
        <v/>
      </c>
      <c r="BF635" s="59"/>
      <c r="BG635" s="58" t="str">
        <f t="shared" si="397"/>
        <v/>
      </c>
      <c r="BH635" s="59"/>
      <c r="BI635" s="58" t="str">
        <f t="shared" si="398"/>
        <v/>
      </c>
      <c r="BJ635" s="59"/>
      <c r="BK635" s="58" t="str">
        <f t="shared" si="399"/>
        <v/>
      </c>
      <c r="BL635" s="59"/>
      <c r="BM635" s="58">
        <f t="shared" si="400"/>
        <v>1356</v>
      </c>
      <c r="BN635" s="59"/>
      <c r="BO635" s="58" t="str">
        <f t="shared" si="401"/>
        <v/>
      </c>
      <c r="BP635" s="59"/>
      <c r="BQ635" s="58" t="str">
        <f t="shared" si="402"/>
        <v/>
      </c>
      <c r="BR635" s="59"/>
      <c r="BS635" s="58" t="str">
        <f t="shared" si="403"/>
        <v/>
      </c>
      <c r="BT635" s="59"/>
      <c r="BU635" s="58" t="str">
        <f t="shared" si="404"/>
        <v/>
      </c>
      <c r="BV635" s="59"/>
    </row>
    <row r="636" spans="1:74" ht="14.5">
      <c r="A636" s="51" t="s">
        <v>466</v>
      </c>
      <c r="B636" s="114" t="s">
        <v>586</v>
      </c>
      <c r="C636" s="52" t="s">
        <v>55</v>
      </c>
      <c r="D636" s="41">
        <f t="shared" si="376"/>
        <v>13</v>
      </c>
      <c r="E636" s="52" t="s">
        <v>539</v>
      </c>
      <c r="F636" s="52" t="s">
        <v>286</v>
      </c>
      <c r="G636" s="52" t="s">
        <v>162</v>
      </c>
      <c r="H636" s="52" t="s">
        <v>581</v>
      </c>
      <c r="I636" s="53">
        <v>45741</v>
      </c>
      <c r="J636" s="108">
        <v>45900</v>
      </c>
      <c r="K636" s="101"/>
      <c r="L636" s="101"/>
      <c r="M636" s="101">
        <f t="shared" si="377"/>
        <v>45900</v>
      </c>
      <c r="N636" s="54">
        <f t="shared" si="378"/>
        <v>45900</v>
      </c>
      <c r="O636" s="101" t="s">
        <v>178</v>
      </c>
      <c r="P636" s="102">
        <f t="shared" si="379"/>
        <v>95.625</v>
      </c>
      <c r="Q636" s="102">
        <v>6</v>
      </c>
      <c r="R636" s="99">
        <v>80</v>
      </c>
      <c r="S636" s="55">
        <f t="shared" si="406"/>
        <v>45709</v>
      </c>
      <c r="T636" s="55"/>
      <c r="U636" s="56">
        <f t="shared" ca="1" si="408"/>
        <v>-131</v>
      </c>
      <c r="V636" s="55">
        <f t="shared" si="407"/>
        <v>45725</v>
      </c>
      <c r="W636" s="55"/>
      <c r="X636" s="56">
        <f t="shared" ca="1" si="409"/>
        <v>-115</v>
      </c>
      <c r="Y636" s="55"/>
      <c r="Z636" s="57"/>
      <c r="AA636" s="58" t="str">
        <f t="shared" si="381"/>
        <v>-</v>
      </c>
      <c r="AB636" s="59"/>
      <c r="AC636" s="58" t="str">
        <f t="shared" si="382"/>
        <v/>
      </c>
      <c r="AD636" s="59"/>
      <c r="AE636" s="58" t="str">
        <f t="shared" si="383"/>
        <v/>
      </c>
      <c r="AF636" s="59"/>
      <c r="AG636" s="58" t="str">
        <f t="shared" si="384"/>
        <v/>
      </c>
      <c r="AH636" s="59"/>
      <c r="AI636" s="58" t="str">
        <f t="shared" si="385"/>
        <v/>
      </c>
      <c r="AJ636" s="59"/>
      <c r="AK636" s="58" t="str">
        <f t="shared" si="386"/>
        <v/>
      </c>
      <c r="AL636" s="59"/>
      <c r="AM636" s="58" t="str">
        <f t="shared" si="387"/>
        <v/>
      </c>
      <c r="AN636" s="59"/>
      <c r="AO636" s="58" t="str">
        <f t="shared" si="388"/>
        <v/>
      </c>
      <c r="AP636" s="59"/>
      <c r="AQ636" s="58" t="str">
        <f t="shared" si="389"/>
        <v/>
      </c>
      <c r="AR636" s="59"/>
      <c r="AS636" s="58" t="str">
        <f t="shared" si="390"/>
        <v/>
      </c>
      <c r="AT636" s="59"/>
      <c r="AU636" s="58" t="str">
        <f t="shared" si="391"/>
        <v/>
      </c>
      <c r="AV636" s="59"/>
      <c r="AW636" s="58" t="str">
        <f t="shared" si="392"/>
        <v/>
      </c>
      <c r="AX636" s="59"/>
      <c r="AY636" s="58" t="str">
        <f t="shared" si="393"/>
        <v/>
      </c>
      <c r="AZ636" s="59"/>
      <c r="BA636" s="58" t="str">
        <f t="shared" si="394"/>
        <v/>
      </c>
      <c r="BB636" s="59"/>
      <c r="BC636" s="58" t="str">
        <f t="shared" si="395"/>
        <v/>
      </c>
      <c r="BD636" s="59"/>
      <c r="BE636" s="58" t="str">
        <f t="shared" si="396"/>
        <v/>
      </c>
      <c r="BF636" s="59"/>
      <c r="BG636" s="58" t="str">
        <f t="shared" si="397"/>
        <v/>
      </c>
      <c r="BH636" s="59"/>
      <c r="BI636" s="58" t="str">
        <f t="shared" si="398"/>
        <v/>
      </c>
      <c r="BJ636" s="59"/>
      <c r="BK636" s="58" t="str">
        <f t="shared" si="399"/>
        <v/>
      </c>
      <c r="BL636" s="59"/>
      <c r="BM636" s="58">
        <f t="shared" si="400"/>
        <v>45900</v>
      </c>
      <c r="BN636" s="59"/>
      <c r="BO636" s="58" t="str">
        <f t="shared" si="401"/>
        <v/>
      </c>
      <c r="BP636" s="59"/>
      <c r="BQ636" s="58" t="str">
        <f t="shared" si="402"/>
        <v/>
      </c>
      <c r="BR636" s="59"/>
      <c r="BS636" s="58" t="str">
        <f t="shared" si="403"/>
        <v/>
      </c>
      <c r="BT636" s="59"/>
      <c r="BU636" s="58" t="str">
        <f t="shared" si="404"/>
        <v/>
      </c>
      <c r="BV636" s="59"/>
    </row>
    <row r="637" spans="1:74" ht="14.5">
      <c r="A637" s="51" t="s">
        <v>466</v>
      </c>
      <c r="B637" s="114" t="s">
        <v>586</v>
      </c>
      <c r="C637" s="52" t="s">
        <v>55</v>
      </c>
      <c r="D637" s="41">
        <f t="shared" si="376"/>
        <v>13</v>
      </c>
      <c r="E637" s="52" t="s">
        <v>539</v>
      </c>
      <c r="F637" s="52" t="s">
        <v>286</v>
      </c>
      <c r="G637" s="52" t="s">
        <v>155</v>
      </c>
      <c r="H637" s="52" t="s">
        <v>581</v>
      </c>
      <c r="I637" s="53">
        <v>45741</v>
      </c>
      <c r="J637" s="108">
        <v>46920</v>
      </c>
      <c r="K637" s="101"/>
      <c r="L637" s="101"/>
      <c r="M637" s="101">
        <f t="shared" si="377"/>
        <v>46920</v>
      </c>
      <c r="N637" s="54">
        <f t="shared" si="378"/>
        <v>46920</v>
      </c>
      <c r="O637" s="101" t="s">
        <v>178</v>
      </c>
      <c r="P637" s="102">
        <f t="shared" si="379"/>
        <v>97.75</v>
      </c>
      <c r="Q637" s="102">
        <v>6</v>
      </c>
      <c r="R637" s="99">
        <v>80</v>
      </c>
      <c r="S637" s="55">
        <f t="shared" si="406"/>
        <v>45709</v>
      </c>
      <c r="T637" s="55"/>
      <c r="U637" s="56">
        <f t="shared" ca="1" si="408"/>
        <v>-131</v>
      </c>
      <c r="V637" s="55">
        <f t="shared" si="407"/>
        <v>45725</v>
      </c>
      <c r="W637" s="55"/>
      <c r="X637" s="56">
        <f t="shared" ca="1" si="409"/>
        <v>-115</v>
      </c>
      <c r="Y637" s="55"/>
      <c r="Z637" s="57"/>
      <c r="AA637" s="58" t="str">
        <f t="shared" ref="AA637:AA652" si="410">+IF($AA$4=WEEKNUM(S637),J637,"-")</f>
        <v>-</v>
      </c>
      <c r="AB637" s="59"/>
      <c r="AC637" s="58" t="str">
        <f t="shared" ref="AC637:AC652" si="411">+IF($AC$4=WEEKNUM(S637),J637,"")</f>
        <v/>
      </c>
      <c r="AD637" s="59"/>
      <c r="AE637" s="58" t="str">
        <f t="shared" ref="AE637:AE652" si="412">+IF($AE$4=WEEKNUM(S637),J637,"")</f>
        <v/>
      </c>
      <c r="AF637" s="59"/>
      <c r="AG637" s="58" t="str">
        <f t="shared" ref="AG637:AG652" si="413">+IF($AG$4=WEEKNUM(S637),J637,"")</f>
        <v/>
      </c>
      <c r="AH637" s="59"/>
      <c r="AI637" s="58" t="str">
        <f t="shared" ref="AI637:AI652" si="414">+IF($AI$4=WEEKNUM(S637),J637,"")</f>
        <v/>
      </c>
      <c r="AJ637" s="59"/>
      <c r="AK637" s="58" t="str">
        <f t="shared" ref="AK637:AK652" si="415">+IF($AK$4=WEEKNUM(S637),J637,"")</f>
        <v/>
      </c>
      <c r="AL637" s="59"/>
      <c r="AM637" s="58" t="str">
        <f t="shared" ref="AM637:AM652" si="416">+IF($AM$4=WEEKNUM(S637),J637,"")</f>
        <v/>
      </c>
      <c r="AN637" s="59"/>
      <c r="AO637" s="58" t="str">
        <f t="shared" ref="AO637:AO652" si="417">+IF($AO$4=WEEKNUM(S637),J637,"")</f>
        <v/>
      </c>
      <c r="AP637" s="59"/>
      <c r="AQ637" s="58" t="str">
        <f t="shared" ref="AQ637:AQ652" si="418">+IF($AQ$4=WEEKNUM(S637),J637,"")</f>
        <v/>
      </c>
      <c r="AR637" s="59"/>
      <c r="AS637" s="58" t="str">
        <f t="shared" ref="AS637:AS652" si="419">+IF($AS$4=WEEKNUM(S637),J637,"")</f>
        <v/>
      </c>
      <c r="AT637" s="59"/>
      <c r="AU637" s="58" t="str">
        <f t="shared" ref="AU637:AU652" si="420">+IF($AU$4=WEEKNUM(S637),J637,"")</f>
        <v/>
      </c>
      <c r="AV637" s="59"/>
      <c r="AW637" s="58" t="str">
        <f t="shared" ref="AW637:AW652" si="421">+IF($AW$4=WEEKNUM(S637),J637,"")</f>
        <v/>
      </c>
      <c r="AX637" s="59"/>
      <c r="AY637" s="58" t="str">
        <f t="shared" ref="AY637:AY652" si="422">+IF($AY$4=WEEKNUM(S637),J637,"")</f>
        <v/>
      </c>
      <c r="AZ637" s="59"/>
      <c r="BA637" s="58" t="str">
        <f t="shared" ref="BA637:BA652" si="423">+IF($BA$4=WEEKNUM(S637),J637,"")</f>
        <v/>
      </c>
      <c r="BB637" s="59"/>
      <c r="BC637" s="58" t="str">
        <f t="shared" ref="BC637:BC652" si="424">+IF($BC$4=WEEKNUM(S637),J637,"")</f>
        <v/>
      </c>
      <c r="BD637" s="59"/>
      <c r="BE637" s="58" t="str">
        <f t="shared" ref="BE637:BE652" si="425">+IF($BE$4=WEEKNUM(S637),J637,"")</f>
        <v/>
      </c>
      <c r="BF637" s="59"/>
      <c r="BG637" s="58" t="str">
        <f t="shared" ref="BG637:BG652" si="426">+IF($BG$4=WEEKNUM(S637),J637,"")</f>
        <v/>
      </c>
      <c r="BH637" s="59"/>
      <c r="BI637" s="58" t="str">
        <f t="shared" ref="BI637:BI652" si="427">+IF($BI$4=WEEKNUM(S637),J637,"")</f>
        <v/>
      </c>
      <c r="BJ637" s="59"/>
      <c r="BK637" s="58" t="str">
        <f t="shared" ref="BK637:BK652" si="428">+IF($BK$4=WEEKNUM(S637),J637,"")</f>
        <v/>
      </c>
      <c r="BL637" s="59"/>
      <c r="BM637" s="58">
        <f t="shared" ref="BM637:BM652" si="429">+IF($BM$4=WEEKNUM(S637),J637,"")</f>
        <v>46920</v>
      </c>
      <c r="BN637" s="59"/>
      <c r="BO637" s="58" t="str">
        <f t="shared" ref="BO637:BO652" si="430">+IF($BO$4=WEEKNUM(S637),J637,"")</f>
        <v/>
      </c>
      <c r="BP637" s="59"/>
      <c r="BQ637" s="58" t="str">
        <f t="shared" ref="BQ637:BQ652" si="431">+IF($BQ$4=WEEKNUM(S637),J637,"")</f>
        <v/>
      </c>
      <c r="BR637" s="59"/>
      <c r="BS637" s="58" t="str">
        <f t="shared" ref="BS637:BS652" si="432">+IF($BS$4=WEEKNUM(S637),J637,"")</f>
        <v/>
      </c>
      <c r="BT637" s="59"/>
      <c r="BU637" s="58" t="str">
        <f t="shared" ref="BU637:BU652" si="433">+IF($BU$4=WEEKNUM(S637),J637,"")</f>
        <v/>
      </c>
      <c r="BV637" s="59"/>
    </row>
    <row r="638" spans="1:74" ht="14.5">
      <c r="A638" s="51" t="s">
        <v>446</v>
      </c>
      <c r="B638" s="52" t="s">
        <v>587</v>
      </c>
      <c r="C638" s="52" t="s">
        <v>60</v>
      </c>
      <c r="D638" s="41">
        <f t="shared" si="376"/>
        <v>13</v>
      </c>
      <c r="E638" s="52" t="s">
        <v>187</v>
      </c>
      <c r="F638" s="52" t="s">
        <v>448</v>
      </c>
      <c r="G638" s="52" t="s">
        <v>164</v>
      </c>
      <c r="H638" s="52" t="s">
        <v>449</v>
      </c>
      <c r="I638" s="53">
        <v>45744</v>
      </c>
      <c r="J638" s="108">
        <v>9000</v>
      </c>
      <c r="K638" s="101"/>
      <c r="L638" s="101"/>
      <c r="M638" s="101">
        <f t="shared" si="377"/>
        <v>9000</v>
      </c>
      <c r="N638" s="54">
        <f t="shared" si="378"/>
        <v>9000</v>
      </c>
      <c r="O638" s="101" t="s">
        <v>429</v>
      </c>
      <c r="P638" s="102">
        <f t="shared" si="379"/>
        <v>1.3636363636363635</v>
      </c>
      <c r="Q638" s="102">
        <v>6</v>
      </c>
      <c r="R638" s="99">
        <v>1100</v>
      </c>
      <c r="S638" s="55">
        <f>+I638-(28)</f>
        <v>45716</v>
      </c>
      <c r="T638" s="55"/>
      <c r="U638" s="56">
        <f t="shared" ca="1" si="408"/>
        <v>-124</v>
      </c>
      <c r="V638" s="55">
        <f t="shared" si="407"/>
        <v>45732</v>
      </c>
      <c r="W638" s="55"/>
      <c r="X638" s="56">
        <f t="shared" ca="1" si="409"/>
        <v>-108</v>
      </c>
      <c r="Y638" s="55"/>
      <c r="Z638" s="57"/>
      <c r="AA638" s="58" t="str">
        <f t="shared" si="410"/>
        <v>-</v>
      </c>
      <c r="AB638" s="59"/>
      <c r="AC638" s="58" t="str">
        <f t="shared" si="411"/>
        <v/>
      </c>
      <c r="AD638" s="59"/>
      <c r="AE638" s="58" t="str">
        <f t="shared" si="412"/>
        <v/>
      </c>
      <c r="AF638" s="59"/>
      <c r="AG638" s="58" t="str">
        <f t="shared" si="413"/>
        <v/>
      </c>
      <c r="AH638" s="59"/>
      <c r="AI638" s="58" t="str">
        <f t="shared" si="414"/>
        <v/>
      </c>
      <c r="AJ638" s="59"/>
      <c r="AK638" s="58" t="str">
        <f t="shared" si="415"/>
        <v/>
      </c>
      <c r="AL638" s="59"/>
      <c r="AM638" s="58" t="str">
        <f t="shared" si="416"/>
        <v/>
      </c>
      <c r="AN638" s="59"/>
      <c r="AO638" s="58" t="str">
        <f t="shared" si="417"/>
        <v/>
      </c>
      <c r="AP638" s="59"/>
      <c r="AQ638" s="58" t="str">
        <f t="shared" si="418"/>
        <v/>
      </c>
      <c r="AR638" s="59"/>
      <c r="AS638" s="58" t="str">
        <f t="shared" si="419"/>
        <v/>
      </c>
      <c r="AT638" s="59"/>
      <c r="AU638" s="58" t="str">
        <f t="shared" si="420"/>
        <v/>
      </c>
      <c r="AV638" s="59"/>
      <c r="AW638" s="58" t="str">
        <f t="shared" si="421"/>
        <v/>
      </c>
      <c r="AX638" s="59"/>
      <c r="AY638" s="58" t="str">
        <f t="shared" si="422"/>
        <v/>
      </c>
      <c r="AZ638" s="59"/>
      <c r="BA638" s="58" t="str">
        <f t="shared" si="423"/>
        <v/>
      </c>
      <c r="BB638" s="59"/>
      <c r="BC638" s="58" t="str">
        <f t="shared" si="424"/>
        <v/>
      </c>
      <c r="BD638" s="59"/>
      <c r="BE638" s="58" t="str">
        <f t="shared" si="425"/>
        <v/>
      </c>
      <c r="BF638" s="59"/>
      <c r="BG638" s="58" t="str">
        <f t="shared" si="426"/>
        <v/>
      </c>
      <c r="BH638" s="59"/>
      <c r="BI638" s="58" t="str">
        <f t="shared" si="427"/>
        <v/>
      </c>
      <c r="BJ638" s="59"/>
      <c r="BK638" s="58" t="str">
        <f t="shared" si="428"/>
        <v/>
      </c>
      <c r="BL638" s="59"/>
      <c r="BM638" s="58" t="str">
        <f t="shared" si="429"/>
        <v/>
      </c>
      <c r="BN638" s="59"/>
      <c r="BO638" s="58">
        <f t="shared" si="430"/>
        <v>9000</v>
      </c>
      <c r="BP638" s="59"/>
      <c r="BQ638" s="58" t="str">
        <f t="shared" si="431"/>
        <v/>
      </c>
      <c r="BR638" s="59"/>
      <c r="BS638" s="58" t="str">
        <f t="shared" si="432"/>
        <v/>
      </c>
      <c r="BT638" s="59"/>
      <c r="BU638" s="58" t="str">
        <f t="shared" si="433"/>
        <v/>
      </c>
      <c r="BV638" s="59"/>
    </row>
    <row r="639" spans="1:74" ht="14.5">
      <c r="A639" s="51" t="s">
        <v>446</v>
      </c>
      <c r="B639" s="52" t="s">
        <v>587</v>
      </c>
      <c r="C639" s="52" t="s">
        <v>60</v>
      </c>
      <c r="D639" s="41">
        <f t="shared" si="376"/>
        <v>13</v>
      </c>
      <c r="E639" s="52" t="s">
        <v>187</v>
      </c>
      <c r="F639" s="52" t="s">
        <v>448</v>
      </c>
      <c r="G639" s="52" t="s">
        <v>155</v>
      </c>
      <c r="H639" s="52" t="s">
        <v>449</v>
      </c>
      <c r="I639" s="53">
        <v>45744</v>
      </c>
      <c r="J639" s="108">
        <v>9000</v>
      </c>
      <c r="K639" s="101"/>
      <c r="L639" s="101"/>
      <c r="M639" s="101">
        <f t="shared" si="377"/>
        <v>9000</v>
      </c>
      <c r="N639" s="54">
        <f t="shared" si="378"/>
        <v>9000</v>
      </c>
      <c r="O639" s="101" t="s">
        <v>429</v>
      </c>
      <c r="P639" s="102">
        <f t="shared" si="379"/>
        <v>1.3636363636363635</v>
      </c>
      <c r="Q639" s="102">
        <v>6</v>
      </c>
      <c r="R639" s="99">
        <v>1100</v>
      </c>
      <c r="S639" s="55">
        <f>+I639-(28)</f>
        <v>45716</v>
      </c>
      <c r="T639" s="55"/>
      <c r="U639" s="56">
        <f t="shared" ca="1" si="408"/>
        <v>-124</v>
      </c>
      <c r="V639" s="55">
        <f t="shared" si="407"/>
        <v>45732</v>
      </c>
      <c r="W639" s="55"/>
      <c r="X639" s="56">
        <f t="shared" ca="1" si="409"/>
        <v>-108</v>
      </c>
      <c r="Y639" s="55"/>
      <c r="Z639" s="57"/>
      <c r="AA639" s="58" t="str">
        <f t="shared" si="410"/>
        <v>-</v>
      </c>
      <c r="AB639" s="59"/>
      <c r="AC639" s="58" t="str">
        <f t="shared" si="411"/>
        <v/>
      </c>
      <c r="AD639" s="59"/>
      <c r="AE639" s="58" t="str">
        <f t="shared" si="412"/>
        <v/>
      </c>
      <c r="AF639" s="59"/>
      <c r="AG639" s="58" t="str">
        <f t="shared" si="413"/>
        <v/>
      </c>
      <c r="AH639" s="59"/>
      <c r="AI639" s="58" t="str">
        <f t="shared" si="414"/>
        <v/>
      </c>
      <c r="AJ639" s="59"/>
      <c r="AK639" s="58" t="str">
        <f t="shared" si="415"/>
        <v/>
      </c>
      <c r="AL639" s="59"/>
      <c r="AM639" s="58" t="str">
        <f t="shared" si="416"/>
        <v/>
      </c>
      <c r="AN639" s="59"/>
      <c r="AO639" s="58" t="str">
        <f t="shared" si="417"/>
        <v/>
      </c>
      <c r="AP639" s="59"/>
      <c r="AQ639" s="58" t="str">
        <f t="shared" si="418"/>
        <v/>
      </c>
      <c r="AR639" s="59"/>
      <c r="AS639" s="58" t="str">
        <f t="shared" si="419"/>
        <v/>
      </c>
      <c r="AT639" s="59"/>
      <c r="AU639" s="58" t="str">
        <f t="shared" si="420"/>
        <v/>
      </c>
      <c r="AV639" s="59"/>
      <c r="AW639" s="58" t="str">
        <f t="shared" si="421"/>
        <v/>
      </c>
      <c r="AX639" s="59"/>
      <c r="AY639" s="58" t="str">
        <f t="shared" si="422"/>
        <v/>
      </c>
      <c r="AZ639" s="59"/>
      <c r="BA639" s="58" t="str">
        <f t="shared" si="423"/>
        <v/>
      </c>
      <c r="BB639" s="59"/>
      <c r="BC639" s="58" t="str">
        <f t="shared" si="424"/>
        <v/>
      </c>
      <c r="BD639" s="59"/>
      <c r="BE639" s="58" t="str">
        <f t="shared" si="425"/>
        <v/>
      </c>
      <c r="BF639" s="59"/>
      <c r="BG639" s="58" t="str">
        <f t="shared" si="426"/>
        <v/>
      </c>
      <c r="BH639" s="59"/>
      <c r="BI639" s="58" t="str">
        <f t="shared" si="427"/>
        <v/>
      </c>
      <c r="BJ639" s="59"/>
      <c r="BK639" s="58" t="str">
        <f t="shared" si="428"/>
        <v/>
      </c>
      <c r="BL639" s="59"/>
      <c r="BM639" s="58" t="str">
        <f t="shared" si="429"/>
        <v/>
      </c>
      <c r="BN639" s="59"/>
      <c r="BO639" s="58">
        <f t="shared" si="430"/>
        <v>9000</v>
      </c>
      <c r="BP639" s="59"/>
      <c r="BQ639" s="58" t="str">
        <f t="shared" si="431"/>
        <v/>
      </c>
      <c r="BR639" s="59"/>
      <c r="BS639" s="58" t="str">
        <f t="shared" si="432"/>
        <v/>
      </c>
      <c r="BT639" s="59"/>
      <c r="BU639" s="58" t="str">
        <f t="shared" si="433"/>
        <v/>
      </c>
      <c r="BV639" s="59"/>
    </row>
    <row r="640" spans="1:74" ht="14.5">
      <c r="A640" s="51" t="s">
        <v>446</v>
      </c>
      <c r="B640" s="52" t="s">
        <v>587</v>
      </c>
      <c r="C640" s="52" t="s">
        <v>60</v>
      </c>
      <c r="D640" s="41">
        <f t="shared" si="376"/>
        <v>13</v>
      </c>
      <c r="E640" s="52" t="s">
        <v>187</v>
      </c>
      <c r="F640" s="52" t="s">
        <v>448</v>
      </c>
      <c r="G640" s="52" t="s">
        <v>450</v>
      </c>
      <c r="H640" s="52" t="s">
        <v>449</v>
      </c>
      <c r="I640" s="53">
        <v>45744</v>
      </c>
      <c r="J640" s="108">
        <v>6000</v>
      </c>
      <c r="K640" s="101"/>
      <c r="L640" s="101"/>
      <c r="M640" s="101">
        <f t="shared" si="377"/>
        <v>6000</v>
      </c>
      <c r="N640" s="54">
        <f t="shared" si="378"/>
        <v>6000</v>
      </c>
      <c r="O640" s="101" t="s">
        <v>429</v>
      </c>
      <c r="P640" s="102">
        <f t="shared" si="379"/>
        <v>0.90909090909090906</v>
      </c>
      <c r="Q640" s="102">
        <v>6</v>
      </c>
      <c r="R640" s="99">
        <v>1100</v>
      </c>
      <c r="S640" s="55">
        <f>+I640-(28)</f>
        <v>45716</v>
      </c>
      <c r="T640" s="55"/>
      <c r="U640" s="56">
        <f t="shared" ca="1" si="408"/>
        <v>-124</v>
      </c>
      <c r="V640" s="55">
        <f t="shared" si="407"/>
        <v>45732</v>
      </c>
      <c r="W640" s="55"/>
      <c r="X640" s="56">
        <f t="shared" ca="1" si="409"/>
        <v>-108</v>
      </c>
      <c r="Y640" s="55"/>
      <c r="Z640" s="57"/>
      <c r="AA640" s="58" t="str">
        <f t="shared" si="410"/>
        <v>-</v>
      </c>
      <c r="AB640" s="59"/>
      <c r="AC640" s="58" t="str">
        <f t="shared" si="411"/>
        <v/>
      </c>
      <c r="AD640" s="59"/>
      <c r="AE640" s="58" t="str">
        <f t="shared" si="412"/>
        <v/>
      </c>
      <c r="AF640" s="59"/>
      <c r="AG640" s="58" t="str">
        <f t="shared" si="413"/>
        <v/>
      </c>
      <c r="AH640" s="59"/>
      <c r="AI640" s="58" t="str">
        <f t="shared" si="414"/>
        <v/>
      </c>
      <c r="AJ640" s="59"/>
      <c r="AK640" s="58" t="str">
        <f t="shared" si="415"/>
        <v/>
      </c>
      <c r="AL640" s="59"/>
      <c r="AM640" s="58" t="str">
        <f t="shared" si="416"/>
        <v/>
      </c>
      <c r="AN640" s="59"/>
      <c r="AO640" s="58" t="str">
        <f t="shared" si="417"/>
        <v/>
      </c>
      <c r="AP640" s="59"/>
      <c r="AQ640" s="58" t="str">
        <f t="shared" si="418"/>
        <v/>
      </c>
      <c r="AR640" s="59"/>
      <c r="AS640" s="58" t="str">
        <f t="shared" si="419"/>
        <v/>
      </c>
      <c r="AT640" s="59"/>
      <c r="AU640" s="58" t="str">
        <f t="shared" si="420"/>
        <v/>
      </c>
      <c r="AV640" s="59"/>
      <c r="AW640" s="58" t="str">
        <f t="shared" si="421"/>
        <v/>
      </c>
      <c r="AX640" s="59"/>
      <c r="AY640" s="58" t="str">
        <f t="shared" si="422"/>
        <v/>
      </c>
      <c r="AZ640" s="59"/>
      <c r="BA640" s="58" t="str">
        <f t="shared" si="423"/>
        <v/>
      </c>
      <c r="BB640" s="59"/>
      <c r="BC640" s="58" t="str">
        <f t="shared" si="424"/>
        <v/>
      </c>
      <c r="BD640" s="59"/>
      <c r="BE640" s="58" t="str">
        <f t="shared" si="425"/>
        <v/>
      </c>
      <c r="BF640" s="59"/>
      <c r="BG640" s="58" t="str">
        <f t="shared" si="426"/>
        <v/>
      </c>
      <c r="BH640" s="59"/>
      <c r="BI640" s="58" t="str">
        <f t="shared" si="427"/>
        <v/>
      </c>
      <c r="BJ640" s="59"/>
      <c r="BK640" s="58" t="str">
        <f t="shared" si="428"/>
        <v/>
      </c>
      <c r="BL640" s="59"/>
      <c r="BM640" s="58" t="str">
        <f t="shared" si="429"/>
        <v/>
      </c>
      <c r="BN640" s="59"/>
      <c r="BO640" s="58">
        <f t="shared" si="430"/>
        <v>6000</v>
      </c>
      <c r="BP640" s="59"/>
      <c r="BQ640" s="58" t="str">
        <f t="shared" si="431"/>
        <v/>
      </c>
      <c r="BR640" s="59"/>
      <c r="BS640" s="58" t="str">
        <f t="shared" si="432"/>
        <v/>
      </c>
      <c r="BT640" s="59"/>
      <c r="BU640" s="58" t="str">
        <f t="shared" si="433"/>
        <v/>
      </c>
      <c r="BV640" s="59"/>
    </row>
    <row r="641" spans="1:74" ht="14.5">
      <c r="A641" s="51" t="s">
        <v>58</v>
      </c>
      <c r="B641" s="52">
        <v>417</v>
      </c>
      <c r="C641" s="52" t="s">
        <v>188</v>
      </c>
      <c r="D641" s="41">
        <f t="shared" si="376"/>
        <v>13</v>
      </c>
      <c r="E641" s="52" t="s">
        <v>390</v>
      </c>
      <c r="F641" s="52" t="s">
        <v>242</v>
      </c>
      <c r="G641" s="52" t="s">
        <v>162</v>
      </c>
      <c r="H641" s="52" t="s">
        <v>430</v>
      </c>
      <c r="I641" s="53">
        <v>45744</v>
      </c>
      <c r="J641" s="108">
        <v>3840</v>
      </c>
      <c r="K641" s="101"/>
      <c r="L641" s="101"/>
      <c r="M641" s="101">
        <f t="shared" si="377"/>
        <v>3840</v>
      </c>
      <c r="N641" s="54">
        <f t="shared" si="378"/>
        <v>3840</v>
      </c>
      <c r="O641" s="101" t="s">
        <v>431</v>
      </c>
      <c r="P641" s="102">
        <f t="shared" si="379"/>
        <v>5.333333333333333</v>
      </c>
      <c r="Q641" s="102">
        <v>6</v>
      </c>
      <c r="R641" s="99">
        <v>120</v>
      </c>
      <c r="S641" s="55">
        <f t="shared" ref="S641:S652" si="434">+I641-(32)</f>
        <v>45712</v>
      </c>
      <c r="T641" s="55"/>
      <c r="U641" s="56">
        <f t="shared" ca="1" si="408"/>
        <v>-128</v>
      </c>
      <c r="V641" s="55">
        <f t="shared" si="407"/>
        <v>45728</v>
      </c>
      <c r="W641" s="55"/>
      <c r="X641" s="56">
        <f t="shared" ca="1" si="409"/>
        <v>-112</v>
      </c>
      <c r="Y641" s="55"/>
      <c r="Z641" s="57"/>
      <c r="AA641" s="58" t="str">
        <f t="shared" si="410"/>
        <v>-</v>
      </c>
      <c r="AB641" s="59"/>
      <c r="AC641" s="58" t="str">
        <f t="shared" si="411"/>
        <v/>
      </c>
      <c r="AD641" s="59"/>
      <c r="AE641" s="58" t="str">
        <f t="shared" si="412"/>
        <v/>
      </c>
      <c r="AF641" s="59"/>
      <c r="AG641" s="58" t="str">
        <f t="shared" si="413"/>
        <v/>
      </c>
      <c r="AH641" s="59"/>
      <c r="AI641" s="58" t="str">
        <f t="shared" si="414"/>
        <v/>
      </c>
      <c r="AJ641" s="59"/>
      <c r="AK641" s="58" t="str">
        <f t="shared" si="415"/>
        <v/>
      </c>
      <c r="AL641" s="59"/>
      <c r="AM641" s="58" t="str">
        <f t="shared" si="416"/>
        <v/>
      </c>
      <c r="AN641" s="59"/>
      <c r="AO641" s="58" t="str">
        <f t="shared" si="417"/>
        <v/>
      </c>
      <c r="AP641" s="59"/>
      <c r="AQ641" s="58" t="str">
        <f t="shared" si="418"/>
        <v/>
      </c>
      <c r="AR641" s="59"/>
      <c r="AS641" s="58" t="str">
        <f t="shared" si="419"/>
        <v/>
      </c>
      <c r="AT641" s="59"/>
      <c r="AU641" s="58" t="str">
        <f t="shared" si="420"/>
        <v/>
      </c>
      <c r="AV641" s="59"/>
      <c r="AW641" s="58" t="str">
        <f t="shared" si="421"/>
        <v/>
      </c>
      <c r="AX641" s="59"/>
      <c r="AY641" s="58" t="str">
        <f t="shared" si="422"/>
        <v/>
      </c>
      <c r="AZ641" s="59"/>
      <c r="BA641" s="58" t="str">
        <f t="shared" si="423"/>
        <v/>
      </c>
      <c r="BB641" s="59"/>
      <c r="BC641" s="58" t="str">
        <f t="shared" si="424"/>
        <v/>
      </c>
      <c r="BD641" s="59"/>
      <c r="BE641" s="58" t="str">
        <f t="shared" si="425"/>
        <v/>
      </c>
      <c r="BF641" s="59"/>
      <c r="BG641" s="58" t="str">
        <f t="shared" si="426"/>
        <v/>
      </c>
      <c r="BH641" s="59"/>
      <c r="BI641" s="58" t="str">
        <f t="shared" si="427"/>
        <v/>
      </c>
      <c r="BJ641" s="59"/>
      <c r="BK641" s="58" t="str">
        <f t="shared" si="428"/>
        <v/>
      </c>
      <c r="BL641" s="59"/>
      <c r="BM641" s="58" t="str">
        <f t="shared" si="429"/>
        <v/>
      </c>
      <c r="BN641" s="59"/>
      <c r="BO641" s="58">
        <f t="shared" si="430"/>
        <v>3840</v>
      </c>
      <c r="BP641" s="59"/>
      <c r="BQ641" s="58" t="str">
        <f t="shared" si="431"/>
        <v/>
      </c>
      <c r="BR641" s="59"/>
      <c r="BS641" s="58" t="str">
        <f t="shared" si="432"/>
        <v/>
      </c>
      <c r="BT641" s="59"/>
      <c r="BU641" s="58" t="str">
        <f t="shared" si="433"/>
        <v/>
      </c>
      <c r="BV641" s="59"/>
    </row>
    <row r="642" spans="1:74" ht="14.5">
      <c r="A642" s="51" t="s">
        <v>58</v>
      </c>
      <c r="B642" s="52">
        <v>417</v>
      </c>
      <c r="C642" s="52" t="s">
        <v>188</v>
      </c>
      <c r="D642" s="41">
        <f t="shared" si="376"/>
        <v>13</v>
      </c>
      <c r="E642" s="52" t="s">
        <v>190</v>
      </c>
      <c r="F642" s="52" t="s">
        <v>242</v>
      </c>
      <c r="G642" s="52" t="s">
        <v>244</v>
      </c>
      <c r="H642" s="52" t="s">
        <v>438</v>
      </c>
      <c r="I642" s="53">
        <v>45744</v>
      </c>
      <c r="J642" s="108">
        <v>1132</v>
      </c>
      <c r="K642" s="101"/>
      <c r="L642" s="101"/>
      <c r="M642" s="101">
        <f t="shared" si="377"/>
        <v>1132</v>
      </c>
      <c r="N642" s="54">
        <f t="shared" si="378"/>
        <v>1132</v>
      </c>
      <c r="O642" s="101" t="s">
        <v>439</v>
      </c>
      <c r="P642" s="102">
        <f t="shared" si="379"/>
        <v>1.5722222222222222</v>
      </c>
      <c r="Q642" s="102">
        <v>6</v>
      </c>
      <c r="R642" s="99">
        <v>120</v>
      </c>
      <c r="S642" s="55">
        <f t="shared" si="434"/>
        <v>45712</v>
      </c>
      <c r="T642" s="55"/>
      <c r="U642" s="56">
        <f t="shared" ca="1" si="408"/>
        <v>-128</v>
      </c>
      <c r="V642" s="55">
        <f t="shared" si="407"/>
        <v>45728</v>
      </c>
      <c r="W642" s="55"/>
      <c r="X642" s="56">
        <f t="shared" ca="1" si="409"/>
        <v>-112</v>
      </c>
      <c r="Y642" s="55"/>
      <c r="Z642" s="57"/>
      <c r="AA642" s="58" t="str">
        <f t="shared" si="410"/>
        <v>-</v>
      </c>
      <c r="AB642" s="59"/>
      <c r="AC642" s="58" t="str">
        <f t="shared" si="411"/>
        <v/>
      </c>
      <c r="AD642" s="59"/>
      <c r="AE642" s="58" t="str">
        <f t="shared" si="412"/>
        <v/>
      </c>
      <c r="AF642" s="59"/>
      <c r="AG642" s="58" t="str">
        <f t="shared" si="413"/>
        <v/>
      </c>
      <c r="AH642" s="59"/>
      <c r="AI642" s="58" t="str">
        <f t="shared" si="414"/>
        <v/>
      </c>
      <c r="AJ642" s="59"/>
      <c r="AK642" s="58" t="str">
        <f t="shared" si="415"/>
        <v/>
      </c>
      <c r="AL642" s="59"/>
      <c r="AM642" s="58" t="str">
        <f t="shared" si="416"/>
        <v/>
      </c>
      <c r="AN642" s="59"/>
      <c r="AO642" s="58" t="str">
        <f t="shared" si="417"/>
        <v/>
      </c>
      <c r="AP642" s="59"/>
      <c r="AQ642" s="58" t="str">
        <f t="shared" si="418"/>
        <v/>
      </c>
      <c r="AR642" s="59"/>
      <c r="AS642" s="58" t="str">
        <f t="shared" si="419"/>
        <v/>
      </c>
      <c r="AT642" s="59"/>
      <c r="AU642" s="58" t="str">
        <f t="shared" si="420"/>
        <v/>
      </c>
      <c r="AV642" s="59"/>
      <c r="AW642" s="58" t="str">
        <f t="shared" si="421"/>
        <v/>
      </c>
      <c r="AX642" s="59"/>
      <c r="AY642" s="58" t="str">
        <f t="shared" si="422"/>
        <v/>
      </c>
      <c r="AZ642" s="59"/>
      <c r="BA642" s="58" t="str">
        <f t="shared" si="423"/>
        <v/>
      </c>
      <c r="BB642" s="59"/>
      <c r="BC642" s="58" t="str">
        <f t="shared" si="424"/>
        <v/>
      </c>
      <c r="BD642" s="59"/>
      <c r="BE642" s="58" t="str">
        <f t="shared" si="425"/>
        <v/>
      </c>
      <c r="BF642" s="59"/>
      <c r="BG642" s="58" t="str">
        <f t="shared" si="426"/>
        <v/>
      </c>
      <c r="BH642" s="59"/>
      <c r="BI642" s="58" t="str">
        <f t="shared" si="427"/>
        <v/>
      </c>
      <c r="BJ642" s="59"/>
      <c r="BK642" s="58" t="str">
        <f t="shared" si="428"/>
        <v/>
      </c>
      <c r="BL642" s="59"/>
      <c r="BM642" s="58" t="str">
        <f t="shared" si="429"/>
        <v/>
      </c>
      <c r="BN642" s="59"/>
      <c r="BO642" s="58">
        <f t="shared" si="430"/>
        <v>1132</v>
      </c>
      <c r="BP642" s="59"/>
      <c r="BQ642" s="58" t="str">
        <f t="shared" si="431"/>
        <v/>
      </c>
      <c r="BR642" s="59"/>
      <c r="BS642" s="58" t="str">
        <f t="shared" si="432"/>
        <v/>
      </c>
      <c r="BT642" s="59"/>
      <c r="BU642" s="58" t="str">
        <f t="shared" si="433"/>
        <v/>
      </c>
      <c r="BV642" s="59"/>
    </row>
    <row r="643" spans="1:74" ht="14.5">
      <c r="A643" s="109" t="s">
        <v>446</v>
      </c>
      <c r="B643" s="110">
        <v>312</v>
      </c>
      <c r="C643" s="110" t="s">
        <v>60</v>
      </c>
      <c r="D643" s="111">
        <f t="shared" si="376"/>
        <v>14</v>
      </c>
      <c r="E643" s="110" t="s">
        <v>187</v>
      </c>
      <c r="F643" s="110" t="s">
        <v>448</v>
      </c>
      <c r="G643" s="110" t="s">
        <v>164</v>
      </c>
      <c r="H643" s="110" t="s">
        <v>449</v>
      </c>
      <c r="I643" s="112">
        <v>45751</v>
      </c>
      <c r="J643" s="113">
        <v>36069.120000000003</v>
      </c>
      <c r="K643" s="105"/>
      <c r="L643" s="105"/>
      <c r="M643" s="106">
        <f t="shared" si="377"/>
        <v>36069.120000000003</v>
      </c>
      <c r="N643" s="76">
        <f t="shared" si="378"/>
        <v>36069.120000000003</v>
      </c>
      <c r="O643" s="105" t="s">
        <v>429</v>
      </c>
      <c r="P643" s="102">
        <f t="shared" si="379"/>
        <v>5.4650181818181824</v>
      </c>
      <c r="Q643" s="102">
        <v>6</v>
      </c>
      <c r="R643" s="104">
        <v>1100</v>
      </c>
      <c r="S643" s="77">
        <f t="shared" si="434"/>
        <v>45719</v>
      </c>
      <c r="T643" s="77"/>
      <c r="U643" s="78">
        <f t="shared" ca="1" si="408"/>
        <v>-121</v>
      </c>
      <c r="V643" s="77">
        <f t="shared" si="407"/>
        <v>45735</v>
      </c>
      <c r="W643" s="77"/>
      <c r="X643" s="78">
        <f t="shared" ca="1" si="409"/>
        <v>-105</v>
      </c>
      <c r="Y643" s="77"/>
      <c r="Z643" s="79"/>
      <c r="AA643" s="80" t="str">
        <f t="shared" si="410"/>
        <v>-</v>
      </c>
      <c r="AB643" s="81"/>
      <c r="AC643" s="80" t="str">
        <f t="shared" si="411"/>
        <v/>
      </c>
      <c r="AD643" s="81"/>
      <c r="AE643" s="80" t="str">
        <f t="shared" si="412"/>
        <v/>
      </c>
      <c r="AF643" s="81"/>
      <c r="AG643" s="80" t="str">
        <f t="shared" si="413"/>
        <v/>
      </c>
      <c r="AH643" s="81"/>
      <c r="AI643" s="80" t="str">
        <f t="shared" si="414"/>
        <v/>
      </c>
      <c r="AJ643" s="81"/>
      <c r="AK643" s="80" t="str">
        <f t="shared" si="415"/>
        <v/>
      </c>
      <c r="AL643" s="81"/>
      <c r="AM643" s="80" t="str">
        <f t="shared" si="416"/>
        <v/>
      </c>
      <c r="AN643" s="81"/>
      <c r="AO643" s="80" t="str">
        <f t="shared" si="417"/>
        <v/>
      </c>
      <c r="AP643" s="81"/>
      <c r="AQ643" s="80" t="str">
        <f t="shared" si="418"/>
        <v/>
      </c>
      <c r="AR643" s="81"/>
      <c r="AS643" s="80" t="str">
        <f t="shared" si="419"/>
        <v/>
      </c>
      <c r="AT643" s="81"/>
      <c r="AU643" s="80" t="str">
        <f t="shared" si="420"/>
        <v/>
      </c>
      <c r="AV643" s="81"/>
      <c r="AW643" s="80" t="str">
        <f t="shared" si="421"/>
        <v/>
      </c>
      <c r="AX643" s="81"/>
      <c r="AY643" s="80" t="str">
        <f t="shared" si="422"/>
        <v/>
      </c>
      <c r="AZ643" s="81"/>
      <c r="BA643" s="80" t="str">
        <f t="shared" si="423"/>
        <v/>
      </c>
      <c r="BB643" s="81"/>
      <c r="BC643" s="80" t="str">
        <f t="shared" si="424"/>
        <v/>
      </c>
      <c r="BD643" s="81"/>
      <c r="BE643" s="80" t="str">
        <f t="shared" si="425"/>
        <v/>
      </c>
      <c r="BF643" s="81"/>
      <c r="BG643" s="80" t="str">
        <f t="shared" si="426"/>
        <v/>
      </c>
      <c r="BH643" s="81"/>
      <c r="BI643" s="80" t="str">
        <f t="shared" si="427"/>
        <v/>
      </c>
      <c r="BJ643" s="81"/>
      <c r="BK643" s="80" t="str">
        <f t="shared" si="428"/>
        <v/>
      </c>
      <c r="BL643" s="81"/>
      <c r="BM643" s="80" t="str">
        <f t="shared" si="429"/>
        <v/>
      </c>
      <c r="BN643" s="81"/>
      <c r="BO643" s="80" t="str">
        <f t="shared" si="430"/>
        <v/>
      </c>
      <c r="BP643" s="81"/>
      <c r="BQ643" s="80">
        <f t="shared" si="431"/>
        <v>36069.120000000003</v>
      </c>
      <c r="BR643" s="81"/>
      <c r="BS643" s="80" t="str">
        <f t="shared" si="432"/>
        <v/>
      </c>
      <c r="BT643" s="81"/>
      <c r="BU643" s="80" t="str">
        <f t="shared" si="433"/>
        <v/>
      </c>
      <c r="BV643" s="81"/>
    </row>
    <row r="644" spans="1:74" ht="14.5">
      <c r="A644" s="109" t="s">
        <v>446</v>
      </c>
      <c r="B644" s="110">
        <v>312</v>
      </c>
      <c r="C644" s="110" t="s">
        <v>60</v>
      </c>
      <c r="D644" s="111">
        <f t="shared" si="376"/>
        <v>14</v>
      </c>
      <c r="E644" s="110" t="s">
        <v>187</v>
      </c>
      <c r="F644" s="110" t="s">
        <v>448</v>
      </c>
      <c r="G644" s="110" t="s">
        <v>155</v>
      </c>
      <c r="H644" s="110" t="s">
        <v>449</v>
      </c>
      <c r="I644" s="112">
        <v>45751</v>
      </c>
      <c r="J644" s="113">
        <v>36069.120000000003</v>
      </c>
      <c r="K644" s="105"/>
      <c r="L644" s="105"/>
      <c r="M644" s="106">
        <f t="shared" si="377"/>
        <v>36069.120000000003</v>
      </c>
      <c r="N644" s="76">
        <f t="shared" si="378"/>
        <v>36069.120000000003</v>
      </c>
      <c r="O644" s="105" t="s">
        <v>429</v>
      </c>
      <c r="P644" s="102">
        <f t="shared" si="379"/>
        <v>5.4650181818181824</v>
      </c>
      <c r="Q644" s="102">
        <v>6</v>
      </c>
      <c r="R644" s="104">
        <v>1100</v>
      </c>
      <c r="S644" s="77">
        <f t="shared" si="434"/>
        <v>45719</v>
      </c>
      <c r="T644" s="77"/>
      <c r="U644" s="78">
        <f t="shared" ca="1" si="408"/>
        <v>-121</v>
      </c>
      <c r="V644" s="77">
        <f t="shared" si="407"/>
        <v>45735</v>
      </c>
      <c r="W644" s="77"/>
      <c r="X644" s="78">
        <f t="shared" ca="1" si="409"/>
        <v>-105</v>
      </c>
      <c r="Y644" s="77"/>
      <c r="Z644" s="79"/>
      <c r="AA644" s="80" t="str">
        <f t="shared" si="410"/>
        <v>-</v>
      </c>
      <c r="AB644" s="81"/>
      <c r="AC644" s="80" t="str">
        <f t="shared" si="411"/>
        <v/>
      </c>
      <c r="AD644" s="81"/>
      <c r="AE644" s="80" t="str">
        <f t="shared" si="412"/>
        <v/>
      </c>
      <c r="AF644" s="81"/>
      <c r="AG644" s="80" t="str">
        <f t="shared" si="413"/>
        <v/>
      </c>
      <c r="AH644" s="81"/>
      <c r="AI644" s="80" t="str">
        <f t="shared" si="414"/>
        <v/>
      </c>
      <c r="AJ644" s="81"/>
      <c r="AK644" s="80" t="str">
        <f t="shared" si="415"/>
        <v/>
      </c>
      <c r="AL644" s="81"/>
      <c r="AM644" s="80" t="str">
        <f t="shared" si="416"/>
        <v/>
      </c>
      <c r="AN644" s="81"/>
      <c r="AO644" s="80" t="str">
        <f t="shared" si="417"/>
        <v/>
      </c>
      <c r="AP644" s="81"/>
      <c r="AQ644" s="80" t="str">
        <f t="shared" si="418"/>
        <v/>
      </c>
      <c r="AR644" s="81"/>
      <c r="AS644" s="80" t="str">
        <f t="shared" si="419"/>
        <v/>
      </c>
      <c r="AT644" s="81"/>
      <c r="AU644" s="80" t="str">
        <f t="shared" si="420"/>
        <v/>
      </c>
      <c r="AV644" s="81"/>
      <c r="AW644" s="80" t="str">
        <f t="shared" si="421"/>
        <v/>
      </c>
      <c r="AX644" s="81"/>
      <c r="AY644" s="80" t="str">
        <f t="shared" si="422"/>
        <v/>
      </c>
      <c r="AZ644" s="81"/>
      <c r="BA644" s="80" t="str">
        <f t="shared" si="423"/>
        <v/>
      </c>
      <c r="BB644" s="81"/>
      <c r="BC644" s="80" t="str">
        <f t="shared" si="424"/>
        <v/>
      </c>
      <c r="BD644" s="81"/>
      <c r="BE644" s="80" t="str">
        <f t="shared" si="425"/>
        <v/>
      </c>
      <c r="BF644" s="81"/>
      <c r="BG644" s="80" t="str">
        <f t="shared" si="426"/>
        <v/>
      </c>
      <c r="BH644" s="81"/>
      <c r="BI644" s="80" t="str">
        <f t="shared" si="427"/>
        <v/>
      </c>
      <c r="BJ644" s="81"/>
      <c r="BK644" s="80" t="str">
        <f t="shared" si="428"/>
        <v/>
      </c>
      <c r="BL644" s="81"/>
      <c r="BM644" s="80" t="str">
        <f t="shared" si="429"/>
        <v/>
      </c>
      <c r="BN644" s="81"/>
      <c r="BO644" s="80" t="str">
        <f t="shared" si="430"/>
        <v/>
      </c>
      <c r="BP644" s="81"/>
      <c r="BQ644" s="80">
        <f t="shared" si="431"/>
        <v>36069.120000000003</v>
      </c>
      <c r="BR644" s="81"/>
      <c r="BS644" s="80" t="str">
        <f t="shared" si="432"/>
        <v/>
      </c>
      <c r="BT644" s="81"/>
      <c r="BU644" s="80" t="str">
        <f t="shared" si="433"/>
        <v/>
      </c>
      <c r="BV644" s="81"/>
    </row>
    <row r="645" spans="1:74" ht="14.5">
      <c r="A645" s="51" t="s">
        <v>446</v>
      </c>
      <c r="B645" s="52">
        <v>312</v>
      </c>
      <c r="C645" s="52" t="s">
        <v>60</v>
      </c>
      <c r="D645" s="41">
        <f t="shared" si="376"/>
        <v>14</v>
      </c>
      <c r="E645" s="52" t="s">
        <v>187</v>
      </c>
      <c r="F645" s="52" t="s">
        <v>448</v>
      </c>
      <c r="G645" s="52" t="s">
        <v>450</v>
      </c>
      <c r="H645" s="52" t="s">
        <v>449</v>
      </c>
      <c r="I645" s="53">
        <v>45751</v>
      </c>
      <c r="J645" s="108">
        <v>24046.080000000002</v>
      </c>
      <c r="K645" s="101"/>
      <c r="L645" s="101"/>
      <c r="M645" s="107">
        <f t="shared" si="377"/>
        <v>24046.080000000002</v>
      </c>
      <c r="N645" s="54">
        <f t="shared" si="378"/>
        <v>24046.080000000002</v>
      </c>
      <c r="O645" s="101" t="s">
        <v>429</v>
      </c>
      <c r="P645" s="102">
        <f t="shared" si="379"/>
        <v>3.6433454545454547</v>
      </c>
      <c r="Q645" s="102">
        <v>6</v>
      </c>
      <c r="R645" s="99">
        <v>1100</v>
      </c>
      <c r="S645" s="55">
        <f t="shared" si="434"/>
        <v>45719</v>
      </c>
      <c r="T645" s="55"/>
      <c r="U645" s="56">
        <f t="shared" ca="1" si="408"/>
        <v>-121</v>
      </c>
      <c r="V645" s="55">
        <f t="shared" si="407"/>
        <v>45735</v>
      </c>
      <c r="W645" s="55"/>
      <c r="X645" s="56">
        <f t="shared" ca="1" si="409"/>
        <v>-105</v>
      </c>
      <c r="Y645" s="55"/>
      <c r="Z645" s="57"/>
      <c r="AA645" s="58" t="str">
        <f t="shared" si="410"/>
        <v>-</v>
      </c>
      <c r="AB645" s="59"/>
      <c r="AC645" s="58" t="str">
        <f t="shared" si="411"/>
        <v/>
      </c>
      <c r="AD645" s="59"/>
      <c r="AE645" s="58" t="str">
        <f t="shared" si="412"/>
        <v/>
      </c>
      <c r="AF645" s="59"/>
      <c r="AG645" s="58" t="str">
        <f t="shared" si="413"/>
        <v/>
      </c>
      <c r="AH645" s="59"/>
      <c r="AI645" s="58" t="str">
        <f t="shared" si="414"/>
        <v/>
      </c>
      <c r="AJ645" s="59"/>
      <c r="AK645" s="58" t="str">
        <f t="shared" si="415"/>
        <v/>
      </c>
      <c r="AL645" s="59"/>
      <c r="AM645" s="58" t="str">
        <f t="shared" si="416"/>
        <v/>
      </c>
      <c r="AN645" s="59"/>
      <c r="AO645" s="58" t="str">
        <f t="shared" si="417"/>
        <v/>
      </c>
      <c r="AP645" s="59"/>
      <c r="AQ645" s="58" t="str">
        <f t="shared" si="418"/>
        <v/>
      </c>
      <c r="AR645" s="59"/>
      <c r="AS645" s="58" t="str">
        <f t="shared" si="419"/>
        <v/>
      </c>
      <c r="AT645" s="59"/>
      <c r="AU645" s="58" t="str">
        <f t="shared" si="420"/>
        <v/>
      </c>
      <c r="AV645" s="59"/>
      <c r="AW645" s="58" t="str">
        <f t="shared" si="421"/>
        <v/>
      </c>
      <c r="AX645" s="59"/>
      <c r="AY645" s="58" t="str">
        <f t="shared" si="422"/>
        <v/>
      </c>
      <c r="AZ645" s="59"/>
      <c r="BA645" s="58" t="str">
        <f t="shared" si="423"/>
        <v/>
      </c>
      <c r="BB645" s="59"/>
      <c r="BC645" s="58" t="str">
        <f t="shared" si="424"/>
        <v/>
      </c>
      <c r="BD645" s="59"/>
      <c r="BE645" s="58" t="str">
        <f t="shared" si="425"/>
        <v/>
      </c>
      <c r="BF645" s="59"/>
      <c r="BG645" s="58" t="str">
        <f t="shared" si="426"/>
        <v/>
      </c>
      <c r="BH645" s="59"/>
      <c r="BI645" s="58" t="str">
        <f t="shared" si="427"/>
        <v/>
      </c>
      <c r="BJ645" s="59"/>
      <c r="BK645" s="58" t="str">
        <f t="shared" si="428"/>
        <v/>
      </c>
      <c r="BL645" s="59"/>
      <c r="BM645" s="58" t="str">
        <f t="shared" si="429"/>
        <v/>
      </c>
      <c r="BN645" s="59"/>
      <c r="BO645" s="58" t="str">
        <f t="shared" si="430"/>
        <v/>
      </c>
      <c r="BP645" s="59"/>
      <c r="BQ645" s="58">
        <f t="shared" si="431"/>
        <v>24046.080000000002</v>
      </c>
      <c r="BR645" s="59"/>
      <c r="BS645" s="58" t="str">
        <f t="shared" si="432"/>
        <v/>
      </c>
      <c r="BT645" s="59"/>
      <c r="BU645" s="58" t="str">
        <f t="shared" si="433"/>
        <v/>
      </c>
      <c r="BV645" s="59"/>
    </row>
    <row r="646" spans="1:74" ht="14.5">
      <c r="A646" s="51" t="s">
        <v>58</v>
      </c>
      <c r="B646" s="52">
        <v>420</v>
      </c>
      <c r="C646" s="52" t="s">
        <v>188</v>
      </c>
      <c r="D646" s="41">
        <f t="shared" si="376"/>
        <v>14</v>
      </c>
      <c r="E646" s="52" t="s">
        <v>390</v>
      </c>
      <c r="F646" s="52" t="s">
        <v>242</v>
      </c>
      <c r="G646" s="52" t="s">
        <v>162</v>
      </c>
      <c r="H646" s="52" t="s">
        <v>430</v>
      </c>
      <c r="I646" s="53">
        <v>45751</v>
      </c>
      <c r="J646" s="108">
        <v>3468</v>
      </c>
      <c r="K646" s="101"/>
      <c r="L646" s="101"/>
      <c r="M646" s="101">
        <f t="shared" si="377"/>
        <v>3468</v>
      </c>
      <c r="N646" s="54">
        <f t="shared" si="378"/>
        <v>3468</v>
      </c>
      <c r="O646" s="101" t="s">
        <v>431</v>
      </c>
      <c r="P646" s="102">
        <f t="shared" si="379"/>
        <v>4.8166666666666664</v>
      </c>
      <c r="Q646" s="102">
        <v>6</v>
      </c>
      <c r="R646" s="99">
        <v>120</v>
      </c>
      <c r="S646" s="55">
        <f t="shared" si="434"/>
        <v>45719</v>
      </c>
      <c r="T646" s="55"/>
      <c r="U646" s="56">
        <f t="shared" ca="1" si="408"/>
        <v>-121</v>
      </c>
      <c r="V646" s="55">
        <f t="shared" si="407"/>
        <v>45735</v>
      </c>
      <c r="W646" s="55"/>
      <c r="X646" s="56">
        <f t="shared" ca="1" si="409"/>
        <v>-105</v>
      </c>
      <c r="Y646" s="55"/>
      <c r="Z646" s="57"/>
      <c r="AA646" s="58" t="str">
        <f t="shared" si="410"/>
        <v>-</v>
      </c>
      <c r="AB646" s="59"/>
      <c r="AC646" s="58" t="str">
        <f t="shared" si="411"/>
        <v/>
      </c>
      <c r="AD646" s="59"/>
      <c r="AE646" s="58" t="str">
        <f t="shared" si="412"/>
        <v/>
      </c>
      <c r="AF646" s="59"/>
      <c r="AG646" s="58" t="str">
        <f t="shared" si="413"/>
        <v/>
      </c>
      <c r="AH646" s="59"/>
      <c r="AI646" s="58" t="str">
        <f t="shared" si="414"/>
        <v/>
      </c>
      <c r="AJ646" s="59"/>
      <c r="AK646" s="58" t="str">
        <f t="shared" si="415"/>
        <v/>
      </c>
      <c r="AL646" s="59"/>
      <c r="AM646" s="58" t="str">
        <f t="shared" si="416"/>
        <v/>
      </c>
      <c r="AN646" s="59"/>
      <c r="AO646" s="58" t="str">
        <f t="shared" si="417"/>
        <v/>
      </c>
      <c r="AP646" s="59"/>
      <c r="AQ646" s="58" t="str">
        <f t="shared" si="418"/>
        <v/>
      </c>
      <c r="AR646" s="59"/>
      <c r="AS646" s="58" t="str">
        <f t="shared" si="419"/>
        <v/>
      </c>
      <c r="AT646" s="59"/>
      <c r="AU646" s="58" t="str">
        <f t="shared" si="420"/>
        <v/>
      </c>
      <c r="AV646" s="59"/>
      <c r="AW646" s="58" t="str">
        <f t="shared" si="421"/>
        <v/>
      </c>
      <c r="AX646" s="59"/>
      <c r="AY646" s="58" t="str">
        <f t="shared" si="422"/>
        <v/>
      </c>
      <c r="AZ646" s="59"/>
      <c r="BA646" s="58" t="str">
        <f t="shared" si="423"/>
        <v/>
      </c>
      <c r="BB646" s="59"/>
      <c r="BC646" s="58" t="str">
        <f t="shared" si="424"/>
        <v/>
      </c>
      <c r="BD646" s="59"/>
      <c r="BE646" s="58" t="str">
        <f t="shared" si="425"/>
        <v/>
      </c>
      <c r="BF646" s="59"/>
      <c r="BG646" s="58" t="str">
        <f t="shared" si="426"/>
        <v/>
      </c>
      <c r="BH646" s="59"/>
      <c r="BI646" s="58" t="str">
        <f t="shared" si="427"/>
        <v/>
      </c>
      <c r="BJ646" s="59"/>
      <c r="BK646" s="58" t="str">
        <f t="shared" si="428"/>
        <v/>
      </c>
      <c r="BL646" s="59"/>
      <c r="BM646" s="58" t="str">
        <f t="shared" si="429"/>
        <v/>
      </c>
      <c r="BN646" s="59"/>
      <c r="BO646" s="58" t="str">
        <f t="shared" si="430"/>
        <v/>
      </c>
      <c r="BP646" s="59"/>
      <c r="BQ646" s="58">
        <f t="shared" si="431"/>
        <v>3468</v>
      </c>
      <c r="BR646" s="59"/>
      <c r="BS646" s="58" t="str">
        <f t="shared" si="432"/>
        <v/>
      </c>
      <c r="BT646" s="59"/>
      <c r="BU646" s="58" t="str">
        <f t="shared" si="433"/>
        <v/>
      </c>
      <c r="BV646" s="59"/>
    </row>
    <row r="647" spans="1:74" ht="14.5">
      <c r="A647" s="51" t="s">
        <v>58</v>
      </c>
      <c r="B647" s="52">
        <v>420</v>
      </c>
      <c r="C647" s="52" t="s">
        <v>188</v>
      </c>
      <c r="D647" s="41">
        <f t="shared" ref="D647:D652" si="435">+WEEKNUM(I647)</f>
        <v>14</v>
      </c>
      <c r="E647" s="52" t="s">
        <v>158</v>
      </c>
      <c r="F647" s="52" t="s">
        <v>242</v>
      </c>
      <c r="G647" s="52" t="s">
        <v>154</v>
      </c>
      <c r="H647" s="52" t="s">
        <v>432</v>
      </c>
      <c r="I647" s="53">
        <v>45751</v>
      </c>
      <c r="J647" s="108">
        <v>1436</v>
      </c>
      <c r="K647" s="101"/>
      <c r="L647" s="101"/>
      <c r="M647" s="101">
        <f t="shared" ref="M647:M652" si="436">+J647-L647</f>
        <v>1436</v>
      </c>
      <c r="N647" s="54">
        <f t="shared" ref="N647:N652" si="437">+J647-K647</f>
        <v>1436</v>
      </c>
      <c r="O647" s="101" t="s">
        <v>439</v>
      </c>
      <c r="P647" s="102">
        <f t="shared" ref="P647:P652" si="438">J647/(R647*Q647)</f>
        <v>1.9944444444444445</v>
      </c>
      <c r="Q647" s="102">
        <v>6</v>
      </c>
      <c r="R647" s="99">
        <v>120</v>
      </c>
      <c r="S647" s="55">
        <f t="shared" si="434"/>
        <v>45719</v>
      </c>
      <c r="T647" s="55"/>
      <c r="U647" s="56">
        <f t="shared" ca="1" si="408"/>
        <v>-121</v>
      </c>
      <c r="V647" s="55">
        <f t="shared" si="407"/>
        <v>45735</v>
      </c>
      <c r="W647" s="55"/>
      <c r="X647" s="56">
        <f t="shared" ca="1" si="409"/>
        <v>-105</v>
      </c>
      <c r="Y647" s="55"/>
      <c r="Z647" s="57"/>
      <c r="AA647" s="58" t="str">
        <f t="shared" si="410"/>
        <v>-</v>
      </c>
      <c r="AB647" s="59"/>
      <c r="AC647" s="58" t="str">
        <f t="shared" si="411"/>
        <v/>
      </c>
      <c r="AD647" s="59"/>
      <c r="AE647" s="58" t="str">
        <f t="shared" si="412"/>
        <v/>
      </c>
      <c r="AF647" s="59"/>
      <c r="AG647" s="58" t="str">
        <f t="shared" si="413"/>
        <v/>
      </c>
      <c r="AH647" s="59"/>
      <c r="AI647" s="58" t="str">
        <f t="shared" si="414"/>
        <v/>
      </c>
      <c r="AJ647" s="59"/>
      <c r="AK647" s="58" t="str">
        <f t="shared" si="415"/>
        <v/>
      </c>
      <c r="AL647" s="59"/>
      <c r="AM647" s="58" t="str">
        <f t="shared" si="416"/>
        <v/>
      </c>
      <c r="AN647" s="59"/>
      <c r="AO647" s="58" t="str">
        <f t="shared" si="417"/>
        <v/>
      </c>
      <c r="AP647" s="59"/>
      <c r="AQ647" s="58" t="str">
        <f t="shared" si="418"/>
        <v/>
      </c>
      <c r="AR647" s="59"/>
      <c r="AS647" s="58" t="str">
        <f t="shared" si="419"/>
        <v/>
      </c>
      <c r="AT647" s="59"/>
      <c r="AU647" s="58" t="str">
        <f t="shared" si="420"/>
        <v/>
      </c>
      <c r="AV647" s="59"/>
      <c r="AW647" s="58" t="str">
        <f t="shared" si="421"/>
        <v/>
      </c>
      <c r="AX647" s="59"/>
      <c r="AY647" s="58" t="str">
        <f t="shared" si="422"/>
        <v/>
      </c>
      <c r="AZ647" s="59"/>
      <c r="BA647" s="58" t="str">
        <f t="shared" si="423"/>
        <v/>
      </c>
      <c r="BB647" s="59"/>
      <c r="BC647" s="58" t="str">
        <f t="shared" si="424"/>
        <v/>
      </c>
      <c r="BD647" s="59"/>
      <c r="BE647" s="58" t="str">
        <f t="shared" si="425"/>
        <v/>
      </c>
      <c r="BF647" s="59"/>
      <c r="BG647" s="58" t="str">
        <f t="shared" si="426"/>
        <v/>
      </c>
      <c r="BH647" s="59"/>
      <c r="BI647" s="58" t="str">
        <f t="shared" si="427"/>
        <v/>
      </c>
      <c r="BJ647" s="59"/>
      <c r="BK647" s="58" t="str">
        <f t="shared" si="428"/>
        <v/>
      </c>
      <c r="BL647" s="59"/>
      <c r="BM647" s="58" t="str">
        <f t="shared" si="429"/>
        <v/>
      </c>
      <c r="BN647" s="59"/>
      <c r="BO647" s="58" t="str">
        <f t="shared" si="430"/>
        <v/>
      </c>
      <c r="BP647" s="59"/>
      <c r="BQ647" s="58">
        <f t="shared" si="431"/>
        <v>1436</v>
      </c>
      <c r="BR647" s="59"/>
      <c r="BS647" s="58" t="str">
        <f t="shared" si="432"/>
        <v/>
      </c>
      <c r="BT647" s="59"/>
      <c r="BU647" s="58" t="str">
        <f t="shared" si="433"/>
        <v/>
      </c>
      <c r="BV647" s="59"/>
    </row>
    <row r="648" spans="1:74" ht="14.5">
      <c r="A648" s="51" t="s">
        <v>446</v>
      </c>
      <c r="B648" s="52">
        <v>404</v>
      </c>
      <c r="C648" s="52" t="s">
        <v>400</v>
      </c>
      <c r="D648" s="41">
        <f t="shared" si="435"/>
        <v>14</v>
      </c>
      <c r="E648" s="52" t="s">
        <v>409</v>
      </c>
      <c r="F648" s="52" t="s">
        <v>308</v>
      </c>
      <c r="G648" s="52" t="s">
        <v>244</v>
      </c>
      <c r="H648" s="52" t="s">
        <v>488</v>
      </c>
      <c r="I648" s="53">
        <v>45751</v>
      </c>
      <c r="J648" s="108">
        <v>3000</v>
      </c>
      <c r="K648" s="101"/>
      <c r="L648" s="101"/>
      <c r="M648" s="101">
        <f t="shared" si="436"/>
        <v>3000</v>
      </c>
      <c r="N648" s="54">
        <f t="shared" si="437"/>
        <v>3000</v>
      </c>
      <c r="O648" s="101" t="s">
        <v>443</v>
      </c>
      <c r="P648" s="102">
        <f t="shared" si="438"/>
        <v>6.25</v>
      </c>
      <c r="Q648" s="102">
        <v>6</v>
      </c>
      <c r="R648" s="99">
        <v>80</v>
      </c>
      <c r="S648" s="55">
        <f t="shared" si="434"/>
        <v>45719</v>
      </c>
      <c r="T648" s="55"/>
      <c r="U648" s="56">
        <f t="shared" ca="1" si="408"/>
        <v>-121</v>
      </c>
      <c r="V648" s="55">
        <f t="shared" si="407"/>
        <v>45735</v>
      </c>
      <c r="W648" s="55"/>
      <c r="X648" s="56">
        <f t="shared" ca="1" si="409"/>
        <v>-105</v>
      </c>
      <c r="Y648" s="55"/>
      <c r="Z648" s="57"/>
      <c r="AA648" s="58" t="str">
        <f t="shared" si="410"/>
        <v>-</v>
      </c>
      <c r="AB648" s="59"/>
      <c r="AC648" s="58" t="str">
        <f t="shared" si="411"/>
        <v/>
      </c>
      <c r="AD648" s="59"/>
      <c r="AE648" s="58" t="str">
        <f t="shared" si="412"/>
        <v/>
      </c>
      <c r="AF648" s="59"/>
      <c r="AG648" s="58" t="str">
        <f t="shared" si="413"/>
        <v/>
      </c>
      <c r="AH648" s="59"/>
      <c r="AI648" s="58" t="str">
        <f t="shared" si="414"/>
        <v/>
      </c>
      <c r="AJ648" s="59"/>
      <c r="AK648" s="58" t="str">
        <f t="shared" si="415"/>
        <v/>
      </c>
      <c r="AL648" s="59"/>
      <c r="AM648" s="58" t="str">
        <f t="shared" si="416"/>
        <v/>
      </c>
      <c r="AN648" s="59"/>
      <c r="AO648" s="58" t="str">
        <f t="shared" si="417"/>
        <v/>
      </c>
      <c r="AP648" s="59"/>
      <c r="AQ648" s="58" t="str">
        <f t="shared" si="418"/>
        <v/>
      </c>
      <c r="AR648" s="59"/>
      <c r="AS648" s="58" t="str">
        <f t="shared" si="419"/>
        <v/>
      </c>
      <c r="AT648" s="59"/>
      <c r="AU648" s="58" t="str">
        <f t="shared" si="420"/>
        <v/>
      </c>
      <c r="AV648" s="59"/>
      <c r="AW648" s="58" t="str">
        <f t="shared" si="421"/>
        <v/>
      </c>
      <c r="AX648" s="59"/>
      <c r="AY648" s="58" t="str">
        <f t="shared" si="422"/>
        <v/>
      </c>
      <c r="AZ648" s="59"/>
      <c r="BA648" s="58" t="str">
        <f t="shared" si="423"/>
        <v/>
      </c>
      <c r="BB648" s="59"/>
      <c r="BC648" s="58" t="str">
        <f t="shared" si="424"/>
        <v/>
      </c>
      <c r="BD648" s="59"/>
      <c r="BE648" s="58" t="str">
        <f t="shared" si="425"/>
        <v/>
      </c>
      <c r="BF648" s="59"/>
      <c r="BG648" s="58" t="str">
        <f t="shared" si="426"/>
        <v/>
      </c>
      <c r="BH648" s="59"/>
      <c r="BI648" s="58" t="str">
        <f t="shared" si="427"/>
        <v/>
      </c>
      <c r="BJ648" s="59"/>
      <c r="BK648" s="58" t="str">
        <f t="shared" si="428"/>
        <v/>
      </c>
      <c r="BL648" s="59"/>
      <c r="BM648" s="58" t="str">
        <f t="shared" si="429"/>
        <v/>
      </c>
      <c r="BN648" s="59"/>
      <c r="BO648" s="58" t="str">
        <f t="shared" si="430"/>
        <v/>
      </c>
      <c r="BP648" s="59"/>
      <c r="BQ648" s="58">
        <f t="shared" si="431"/>
        <v>3000</v>
      </c>
      <c r="BR648" s="59"/>
      <c r="BS648" s="58" t="str">
        <f t="shared" si="432"/>
        <v/>
      </c>
      <c r="BT648" s="59"/>
      <c r="BU648" s="58" t="str">
        <f t="shared" si="433"/>
        <v/>
      </c>
      <c r="BV648" s="59"/>
    </row>
    <row r="649" spans="1:74" ht="14.5">
      <c r="A649" s="51" t="s">
        <v>446</v>
      </c>
      <c r="B649" s="52">
        <v>404</v>
      </c>
      <c r="C649" s="52" t="s">
        <v>400</v>
      </c>
      <c r="D649" s="41">
        <f t="shared" si="435"/>
        <v>14</v>
      </c>
      <c r="E649" s="52" t="s">
        <v>510</v>
      </c>
      <c r="F649" s="52" t="s">
        <v>468</v>
      </c>
      <c r="G649" s="52" t="s">
        <v>501</v>
      </c>
      <c r="H649" s="52" t="s">
        <v>588</v>
      </c>
      <c r="I649" s="53">
        <v>45751</v>
      </c>
      <c r="J649" s="108">
        <v>220</v>
      </c>
      <c r="K649" s="101"/>
      <c r="L649" s="101"/>
      <c r="M649" s="101">
        <f t="shared" si="436"/>
        <v>220</v>
      </c>
      <c r="N649" s="54">
        <f t="shared" si="437"/>
        <v>220</v>
      </c>
      <c r="O649" s="101" t="s">
        <v>178</v>
      </c>
      <c r="P649" s="102">
        <f t="shared" si="438"/>
        <v>0.45833333333333331</v>
      </c>
      <c r="Q649" s="102">
        <v>6</v>
      </c>
      <c r="R649" s="99">
        <v>80</v>
      </c>
      <c r="S649" s="55">
        <f t="shared" si="434"/>
        <v>45719</v>
      </c>
      <c r="T649" s="55"/>
      <c r="U649" s="56">
        <f t="shared" ca="1" si="408"/>
        <v>-121</v>
      </c>
      <c r="V649" s="55">
        <f t="shared" si="407"/>
        <v>45735</v>
      </c>
      <c r="W649" s="55"/>
      <c r="X649" s="56">
        <f t="shared" ca="1" si="409"/>
        <v>-105</v>
      </c>
      <c r="Y649" s="55"/>
      <c r="Z649" s="57"/>
      <c r="AA649" s="58" t="str">
        <f t="shared" si="410"/>
        <v>-</v>
      </c>
      <c r="AB649" s="59"/>
      <c r="AC649" s="58" t="str">
        <f t="shared" si="411"/>
        <v/>
      </c>
      <c r="AD649" s="59"/>
      <c r="AE649" s="58" t="str">
        <f t="shared" si="412"/>
        <v/>
      </c>
      <c r="AF649" s="59"/>
      <c r="AG649" s="58" t="str">
        <f t="shared" si="413"/>
        <v/>
      </c>
      <c r="AH649" s="59"/>
      <c r="AI649" s="58" t="str">
        <f t="shared" si="414"/>
        <v/>
      </c>
      <c r="AJ649" s="59"/>
      <c r="AK649" s="58" t="str">
        <f t="shared" si="415"/>
        <v/>
      </c>
      <c r="AL649" s="59"/>
      <c r="AM649" s="58" t="str">
        <f t="shared" si="416"/>
        <v/>
      </c>
      <c r="AN649" s="59"/>
      <c r="AO649" s="58" t="str">
        <f t="shared" si="417"/>
        <v/>
      </c>
      <c r="AP649" s="59"/>
      <c r="AQ649" s="58" t="str">
        <f t="shared" si="418"/>
        <v/>
      </c>
      <c r="AR649" s="59"/>
      <c r="AS649" s="58" t="str">
        <f t="shared" si="419"/>
        <v/>
      </c>
      <c r="AT649" s="59"/>
      <c r="AU649" s="58" t="str">
        <f t="shared" si="420"/>
        <v/>
      </c>
      <c r="AV649" s="59"/>
      <c r="AW649" s="58" t="str">
        <f t="shared" si="421"/>
        <v/>
      </c>
      <c r="AX649" s="59"/>
      <c r="AY649" s="58" t="str">
        <f t="shared" si="422"/>
        <v/>
      </c>
      <c r="AZ649" s="59"/>
      <c r="BA649" s="58" t="str">
        <f t="shared" si="423"/>
        <v/>
      </c>
      <c r="BB649" s="59"/>
      <c r="BC649" s="58" t="str">
        <f t="shared" si="424"/>
        <v/>
      </c>
      <c r="BD649" s="59"/>
      <c r="BE649" s="58" t="str">
        <f t="shared" si="425"/>
        <v/>
      </c>
      <c r="BF649" s="59"/>
      <c r="BG649" s="58" t="str">
        <f t="shared" si="426"/>
        <v/>
      </c>
      <c r="BH649" s="59"/>
      <c r="BI649" s="58" t="str">
        <f t="shared" si="427"/>
        <v/>
      </c>
      <c r="BJ649" s="59"/>
      <c r="BK649" s="58" t="str">
        <f t="shared" si="428"/>
        <v/>
      </c>
      <c r="BL649" s="59"/>
      <c r="BM649" s="58" t="str">
        <f t="shared" si="429"/>
        <v/>
      </c>
      <c r="BN649" s="59"/>
      <c r="BO649" s="58" t="str">
        <f t="shared" si="430"/>
        <v/>
      </c>
      <c r="BP649" s="59"/>
      <c r="BQ649" s="58">
        <f t="shared" si="431"/>
        <v>220</v>
      </c>
      <c r="BR649" s="59"/>
      <c r="BS649" s="58" t="str">
        <f t="shared" si="432"/>
        <v/>
      </c>
      <c r="BT649" s="59"/>
      <c r="BU649" s="58" t="str">
        <f t="shared" si="433"/>
        <v/>
      </c>
      <c r="BV649" s="59"/>
    </row>
    <row r="650" spans="1:74" ht="14.5">
      <c r="A650" s="51" t="s">
        <v>58</v>
      </c>
      <c r="B650" s="52" t="s">
        <v>394</v>
      </c>
      <c r="C650" s="52" t="s">
        <v>188</v>
      </c>
      <c r="D650" s="41">
        <f t="shared" si="435"/>
        <v>15</v>
      </c>
      <c r="E650" s="52" t="s">
        <v>390</v>
      </c>
      <c r="F650" s="52" t="s">
        <v>242</v>
      </c>
      <c r="G650" s="52" t="s">
        <v>162</v>
      </c>
      <c r="H650" s="52" t="s">
        <v>430</v>
      </c>
      <c r="I650" s="53">
        <v>45758</v>
      </c>
      <c r="J650" s="108">
        <v>2100</v>
      </c>
      <c r="K650" s="101"/>
      <c r="L650" s="101"/>
      <c r="M650" s="101">
        <f t="shared" si="436"/>
        <v>2100</v>
      </c>
      <c r="N650" s="54">
        <f t="shared" si="437"/>
        <v>2100</v>
      </c>
      <c r="O650" s="101" t="s">
        <v>431</v>
      </c>
      <c r="P650" s="102">
        <f t="shared" si="438"/>
        <v>2.9166666666666665</v>
      </c>
      <c r="Q650" s="102">
        <v>6</v>
      </c>
      <c r="R650" s="99">
        <v>120</v>
      </c>
      <c r="S650" s="55">
        <f t="shared" si="434"/>
        <v>45726</v>
      </c>
      <c r="T650" s="55"/>
      <c r="U650" s="56">
        <f t="shared" ca="1" si="408"/>
        <v>-114</v>
      </c>
      <c r="V650" s="55">
        <f t="shared" si="407"/>
        <v>45742</v>
      </c>
      <c r="W650" s="55"/>
      <c r="X650" s="56">
        <f t="shared" ca="1" si="409"/>
        <v>-98</v>
      </c>
      <c r="Y650" s="55"/>
      <c r="Z650" s="57"/>
      <c r="AA650" s="58" t="str">
        <f t="shared" si="410"/>
        <v>-</v>
      </c>
      <c r="AB650" s="59"/>
      <c r="AC650" s="58" t="str">
        <f t="shared" si="411"/>
        <v/>
      </c>
      <c r="AD650" s="59"/>
      <c r="AE650" s="58" t="str">
        <f t="shared" si="412"/>
        <v/>
      </c>
      <c r="AF650" s="59"/>
      <c r="AG650" s="58" t="str">
        <f t="shared" si="413"/>
        <v/>
      </c>
      <c r="AH650" s="59"/>
      <c r="AI650" s="58" t="str">
        <f t="shared" si="414"/>
        <v/>
      </c>
      <c r="AJ650" s="59"/>
      <c r="AK650" s="58" t="str">
        <f t="shared" si="415"/>
        <v/>
      </c>
      <c r="AL650" s="59"/>
      <c r="AM650" s="58" t="str">
        <f t="shared" si="416"/>
        <v/>
      </c>
      <c r="AN650" s="59"/>
      <c r="AO650" s="58" t="str">
        <f t="shared" si="417"/>
        <v/>
      </c>
      <c r="AP650" s="59"/>
      <c r="AQ650" s="58" t="str">
        <f t="shared" si="418"/>
        <v/>
      </c>
      <c r="AR650" s="59"/>
      <c r="AS650" s="58" t="str">
        <f t="shared" si="419"/>
        <v/>
      </c>
      <c r="AT650" s="59"/>
      <c r="AU650" s="58" t="str">
        <f t="shared" si="420"/>
        <v/>
      </c>
      <c r="AV650" s="59"/>
      <c r="AW650" s="58" t="str">
        <f t="shared" si="421"/>
        <v/>
      </c>
      <c r="AX650" s="59"/>
      <c r="AY650" s="58" t="str">
        <f t="shared" si="422"/>
        <v/>
      </c>
      <c r="AZ650" s="59"/>
      <c r="BA650" s="58" t="str">
        <f t="shared" si="423"/>
        <v/>
      </c>
      <c r="BB650" s="59"/>
      <c r="BC650" s="58" t="str">
        <f t="shared" si="424"/>
        <v/>
      </c>
      <c r="BD650" s="59"/>
      <c r="BE650" s="58" t="str">
        <f t="shared" si="425"/>
        <v/>
      </c>
      <c r="BF650" s="59"/>
      <c r="BG650" s="58" t="str">
        <f t="shared" si="426"/>
        <v/>
      </c>
      <c r="BH650" s="59"/>
      <c r="BI650" s="58" t="str">
        <f t="shared" si="427"/>
        <v/>
      </c>
      <c r="BJ650" s="59"/>
      <c r="BK650" s="58" t="str">
        <f t="shared" si="428"/>
        <v/>
      </c>
      <c r="BL650" s="59"/>
      <c r="BM650" s="58" t="str">
        <f t="shared" si="429"/>
        <v/>
      </c>
      <c r="BN650" s="59"/>
      <c r="BO650" s="58" t="str">
        <f t="shared" si="430"/>
        <v/>
      </c>
      <c r="BP650" s="59"/>
      <c r="BQ650" s="58" t="str">
        <f t="shared" si="431"/>
        <v/>
      </c>
      <c r="BR650" s="59"/>
      <c r="BS650" s="58">
        <f t="shared" si="432"/>
        <v>2100</v>
      </c>
      <c r="BT650" s="59"/>
      <c r="BU650" s="58" t="str">
        <f t="shared" si="433"/>
        <v/>
      </c>
      <c r="BV650" s="59"/>
    </row>
    <row r="651" spans="1:74" ht="14.5">
      <c r="A651" s="51" t="s">
        <v>466</v>
      </c>
      <c r="B651" s="114" t="s">
        <v>589</v>
      </c>
      <c r="C651" s="52" t="s">
        <v>55</v>
      </c>
      <c r="D651" s="41">
        <f t="shared" si="435"/>
        <v>17</v>
      </c>
      <c r="E651" s="52" t="s">
        <v>539</v>
      </c>
      <c r="F651" s="52" t="s">
        <v>286</v>
      </c>
      <c r="G651" s="52" t="s">
        <v>162</v>
      </c>
      <c r="H651" s="52" t="s">
        <v>581</v>
      </c>
      <c r="I651" s="53">
        <v>45771</v>
      </c>
      <c r="J651" s="108">
        <v>45900</v>
      </c>
      <c r="K651" s="101"/>
      <c r="L651" s="101"/>
      <c r="M651" s="101">
        <f t="shared" si="436"/>
        <v>45900</v>
      </c>
      <c r="N651" s="54">
        <f t="shared" si="437"/>
        <v>45900</v>
      </c>
      <c r="O651" s="101" t="s">
        <v>178</v>
      </c>
      <c r="P651" s="102">
        <f t="shared" si="438"/>
        <v>95.625</v>
      </c>
      <c r="Q651" s="102">
        <v>6</v>
      </c>
      <c r="R651" s="99">
        <v>80</v>
      </c>
      <c r="S651" s="55">
        <f t="shared" si="434"/>
        <v>45739</v>
      </c>
      <c r="T651" s="55"/>
      <c r="U651" s="56">
        <f t="shared" ca="1" si="408"/>
        <v>-101</v>
      </c>
      <c r="V651" s="55">
        <f t="shared" si="407"/>
        <v>45755</v>
      </c>
      <c r="W651" s="55"/>
      <c r="X651" s="56">
        <f t="shared" ca="1" si="409"/>
        <v>-85</v>
      </c>
      <c r="Y651" s="55"/>
      <c r="Z651" s="57"/>
      <c r="AA651" s="58" t="str">
        <f t="shared" si="410"/>
        <v>-</v>
      </c>
      <c r="AB651" s="59"/>
      <c r="AC651" s="58" t="str">
        <f t="shared" si="411"/>
        <v/>
      </c>
      <c r="AD651" s="59"/>
      <c r="AE651" s="58" t="str">
        <f t="shared" si="412"/>
        <v/>
      </c>
      <c r="AF651" s="59"/>
      <c r="AG651" s="58" t="str">
        <f t="shared" si="413"/>
        <v/>
      </c>
      <c r="AH651" s="59"/>
      <c r="AI651" s="58" t="str">
        <f t="shared" si="414"/>
        <v/>
      </c>
      <c r="AJ651" s="59"/>
      <c r="AK651" s="58" t="str">
        <f t="shared" si="415"/>
        <v/>
      </c>
      <c r="AL651" s="59"/>
      <c r="AM651" s="58" t="str">
        <f t="shared" si="416"/>
        <v/>
      </c>
      <c r="AN651" s="59"/>
      <c r="AO651" s="58" t="str">
        <f t="shared" si="417"/>
        <v/>
      </c>
      <c r="AP651" s="59"/>
      <c r="AQ651" s="58" t="str">
        <f t="shared" si="418"/>
        <v/>
      </c>
      <c r="AR651" s="59"/>
      <c r="AS651" s="58" t="str">
        <f t="shared" si="419"/>
        <v/>
      </c>
      <c r="AT651" s="59"/>
      <c r="AU651" s="58" t="str">
        <f t="shared" si="420"/>
        <v/>
      </c>
      <c r="AV651" s="59"/>
      <c r="AW651" s="58" t="str">
        <f t="shared" si="421"/>
        <v/>
      </c>
      <c r="AX651" s="59"/>
      <c r="AY651" s="58" t="str">
        <f t="shared" si="422"/>
        <v/>
      </c>
      <c r="AZ651" s="59"/>
      <c r="BA651" s="58" t="str">
        <f t="shared" si="423"/>
        <v/>
      </c>
      <c r="BB651" s="59"/>
      <c r="BC651" s="58" t="str">
        <f t="shared" si="424"/>
        <v/>
      </c>
      <c r="BD651" s="59"/>
      <c r="BE651" s="58" t="str">
        <f t="shared" si="425"/>
        <v/>
      </c>
      <c r="BF651" s="59"/>
      <c r="BG651" s="58" t="str">
        <f t="shared" si="426"/>
        <v/>
      </c>
      <c r="BH651" s="59"/>
      <c r="BI651" s="58" t="str">
        <f t="shared" si="427"/>
        <v/>
      </c>
      <c r="BJ651" s="59"/>
      <c r="BK651" s="58" t="str">
        <f t="shared" si="428"/>
        <v/>
      </c>
      <c r="BL651" s="59"/>
      <c r="BM651" s="58" t="str">
        <f t="shared" si="429"/>
        <v/>
      </c>
      <c r="BN651" s="59"/>
      <c r="BO651" s="58" t="str">
        <f t="shared" si="430"/>
        <v/>
      </c>
      <c r="BP651" s="59"/>
      <c r="BQ651" s="58" t="str">
        <f t="shared" si="431"/>
        <v/>
      </c>
      <c r="BR651" s="59"/>
      <c r="BS651" s="58" t="str">
        <f t="shared" si="432"/>
        <v/>
      </c>
      <c r="BT651" s="59"/>
      <c r="BU651" s="58" t="str">
        <f t="shared" si="433"/>
        <v/>
      </c>
      <c r="BV651" s="59"/>
    </row>
    <row r="652" spans="1:74" ht="14.5">
      <c r="A652" s="51" t="s">
        <v>466</v>
      </c>
      <c r="B652" s="114" t="s">
        <v>589</v>
      </c>
      <c r="C652" s="52" t="s">
        <v>55</v>
      </c>
      <c r="D652" s="41">
        <f t="shared" si="435"/>
        <v>17</v>
      </c>
      <c r="E652" s="52" t="s">
        <v>539</v>
      </c>
      <c r="F652" s="52" t="s">
        <v>286</v>
      </c>
      <c r="G652" s="52" t="s">
        <v>155</v>
      </c>
      <c r="H652" s="52" t="s">
        <v>581</v>
      </c>
      <c r="I652" s="53">
        <v>45771</v>
      </c>
      <c r="J652" s="108">
        <v>46920</v>
      </c>
      <c r="K652" s="101"/>
      <c r="L652" s="101"/>
      <c r="M652" s="101">
        <f t="shared" si="436"/>
        <v>46920</v>
      </c>
      <c r="N652" s="54">
        <f t="shared" si="437"/>
        <v>46920</v>
      </c>
      <c r="O652" s="101" t="s">
        <v>178</v>
      </c>
      <c r="P652" s="102">
        <f t="shared" si="438"/>
        <v>97.75</v>
      </c>
      <c r="Q652" s="102">
        <v>6</v>
      </c>
      <c r="R652" s="99">
        <v>80</v>
      </c>
      <c r="S652" s="55">
        <f t="shared" si="434"/>
        <v>45739</v>
      </c>
      <c r="T652" s="55"/>
      <c r="U652" s="56">
        <f t="shared" ca="1" si="408"/>
        <v>-101</v>
      </c>
      <c r="V652" s="55">
        <f t="shared" si="407"/>
        <v>45755</v>
      </c>
      <c r="W652" s="55"/>
      <c r="X652" s="56">
        <f t="shared" ca="1" si="409"/>
        <v>-85</v>
      </c>
      <c r="Y652" s="55"/>
      <c r="Z652" s="57"/>
      <c r="AA652" s="58" t="str">
        <f t="shared" si="410"/>
        <v>-</v>
      </c>
      <c r="AB652" s="59"/>
      <c r="AC652" s="58" t="str">
        <f t="shared" si="411"/>
        <v/>
      </c>
      <c r="AD652" s="59"/>
      <c r="AE652" s="58" t="str">
        <f t="shared" si="412"/>
        <v/>
      </c>
      <c r="AF652" s="59"/>
      <c r="AG652" s="58" t="str">
        <f t="shared" si="413"/>
        <v/>
      </c>
      <c r="AH652" s="59"/>
      <c r="AI652" s="58" t="str">
        <f t="shared" si="414"/>
        <v/>
      </c>
      <c r="AJ652" s="59"/>
      <c r="AK652" s="58" t="str">
        <f t="shared" si="415"/>
        <v/>
      </c>
      <c r="AL652" s="59"/>
      <c r="AM652" s="58" t="str">
        <f t="shared" si="416"/>
        <v/>
      </c>
      <c r="AN652" s="59"/>
      <c r="AO652" s="58" t="str">
        <f t="shared" si="417"/>
        <v/>
      </c>
      <c r="AP652" s="59"/>
      <c r="AQ652" s="58" t="str">
        <f t="shared" si="418"/>
        <v/>
      </c>
      <c r="AR652" s="59"/>
      <c r="AS652" s="58" t="str">
        <f t="shared" si="419"/>
        <v/>
      </c>
      <c r="AT652" s="59"/>
      <c r="AU652" s="58" t="str">
        <f t="shared" si="420"/>
        <v/>
      </c>
      <c r="AV652" s="59"/>
      <c r="AW652" s="58" t="str">
        <f t="shared" si="421"/>
        <v/>
      </c>
      <c r="AX652" s="59"/>
      <c r="AY652" s="58" t="str">
        <f t="shared" si="422"/>
        <v/>
      </c>
      <c r="AZ652" s="59"/>
      <c r="BA652" s="58" t="str">
        <f t="shared" si="423"/>
        <v/>
      </c>
      <c r="BB652" s="59"/>
      <c r="BC652" s="58" t="str">
        <f t="shared" si="424"/>
        <v/>
      </c>
      <c r="BD652" s="59"/>
      <c r="BE652" s="58" t="str">
        <f t="shared" si="425"/>
        <v/>
      </c>
      <c r="BF652" s="59"/>
      <c r="BG652" s="58" t="str">
        <f t="shared" si="426"/>
        <v/>
      </c>
      <c r="BH652" s="59"/>
      <c r="BI652" s="58" t="str">
        <f t="shared" si="427"/>
        <v/>
      </c>
      <c r="BJ652" s="59"/>
      <c r="BK652" s="58" t="str">
        <f t="shared" si="428"/>
        <v/>
      </c>
      <c r="BL652" s="59"/>
      <c r="BM652" s="58" t="str">
        <f t="shared" si="429"/>
        <v/>
      </c>
      <c r="BN652" s="59"/>
      <c r="BO652" s="58" t="str">
        <f t="shared" si="430"/>
        <v/>
      </c>
      <c r="BP652" s="59"/>
      <c r="BQ652" s="58" t="str">
        <f t="shared" si="431"/>
        <v/>
      </c>
      <c r="BR652" s="59"/>
      <c r="BS652" s="58" t="str">
        <f t="shared" si="432"/>
        <v/>
      </c>
      <c r="BT652" s="59"/>
      <c r="BU652" s="58" t="str">
        <f t="shared" si="433"/>
        <v/>
      </c>
      <c r="BV652" s="59"/>
    </row>
    <row r="661" spans="11:12">
      <c r="K661" s="92" t="s">
        <v>590</v>
      </c>
      <c r="L661" s="92">
        <v>1100</v>
      </c>
    </row>
    <row r="662" spans="11:12">
      <c r="K662" s="92" t="s">
        <v>591</v>
      </c>
      <c r="L662" s="92">
        <v>600</v>
      </c>
    </row>
    <row r="663" spans="11:12">
      <c r="K663" s="92" t="s">
        <v>592</v>
      </c>
    </row>
  </sheetData>
  <sheetProtection formatCells="0" selectLockedCells="1" autoFilter="0"/>
  <autoFilter ref="A6:BV652">
    <sortState ref="A9:BV660">
      <sortCondition ref="I6:I660"/>
    </sortState>
  </autoFilter>
  <mergeCells count="69">
    <mergeCell ref="A4:A6"/>
    <mergeCell ref="B4:B6"/>
    <mergeCell ref="C4:C6"/>
    <mergeCell ref="D4:D6"/>
    <mergeCell ref="E4:E6"/>
    <mergeCell ref="F4:F6"/>
    <mergeCell ref="J4:J6"/>
    <mergeCell ref="K4:K6"/>
    <mergeCell ref="L4:L6"/>
    <mergeCell ref="M4:M6"/>
    <mergeCell ref="Q4:Q6"/>
    <mergeCell ref="N4:N6"/>
    <mergeCell ref="G4:G6"/>
    <mergeCell ref="H4:H6"/>
    <mergeCell ref="I4:I6"/>
    <mergeCell ref="P4:P6"/>
    <mergeCell ref="O4:O6"/>
    <mergeCell ref="R4:R6"/>
    <mergeCell ref="S4:U5"/>
    <mergeCell ref="V4:X5"/>
    <mergeCell ref="Y4:Z5"/>
    <mergeCell ref="AA5:AB5"/>
    <mergeCell ref="BA5:BB5"/>
    <mergeCell ref="AK4:AL4"/>
    <mergeCell ref="AI5:AJ5"/>
    <mergeCell ref="AG4:AH4"/>
    <mergeCell ref="AA4:AB4"/>
    <mergeCell ref="AC5:AD5"/>
    <mergeCell ref="AE5:AF5"/>
    <mergeCell ref="AG5:AH5"/>
    <mergeCell ref="AC4:AD4"/>
    <mergeCell ref="AE4:AF4"/>
    <mergeCell ref="AQ4:AR4"/>
    <mergeCell ref="AS4:AT4"/>
    <mergeCell ref="AU4:AV4"/>
    <mergeCell ref="AW4:AX4"/>
    <mergeCell ref="AY4:AZ4"/>
    <mergeCell ref="BO5:BP5"/>
    <mergeCell ref="BQ5:BR5"/>
    <mergeCell ref="BC5:BD5"/>
    <mergeCell ref="BE5:BF5"/>
    <mergeCell ref="AI4:AJ4"/>
    <mergeCell ref="AU5:AV5"/>
    <mergeCell ref="AW5:AX5"/>
    <mergeCell ref="AY5:AZ5"/>
    <mergeCell ref="AK5:AL5"/>
    <mergeCell ref="AM5:AN5"/>
    <mergeCell ref="AS5:AT5"/>
    <mergeCell ref="AO5:AP5"/>
    <mergeCell ref="AQ5:AR5"/>
    <mergeCell ref="AM4:AN4"/>
    <mergeCell ref="BA4:BB4"/>
    <mergeCell ref="AO4:AP4"/>
    <mergeCell ref="BS5:BT5"/>
    <mergeCell ref="BU5:BV5"/>
    <mergeCell ref="BI5:BJ5"/>
    <mergeCell ref="BK5:BL5"/>
    <mergeCell ref="BC4:BD4"/>
    <mergeCell ref="BE4:BF4"/>
    <mergeCell ref="BG4:BH4"/>
    <mergeCell ref="BI4:BJ4"/>
    <mergeCell ref="BU4:BV4"/>
    <mergeCell ref="BS4:BT4"/>
    <mergeCell ref="BG5:BH5"/>
    <mergeCell ref="BK4:BL4"/>
    <mergeCell ref="BM4:BN4"/>
    <mergeCell ref="BO4:BP4"/>
    <mergeCell ref="BQ4:BR4"/>
    <mergeCell ref="BM5:BN5"/>
  </mergeCells>
  <conditionalFormatting sqref="A7:XFD652">
    <cfRule type="expression" dxfId="32" priority="1">
      <formula>ROW()=CELL("row")</formula>
    </cfRule>
  </conditionalFormatting>
  <conditionalFormatting sqref="N7:N652">
    <cfRule type="cellIs" dxfId="31" priority="8" operator="lessThanOrEqual">
      <formula>0</formula>
    </cfRule>
  </conditionalFormatting>
  <conditionalFormatting sqref="U7:U652 X7:X652">
    <cfRule type="cellIs" dxfId="30" priority="11" operator="greaterThanOrEqual">
      <formula>0</formula>
    </cfRule>
    <cfRule type="cellIs" dxfId="29" priority="12" operator="lessThan">
      <formula>0</formula>
    </cfRule>
  </conditionalFormatting>
  <conditionalFormatting sqref="AA7:BV652">
    <cfRule type="containsErrors" dxfId="28" priority="2">
      <formula>ISERROR(AA7)</formula>
    </cfRule>
    <cfRule type="containsBlanks" dxfId="27" priority="3">
      <formula>LEN(TRIM(AA7))=0</formula>
    </cfRule>
  </conditionalFormatting>
  <pageMargins left="0.7" right="0.7" top="0.75" bottom="0.75" header="0.3" footer="0.3"/>
  <pageSetup paperSize="9" orientation="portrait" r:id="rId1"/>
  <ignoredErrors>
    <ignoredError sqref="N25" unlocked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56"/>
  <sheetViews>
    <sheetView workbookViewId="0">
      <selection activeCell="G12" sqref="G12"/>
    </sheetView>
  </sheetViews>
  <sheetFormatPr defaultRowHeight="14"/>
  <cols>
    <col min="1" max="1" width="4.4140625" bestFit="1" customWidth="1"/>
    <col min="2" max="2" width="5.4140625" bestFit="1" customWidth="1"/>
    <col min="3" max="3" width="4.4140625" bestFit="1" customWidth="1"/>
    <col min="8" max="8" width="9.4140625" customWidth="1"/>
    <col min="12" max="12" width="10" bestFit="1" customWidth="1"/>
  </cols>
  <sheetData>
    <row r="2" spans="1:69" ht="14.5">
      <c r="A2" s="98"/>
      <c r="B2" s="98"/>
      <c r="C2" s="98"/>
      <c r="D2" s="123"/>
      <c r="E2" s="123"/>
      <c r="F2" s="122" t="s">
        <v>222</v>
      </c>
      <c r="G2" s="122"/>
      <c r="H2" s="242">
        <f>SUBTOTAL(9,H6:H16)</f>
        <v>86940</v>
      </c>
      <c r="I2" s="243"/>
      <c r="J2" s="244">
        <v>0</v>
      </c>
      <c r="K2" s="245">
        <v>86698.5</v>
      </c>
      <c r="L2" s="243">
        <v>500892</v>
      </c>
      <c r="M2" s="122"/>
      <c r="N2" s="97"/>
      <c r="O2" s="97"/>
      <c r="P2" s="97"/>
      <c r="Q2" s="97"/>
      <c r="R2" s="97"/>
      <c r="S2" s="98"/>
      <c r="T2" s="98"/>
      <c r="U2" s="98"/>
      <c r="V2" s="96">
        <v>0</v>
      </c>
      <c r="W2" s="96">
        <v>0</v>
      </c>
      <c r="X2" s="96">
        <v>0</v>
      </c>
      <c r="Y2" s="96">
        <v>0</v>
      </c>
      <c r="Z2" s="96">
        <v>0</v>
      </c>
      <c r="AA2" s="96">
        <v>0</v>
      </c>
      <c r="AB2" s="96">
        <v>0</v>
      </c>
      <c r="AC2" s="96">
        <v>0</v>
      </c>
      <c r="AD2" s="96">
        <v>0</v>
      </c>
      <c r="AE2" s="96">
        <v>0</v>
      </c>
      <c r="AF2" s="96">
        <v>0</v>
      </c>
      <c r="AG2" s="96">
        <v>0</v>
      </c>
      <c r="AH2" s="96">
        <v>0</v>
      </c>
      <c r="AI2" s="96">
        <v>0</v>
      </c>
      <c r="AJ2" s="96">
        <v>0</v>
      </c>
      <c r="AK2" s="96">
        <v>0</v>
      </c>
      <c r="AL2" s="96">
        <v>0</v>
      </c>
      <c r="AM2" s="96">
        <v>0</v>
      </c>
      <c r="AN2" s="96">
        <v>0</v>
      </c>
      <c r="AO2" s="96">
        <v>0</v>
      </c>
      <c r="AP2" s="96">
        <v>0</v>
      </c>
      <c r="AQ2" s="96">
        <v>0</v>
      </c>
      <c r="AR2" s="96">
        <v>0</v>
      </c>
      <c r="AS2" s="96">
        <v>0</v>
      </c>
      <c r="AT2" s="96">
        <v>0</v>
      </c>
      <c r="AU2" s="96">
        <v>0</v>
      </c>
      <c r="AV2" s="96">
        <v>0</v>
      </c>
      <c r="AW2" s="96">
        <v>0</v>
      </c>
      <c r="AX2" s="96">
        <v>0</v>
      </c>
      <c r="AY2" s="96">
        <v>0</v>
      </c>
      <c r="AZ2" s="96">
        <v>0</v>
      </c>
      <c r="BA2" s="96">
        <v>0</v>
      </c>
      <c r="BB2" s="96">
        <v>0</v>
      </c>
      <c r="BC2" s="96">
        <v>0</v>
      </c>
      <c r="BD2" s="96">
        <v>0</v>
      </c>
      <c r="BE2" s="96">
        <v>0</v>
      </c>
      <c r="BF2" s="96">
        <v>0</v>
      </c>
      <c r="BG2" s="96">
        <v>0</v>
      </c>
      <c r="BH2" s="96">
        <v>0</v>
      </c>
      <c r="BI2" s="96">
        <v>0</v>
      </c>
      <c r="BJ2" s="96">
        <v>0</v>
      </c>
      <c r="BK2" s="96">
        <v>0</v>
      </c>
      <c r="BL2" s="96">
        <v>0</v>
      </c>
      <c r="BM2" s="96">
        <v>0</v>
      </c>
      <c r="BN2" s="96">
        <v>0</v>
      </c>
      <c r="BO2" s="96">
        <v>0</v>
      </c>
      <c r="BP2" s="96">
        <v>0</v>
      </c>
      <c r="BQ2" s="96">
        <v>0</v>
      </c>
    </row>
    <row r="3" spans="1:69" ht="33.75" customHeight="1">
      <c r="A3" s="260" t="s">
        <v>223</v>
      </c>
      <c r="B3" s="247" t="s">
        <v>20</v>
      </c>
      <c r="C3" s="247" t="s">
        <v>21</v>
      </c>
      <c r="D3" s="247" t="s">
        <v>22</v>
      </c>
      <c r="E3" s="247" t="s">
        <v>224</v>
      </c>
      <c r="F3" s="247" t="s">
        <v>225</v>
      </c>
      <c r="G3" s="247" t="s">
        <v>24</v>
      </c>
      <c r="H3" s="247" t="s">
        <v>376</v>
      </c>
      <c r="I3" s="247" t="s">
        <v>377</v>
      </c>
      <c r="J3" s="247" t="s">
        <v>378</v>
      </c>
      <c r="K3" s="247" t="s">
        <v>379</v>
      </c>
      <c r="L3" s="247" t="s">
        <v>380</v>
      </c>
      <c r="M3" s="385" t="s">
        <v>381</v>
      </c>
      <c r="N3" s="381" t="s">
        <v>104</v>
      </c>
      <c r="O3" s="382"/>
      <c r="P3" s="356"/>
      <c r="Q3" s="381" t="s">
        <v>30</v>
      </c>
      <c r="R3" s="382"/>
      <c r="S3" s="356"/>
      <c r="T3" s="381" t="s">
        <v>31</v>
      </c>
      <c r="U3" s="356"/>
      <c r="V3" s="221">
        <v>43</v>
      </c>
      <c r="W3" s="222"/>
      <c r="X3" s="221">
        <v>44</v>
      </c>
      <c r="Y3" s="222"/>
      <c r="Z3" s="221">
        <v>45</v>
      </c>
      <c r="AA3" s="222"/>
      <c r="AB3" s="221">
        <v>46</v>
      </c>
      <c r="AC3" s="222"/>
      <c r="AD3" s="221">
        <v>47</v>
      </c>
      <c r="AE3" s="222"/>
      <c r="AF3" s="221">
        <v>48</v>
      </c>
      <c r="AG3" s="222"/>
      <c r="AH3" s="221">
        <v>49</v>
      </c>
      <c r="AI3" s="222"/>
      <c r="AJ3" s="221">
        <v>50</v>
      </c>
      <c r="AK3" s="222"/>
      <c r="AL3" s="221">
        <v>51</v>
      </c>
      <c r="AM3" s="222"/>
      <c r="AN3" s="221">
        <v>52</v>
      </c>
      <c r="AO3" s="222"/>
      <c r="AP3" s="221">
        <v>1</v>
      </c>
      <c r="AQ3" s="222"/>
      <c r="AR3" s="221">
        <v>2</v>
      </c>
      <c r="AS3" s="222"/>
      <c r="AT3" s="221">
        <v>3</v>
      </c>
      <c r="AU3" s="222"/>
      <c r="AV3" s="221">
        <v>4</v>
      </c>
      <c r="AW3" s="222"/>
      <c r="AX3" s="221">
        <v>5</v>
      </c>
      <c r="AY3" s="222"/>
      <c r="AZ3" s="221">
        <v>6</v>
      </c>
      <c r="BA3" s="222"/>
      <c r="BB3" s="221">
        <v>7</v>
      </c>
      <c r="BC3" s="222"/>
      <c r="BD3" s="221">
        <v>8</v>
      </c>
      <c r="BE3" s="222"/>
      <c r="BF3" s="221">
        <v>9</v>
      </c>
      <c r="BG3" s="222"/>
      <c r="BH3" s="221">
        <v>10</v>
      </c>
      <c r="BI3" s="222"/>
      <c r="BJ3" s="221">
        <v>11</v>
      </c>
      <c r="BK3" s="222"/>
      <c r="BL3" s="221">
        <v>12</v>
      </c>
      <c r="BM3" s="222"/>
      <c r="BN3" s="221">
        <v>13</v>
      </c>
      <c r="BO3" s="222"/>
      <c r="BP3" s="221">
        <v>14</v>
      </c>
      <c r="BQ3" s="222"/>
    </row>
    <row r="4" spans="1:69" ht="14.5">
      <c r="A4" s="223"/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368"/>
      <c r="N4" s="383"/>
      <c r="O4" s="384"/>
      <c r="P4" s="357"/>
      <c r="Q4" s="383"/>
      <c r="R4" s="384"/>
      <c r="S4" s="357"/>
      <c r="T4" s="383"/>
      <c r="U4" s="357"/>
      <c r="V4" s="221" t="s">
        <v>35</v>
      </c>
      <c r="W4" s="222"/>
      <c r="X4" s="219" t="s">
        <v>36</v>
      </c>
      <c r="Y4" s="220"/>
      <c r="Z4" s="219" t="s">
        <v>37</v>
      </c>
      <c r="AA4" s="220"/>
      <c r="AB4" s="219" t="s">
        <v>38</v>
      </c>
      <c r="AC4" s="220"/>
      <c r="AD4" s="219" t="s">
        <v>39</v>
      </c>
      <c r="AE4" s="220"/>
      <c r="AF4" s="219" t="s">
        <v>40</v>
      </c>
      <c r="AG4" s="220"/>
      <c r="AH4" s="219" t="s">
        <v>41</v>
      </c>
      <c r="AI4" s="220"/>
      <c r="AJ4" s="219" t="s">
        <v>42</v>
      </c>
      <c r="AK4" s="220"/>
      <c r="AL4" s="219" t="s">
        <v>43</v>
      </c>
      <c r="AM4" s="220"/>
      <c r="AN4" s="219" t="s">
        <v>44</v>
      </c>
      <c r="AO4" s="220"/>
      <c r="AP4" s="221" t="s">
        <v>45</v>
      </c>
      <c r="AQ4" s="222"/>
      <c r="AR4" s="221" t="s">
        <v>46</v>
      </c>
      <c r="AS4" s="222"/>
      <c r="AT4" s="221" t="s">
        <v>47</v>
      </c>
      <c r="AU4" s="222"/>
      <c r="AV4" s="221" t="s">
        <v>48</v>
      </c>
      <c r="AW4" s="222"/>
      <c r="AX4" s="221" t="s">
        <v>49</v>
      </c>
      <c r="AY4" s="222"/>
      <c r="AZ4" s="221" t="s">
        <v>231</v>
      </c>
      <c r="BA4" s="222"/>
      <c r="BB4" s="221" t="s">
        <v>232</v>
      </c>
      <c r="BC4" s="222"/>
      <c r="BD4" s="219" t="s">
        <v>233</v>
      </c>
      <c r="BE4" s="220"/>
      <c r="BF4" s="219" t="s">
        <v>234</v>
      </c>
      <c r="BG4" s="220"/>
      <c r="BH4" s="219" t="s">
        <v>235</v>
      </c>
      <c r="BI4" s="220"/>
      <c r="BJ4" s="219" t="s">
        <v>236</v>
      </c>
      <c r="BK4" s="220"/>
      <c r="BL4" s="219" t="s">
        <v>382</v>
      </c>
      <c r="BM4" s="220"/>
      <c r="BN4" s="219" t="s">
        <v>383</v>
      </c>
      <c r="BO4" s="220"/>
      <c r="BP4" s="219" t="s">
        <v>384</v>
      </c>
      <c r="BQ4" s="220"/>
    </row>
    <row r="5" spans="1:69" ht="21">
      <c r="A5" s="224"/>
      <c r="B5" s="252"/>
      <c r="C5" s="252"/>
      <c r="D5" s="252"/>
      <c r="E5" s="252"/>
      <c r="F5" s="252"/>
      <c r="G5" s="252"/>
      <c r="H5" s="252"/>
      <c r="I5" s="252"/>
      <c r="J5" s="252"/>
      <c r="K5" s="252"/>
      <c r="L5" s="252"/>
      <c r="M5" s="369"/>
      <c r="N5" s="42" t="s">
        <v>50</v>
      </c>
      <c r="O5" s="43" t="s">
        <v>32</v>
      </c>
      <c r="P5" s="43" t="s">
        <v>52</v>
      </c>
      <c r="Q5" s="42" t="s">
        <v>50</v>
      </c>
      <c r="R5" s="43" t="s">
        <v>32</v>
      </c>
      <c r="S5" s="43" t="s">
        <v>52</v>
      </c>
      <c r="T5" s="42" t="s">
        <v>53</v>
      </c>
      <c r="U5" s="42" t="s">
        <v>54</v>
      </c>
      <c r="V5" s="43" t="s">
        <v>50</v>
      </c>
      <c r="W5" s="43" t="s">
        <v>32</v>
      </c>
      <c r="X5" s="43" t="s">
        <v>50</v>
      </c>
      <c r="Y5" s="43" t="s">
        <v>32</v>
      </c>
      <c r="Z5" s="42" t="s">
        <v>50</v>
      </c>
      <c r="AA5" s="43" t="s">
        <v>32</v>
      </c>
      <c r="AB5" s="42" t="s">
        <v>50</v>
      </c>
      <c r="AC5" s="43" t="s">
        <v>32</v>
      </c>
      <c r="AD5" s="42" t="s">
        <v>50</v>
      </c>
      <c r="AE5" s="43" t="s">
        <v>32</v>
      </c>
      <c r="AF5" s="42" t="s">
        <v>50</v>
      </c>
      <c r="AG5" s="43" t="s">
        <v>32</v>
      </c>
      <c r="AH5" s="42" t="s">
        <v>50</v>
      </c>
      <c r="AI5" s="43" t="s">
        <v>32</v>
      </c>
      <c r="AJ5" s="42" t="s">
        <v>50</v>
      </c>
      <c r="AK5" s="43" t="s">
        <v>32</v>
      </c>
      <c r="AL5" s="42" t="s">
        <v>50</v>
      </c>
      <c r="AM5" s="43" t="s">
        <v>32</v>
      </c>
      <c r="AN5" s="42" t="s">
        <v>50</v>
      </c>
      <c r="AO5" s="43" t="s">
        <v>32</v>
      </c>
      <c r="AP5" s="42" t="s">
        <v>50</v>
      </c>
      <c r="AQ5" s="43" t="s">
        <v>32</v>
      </c>
      <c r="AR5" s="42" t="s">
        <v>50</v>
      </c>
      <c r="AS5" s="43" t="s">
        <v>32</v>
      </c>
      <c r="AT5" s="42" t="s">
        <v>50</v>
      </c>
      <c r="AU5" s="43" t="s">
        <v>32</v>
      </c>
      <c r="AV5" s="42" t="s">
        <v>50</v>
      </c>
      <c r="AW5" s="43" t="s">
        <v>32</v>
      </c>
      <c r="AX5" s="42" t="s">
        <v>50</v>
      </c>
      <c r="AY5" s="43" t="s">
        <v>32</v>
      </c>
      <c r="AZ5" s="42" t="s">
        <v>50</v>
      </c>
      <c r="BA5" s="43" t="s">
        <v>32</v>
      </c>
      <c r="BB5" s="42" t="s">
        <v>50</v>
      </c>
      <c r="BC5" s="43" t="s">
        <v>32</v>
      </c>
      <c r="BD5" s="42" t="s">
        <v>50</v>
      </c>
      <c r="BE5" s="43" t="s">
        <v>32</v>
      </c>
      <c r="BF5" s="42" t="s">
        <v>50</v>
      </c>
      <c r="BG5" s="43" t="s">
        <v>32</v>
      </c>
      <c r="BH5" s="42" t="s">
        <v>50</v>
      </c>
      <c r="BI5" s="43" t="s">
        <v>32</v>
      </c>
      <c r="BJ5" s="42" t="s">
        <v>50</v>
      </c>
      <c r="BK5" s="43" t="s">
        <v>32</v>
      </c>
      <c r="BL5" s="42" t="s">
        <v>50</v>
      </c>
      <c r="BM5" s="43" t="s">
        <v>32</v>
      </c>
      <c r="BN5" s="42" t="s">
        <v>50</v>
      </c>
      <c r="BO5" s="43" t="s">
        <v>32</v>
      </c>
      <c r="BP5" s="42" t="s">
        <v>50</v>
      </c>
      <c r="BQ5" s="43" t="s">
        <v>32</v>
      </c>
    </row>
    <row r="6" spans="1:69" ht="14.5">
      <c r="A6" s="128">
        <v>438</v>
      </c>
      <c r="B6" s="128" t="s">
        <v>188</v>
      </c>
      <c r="C6" s="128">
        <v>388</v>
      </c>
      <c r="D6" s="135" t="s">
        <v>250</v>
      </c>
      <c r="E6" s="146" t="s">
        <v>249</v>
      </c>
      <c r="F6" s="135" t="s">
        <v>162</v>
      </c>
      <c r="G6" s="16">
        <v>45723</v>
      </c>
      <c r="H6" s="17">
        <v>4830</v>
      </c>
      <c r="I6" s="129">
        <v>4500</v>
      </c>
      <c r="J6" s="129"/>
      <c r="K6" s="6">
        <f>H6-J6</f>
        <v>4830</v>
      </c>
      <c r="L6" s="6">
        <f>H6-I6</f>
        <v>330</v>
      </c>
      <c r="M6" s="130"/>
      <c r="N6" s="131">
        <v>45695</v>
      </c>
      <c r="O6" s="131"/>
      <c r="P6" s="132">
        <f ca="1">+IF(O6="",N6-TODAY(),N6-N6)</f>
        <v>-145</v>
      </c>
      <c r="Q6" s="131">
        <f>N6+10</f>
        <v>45705</v>
      </c>
      <c r="R6" s="131"/>
      <c r="S6" s="132">
        <f ca="1">+IF(R6="",Q6-TODAY(),Q6-R6)</f>
        <v>-135</v>
      </c>
      <c r="T6" s="131"/>
      <c r="U6" s="124"/>
      <c r="V6" s="23" t="s">
        <v>593</v>
      </c>
      <c r="W6" s="23"/>
      <c r="X6" s="23" t="s">
        <v>593</v>
      </c>
      <c r="Y6" s="23"/>
      <c r="Z6" s="22" t="s">
        <v>593</v>
      </c>
      <c r="AA6" s="23"/>
      <c r="AB6" s="22" t="s">
        <v>593</v>
      </c>
      <c r="AC6" s="23"/>
      <c r="AD6" s="22" t="s">
        <v>593</v>
      </c>
      <c r="AE6" s="23"/>
      <c r="AF6" s="22" t="s">
        <v>593</v>
      </c>
      <c r="AG6" s="23"/>
      <c r="AH6" s="22" t="s">
        <v>593</v>
      </c>
      <c r="AI6" s="23"/>
      <c r="AJ6" s="22" t="s">
        <v>593</v>
      </c>
      <c r="AK6" s="23"/>
      <c r="AL6" s="22" t="s">
        <v>593</v>
      </c>
      <c r="AM6" s="23"/>
      <c r="AN6" s="22" t="s">
        <v>593</v>
      </c>
      <c r="AO6" s="23"/>
      <c r="AP6" s="22" t="s">
        <v>593</v>
      </c>
      <c r="AQ6" s="23"/>
      <c r="AR6" s="22" t="s">
        <v>593</v>
      </c>
      <c r="AS6" s="23"/>
      <c r="AT6" s="22" t="s">
        <v>593</v>
      </c>
      <c r="AU6" s="23"/>
      <c r="AV6" s="22" t="s">
        <v>593</v>
      </c>
      <c r="AW6" s="23"/>
      <c r="AX6" s="22" t="s">
        <v>593</v>
      </c>
      <c r="AY6" s="23"/>
      <c r="AZ6" s="22">
        <v>4830</v>
      </c>
      <c r="BA6" s="23"/>
      <c r="BB6" s="22" t="s">
        <v>593</v>
      </c>
      <c r="BC6" s="23"/>
      <c r="BD6" s="22" t="s">
        <v>593</v>
      </c>
      <c r="BE6" s="23"/>
      <c r="BF6" s="22" t="s">
        <v>593</v>
      </c>
      <c r="BG6" s="23"/>
      <c r="BH6" s="22" t="s">
        <v>593</v>
      </c>
      <c r="BI6" s="23"/>
      <c r="BJ6" s="22" t="s">
        <v>593</v>
      </c>
      <c r="BK6" s="23"/>
      <c r="BL6" s="22" t="s">
        <v>593</v>
      </c>
      <c r="BM6" s="23"/>
      <c r="BN6" s="22" t="s">
        <v>593</v>
      </c>
      <c r="BO6" s="23"/>
      <c r="BP6" s="22" t="s">
        <v>593</v>
      </c>
      <c r="BQ6" s="23"/>
    </row>
    <row r="7" spans="1:69" ht="14.5">
      <c r="A7" s="14" t="s">
        <v>251</v>
      </c>
      <c r="B7" s="89" t="s">
        <v>188</v>
      </c>
      <c r="C7" s="14" t="s">
        <v>253</v>
      </c>
      <c r="D7" s="146" t="s">
        <v>250</v>
      </c>
      <c r="E7" s="146" t="s">
        <v>249</v>
      </c>
      <c r="F7" s="146" t="s">
        <v>162</v>
      </c>
      <c r="G7" s="16">
        <v>45744</v>
      </c>
      <c r="H7" s="17">
        <v>9464</v>
      </c>
      <c r="I7" s="18"/>
      <c r="J7" s="18"/>
      <c r="K7" s="6">
        <f t="shared" ref="K7:K16" si="0">H7-J7</f>
        <v>9464</v>
      </c>
      <c r="L7" s="6">
        <f t="shared" ref="L7:L16" si="1">H7-I7</f>
        <v>9464</v>
      </c>
      <c r="M7" s="18"/>
      <c r="N7" s="131">
        <v>45711</v>
      </c>
      <c r="O7" s="131"/>
      <c r="P7" s="132">
        <f t="shared" ref="P7:P16" ca="1" si="2">+IF(O7="",N7-TODAY(),N7-N7)</f>
        <v>-129</v>
      </c>
      <c r="Q7" s="131">
        <f t="shared" ref="Q7:Q16" si="3">N7+10</f>
        <v>45721</v>
      </c>
      <c r="R7" s="131"/>
      <c r="S7" s="132">
        <f t="shared" ref="S7:S16" ca="1" si="4">+IF(R7="",Q7-TODAY(),Q7-R7)</f>
        <v>-119</v>
      </c>
      <c r="T7" s="131"/>
      <c r="U7" s="8"/>
      <c r="V7" s="23" t="s">
        <v>593</v>
      </c>
      <c r="W7" s="23"/>
      <c r="X7" s="23" t="s">
        <v>593</v>
      </c>
      <c r="Y7" s="23"/>
      <c r="Z7" s="22" t="s">
        <v>593</v>
      </c>
      <c r="AA7" s="23"/>
      <c r="AB7" s="22" t="s">
        <v>593</v>
      </c>
      <c r="AC7" s="23"/>
      <c r="AD7" s="22" t="s">
        <v>593</v>
      </c>
      <c r="AE7" s="23"/>
      <c r="AF7" s="22">
        <v>9464</v>
      </c>
      <c r="AG7" s="23"/>
      <c r="AH7" s="22" t="s">
        <v>593</v>
      </c>
      <c r="AI7" s="23"/>
      <c r="AJ7" s="22" t="s">
        <v>593</v>
      </c>
      <c r="AK7" s="23"/>
      <c r="AL7" s="22" t="s">
        <v>593</v>
      </c>
      <c r="AM7" s="23"/>
      <c r="AN7" s="22" t="s">
        <v>593</v>
      </c>
      <c r="AO7" s="23"/>
      <c r="AP7" s="22" t="s">
        <v>593</v>
      </c>
      <c r="AQ7" s="23"/>
      <c r="AR7" s="22" t="s">
        <v>593</v>
      </c>
      <c r="AS7" s="23"/>
      <c r="AT7" s="22" t="s">
        <v>593</v>
      </c>
      <c r="AU7" s="23"/>
      <c r="AV7" s="22" t="s">
        <v>593</v>
      </c>
      <c r="AW7" s="23"/>
      <c r="AX7" s="22" t="s">
        <v>593</v>
      </c>
      <c r="AY7" s="23"/>
      <c r="AZ7" s="22" t="s">
        <v>593</v>
      </c>
      <c r="BA7" s="23"/>
      <c r="BB7" s="22" t="s">
        <v>593</v>
      </c>
      <c r="BC7" s="23"/>
      <c r="BD7" s="22" t="s">
        <v>593</v>
      </c>
      <c r="BE7" s="23"/>
      <c r="BF7" s="22" t="s">
        <v>593</v>
      </c>
      <c r="BG7" s="23"/>
      <c r="BH7" s="22" t="s">
        <v>593</v>
      </c>
      <c r="BI7" s="23"/>
      <c r="BJ7" s="22" t="s">
        <v>593</v>
      </c>
      <c r="BK7" s="23"/>
      <c r="BL7" s="22" t="s">
        <v>593</v>
      </c>
      <c r="BM7" s="23"/>
      <c r="BN7" s="22" t="s">
        <v>593</v>
      </c>
      <c r="BO7" s="23"/>
      <c r="BP7" s="22" t="s">
        <v>593</v>
      </c>
      <c r="BQ7" s="23"/>
    </row>
    <row r="8" spans="1:69" ht="14.5">
      <c r="A8" s="14" t="s">
        <v>252</v>
      </c>
      <c r="B8" s="202" t="s">
        <v>188</v>
      </c>
      <c r="C8" s="18">
        <v>20</v>
      </c>
      <c r="D8" s="146" t="s">
        <v>250</v>
      </c>
      <c r="E8" s="146" t="s">
        <v>249</v>
      </c>
      <c r="F8" s="146" t="s">
        <v>162</v>
      </c>
      <c r="G8" s="16">
        <v>45765</v>
      </c>
      <c r="H8" s="17">
        <v>10710</v>
      </c>
      <c r="I8" s="18"/>
      <c r="J8" s="18"/>
      <c r="K8" s="6">
        <f t="shared" si="0"/>
        <v>10710</v>
      </c>
      <c r="L8" s="6">
        <f t="shared" si="1"/>
        <v>10710</v>
      </c>
      <c r="M8" s="130"/>
      <c r="N8" s="131">
        <v>45741</v>
      </c>
      <c r="O8" s="131"/>
      <c r="P8" s="132">
        <f t="shared" ca="1" si="2"/>
        <v>-99</v>
      </c>
      <c r="Q8" s="131">
        <f t="shared" si="3"/>
        <v>45751</v>
      </c>
      <c r="R8" s="131"/>
      <c r="S8" s="132">
        <f t="shared" ca="1" si="4"/>
        <v>-89</v>
      </c>
      <c r="T8" s="131"/>
      <c r="U8" s="8"/>
      <c r="V8" s="23" t="s">
        <v>593</v>
      </c>
      <c r="W8" s="23"/>
      <c r="X8" s="23" t="s">
        <v>593</v>
      </c>
      <c r="Y8" s="23"/>
      <c r="Z8" s="22" t="s">
        <v>593</v>
      </c>
      <c r="AA8" s="23"/>
      <c r="AB8" s="22" t="s">
        <v>593</v>
      </c>
      <c r="AC8" s="23"/>
      <c r="AD8" s="22" t="s">
        <v>593</v>
      </c>
      <c r="AE8" s="23"/>
      <c r="AF8" s="22" t="s">
        <v>593</v>
      </c>
      <c r="AG8" s="23"/>
      <c r="AH8" s="22" t="s">
        <v>593</v>
      </c>
      <c r="AI8" s="23"/>
      <c r="AJ8" s="22" t="s">
        <v>593</v>
      </c>
      <c r="AK8" s="23"/>
      <c r="AL8" s="22" t="s">
        <v>593</v>
      </c>
      <c r="AM8" s="23"/>
      <c r="AN8" s="22">
        <v>10710</v>
      </c>
      <c r="AO8" s="23"/>
      <c r="AP8" s="22" t="s">
        <v>593</v>
      </c>
      <c r="AQ8" s="23"/>
      <c r="AR8" s="22" t="s">
        <v>593</v>
      </c>
      <c r="AS8" s="23"/>
      <c r="AT8" s="22" t="s">
        <v>593</v>
      </c>
      <c r="AU8" s="23"/>
      <c r="AV8" s="22" t="s">
        <v>593</v>
      </c>
      <c r="AW8" s="23"/>
      <c r="AX8" s="22" t="s">
        <v>593</v>
      </c>
      <c r="AY8" s="23"/>
      <c r="AZ8" s="22" t="s">
        <v>593</v>
      </c>
      <c r="BA8" s="23"/>
      <c r="BB8" s="22" t="s">
        <v>593</v>
      </c>
      <c r="BC8" s="23"/>
      <c r="BD8" s="22" t="s">
        <v>593</v>
      </c>
      <c r="BE8" s="23"/>
      <c r="BF8" s="22" t="s">
        <v>593</v>
      </c>
      <c r="BG8" s="23"/>
      <c r="BH8" s="22" t="s">
        <v>593</v>
      </c>
      <c r="BI8" s="23"/>
      <c r="BJ8" s="22" t="s">
        <v>593</v>
      </c>
      <c r="BK8" s="23"/>
      <c r="BL8" s="22" t="s">
        <v>593</v>
      </c>
      <c r="BM8" s="23"/>
      <c r="BN8" s="22" t="s">
        <v>593</v>
      </c>
      <c r="BO8" s="23"/>
      <c r="BP8" s="22" t="s">
        <v>593</v>
      </c>
      <c r="BQ8" s="23"/>
    </row>
    <row r="9" spans="1:69" ht="14.5">
      <c r="A9" s="14" t="s">
        <v>253</v>
      </c>
      <c r="B9" s="202" t="s">
        <v>188</v>
      </c>
      <c r="C9" s="18">
        <v>20</v>
      </c>
      <c r="D9" s="146" t="s">
        <v>250</v>
      </c>
      <c r="E9" s="146" t="s">
        <v>249</v>
      </c>
      <c r="F9" s="146" t="s">
        <v>162</v>
      </c>
      <c r="G9" s="16">
        <v>45765</v>
      </c>
      <c r="H9" s="17">
        <v>14853.999999999998</v>
      </c>
      <c r="I9" s="18"/>
      <c r="J9" s="18"/>
      <c r="K9" s="6">
        <f t="shared" si="0"/>
        <v>14853.999999999998</v>
      </c>
      <c r="L9" s="6">
        <f t="shared" si="1"/>
        <v>14853.999999999998</v>
      </c>
      <c r="M9" s="130"/>
      <c r="N9" s="131">
        <v>45740</v>
      </c>
      <c r="O9" s="131"/>
      <c r="P9" s="132">
        <f t="shared" ca="1" si="2"/>
        <v>-100</v>
      </c>
      <c r="Q9" s="131">
        <f t="shared" si="3"/>
        <v>45750</v>
      </c>
      <c r="R9" s="131"/>
      <c r="S9" s="132">
        <f t="shared" ca="1" si="4"/>
        <v>-90</v>
      </c>
      <c r="T9" s="131"/>
      <c r="U9" s="8"/>
      <c r="V9" s="23" t="s">
        <v>593</v>
      </c>
      <c r="W9" s="23"/>
      <c r="X9" s="23" t="s">
        <v>593</v>
      </c>
      <c r="Y9" s="23"/>
      <c r="Z9" s="22" t="s">
        <v>593</v>
      </c>
      <c r="AA9" s="23"/>
      <c r="AB9" s="22" t="s">
        <v>593</v>
      </c>
      <c r="AC9" s="23"/>
      <c r="AD9" s="22" t="s">
        <v>593</v>
      </c>
      <c r="AE9" s="23"/>
      <c r="AF9" s="22" t="s">
        <v>593</v>
      </c>
      <c r="AG9" s="23"/>
      <c r="AH9" s="22" t="s">
        <v>593</v>
      </c>
      <c r="AI9" s="23"/>
      <c r="AJ9" s="22" t="s">
        <v>593</v>
      </c>
      <c r="AK9" s="23"/>
      <c r="AL9" s="22" t="s">
        <v>593</v>
      </c>
      <c r="AM9" s="23"/>
      <c r="AN9" s="22">
        <v>14853.999999999998</v>
      </c>
      <c r="AO9" s="23"/>
      <c r="AP9" s="22" t="s">
        <v>593</v>
      </c>
      <c r="AQ9" s="23"/>
      <c r="AR9" s="22" t="s">
        <v>593</v>
      </c>
      <c r="AS9" s="23"/>
      <c r="AT9" s="22" t="s">
        <v>593</v>
      </c>
      <c r="AU9" s="23"/>
      <c r="AV9" s="22" t="s">
        <v>593</v>
      </c>
      <c r="AW9" s="23"/>
      <c r="AX9" s="22" t="s">
        <v>593</v>
      </c>
      <c r="AY9" s="23"/>
      <c r="AZ9" s="22" t="s">
        <v>593</v>
      </c>
      <c r="BA9" s="23"/>
      <c r="BB9" s="22" t="s">
        <v>593</v>
      </c>
      <c r="BC9" s="23"/>
      <c r="BD9" s="22" t="s">
        <v>593</v>
      </c>
      <c r="BE9" s="23"/>
      <c r="BF9" s="22" t="s">
        <v>593</v>
      </c>
      <c r="BG9" s="23"/>
      <c r="BH9" s="22" t="s">
        <v>593</v>
      </c>
      <c r="BI9" s="23"/>
      <c r="BJ9" s="22" t="s">
        <v>593</v>
      </c>
      <c r="BK9" s="23"/>
      <c r="BL9" s="22" t="s">
        <v>593</v>
      </c>
      <c r="BM9" s="23"/>
      <c r="BN9" s="22" t="s">
        <v>593</v>
      </c>
      <c r="BO9" s="23"/>
      <c r="BP9" s="22" t="s">
        <v>593</v>
      </c>
      <c r="BQ9" s="23"/>
    </row>
    <row r="10" spans="1:69" ht="14.5">
      <c r="A10" s="14" t="s">
        <v>254</v>
      </c>
      <c r="B10" s="202" t="s">
        <v>188</v>
      </c>
      <c r="C10" s="18">
        <v>20</v>
      </c>
      <c r="D10" s="146" t="s">
        <v>250</v>
      </c>
      <c r="E10" s="146" t="s">
        <v>249</v>
      </c>
      <c r="F10" s="146" t="s">
        <v>162</v>
      </c>
      <c r="G10" s="16">
        <v>45758</v>
      </c>
      <c r="H10" s="17">
        <v>7349.9999999999991</v>
      </c>
      <c r="I10" s="18"/>
      <c r="J10" s="18"/>
      <c r="K10" s="6">
        <f t="shared" si="0"/>
        <v>7349.9999999999991</v>
      </c>
      <c r="L10" s="6">
        <f t="shared" si="1"/>
        <v>7349.9999999999991</v>
      </c>
      <c r="M10" s="130"/>
      <c r="N10" s="131">
        <v>45734</v>
      </c>
      <c r="O10" s="131"/>
      <c r="P10" s="132">
        <f t="shared" ca="1" si="2"/>
        <v>-106</v>
      </c>
      <c r="Q10" s="131">
        <f t="shared" si="3"/>
        <v>45744</v>
      </c>
      <c r="R10" s="131"/>
      <c r="S10" s="132">
        <f t="shared" ca="1" si="4"/>
        <v>-96</v>
      </c>
      <c r="T10" s="131"/>
      <c r="U10" s="8"/>
      <c r="V10" s="23" t="s">
        <v>593</v>
      </c>
      <c r="W10" s="23"/>
      <c r="X10" s="23" t="s">
        <v>593</v>
      </c>
      <c r="Y10" s="23"/>
      <c r="Z10" s="22" t="s">
        <v>593</v>
      </c>
      <c r="AA10" s="23"/>
      <c r="AB10" s="22" t="s">
        <v>593</v>
      </c>
      <c r="AC10" s="23"/>
      <c r="AD10" s="22" t="s">
        <v>593</v>
      </c>
      <c r="AE10" s="23"/>
      <c r="AF10" s="22" t="s">
        <v>593</v>
      </c>
      <c r="AG10" s="23"/>
      <c r="AH10" s="22" t="s">
        <v>593</v>
      </c>
      <c r="AI10" s="23"/>
      <c r="AJ10" s="22" t="s">
        <v>593</v>
      </c>
      <c r="AK10" s="23"/>
      <c r="AL10" s="22" t="s">
        <v>593</v>
      </c>
      <c r="AM10" s="23"/>
      <c r="AN10" s="22">
        <v>7349.9999999999991</v>
      </c>
      <c r="AO10" s="23"/>
      <c r="AP10" s="22" t="s">
        <v>593</v>
      </c>
      <c r="AQ10" s="23"/>
      <c r="AR10" s="22" t="s">
        <v>593</v>
      </c>
      <c r="AS10" s="23"/>
      <c r="AT10" s="22" t="s">
        <v>593</v>
      </c>
      <c r="AU10" s="23"/>
      <c r="AV10" s="22" t="s">
        <v>593</v>
      </c>
      <c r="AW10" s="23"/>
      <c r="AX10" s="22" t="s">
        <v>593</v>
      </c>
      <c r="AY10" s="23"/>
      <c r="AZ10" s="22" t="s">
        <v>593</v>
      </c>
      <c r="BA10" s="23"/>
      <c r="BB10" s="22" t="s">
        <v>593</v>
      </c>
      <c r="BC10" s="23"/>
      <c r="BD10" s="22" t="s">
        <v>593</v>
      </c>
      <c r="BE10" s="23"/>
      <c r="BF10" s="22" t="s">
        <v>593</v>
      </c>
      <c r="BG10" s="23"/>
      <c r="BH10" s="22" t="s">
        <v>593</v>
      </c>
      <c r="BI10" s="23"/>
      <c r="BJ10" s="22" t="s">
        <v>593</v>
      </c>
      <c r="BK10" s="23"/>
      <c r="BL10" s="22" t="s">
        <v>593</v>
      </c>
      <c r="BM10" s="23"/>
      <c r="BN10" s="22" t="s">
        <v>593</v>
      </c>
      <c r="BO10" s="23"/>
      <c r="BP10" s="22" t="s">
        <v>593</v>
      </c>
      <c r="BQ10" s="23"/>
    </row>
    <row r="11" spans="1:69" ht="14.5">
      <c r="A11" s="14" t="s">
        <v>258</v>
      </c>
      <c r="B11" s="202" t="s">
        <v>188</v>
      </c>
      <c r="C11" s="18">
        <v>20</v>
      </c>
      <c r="D11" s="146" t="s">
        <v>250</v>
      </c>
      <c r="E11" s="146" t="s">
        <v>249</v>
      </c>
      <c r="F11" s="146" t="s">
        <v>162</v>
      </c>
      <c r="G11" s="16">
        <v>45765</v>
      </c>
      <c r="H11" s="17">
        <v>8834</v>
      </c>
      <c r="I11" s="18"/>
      <c r="J11" s="18"/>
      <c r="K11" s="6">
        <f t="shared" si="0"/>
        <v>8834</v>
      </c>
      <c r="L11" s="6">
        <f t="shared" si="1"/>
        <v>8834</v>
      </c>
      <c r="M11" s="130"/>
      <c r="N11" s="131">
        <v>45741</v>
      </c>
      <c r="O11" s="131"/>
      <c r="P11" s="132">
        <f t="shared" ca="1" si="2"/>
        <v>-99</v>
      </c>
      <c r="Q11" s="131">
        <f t="shared" si="3"/>
        <v>45751</v>
      </c>
      <c r="R11" s="131"/>
      <c r="S11" s="132">
        <f t="shared" ca="1" si="4"/>
        <v>-89</v>
      </c>
      <c r="T11" s="131"/>
      <c r="U11" s="8"/>
      <c r="V11" s="23" t="s">
        <v>593</v>
      </c>
      <c r="W11" s="23"/>
      <c r="X11" s="23" t="s">
        <v>593</v>
      </c>
      <c r="Y11" s="23"/>
      <c r="Z11" s="22" t="s">
        <v>593</v>
      </c>
      <c r="AA11" s="23"/>
      <c r="AB11" s="22" t="s">
        <v>593</v>
      </c>
      <c r="AC11" s="23"/>
      <c r="AD11" s="22" t="s">
        <v>593</v>
      </c>
      <c r="AE11" s="23"/>
      <c r="AF11" s="22" t="s">
        <v>593</v>
      </c>
      <c r="AG11" s="23"/>
      <c r="AH11" s="22" t="s">
        <v>593</v>
      </c>
      <c r="AI11" s="23"/>
      <c r="AJ11" s="22" t="s">
        <v>593</v>
      </c>
      <c r="AK11" s="23"/>
      <c r="AL11" s="22" t="s">
        <v>593</v>
      </c>
      <c r="AM11" s="23"/>
      <c r="AN11" s="22">
        <v>8834</v>
      </c>
      <c r="AO11" s="23"/>
      <c r="AP11" s="22" t="s">
        <v>593</v>
      </c>
      <c r="AQ11" s="23"/>
      <c r="AR11" s="22" t="s">
        <v>593</v>
      </c>
      <c r="AS11" s="23"/>
      <c r="AT11" s="22" t="s">
        <v>593</v>
      </c>
      <c r="AU11" s="23"/>
      <c r="AV11" s="22" t="s">
        <v>593</v>
      </c>
      <c r="AW11" s="23"/>
      <c r="AX11" s="22" t="s">
        <v>593</v>
      </c>
      <c r="AY11" s="23"/>
      <c r="AZ11" s="22" t="s">
        <v>593</v>
      </c>
      <c r="BA11" s="23"/>
      <c r="BB11" s="22" t="s">
        <v>593</v>
      </c>
      <c r="BC11" s="23"/>
      <c r="BD11" s="22" t="s">
        <v>593</v>
      </c>
      <c r="BE11" s="23"/>
      <c r="BF11" s="22" t="s">
        <v>593</v>
      </c>
      <c r="BG11" s="23"/>
      <c r="BH11" s="22" t="s">
        <v>593</v>
      </c>
      <c r="BI11" s="23"/>
      <c r="BJ11" s="22" t="s">
        <v>593</v>
      </c>
      <c r="BK11" s="23"/>
      <c r="BL11" s="22" t="s">
        <v>593</v>
      </c>
      <c r="BM11" s="23"/>
      <c r="BN11" s="22" t="s">
        <v>593</v>
      </c>
      <c r="BO11" s="23"/>
      <c r="BP11" s="22" t="s">
        <v>593</v>
      </c>
      <c r="BQ11" s="23"/>
    </row>
    <row r="12" spans="1:69" ht="14.5">
      <c r="A12" s="14" t="s">
        <v>260</v>
      </c>
      <c r="B12" s="202" t="s">
        <v>188</v>
      </c>
      <c r="C12" s="18">
        <v>20</v>
      </c>
      <c r="D12" s="146" t="s">
        <v>250</v>
      </c>
      <c r="E12" s="146" t="s">
        <v>249</v>
      </c>
      <c r="F12" s="146" t="s">
        <v>162</v>
      </c>
      <c r="G12" s="16">
        <v>45765</v>
      </c>
      <c r="H12" s="17">
        <v>9492</v>
      </c>
      <c r="I12" s="18"/>
      <c r="J12" s="18"/>
      <c r="K12" s="6">
        <f t="shared" si="0"/>
        <v>9492</v>
      </c>
      <c r="L12" s="6">
        <f t="shared" si="1"/>
        <v>9492</v>
      </c>
      <c r="M12" s="130"/>
      <c r="N12" s="131">
        <v>45741</v>
      </c>
      <c r="O12" s="131"/>
      <c r="P12" s="132">
        <f t="shared" ca="1" si="2"/>
        <v>-99</v>
      </c>
      <c r="Q12" s="131">
        <f t="shared" si="3"/>
        <v>45751</v>
      </c>
      <c r="R12" s="131"/>
      <c r="S12" s="132">
        <f t="shared" ca="1" si="4"/>
        <v>-89</v>
      </c>
      <c r="T12" s="131"/>
      <c r="U12" s="8"/>
      <c r="V12" s="23" t="s">
        <v>593</v>
      </c>
      <c r="W12" s="23"/>
      <c r="X12" s="23" t="s">
        <v>593</v>
      </c>
      <c r="Y12" s="23"/>
      <c r="Z12" s="22" t="s">
        <v>593</v>
      </c>
      <c r="AA12" s="23"/>
      <c r="AB12" s="22" t="s">
        <v>593</v>
      </c>
      <c r="AC12" s="23"/>
      <c r="AD12" s="22" t="s">
        <v>593</v>
      </c>
      <c r="AE12" s="23"/>
      <c r="AF12" s="22" t="s">
        <v>593</v>
      </c>
      <c r="AG12" s="23"/>
      <c r="AH12" s="22" t="s">
        <v>593</v>
      </c>
      <c r="AI12" s="23"/>
      <c r="AJ12" s="22" t="s">
        <v>593</v>
      </c>
      <c r="AK12" s="23"/>
      <c r="AL12" s="22" t="s">
        <v>593</v>
      </c>
      <c r="AM12" s="23"/>
      <c r="AN12" s="22">
        <v>9492</v>
      </c>
      <c r="AO12" s="23"/>
      <c r="AP12" s="22" t="s">
        <v>593</v>
      </c>
      <c r="AQ12" s="23"/>
      <c r="AR12" s="22" t="s">
        <v>593</v>
      </c>
      <c r="AS12" s="23"/>
      <c r="AT12" s="22" t="s">
        <v>593</v>
      </c>
      <c r="AU12" s="23"/>
      <c r="AV12" s="22" t="s">
        <v>593</v>
      </c>
      <c r="AW12" s="23"/>
      <c r="AX12" s="22" t="s">
        <v>593</v>
      </c>
      <c r="AY12" s="23"/>
      <c r="AZ12" s="22" t="s">
        <v>593</v>
      </c>
      <c r="BA12" s="23"/>
      <c r="BB12" s="22" t="s">
        <v>593</v>
      </c>
      <c r="BC12" s="23"/>
      <c r="BD12" s="22" t="s">
        <v>593</v>
      </c>
      <c r="BE12" s="23"/>
      <c r="BF12" s="22" t="s">
        <v>593</v>
      </c>
      <c r="BG12" s="23"/>
      <c r="BH12" s="22" t="s">
        <v>593</v>
      </c>
      <c r="BI12" s="23"/>
      <c r="BJ12" s="22" t="s">
        <v>593</v>
      </c>
      <c r="BK12" s="23"/>
      <c r="BL12" s="22" t="s">
        <v>593</v>
      </c>
      <c r="BM12" s="23"/>
      <c r="BN12" s="22" t="s">
        <v>593</v>
      </c>
      <c r="BO12" s="23"/>
      <c r="BP12" s="22" t="s">
        <v>593</v>
      </c>
      <c r="BQ12" s="23"/>
    </row>
    <row r="13" spans="1:69" ht="14.5">
      <c r="A13" s="14" t="s">
        <v>261</v>
      </c>
      <c r="B13" s="202" t="s">
        <v>188</v>
      </c>
      <c r="C13" s="18">
        <v>20</v>
      </c>
      <c r="D13" s="146" t="s">
        <v>250</v>
      </c>
      <c r="E13" s="146" t="s">
        <v>249</v>
      </c>
      <c r="F13" s="146" t="s">
        <v>162</v>
      </c>
      <c r="G13" s="16">
        <v>45772</v>
      </c>
      <c r="H13" s="17">
        <v>8512</v>
      </c>
      <c r="I13" s="18"/>
      <c r="J13" s="18"/>
      <c r="K13" s="6">
        <f t="shared" si="0"/>
        <v>8512</v>
      </c>
      <c r="L13" s="6">
        <f t="shared" si="1"/>
        <v>8512</v>
      </c>
      <c r="M13" s="130"/>
      <c r="N13" s="131">
        <v>45749</v>
      </c>
      <c r="O13" s="131"/>
      <c r="P13" s="132">
        <f t="shared" ca="1" si="2"/>
        <v>-91</v>
      </c>
      <c r="Q13" s="131">
        <f t="shared" si="3"/>
        <v>45759</v>
      </c>
      <c r="R13" s="131"/>
      <c r="S13" s="132">
        <f t="shared" ca="1" si="4"/>
        <v>-81</v>
      </c>
      <c r="T13" s="131"/>
      <c r="U13" s="8"/>
      <c r="V13" s="23" t="s">
        <v>593</v>
      </c>
      <c r="W13" s="23"/>
      <c r="X13" s="23" t="s">
        <v>593</v>
      </c>
      <c r="Y13" s="23"/>
      <c r="Z13" s="22" t="s">
        <v>593</v>
      </c>
      <c r="AA13" s="23"/>
      <c r="AB13" s="22" t="s">
        <v>593</v>
      </c>
      <c r="AC13" s="23"/>
      <c r="AD13" s="22" t="s">
        <v>593</v>
      </c>
      <c r="AE13" s="23"/>
      <c r="AF13" s="22" t="s">
        <v>593</v>
      </c>
      <c r="AG13" s="23"/>
      <c r="AH13" s="22" t="s">
        <v>593</v>
      </c>
      <c r="AI13" s="23"/>
      <c r="AJ13" s="22" t="s">
        <v>593</v>
      </c>
      <c r="AK13" s="23"/>
      <c r="AL13" s="22" t="s">
        <v>593</v>
      </c>
      <c r="AM13" s="23"/>
      <c r="AN13" s="22">
        <v>8512</v>
      </c>
      <c r="AO13" s="23"/>
      <c r="AP13" s="22" t="s">
        <v>593</v>
      </c>
      <c r="AQ13" s="23"/>
      <c r="AR13" s="22" t="s">
        <v>593</v>
      </c>
      <c r="AS13" s="23"/>
      <c r="AT13" s="22" t="s">
        <v>593</v>
      </c>
      <c r="AU13" s="23"/>
      <c r="AV13" s="22" t="s">
        <v>593</v>
      </c>
      <c r="AW13" s="23"/>
      <c r="AX13" s="22" t="s">
        <v>593</v>
      </c>
      <c r="AY13" s="23"/>
      <c r="AZ13" s="22" t="s">
        <v>593</v>
      </c>
      <c r="BA13" s="23"/>
      <c r="BB13" s="22" t="s">
        <v>593</v>
      </c>
      <c r="BC13" s="23"/>
      <c r="BD13" s="22" t="s">
        <v>593</v>
      </c>
      <c r="BE13" s="23"/>
      <c r="BF13" s="22" t="s">
        <v>593</v>
      </c>
      <c r="BG13" s="23"/>
      <c r="BH13" s="22" t="s">
        <v>593</v>
      </c>
      <c r="BI13" s="23"/>
      <c r="BJ13" s="22" t="s">
        <v>593</v>
      </c>
      <c r="BK13" s="23"/>
      <c r="BL13" s="22" t="s">
        <v>593</v>
      </c>
      <c r="BM13" s="23"/>
      <c r="BN13" s="22" t="s">
        <v>593</v>
      </c>
      <c r="BO13" s="23"/>
      <c r="BP13" s="22" t="s">
        <v>593</v>
      </c>
      <c r="BQ13" s="23"/>
    </row>
    <row r="14" spans="1:69" ht="14.5">
      <c r="A14" s="14" t="s">
        <v>262</v>
      </c>
      <c r="B14" s="202" t="s">
        <v>188</v>
      </c>
      <c r="C14" s="18">
        <v>20</v>
      </c>
      <c r="D14" s="146" t="s">
        <v>250</v>
      </c>
      <c r="E14" s="146" t="s">
        <v>249</v>
      </c>
      <c r="F14" s="146" t="s">
        <v>162</v>
      </c>
      <c r="G14" s="16">
        <v>45786</v>
      </c>
      <c r="H14" s="17">
        <v>2604</v>
      </c>
      <c r="I14" s="18"/>
      <c r="J14" s="18"/>
      <c r="K14" s="6">
        <f t="shared" si="0"/>
        <v>2604</v>
      </c>
      <c r="L14" s="6">
        <f t="shared" si="1"/>
        <v>2604</v>
      </c>
      <c r="M14" s="130"/>
      <c r="N14" s="131">
        <v>45703</v>
      </c>
      <c r="O14" s="131"/>
      <c r="P14" s="132">
        <f t="shared" ca="1" si="2"/>
        <v>-137</v>
      </c>
      <c r="Q14" s="131">
        <f t="shared" si="3"/>
        <v>45713</v>
      </c>
      <c r="R14" s="131"/>
      <c r="S14" s="132">
        <f t="shared" ca="1" si="4"/>
        <v>-127</v>
      </c>
      <c r="T14" s="131"/>
      <c r="U14" s="8"/>
      <c r="V14" s="23" t="s">
        <v>593</v>
      </c>
      <c r="W14" s="23"/>
      <c r="X14" s="23" t="s">
        <v>593</v>
      </c>
      <c r="Y14" s="23"/>
      <c r="Z14" s="22" t="s">
        <v>593</v>
      </c>
      <c r="AA14" s="23"/>
      <c r="AB14" s="22" t="s">
        <v>593</v>
      </c>
      <c r="AC14" s="23"/>
      <c r="AD14" s="22" t="s">
        <v>593</v>
      </c>
      <c r="AE14" s="23"/>
      <c r="AF14" s="22" t="s">
        <v>593</v>
      </c>
      <c r="AG14" s="23"/>
      <c r="AH14" s="22" t="s">
        <v>593</v>
      </c>
      <c r="AI14" s="23"/>
      <c r="AJ14" s="22" t="s">
        <v>593</v>
      </c>
      <c r="AK14" s="23"/>
      <c r="AL14" s="22" t="s">
        <v>593</v>
      </c>
      <c r="AM14" s="23"/>
      <c r="AN14" s="22">
        <v>2604</v>
      </c>
      <c r="AO14" s="23"/>
      <c r="AP14" s="22" t="s">
        <v>593</v>
      </c>
      <c r="AQ14" s="23"/>
      <c r="AR14" s="22" t="s">
        <v>593</v>
      </c>
      <c r="AS14" s="23"/>
      <c r="AT14" s="22" t="s">
        <v>593</v>
      </c>
      <c r="AU14" s="23"/>
      <c r="AV14" s="22" t="s">
        <v>593</v>
      </c>
      <c r="AW14" s="23"/>
      <c r="AX14" s="22" t="s">
        <v>593</v>
      </c>
      <c r="AY14" s="23"/>
      <c r="AZ14" s="22" t="s">
        <v>593</v>
      </c>
      <c r="BA14" s="23"/>
      <c r="BB14" s="22" t="s">
        <v>593</v>
      </c>
      <c r="BC14" s="23"/>
      <c r="BD14" s="22" t="s">
        <v>593</v>
      </c>
      <c r="BE14" s="23"/>
      <c r="BF14" s="22" t="s">
        <v>593</v>
      </c>
      <c r="BG14" s="23"/>
      <c r="BH14" s="22" t="s">
        <v>593</v>
      </c>
      <c r="BI14" s="23"/>
      <c r="BJ14" s="22" t="s">
        <v>593</v>
      </c>
      <c r="BK14" s="23"/>
      <c r="BL14" s="22" t="s">
        <v>593</v>
      </c>
      <c r="BM14" s="23"/>
      <c r="BN14" s="22" t="s">
        <v>593</v>
      </c>
      <c r="BO14" s="23"/>
      <c r="BP14" s="22" t="s">
        <v>593</v>
      </c>
      <c r="BQ14" s="23"/>
    </row>
    <row r="15" spans="1:69" ht="14.5">
      <c r="A15" s="14" t="s">
        <v>264</v>
      </c>
      <c r="B15" s="202" t="s">
        <v>188</v>
      </c>
      <c r="C15" s="18">
        <v>20</v>
      </c>
      <c r="D15" s="146" t="s">
        <v>250</v>
      </c>
      <c r="E15" s="146" t="s">
        <v>249</v>
      </c>
      <c r="F15" s="146" t="s">
        <v>162</v>
      </c>
      <c r="G15" s="16">
        <v>45793</v>
      </c>
      <c r="H15" s="17">
        <v>3248</v>
      </c>
      <c r="I15" s="18"/>
      <c r="J15" s="18"/>
      <c r="K15" s="6">
        <f t="shared" si="0"/>
        <v>3248</v>
      </c>
      <c r="L15" s="6">
        <f t="shared" si="1"/>
        <v>3248</v>
      </c>
      <c r="M15" s="130"/>
      <c r="N15" s="131">
        <v>45769</v>
      </c>
      <c r="O15" s="131"/>
      <c r="P15" s="132">
        <f t="shared" ca="1" si="2"/>
        <v>-71</v>
      </c>
      <c r="Q15" s="131">
        <f t="shared" si="3"/>
        <v>45779</v>
      </c>
      <c r="R15" s="131"/>
      <c r="S15" s="132">
        <f t="shared" ca="1" si="4"/>
        <v>-61</v>
      </c>
      <c r="T15" s="131"/>
      <c r="U15" s="8"/>
      <c r="V15" s="23" t="s">
        <v>593</v>
      </c>
      <c r="W15" s="23"/>
      <c r="X15" s="23" t="s">
        <v>593</v>
      </c>
      <c r="Y15" s="23"/>
      <c r="Z15" s="22" t="s">
        <v>593</v>
      </c>
      <c r="AA15" s="23"/>
      <c r="AB15" s="22" t="s">
        <v>593</v>
      </c>
      <c r="AC15" s="23"/>
      <c r="AD15" s="22" t="s">
        <v>593</v>
      </c>
      <c r="AE15" s="23"/>
      <c r="AF15" s="22" t="s">
        <v>593</v>
      </c>
      <c r="AG15" s="23"/>
      <c r="AH15" s="22" t="s">
        <v>593</v>
      </c>
      <c r="AI15" s="23"/>
      <c r="AJ15" s="22" t="s">
        <v>593</v>
      </c>
      <c r="AK15" s="23"/>
      <c r="AL15" s="22" t="s">
        <v>593</v>
      </c>
      <c r="AM15" s="23"/>
      <c r="AN15" s="22">
        <v>3248</v>
      </c>
      <c r="AO15" s="23"/>
      <c r="AP15" s="22" t="s">
        <v>593</v>
      </c>
      <c r="AQ15" s="23"/>
      <c r="AR15" s="22" t="s">
        <v>593</v>
      </c>
      <c r="AS15" s="23"/>
      <c r="AT15" s="22" t="s">
        <v>593</v>
      </c>
      <c r="AU15" s="23"/>
      <c r="AV15" s="22" t="s">
        <v>593</v>
      </c>
      <c r="AW15" s="23"/>
      <c r="AX15" s="22" t="s">
        <v>593</v>
      </c>
      <c r="AY15" s="23"/>
      <c r="AZ15" s="22" t="s">
        <v>593</v>
      </c>
      <c r="BA15" s="23"/>
      <c r="BB15" s="22" t="s">
        <v>593</v>
      </c>
      <c r="BC15" s="23"/>
      <c r="BD15" s="22" t="s">
        <v>593</v>
      </c>
      <c r="BE15" s="23"/>
      <c r="BF15" s="22" t="s">
        <v>593</v>
      </c>
      <c r="BG15" s="23"/>
      <c r="BH15" s="22" t="s">
        <v>593</v>
      </c>
      <c r="BI15" s="23"/>
      <c r="BJ15" s="22" t="s">
        <v>593</v>
      </c>
      <c r="BK15" s="23"/>
      <c r="BL15" s="22" t="s">
        <v>593</v>
      </c>
      <c r="BM15" s="23"/>
      <c r="BN15" s="22" t="s">
        <v>593</v>
      </c>
      <c r="BO15" s="23"/>
      <c r="BP15" s="22" t="s">
        <v>593</v>
      </c>
      <c r="BQ15" s="23"/>
    </row>
    <row r="16" spans="1:69" ht="14.5">
      <c r="A16" s="14" t="s">
        <v>266</v>
      </c>
      <c r="B16" s="202" t="s">
        <v>188</v>
      </c>
      <c r="C16" s="18">
        <v>20</v>
      </c>
      <c r="D16" s="146" t="s">
        <v>250</v>
      </c>
      <c r="E16" s="146" t="s">
        <v>249</v>
      </c>
      <c r="F16" s="146" t="s">
        <v>162</v>
      </c>
      <c r="G16" s="16">
        <v>45786</v>
      </c>
      <c r="H16" s="17">
        <v>7042</v>
      </c>
      <c r="I16" s="18"/>
      <c r="J16" s="18"/>
      <c r="K16" s="6">
        <f t="shared" si="0"/>
        <v>7042</v>
      </c>
      <c r="L16" s="6">
        <f t="shared" si="1"/>
        <v>7042</v>
      </c>
      <c r="M16" s="130"/>
      <c r="N16" s="131">
        <v>45762</v>
      </c>
      <c r="O16" s="131"/>
      <c r="P16" s="132">
        <f t="shared" ca="1" si="2"/>
        <v>-78</v>
      </c>
      <c r="Q16" s="131">
        <f t="shared" si="3"/>
        <v>45772</v>
      </c>
      <c r="R16" s="131"/>
      <c r="S16" s="132">
        <f t="shared" ca="1" si="4"/>
        <v>-68</v>
      </c>
      <c r="T16" s="131"/>
      <c r="U16" s="8"/>
      <c r="V16" s="23" t="s">
        <v>593</v>
      </c>
      <c r="W16" s="23"/>
      <c r="X16" s="23" t="s">
        <v>593</v>
      </c>
      <c r="Y16" s="23"/>
      <c r="Z16" s="22" t="s">
        <v>593</v>
      </c>
      <c r="AA16" s="23"/>
      <c r="AB16" s="22" t="s">
        <v>593</v>
      </c>
      <c r="AC16" s="23"/>
      <c r="AD16" s="22" t="s">
        <v>593</v>
      </c>
      <c r="AE16" s="23"/>
      <c r="AF16" s="22" t="s">
        <v>593</v>
      </c>
      <c r="AG16" s="23"/>
      <c r="AH16" s="22" t="s">
        <v>593</v>
      </c>
      <c r="AI16" s="23"/>
      <c r="AJ16" s="22" t="s">
        <v>593</v>
      </c>
      <c r="AK16" s="23"/>
      <c r="AL16" s="22" t="s">
        <v>593</v>
      </c>
      <c r="AM16" s="23"/>
      <c r="AN16" s="22">
        <v>7042</v>
      </c>
      <c r="AO16" s="23"/>
      <c r="AP16" s="22" t="s">
        <v>593</v>
      </c>
      <c r="AQ16" s="23"/>
      <c r="AR16" s="22" t="s">
        <v>593</v>
      </c>
      <c r="AS16" s="23"/>
      <c r="AT16" s="22" t="s">
        <v>593</v>
      </c>
      <c r="AU16" s="23"/>
      <c r="AV16" s="22" t="s">
        <v>593</v>
      </c>
      <c r="AW16" s="23"/>
      <c r="AX16" s="22" t="s">
        <v>593</v>
      </c>
      <c r="AY16" s="23"/>
      <c r="AZ16" s="22" t="s">
        <v>593</v>
      </c>
      <c r="BA16" s="23"/>
      <c r="BB16" s="22" t="s">
        <v>593</v>
      </c>
      <c r="BC16" s="23"/>
      <c r="BD16" s="22" t="s">
        <v>593</v>
      </c>
      <c r="BE16" s="23"/>
      <c r="BF16" s="22" t="s">
        <v>593</v>
      </c>
      <c r="BG16" s="23"/>
      <c r="BH16" s="22" t="s">
        <v>593</v>
      </c>
      <c r="BI16" s="23"/>
      <c r="BJ16" s="22" t="s">
        <v>593</v>
      </c>
      <c r="BK16" s="23"/>
      <c r="BL16" s="22" t="s">
        <v>593</v>
      </c>
      <c r="BM16" s="23"/>
      <c r="BN16" s="22" t="s">
        <v>593</v>
      </c>
      <c r="BO16" s="23"/>
      <c r="BP16" s="22" t="s">
        <v>593</v>
      </c>
      <c r="BQ16" s="23"/>
    </row>
    <row r="17" spans="1:69" ht="14.5">
      <c r="A17" s="14" t="s">
        <v>267</v>
      </c>
      <c r="B17" s="19" t="s">
        <v>59</v>
      </c>
      <c r="C17" s="15">
        <v>23</v>
      </c>
      <c r="D17" s="137" t="s">
        <v>268</v>
      </c>
      <c r="E17" s="146" t="s">
        <v>269</v>
      </c>
      <c r="F17" s="146" t="s">
        <v>255</v>
      </c>
      <c r="G17" s="145">
        <v>45772</v>
      </c>
      <c r="H17" s="6">
        <v>48813.452699999994</v>
      </c>
      <c r="I17" s="18"/>
      <c r="J17" s="18"/>
      <c r="K17" s="6">
        <f t="shared" ref="K17:K38" si="5">H17-J17</f>
        <v>48813.452699999994</v>
      </c>
      <c r="L17" s="6">
        <f t="shared" ref="L17:L38" si="6">H17-I17</f>
        <v>48813.452699999994</v>
      </c>
      <c r="M17" s="130"/>
      <c r="N17" s="131">
        <v>45737</v>
      </c>
      <c r="O17" s="131"/>
      <c r="P17" s="132">
        <f t="shared" ref="P17:P38" ca="1" si="7">+IF(O17="",N17-TODAY(),N17-N17)</f>
        <v>-103</v>
      </c>
      <c r="Q17" s="131">
        <f>N17+20</f>
        <v>45757</v>
      </c>
      <c r="R17" s="131"/>
      <c r="S17" s="132">
        <f t="shared" ref="S17:S38" ca="1" si="8">+IF(R17="",Q17-TODAY(),Q17-R17)</f>
        <v>-83</v>
      </c>
      <c r="T17" s="131"/>
      <c r="U17" s="8"/>
      <c r="V17" s="23" t="s">
        <v>593</v>
      </c>
      <c r="W17" s="23"/>
      <c r="X17" s="23" t="s">
        <v>593</v>
      </c>
      <c r="Y17" s="23"/>
      <c r="Z17" s="22" t="s">
        <v>593</v>
      </c>
      <c r="AA17" s="23"/>
      <c r="AB17" s="22" t="s">
        <v>593</v>
      </c>
      <c r="AC17" s="23"/>
      <c r="AD17" s="22" t="s">
        <v>593</v>
      </c>
      <c r="AE17" s="23"/>
      <c r="AF17" s="22" t="s">
        <v>593</v>
      </c>
      <c r="AG17" s="23"/>
      <c r="AH17" s="22" t="s">
        <v>593</v>
      </c>
      <c r="AI17" s="23"/>
      <c r="AJ17" s="22" t="s">
        <v>593</v>
      </c>
      <c r="AK17" s="23"/>
      <c r="AL17" s="22" t="s">
        <v>593</v>
      </c>
      <c r="AM17" s="23"/>
      <c r="AN17" s="22">
        <v>7042</v>
      </c>
      <c r="AO17" s="23"/>
      <c r="AP17" s="22" t="s">
        <v>593</v>
      </c>
      <c r="AQ17" s="23"/>
      <c r="AR17" s="22" t="s">
        <v>593</v>
      </c>
      <c r="AS17" s="23"/>
      <c r="AT17" s="22" t="s">
        <v>593</v>
      </c>
      <c r="AU17" s="23"/>
      <c r="AV17" s="22" t="s">
        <v>593</v>
      </c>
      <c r="AW17" s="23"/>
      <c r="AX17" s="22" t="s">
        <v>593</v>
      </c>
      <c r="AY17" s="23"/>
      <c r="AZ17" s="22" t="s">
        <v>593</v>
      </c>
      <c r="BA17" s="23"/>
      <c r="BB17" s="22" t="s">
        <v>593</v>
      </c>
      <c r="BC17" s="23"/>
      <c r="BD17" s="22" t="s">
        <v>593</v>
      </c>
      <c r="BE17" s="23"/>
      <c r="BF17" s="22" t="s">
        <v>593</v>
      </c>
      <c r="BG17" s="23"/>
      <c r="BH17" s="22" t="s">
        <v>593</v>
      </c>
      <c r="BI17" s="23"/>
      <c r="BJ17" s="22" t="s">
        <v>593</v>
      </c>
      <c r="BK17" s="23"/>
      <c r="BL17" s="22" t="s">
        <v>593</v>
      </c>
      <c r="BM17" s="23"/>
      <c r="BN17" s="22" t="s">
        <v>593</v>
      </c>
      <c r="BO17" s="23"/>
      <c r="BP17" s="22" t="s">
        <v>593</v>
      </c>
      <c r="BQ17" s="23"/>
    </row>
    <row r="18" spans="1:69" ht="14.5">
      <c r="A18" s="14" t="s">
        <v>272</v>
      </c>
      <c r="B18" s="19" t="s">
        <v>59</v>
      </c>
      <c r="C18" s="15">
        <v>23</v>
      </c>
      <c r="D18" s="137" t="s">
        <v>268</v>
      </c>
      <c r="E18" s="146" t="s">
        <v>269</v>
      </c>
      <c r="F18" s="146" t="s">
        <v>255</v>
      </c>
      <c r="G18" s="145">
        <v>45807</v>
      </c>
      <c r="H18" s="6">
        <v>48813.452699999994</v>
      </c>
      <c r="I18" s="259"/>
      <c r="J18" s="18"/>
      <c r="K18" s="6">
        <f t="shared" si="5"/>
        <v>48813.452699999994</v>
      </c>
      <c r="L18" s="6">
        <f t="shared" si="6"/>
        <v>48813.452699999994</v>
      </c>
      <c r="M18" s="130"/>
      <c r="N18" s="131">
        <v>45782</v>
      </c>
      <c r="O18" s="131"/>
      <c r="P18" s="132">
        <f t="shared" ca="1" si="7"/>
        <v>-58</v>
      </c>
      <c r="Q18" s="131">
        <f t="shared" ref="Q18:Q56" si="9">N18+20</f>
        <v>45802</v>
      </c>
      <c r="R18" s="131"/>
      <c r="S18" s="132">
        <f t="shared" ca="1" si="8"/>
        <v>-38</v>
      </c>
      <c r="T18" s="131"/>
      <c r="U18" s="8"/>
      <c r="V18" s="23" t="s">
        <v>593</v>
      </c>
      <c r="W18" s="23"/>
      <c r="X18" s="23" t="s">
        <v>593</v>
      </c>
      <c r="Y18" s="23"/>
      <c r="Z18" s="22" t="s">
        <v>593</v>
      </c>
      <c r="AA18" s="23"/>
      <c r="AB18" s="22" t="s">
        <v>593</v>
      </c>
      <c r="AC18" s="23"/>
      <c r="AD18" s="22" t="s">
        <v>593</v>
      </c>
      <c r="AE18" s="23"/>
      <c r="AF18" s="22" t="s">
        <v>593</v>
      </c>
      <c r="AG18" s="23"/>
      <c r="AH18" s="22" t="s">
        <v>593</v>
      </c>
      <c r="AI18" s="23"/>
      <c r="AJ18" s="22" t="s">
        <v>593</v>
      </c>
      <c r="AK18" s="23"/>
      <c r="AL18" s="22" t="s">
        <v>593</v>
      </c>
      <c r="AM18" s="23"/>
      <c r="AN18" s="22">
        <v>7042</v>
      </c>
      <c r="AO18" s="23"/>
      <c r="AP18" s="22" t="s">
        <v>593</v>
      </c>
      <c r="AQ18" s="23"/>
      <c r="AR18" s="22" t="s">
        <v>593</v>
      </c>
      <c r="AS18" s="23"/>
      <c r="AT18" s="22" t="s">
        <v>593</v>
      </c>
      <c r="AU18" s="23"/>
      <c r="AV18" s="22" t="s">
        <v>593</v>
      </c>
      <c r="AW18" s="23"/>
      <c r="AX18" s="22" t="s">
        <v>593</v>
      </c>
      <c r="AY18" s="23"/>
      <c r="AZ18" s="22" t="s">
        <v>593</v>
      </c>
      <c r="BA18" s="23"/>
      <c r="BB18" s="22" t="s">
        <v>593</v>
      </c>
      <c r="BC18" s="23"/>
      <c r="BD18" s="22" t="s">
        <v>593</v>
      </c>
      <c r="BE18" s="23"/>
      <c r="BF18" s="22" t="s">
        <v>593</v>
      </c>
      <c r="BG18" s="23"/>
      <c r="BH18" s="22" t="s">
        <v>593</v>
      </c>
      <c r="BI18" s="23"/>
      <c r="BJ18" s="22" t="s">
        <v>593</v>
      </c>
      <c r="BK18" s="23"/>
      <c r="BL18" s="22" t="s">
        <v>593</v>
      </c>
      <c r="BM18" s="23"/>
      <c r="BN18" s="22" t="s">
        <v>593</v>
      </c>
      <c r="BO18" s="23"/>
      <c r="BP18" s="22" t="s">
        <v>593</v>
      </c>
      <c r="BQ18" s="23"/>
    </row>
    <row r="19" spans="1:69" ht="14.5">
      <c r="A19" s="14" t="s">
        <v>273</v>
      </c>
      <c r="B19" s="19" t="s">
        <v>59</v>
      </c>
      <c r="C19" s="15">
        <v>25</v>
      </c>
      <c r="D19" s="137" t="s">
        <v>268</v>
      </c>
      <c r="E19" s="146" t="s">
        <v>274</v>
      </c>
      <c r="F19" s="146" t="s">
        <v>255</v>
      </c>
      <c r="G19" s="145">
        <v>45814</v>
      </c>
      <c r="H19" s="6">
        <v>3661.7699999999995</v>
      </c>
      <c r="I19" s="259"/>
      <c r="J19" s="18"/>
      <c r="K19" s="6">
        <f t="shared" si="5"/>
        <v>3661.7699999999995</v>
      </c>
      <c r="L19" s="6">
        <f t="shared" si="6"/>
        <v>3661.7699999999995</v>
      </c>
      <c r="M19" s="130"/>
      <c r="N19" s="131">
        <v>45789</v>
      </c>
      <c r="O19" s="131"/>
      <c r="P19" s="132">
        <f t="shared" ca="1" si="7"/>
        <v>-51</v>
      </c>
      <c r="Q19" s="131">
        <f t="shared" si="9"/>
        <v>45809</v>
      </c>
      <c r="R19" s="131"/>
      <c r="S19" s="132">
        <f t="shared" ca="1" si="8"/>
        <v>-31</v>
      </c>
      <c r="T19" s="131"/>
      <c r="U19" s="8"/>
      <c r="V19" s="23" t="s">
        <v>593</v>
      </c>
      <c r="W19" s="23"/>
      <c r="X19" s="23" t="s">
        <v>593</v>
      </c>
      <c r="Y19" s="23"/>
      <c r="Z19" s="22" t="s">
        <v>593</v>
      </c>
      <c r="AA19" s="23"/>
      <c r="AB19" s="22" t="s">
        <v>593</v>
      </c>
      <c r="AC19" s="23"/>
      <c r="AD19" s="22" t="s">
        <v>593</v>
      </c>
      <c r="AE19" s="23"/>
      <c r="AF19" s="22" t="s">
        <v>593</v>
      </c>
      <c r="AG19" s="23"/>
      <c r="AH19" s="22" t="s">
        <v>593</v>
      </c>
      <c r="AI19" s="23"/>
      <c r="AJ19" s="22" t="s">
        <v>593</v>
      </c>
      <c r="AK19" s="23"/>
      <c r="AL19" s="22" t="s">
        <v>593</v>
      </c>
      <c r="AM19" s="23"/>
      <c r="AN19" s="22">
        <v>7042</v>
      </c>
      <c r="AO19" s="23"/>
      <c r="AP19" s="22" t="s">
        <v>593</v>
      </c>
      <c r="AQ19" s="23"/>
      <c r="AR19" s="22" t="s">
        <v>593</v>
      </c>
      <c r="AS19" s="23"/>
      <c r="AT19" s="22" t="s">
        <v>593</v>
      </c>
      <c r="AU19" s="23"/>
      <c r="AV19" s="22" t="s">
        <v>593</v>
      </c>
      <c r="AW19" s="23"/>
      <c r="AX19" s="22" t="s">
        <v>593</v>
      </c>
      <c r="AY19" s="23"/>
      <c r="AZ19" s="22" t="s">
        <v>593</v>
      </c>
      <c r="BA19" s="23"/>
      <c r="BB19" s="22" t="s">
        <v>593</v>
      </c>
      <c r="BC19" s="23"/>
      <c r="BD19" s="22" t="s">
        <v>593</v>
      </c>
      <c r="BE19" s="23"/>
      <c r="BF19" s="22" t="s">
        <v>593</v>
      </c>
      <c r="BG19" s="23"/>
      <c r="BH19" s="22" t="s">
        <v>593</v>
      </c>
      <c r="BI19" s="23"/>
      <c r="BJ19" s="22" t="s">
        <v>593</v>
      </c>
      <c r="BK19" s="23"/>
      <c r="BL19" s="22" t="s">
        <v>593</v>
      </c>
      <c r="BM19" s="23"/>
      <c r="BN19" s="22" t="s">
        <v>593</v>
      </c>
      <c r="BO19" s="23"/>
      <c r="BP19" s="22" t="s">
        <v>593</v>
      </c>
      <c r="BQ19" s="23"/>
    </row>
    <row r="20" spans="1:69" ht="14.5">
      <c r="A20" s="14" t="s">
        <v>273</v>
      </c>
      <c r="B20" s="19" t="s">
        <v>59</v>
      </c>
      <c r="C20" s="15">
        <v>25</v>
      </c>
      <c r="D20" s="137" t="s">
        <v>268</v>
      </c>
      <c r="E20" s="146" t="s">
        <v>274</v>
      </c>
      <c r="F20" s="146" t="s">
        <v>255</v>
      </c>
      <c r="G20" s="145">
        <v>45814</v>
      </c>
      <c r="H20" s="6">
        <v>3661.7699999999995</v>
      </c>
      <c r="I20" s="259"/>
      <c r="J20" s="18"/>
      <c r="K20" s="6">
        <f t="shared" si="5"/>
        <v>3661.7699999999995</v>
      </c>
      <c r="L20" s="6">
        <f t="shared" si="6"/>
        <v>3661.7699999999995</v>
      </c>
      <c r="M20" s="130"/>
      <c r="N20" s="131">
        <v>45789</v>
      </c>
      <c r="O20" s="131"/>
      <c r="P20" s="132">
        <f t="shared" ca="1" si="7"/>
        <v>-51</v>
      </c>
      <c r="Q20" s="131">
        <f t="shared" si="9"/>
        <v>45809</v>
      </c>
      <c r="R20" s="131"/>
      <c r="S20" s="132">
        <f t="shared" ca="1" si="8"/>
        <v>-31</v>
      </c>
      <c r="T20" s="131"/>
      <c r="U20" s="8"/>
      <c r="V20" s="23" t="s">
        <v>593</v>
      </c>
      <c r="W20" s="23"/>
      <c r="X20" s="23" t="s">
        <v>593</v>
      </c>
      <c r="Y20" s="23"/>
      <c r="Z20" s="22" t="s">
        <v>593</v>
      </c>
      <c r="AA20" s="23"/>
      <c r="AB20" s="22" t="s">
        <v>593</v>
      </c>
      <c r="AC20" s="23"/>
      <c r="AD20" s="22" t="s">
        <v>593</v>
      </c>
      <c r="AE20" s="23"/>
      <c r="AF20" s="22" t="s">
        <v>593</v>
      </c>
      <c r="AG20" s="23"/>
      <c r="AH20" s="22" t="s">
        <v>593</v>
      </c>
      <c r="AI20" s="23"/>
      <c r="AJ20" s="22" t="s">
        <v>593</v>
      </c>
      <c r="AK20" s="23"/>
      <c r="AL20" s="22" t="s">
        <v>593</v>
      </c>
      <c r="AM20" s="23"/>
      <c r="AN20" s="22">
        <v>7042</v>
      </c>
      <c r="AO20" s="23"/>
      <c r="AP20" s="22" t="s">
        <v>593</v>
      </c>
      <c r="AQ20" s="23"/>
      <c r="AR20" s="22" t="s">
        <v>593</v>
      </c>
      <c r="AS20" s="23"/>
      <c r="AT20" s="22" t="s">
        <v>593</v>
      </c>
      <c r="AU20" s="23"/>
      <c r="AV20" s="22" t="s">
        <v>593</v>
      </c>
      <c r="AW20" s="23"/>
      <c r="AX20" s="22" t="s">
        <v>593</v>
      </c>
      <c r="AY20" s="23"/>
      <c r="AZ20" s="22" t="s">
        <v>593</v>
      </c>
      <c r="BA20" s="23"/>
      <c r="BB20" s="22" t="s">
        <v>593</v>
      </c>
      <c r="BC20" s="23"/>
      <c r="BD20" s="22" t="s">
        <v>593</v>
      </c>
      <c r="BE20" s="23"/>
      <c r="BF20" s="22" t="s">
        <v>593</v>
      </c>
      <c r="BG20" s="23"/>
      <c r="BH20" s="22" t="s">
        <v>593</v>
      </c>
      <c r="BI20" s="23"/>
      <c r="BJ20" s="22" t="s">
        <v>593</v>
      </c>
      <c r="BK20" s="23"/>
      <c r="BL20" s="22" t="s">
        <v>593</v>
      </c>
      <c r="BM20" s="23"/>
      <c r="BN20" s="22" t="s">
        <v>593</v>
      </c>
      <c r="BO20" s="23"/>
      <c r="BP20" s="22" t="s">
        <v>593</v>
      </c>
      <c r="BQ20" s="23"/>
    </row>
    <row r="21" spans="1:69" ht="14.5">
      <c r="A21" s="14" t="s">
        <v>273</v>
      </c>
      <c r="B21" s="19" t="s">
        <v>59</v>
      </c>
      <c r="C21" s="15">
        <v>24</v>
      </c>
      <c r="D21" s="137" t="s">
        <v>268</v>
      </c>
      <c r="E21" s="146" t="s">
        <v>275</v>
      </c>
      <c r="F21" s="146" t="s">
        <v>255</v>
      </c>
      <c r="G21" s="145">
        <v>45814</v>
      </c>
      <c r="H21" s="6">
        <v>30234.047200000001</v>
      </c>
      <c r="I21" s="259"/>
      <c r="J21" s="18"/>
      <c r="K21" s="6">
        <f t="shared" si="5"/>
        <v>30234.047200000001</v>
      </c>
      <c r="L21" s="6">
        <f t="shared" si="6"/>
        <v>30234.047200000001</v>
      </c>
      <c r="M21" s="130"/>
      <c r="N21" s="131">
        <v>45789</v>
      </c>
      <c r="O21" s="131"/>
      <c r="P21" s="132">
        <f t="shared" ca="1" si="7"/>
        <v>-51</v>
      </c>
      <c r="Q21" s="131">
        <f t="shared" si="9"/>
        <v>45809</v>
      </c>
      <c r="R21" s="131"/>
      <c r="S21" s="132">
        <f t="shared" ca="1" si="8"/>
        <v>-31</v>
      </c>
      <c r="T21" s="131"/>
      <c r="U21" s="8"/>
      <c r="V21" s="23" t="s">
        <v>593</v>
      </c>
      <c r="W21" s="23"/>
      <c r="X21" s="23" t="s">
        <v>593</v>
      </c>
      <c r="Y21" s="23"/>
      <c r="Z21" s="22" t="s">
        <v>593</v>
      </c>
      <c r="AA21" s="23"/>
      <c r="AB21" s="22" t="s">
        <v>593</v>
      </c>
      <c r="AC21" s="23"/>
      <c r="AD21" s="22" t="s">
        <v>593</v>
      </c>
      <c r="AE21" s="23"/>
      <c r="AF21" s="22" t="s">
        <v>593</v>
      </c>
      <c r="AG21" s="23"/>
      <c r="AH21" s="22" t="s">
        <v>593</v>
      </c>
      <c r="AI21" s="23"/>
      <c r="AJ21" s="22" t="s">
        <v>593</v>
      </c>
      <c r="AK21" s="23"/>
      <c r="AL21" s="22" t="s">
        <v>593</v>
      </c>
      <c r="AM21" s="23"/>
      <c r="AN21" s="22">
        <v>7042</v>
      </c>
      <c r="AO21" s="23"/>
      <c r="AP21" s="22" t="s">
        <v>593</v>
      </c>
      <c r="AQ21" s="23"/>
      <c r="AR21" s="22" t="s">
        <v>593</v>
      </c>
      <c r="AS21" s="23"/>
      <c r="AT21" s="22" t="s">
        <v>593</v>
      </c>
      <c r="AU21" s="23"/>
      <c r="AV21" s="22" t="s">
        <v>593</v>
      </c>
      <c r="AW21" s="23"/>
      <c r="AX21" s="22" t="s">
        <v>593</v>
      </c>
      <c r="AY21" s="23"/>
      <c r="AZ21" s="22" t="s">
        <v>593</v>
      </c>
      <c r="BA21" s="23"/>
      <c r="BB21" s="22" t="s">
        <v>593</v>
      </c>
      <c r="BC21" s="23"/>
      <c r="BD21" s="22" t="s">
        <v>593</v>
      </c>
      <c r="BE21" s="23"/>
      <c r="BF21" s="22" t="s">
        <v>593</v>
      </c>
      <c r="BG21" s="23"/>
      <c r="BH21" s="22" t="s">
        <v>593</v>
      </c>
      <c r="BI21" s="23"/>
      <c r="BJ21" s="22" t="s">
        <v>593</v>
      </c>
      <c r="BK21" s="23"/>
      <c r="BL21" s="22" t="s">
        <v>593</v>
      </c>
      <c r="BM21" s="23"/>
      <c r="BN21" s="22" t="s">
        <v>593</v>
      </c>
      <c r="BO21" s="23"/>
      <c r="BP21" s="22" t="s">
        <v>593</v>
      </c>
      <c r="BQ21" s="23"/>
    </row>
    <row r="22" spans="1:69" ht="14.5">
      <c r="A22" s="14" t="s">
        <v>273</v>
      </c>
      <c r="B22" s="19" t="s">
        <v>59</v>
      </c>
      <c r="C22" s="15">
        <v>26</v>
      </c>
      <c r="D22" s="137" t="s">
        <v>268</v>
      </c>
      <c r="E22" s="146" t="s">
        <v>276</v>
      </c>
      <c r="F22" s="146" t="s">
        <v>255</v>
      </c>
      <c r="G22" s="145">
        <v>45814</v>
      </c>
      <c r="H22" s="6">
        <v>6730.4714399999984</v>
      </c>
      <c r="I22" s="259"/>
      <c r="J22" s="18"/>
      <c r="K22" s="6">
        <f t="shared" si="5"/>
        <v>6730.4714399999984</v>
      </c>
      <c r="L22" s="6">
        <f t="shared" si="6"/>
        <v>6730.4714399999984</v>
      </c>
      <c r="M22" s="130"/>
      <c r="N22" s="131">
        <v>45789</v>
      </c>
      <c r="O22" s="131"/>
      <c r="P22" s="132">
        <f t="shared" ca="1" si="7"/>
        <v>-51</v>
      </c>
      <c r="Q22" s="131">
        <f t="shared" si="9"/>
        <v>45809</v>
      </c>
      <c r="R22" s="131"/>
      <c r="S22" s="132">
        <f t="shared" ca="1" si="8"/>
        <v>-31</v>
      </c>
      <c r="T22" s="131"/>
      <c r="U22" s="8"/>
      <c r="V22" s="23" t="s">
        <v>593</v>
      </c>
      <c r="W22" s="23"/>
      <c r="X22" s="23" t="s">
        <v>593</v>
      </c>
      <c r="Y22" s="23"/>
      <c r="Z22" s="22" t="s">
        <v>593</v>
      </c>
      <c r="AA22" s="23"/>
      <c r="AB22" s="22" t="s">
        <v>593</v>
      </c>
      <c r="AC22" s="23"/>
      <c r="AD22" s="22" t="s">
        <v>593</v>
      </c>
      <c r="AE22" s="23"/>
      <c r="AF22" s="22" t="s">
        <v>593</v>
      </c>
      <c r="AG22" s="23"/>
      <c r="AH22" s="22" t="s">
        <v>593</v>
      </c>
      <c r="AI22" s="23"/>
      <c r="AJ22" s="22" t="s">
        <v>593</v>
      </c>
      <c r="AK22" s="23"/>
      <c r="AL22" s="22" t="s">
        <v>593</v>
      </c>
      <c r="AM22" s="23"/>
      <c r="AN22" s="22">
        <v>7042</v>
      </c>
      <c r="AO22" s="23"/>
      <c r="AP22" s="22" t="s">
        <v>593</v>
      </c>
      <c r="AQ22" s="23"/>
      <c r="AR22" s="22" t="s">
        <v>593</v>
      </c>
      <c r="AS22" s="23"/>
      <c r="AT22" s="22" t="s">
        <v>593</v>
      </c>
      <c r="AU22" s="23"/>
      <c r="AV22" s="22" t="s">
        <v>593</v>
      </c>
      <c r="AW22" s="23"/>
      <c r="AX22" s="22" t="s">
        <v>593</v>
      </c>
      <c r="AY22" s="23"/>
      <c r="AZ22" s="22" t="s">
        <v>593</v>
      </c>
      <c r="BA22" s="23"/>
      <c r="BB22" s="22" t="s">
        <v>593</v>
      </c>
      <c r="BC22" s="23"/>
      <c r="BD22" s="22" t="s">
        <v>593</v>
      </c>
      <c r="BE22" s="23"/>
      <c r="BF22" s="22" t="s">
        <v>593</v>
      </c>
      <c r="BG22" s="23"/>
      <c r="BH22" s="22" t="s">
        <v>593</v>
      </c>
      <c r="BI22" s="23"/>
      <c r="BJ22" s="22" t="s">
        <v>593</v>
      </c>
      <c r="BK22" s="23"/>
      <c r="BL22" s="22" t="s">
        <v>593</v>
      </c>
      <c r="BM22" s="23"/>
      <c r="BN22" s="22" t="s">
        <v>593</v>
      </c>
      <c r="BO22" s="23"/>
      <c r="BP22" s="22" t="s">
        <v>593</v>
      </c>
      <c r="BQ22" s="23"/>
    </row>
    <row r="23" spans="1:69" ht="14.5">
      <c r="A23" s="14" t="s">
        <v>277</v>
      </c>
      <c r="B23" s="19" t="s">
        <v>59</v>
      </c>
      <c r="C23" s="15">
        <v>25</v>
      </c>
      <c r="D23" s="137" t="s">
        <v>268</v>
      </c>
      <c r="E23" s="146" t="s">
        <v>274</v>
      </c>
      <c r="F23" s="146" t="s">
        <v>255</v>
      </c>
      <c r="G23" s="145">
        <v>45800</v>
      </c>
      <c r="H23" s="6">
        <v>3254.6324999999997</v>
      </c>
      <c r="I23" s="259"/>
      <c r="J23" s="18"/>
      <c r="K23" s="6">
        <f t="shared" si="5"/>
        <v>3254.6324999999997</v>
      </c>
      <c r="L23" s="6">
        <f t="shared" si="6"/>
        <v>3254.6324999999997</v>
      </c>
      <c r="M23" s="130"/>
      <c r="N23" s="131">
        <v>45775</v>
      </c>
      <c r="O23" s="131"/>
      <c r="P23" s="132">
        <f t="shared" ca="1" si="7"/>
        <v>-65</v>
      </c>
      <c r="Q23" s="131">
        <f t="shared" si="9"/>
        <v>45795</v>
      </c>
      <c r="R23" s="131"/>
      <c r="S23" s="132">
        <f t="shared" ca="1" si="8"/>
        <v>-45</v>
      </c>
      <c r="T23" s="131"/>
      <c r="U23" s="8"/>
      <c r="V23" s="23" t="s">
        <v>593</v>
      </c>
      <c r="W23" s="23"/>
      <c r="X23" s="23" t="s">
        <v>593</v>
      </c>
      <c r="Y23" s="23"/>
      <c r="Z23" s="22" t="s">
        <v>593</v>
      </c>
      <c r="AA23" s="23"/>
      <c r="AB23" s="22" t="s">
        <v>593</v>
      </c>
      <c r="AC23" s="23"/>
      <c r="AD23" s="22" t="s">
        <v>593</v>
      </c>
      <c r="AE23" s="23"/>
      <c r="AF23" s="22" t="s">
        <v>593</v>
      </c>
      <c r="AG23" s="23"/>
      <c r="AH23" s="22" t="s">
        <v>593</v>
      </c>
      <c r="AI23" s="23"/>
      <c r="AJ23" s="22" t="s">
        <v>593</v>
      </c>
      <c r="AK23" s="23"/>
      <c r="AL23" s="22" t="s">
        <v>593</v>
      </c>
      <c r="AM23" s="23"/>
      <c r="AN23" s="22">
        <v>7042</v>
      </c>
      <c r="AO23" s="23"/>
      <c r="AP23" s="22" t="s">
        <v>593</v>
      </c>
      <c r="AQ23" s="23"/>
      <c r="AR23" s="22" t="s">
        <v>593</v>
      </c>
      <c r="AS23" s="23"/>
      <c r="AT23" s="22" t="s">
        <v>593</v>
      </c>
      <c r="AU23" s="23"/>
      <c r="AV23" s="22" t="s">
        <v>593</v>
      </c>
      <c r="AW23" s="23"/>
      <c r="AX23" s="22" t="s">
        <v>593</v>
      </c>
      <c r="AY23" s="23"/>
      <c r="AZ23" s="22" t="s">
        <v>593</v>
      </c>
      <c r="BA23" s="23"/>
      <c r="BB23" s="22" t="s">
        <v>593</v>
      </c>
      <c r="BC23" s="23"/>
      <c r="BD23" s="22" t="s">
        <v>593</v>
      </c>
      <c r="BE23" s="23"/>
      <c r="BF23" s="22" t="s">
        <v>593</v>
      </c>
      <c r="BG23" s="23"/>
      <c r="BH23" s="22" t="s">
        <v>593</v>
      </c>
      <c r="BI23" s="23"/>
      <c r="BJ23" s="22" t="s">
        <v>593</v>
      </c>
      <c r="BK23" s="23"/>
      <c r="BL23" s="22" t="s">
        <v>593</v>
      </c>
      <c r="BM23" s="23"/>
      <c r="BN23" s="22" t="s">
        <v>593</v>
      </c>
      <c r="BO23" s="23"/>
      <c r="BP23" s="22" t="s">
        <v>593</v>
      </c>
      <c r="BQ23" s="23"/>
    </row>
    <row r="24" spans="1:69" ht="14.5">
      <c r="A24" s="14" t="s">
        <v>277</v>
      </c>
      <c r="B24" s="19" t="s">
        <v>59</v>
      </c>
      <c r="C24" s="15">
        <v>25</v>
      </c>
      <c r="D24" s="137" t="s">
        <v>268</v>
      </c>
      <c r="E24" s="146" t="s">
        <v>274</v>
      </c>
      <c r="F24" s="146" t="s">
        <v>255</v>
      </c>
      <c r="G24" s="145">
        <v>45800</v>
      </c>
      <c r="H24" s="6">
        <v>3254.6324999999997</v>
      </c>
      <c r="I24" s="259"/>
      <c r="J24" s="18"/>
      <c r="K24" s="6">
        <f t="shared" si="5"/>
        <v>3254.6324999999997</v>
      </c>
      <c r="L24" s="6">
        <f t="shared" si="6"/>
        <v>3254.6324999999997</v>
      </c>
      <c r="M24" s="130"/>
      <c r="N24" s="131">
        <v>45775</v>
      </c>
      <c r="O24" s="131"/>
      <c r="P24" s="132">
        <f t="shared" ca="1" si="7"/>
        <v>-65</v>
      </c>
      <c r="Q24" s="131">
        <f t="shared" si="9"/>
        <v>45795</v>
      </c>
      <c r="R24" s="131"/>
      <c r="S24" s="132">
        <f t="shared" ca="1" si="8"/>
        <v>-45</v>
      </c>
      <c r="T24" s="131"/>
      <c r="U24" s="8"/>
      <c r="V24" s="23" t="s">
        <v>593</v>
      </c>
      <c r="W24" s="23"/>
      <c r="X24" s="23" t="s">
        <v>593</v>
      </c>
      <c r="Y24" s="23"/>
      <c r="Z24" s="22" t="s">
        <v>593</v>
      </c>
      <c r="AA24" s="23"/>
      <c r="AB24" s="22" t="s">
        <v>593</v>
      </c>
      <c r="AC24" s="23"/>
      <c r="AD24" s="22" t="s">
        <v>593</v>
      </c>
      <c r="AE24" s="23"/>
      <c r="AF24" s="22" t="s">
        <v>593</v>
      </c>
      <c r="AG24" s="23"/>
      <c r="AH24" s="22" t="s">
        <v>593</v>
      </c>
      <c r="AI24" s="23"/>
      <c r="AJ24" s="22" t="s">
        <v>593</v>
      </c>
      <c r="AK24" s="23"/>
      <c r="AL24" s="22" t="s">
        <v>593</v>
      </c>
      <c r="AM24" s="23"/>
      <c r="AN24" s="22">
        <v>7042</v>
      </c>
      <c r="AO24" s="23"/>
      <c r="AP24" s="22" t="s">
        <v>593</v>
      </c>
      <c r="AQ24" s="23"/>
      <c r="AR24" s="22" t="s">
        <v>593</v>
      </c>
      <c r="AS24" s="23"/>
      <c r="AT24" s="22" t="s">
        <v>593</v>
      </c>
      <c r="AU24" s="23"/>
      <c r="AV24" s="22" t="s">
        <v>593</v>
      </c>
      <c r="AW24" s="23"/>
      <c r="AX24" s="22" t="s">
        <v>593</v>
      </c>
      <c r="AY24" s="23"/>
      <c r="AZ24" s="22" t="s">
        <v>593</v>
      </c>
      <c r="BA24" s="23"/>
      <c r="BB24" s="22" t="s">
        <v>593</v>
      </c>
      <c r="BC24" s="23"/>
      <c r="BD24" s="22" t="s">
        <v>593</v>
      </c>
      <c r="BE24" s="23"/>
      <c r="BF24" s="22" t="s">
        <v>593</v>
      </c>
      <c r="BG24" s="23"/>
      <c r="BH24" s="22" t="s">
        <v>593</v>
      </c>
      <c r="BI24" s="23"/>
      <c r="BJ24" s="22" t="s">
        <v>593</v>
      </c>
      <c r="BK24" s="23"/>
      <c r="BL24" s="22" t="s">
        <v>593</v>
      </c>
      <c r="BM24" s="23"/>
      <c r="BN24" s="22" t="s">
        <v>593</v>
      </c>
      <c r="BO24" s="23"/>
      <c r="BP24" s="22" t="s">
        <v>593</v>
      </c>
      <c r="BQ24" s="23"/>
    </row>
    <row r="25" spans="1:69" ht="14.5">
      <c r="A25" s="14" t="s">
        <v>277</v>
      </c>
      <c r="B25" s="19" t="s">
        <v>59</v>
      </c>
      <c r="C25" s="15">
        <v>23</v>
      </c>
      <c r="D25" s="137" t="s">
        <v>268</v>
      </c>
      <c r="E25" s="146" t="s">
        <v>269</v>
      </c>
      <c r="F25" s="146" t="s">
        <v>255</v>
      </c>
      <c r="G25" s="145">
        <v>45800</v>
      </c>
      <c r="H25" s="6">
        <v>40238.288599999993</v>
      </c>
      <c r="I25" s="259"/>
      <c r="J25" s="18"/>
      <c r="K25" s="6">
        <f t="shared" si="5"/>
        <v>40238.288599999993</v>
      </c>
      <c r="L25" s="6">
        <f t="shared" si="6"/>
        <v>40238.288599999993</v>
      </c>
      <c r="M25" s="130"/>
      <c r="N25" s="131">
        <v>45775</v>
      </c>
      <c r="O25" s="131"/>
      <c r="P25" s="132">
        <f t="shared" ca="1" si="7"/>
        <v>-65</v>
      </c>
      <c r="Q25" s="131">
        <f t="shared" si="9"/>
        <v>45795</v>
      </c>
      <c r="R25" s="131"/>
      <c r="S25" s="132">
        <f t="shared" ca="1" si="8"/>
        <v>-45</v>
      </c>
      <c r="T25" s="131"/>
      <c r="U25" s="8"/>
      <c r="V25" s="23" t="s">
        <v>593</v>
      </c>
      <c r="W25" s="23"/>
      <c r="X25" s="23" t="s">
        <v>593</v>
      </c>
      <c r="Y25" s="23"/>
      <c r="Z25" s="22" t="s">
        <v>593</v>
      </c>
      <c r="AA25" s="23"/>
      <c r="AB25" s="22" t="s">
        <v>593</v>
      </c>
      <c r="AC25" s="23"/>
      <c r="AD25" s="22" t="s">
        <v>593</v>
      </c>
      <c r="AE25" s="23"/>
      <c r="AF25" s="22" t="s">
        <v>593</v>
      </c>
      <c r="AG25" s="23"/>
      <c r="AH25" s="22" t="s">
        <v>593</v>
      </c>
      <c r="AI25" s="23"/>
      <c r="AJ25" s="22" t="s">
        <v>593</v>
      </c>
      <c r="AK25" s="23"/>
      <c r="AL25" s="22" t="s">
        <v>593</v>
      </c>
      <c r="AM25" s="23"/>
      <c r="AN25" s="22">
        <v>7042</v>
      </c>
      <c r="AO25" s="23"/>
      <c r="AP25" s="22" t="s">
        <v>593</v>
      </c>
      <c r="AQ25" s="23"/>
      <c r="AR25" s="22" t="s">
        <v>593</v>
      </c>
      <c r="AS25" s="23"/>
      <c r="AT25" s="22" t="s">
        <v>593</v>
      </c>
      <c r="AU25" s="23"/>
      <c r="AV25" s="22" t="s">
        <v>593</v>
      </c>
      <c r="AW25" s="23"/>
      <c r="AX25" s="22" t="s">
        <v>593</v>
      </c>
      <c r="AY25" s="23"/>
      <c r="AZ25" s="22" t="s">
        <v>593</v>
      </c>
      <c r="BA25" s="23"/>
      <c r="BB25" s="22" t="s">
        <v>593</v>
      </c>
      <c r="BC25" s="23"/>
      <c r="BD25" s="22" t="s">
        <v>593</v>
      </c>
      <c r="BE25" s="23"/>
      <c r="BF25" s="22" t="s">
        <v>593</v>
      </c>
      <c r="BG25" s="23"/>
      <c r="BH25" s="22" t="s">
        <v>593</v>
      </c>
      <c r="BI25" s="23"/>
      <c r="BJ25" s="22" t="s">
        <v>593</v>
      </c>
      <c r="BK25" s="23"/>
      <c r="BL25" s="22" t="s">
        <v>593</v>
      </c>
      <c r="BM25" s="23"/>
      <c r="BN25" s="22" t="s">
        <v>593</v>
      </c>
      <c r="BO25" s="23"/>
      <c r="BP25" s="22" t="s">
        <v>593</v>
      </c>
      <c r="BQ25" s="23"/>
    </row>
    <row r="26" spans="1:69" ht="14.5">
      <c r="A26" s="14" t="s">
        <v>278</v>
      </c>
      <c r="B26" s="19" t="s">
        <v>59</v>
      </c>
      <c r="C26" s="15">
        <v>25</v>
      </c>
      <c r="D26" s="137" t="s">
        <v>268</v>
      </c>
      <c r="E26" s="146" t="s">
        <v>274</v>
      </c>
      <c r="F26" s="146" t="s">
        <v>255</v>
      </c>
      <c r="G26" s="145">
        <v>45786</v>
      </c>
      <c r="H26" s="6">
        <v>3434.7599999999993</v>
      </c>
      <c r="I26" s="259"/>
      <c r="J26" s="18"/>
      <c r="K26" s="6">
        <f t="shared" si="5"/>
        <v>3434.7599999999993</v>
      </c>
      <c r="L26" s="6">
        <f t="shared" si="6"/>
        <v>3434.7599999999993</v>
      </c>
      <c r="M26" s="130"/>
      <c r="N26" s="131">
        <v>45761</v>
      </c>
      <c r="O26" s="131"/>
      <c r="P26" s="132">
        <f t="shared" ca="1" si="7"/>
        <v>-79</v>
      </c>
      <c r="Q26" s="131">
        <f t="shared" si="9"/>
        <v>45781</v>
      </c>
      <c r="R26" s="131"/>
      <c r="S26" s="132">
        <f t="shared" ca="1" si="8"/>
        <v>-59</v>
      </c>
      <c r="T26" s="131"/>
      <c r="U26" s="8"/>
      <c r="V26" s="23" t="s">
        <v>593</v>
      </c>
      <c r="W26" s="23"/>
      <c r="X26" s="23" t="s">
        <v>593</v>
      </c>
      <c r="Y26" s="23"/>
      <c r="Z26" s="22" t="s">
        <v>593</v>
      </c>
      <c r="AA26" s="23"/>
      <c r="AB26" s="22" t="s">
        <v>593</v>
      </c>
      <c r="AC26" s="23"/>
      <c r="AD26" s="22" t="s">
        <v>593</v>
      </c>
      <c r="AE26" s="23"/>
      <c r="AF26" s="22" t="s">
        <v>593</v>
      </c>
      <c r="AG26" s="23"/>
      <c r="AH26" s="22" t="s">
        <v>593</v>
      </c>
      <c r="AI26" s="23"/>
      <c r="AJ26" s="22" t="s">
        <v>593</v>
      </c>
      <c r="AK26" s="23"/>
      <c r="AL26" s="22" t="s">
        <v>593</v>
      </c>
      <c r="AM26" s="23"/>
      <c r="AN26" s="22">
        <v>7042</v>
      </c>
      <c r="AO26" s="23"/>
      <c r="AP26" s="22" t="s">
        <v>593</v>
      </c>
      <c r="AQ26" s="23"/>
      <c r="AR26" s="22" t="s">
        <v>593</v>
      </c>
      <c r="AS26" s="23"/>
      <c r="AT26" s="22" t="s">
        <v>593</v>
      </c>
      <c r="AU26" s="23"/>
      <c r="AV26" s="22" t="s">
        <v>593</v>
      </c>
      <c r="AW26" s="23"/>
      <c r="AX26" s="22" t="s">
        <v>593</v>
      </c>
      <c r="AY26" s="23"/>
      <c r="AZ26" s="22" t="s">
        <v>593</v>
      </c>
      <c r="BA26" s="23"/>
      <c r="BB26" s="22" t="s">
        <v>593</v>
      </c>
      <c r="BC26" s="23"/>
      <c r="BD26" s="22" t="s">
        <v>593</v>
      </c>
      <c r="BE26" s="23"/>
      <c r="BF26" s="22" t="s">
        <v>593</v>
      </c>
      <c r="BG26" s="23"/>
      <c r="BH26" s="22" t="s">
        <v>593</v>
      </c>
      <c r="BI26" s="23"/>
      <c r="BJ26" s="22" t="s">
        <v>593</v>
      </c>
      <c r="BK26" s="23"/>
      <c r="BL26" s="22" t="s">
        <v>593</v>
      </c>
      <c r="BM26" s="23"/>
      <c r="BN26" s="22" t="s">
        <v>593</v>
      </c>
      <c r="BO26" s="23"/>
      <c r="BP26" s="22" t="s">
        <v>593</v>
      </c>
      <c r="BQ26" s="23"/>
    </row>
    <row r="27" spans="1:69" ht="14.5">
      <c r="A27" s="14" t="s">
        <v>278</v>
      </c>
      <c r="B27" s="19" t="s">
        <v>59</v>
      </c>
      <c r="C27" s="15">
        <v>25</v>
      </c>
      <c r="D27" s="137" t="s">
        <v>268</v>
      </c>
      <c r="E27" s="146" t="s">
        <v>274</v>
      </c>
      <c r="F27" s="146" t="s">
        <v>255</v>
      </c>
      <c r="G27" s="145">
        <v>45786</v>
      </c>
      <c r="H27" s="6">
        <v>3434.7599999999993</v>
      </c>
      <c r="I27" s="259"/>
      <c r="J27" s="18"/>
      <c r="K27" s="6">
        <f t="shared" si="5"/>
        <v>3434.7599999999993</v>
      </c>
      <c r="L27" s="6">
        <f t="shared" si="6"/>
        <v>3434.7599999999993</v>
      </c>
      <c r="M27" s="130"/>
      <c r="N27" s="131">
        <v>45761</v>
      </c>
      <c r="O27" s="131"/>
      <c r="P27" s="132">
        <f t="shared" ca="1" si="7"/>
        <v>-79</v>
      </c>
      <c r="Q27" s="131">
        <f t="shared" si="9"/>
        <v>45781</v>
      </c>
      <c r="R27" s="131"/>
      <c r="S27" s="132">
        <f t="shared" ca="1" si="8"/>
        <v>-59</v>
      </c>
      <c r="T27" s="131"/>
      <c r="U27" s="8"/>
      <c r="V27" s="23" t="s">
        <v>593</v>
      </c>
      <c r="W27" s="23"/>
      <c r="X27" s="23" t="s">
        <v>593</v>
      </c>
      <c r="Y27" s="23"/>
      <c r="Z27" s="22" t="s">
        <v>593</v>
      </c>
      <c r="AA27" s="23"/>
      <c r="AB27" s="22" t="s">
        <v>593</v>
      </c>
      <c r="AC27" s="23"/>
      <c r="AD27" s="22" t="s">
        <v>593</v>
      </c>
      <c r="AE27" s="23"/>
      <c r="AF27" s="22" t="s">
        <v>593</v>
      </c>
      <c r="AG27" s="23"/>
      <c r="AH27" s="22" t="s">
        <v>593</v>
      </c>
      <c r="AI27" s="23"/>
      <c r="AJ27" s="22" t="s">
        <v>593</v>
      </c>
      <c r="AK27" s="23"/>
      <c r="AL27" s="22" t="s">
        <v>593</v>
      </c>
      <c r="AM27" s="23"/>
      <c r="AN27" s="22">
        <v>7042</v>
      </c>
      <c r="AO27" s="23"/>
      <c r="AP27" s="22" t="s">
        <v>593</v>
      </c>
      <c r="AQ27" s="23"/>
      <c r="AR27" s="22" t="s">
        <v>593</v>
      </c>
      <c r="AS27" s="23"/>
      <c r="AT27" s="22" t="s">
        <v>593</v>
      </c>
      <c r="AU27" s="23"/>
      <c r="AV27" s="22" t="s">
        <v>593</v>
      </c>
      <c r="AW27" s="23"/>
      <c r="AX27" s="22" t="s">
        <v>593</v>
      </c>
      <c r="AY27" s="23"/>
      <c r="AZ27" s="22" t="s">
        <v>593</v>
      </c>
      <c r="BA27" s="23"/>
      <c r="BB27" s="22" t="s">
        <v>593</v>
      </c>
      <c r="BC27" s="23"/>
      <c r="BD27" s="22" t="s">
        <v>593</v>
      </c>
      <c r="BE27" s="23"/>
      <c r="BF27" s="22" t="s">
        <v>593</v>
      </c>
      <c r="BG27" s="23"/>
      <c r="BH27" s="22" t="s">
        <v>593</v>
      </c>
      <c r="BI27" s="23"/>
      <c r="BJ27" s="22" t="s">
        <v>593</v>
      </c>
      <c r="BK27" s="23"/>
      <c r="BL27" s="22" t="s">
        <v>593</v>
      </c>
      <c r="BM27" s="23"/>
      <c r="BN27" s="22" t="s">
        <v>593</v>
      </c>
      <c r="BO27" s="23"/>
      <c r="BP27" s="22" t="s">
        <v>593</v>
      </c>
      <c r="BQ27" s="23"/>
    </row>
    <row r="28" spans="1:69" ht="14.5">
      <c r="A28" s="14" t="s">
        <v>278</v>
      </c>
      <c r="B28" s="19" t="s">
        <v>59</v>
      </c>
      <c r="C28" s="15">
        <v>23</v>
      </c>
      <c r="D28" s="137" t="s">
        <v>268</v>
      </c>
      <c r="E28" s="146" t="s">
        <v>269</v>
      </c>
      <c r="F28" s="146" t="s">
        <v>255</v>
      </c>
      <c r="G28" s="145">
        <v>45786</v>
      </c>
      <c r="H28" s="6">
        <v>13761.035999999998</v>
      </c>
      <c r="I28" s="259"/>
      <c r="J28" s="18"/>
      <c r="K28" s="6">
        <f t="shared" si="5"/>
        <v>13761.035999999998</v>
      </c>
      <c r="L28" s="6">
        <f t="shared" si="6"/>
        <v>13761.035999999998</v>
      </c>
      <c r="M28" s="130"/>
      <c r="N28" s="131">
        <v>45761</v>
      </c>
      <c r="O28" s="131"/>
      <c r="P28" s="132">
        <f t="shared" ca="1" si="7"/>
        <v>-79</v>
      </c>
      <c r="Q28" s="131">
        <f t="shared" si="9"/>
        <v>45781</v>
      </c>
      <c r="R28" s="131"/>
      <c r="S28" s="132">
        <f t="shared" ca="1" si="8"/>
        <v>-59</v>
      </c>
      <c r="T28" s="131"/>
      <c r="U28" s="8"/>
      <c r="V28" s="23" t="s">
        <v>593</v>
      </c>
      <c r="W28" s="23"/>
      <c r="X28" s="23" t="s">
        <v>593</v>
      </c>
      <c r="Y28" s="23"/>
      <c r="Z28" s="22" t="s">
        <v>593</v>
      </c>
      <c r="AA28" s="23"/>
      <c r="AB28" s="22" t="s">
        <v>593</v>
      </c>
      <c r="AC28" s="23"/>
      <c r="AD28" s="22" t="s">
        <v>593</v>
      </c>
      <c r="AE28" s="23"/>
      <c r="AF28" s="22" t="s">
        <v>593</v>
      </c>
      <c r="AG28" s="23"/>
      <c r="AH28" s="22" t="s">
        <v>593</v>
      </c>
      <c r="AI28" s="23"/>
      <c r="AJ28" s="22" t="s">
        <v>593</v>
      </c>
      <c r="AK28" s="23"/>
      <c r="AL28" s="22" t="s">
        <v>593</v>
      </c>
      <c r="AM28" s="23"/>
      <c r="AN28" s="22">
        <v>7042</v>
      </c>
      <c r="AO28" s="23"/>
      <c r="AP28" s="22" t="s">
        <v>593</v>
      </c>
      <c r="AQ28" s="23"/>
      <c r="AR28" s="22" t="s">
        <v>593</v>
      </c>
      <c r="AS28" s="23"/>
      <c r="AT28" s="22" t="s">
        <v>593</v>
      </c>
      <c r="AU28" s="23"/>
      <c r="AV28" s="22" t="s">
        <v>593</v>
      </c>
      <c r="AW28" s="23"/>
      <c r="AX28" s="22" t="s">
        <v>593</v>
      </c>
      <c r="AY28" s="23"/>
      <c r="AZ28" s="22" t="s">
        <v>593</v>
      </c>
      <c r="BA28" s="23"/>
      <c r="BB28" s="22" t="s">
        <v>593</v>
      </c>
      <c r="BC28" s="23"/>
      <c r="BD28" s="22" t="s">
        <v>593</v>
      </c>
      <c r="BE28" s="23"/>
      <c r="BF28" s="22" t="s">
        <v>593</v>
      </c>
      <c r="BG28" s="23"/>
      <c r="BH28" s="22" t="s">
        <v>593</v>
      </c>
      <c r="BI28" s="23"/>
      <c r="BJ28" s="22" t="s">
        <v>593</v>
      </c>
      <c r="BK28" s="23"/>
      <c r="BL28" s="22" t="s">
        <v>593</v>
      </c>
      <c r="BM28" s="23"/>
      <c r="BN28" s="22" t="s">
        <v>593</v>
      </c>
      <c r="BO28" s="23"/>
      <c r="BP28" s="22" t="s">
        <v>593</v>
      </c>
      <c r="BQ28" s="23"/>
    </row>
    <row r="29" spans="1:69" ht="14.5">
      <c r="A29" s="14" t="s">
        <v>278</v>
      </c>
      <c r="B29" s="19" t="s">
        <v>59</v>
      </c>
      <c r="C29" s="15">
        <v>26</v>
      </c>
      <c r="D29" s="137" t="s">
        <v>268</v>
      </c>
      <c r="E29" s="146" t="s">
        <v>276</v>
      </c>
      <c r="F29" s="146" t="s">
        <v>255</v>
      </c>
      <c r="G29" s="145">
        <v>45786</v>
      </c>
      <c r="H29" s="6">
        <v>5361.0681599999989</v>
      </c>
      <c r="I29" s="259"/>
      <c r="J29" s="18"/>
      <c r="K29" s="6">
        <f t="shared" si="5"/>
        <v>5361.0681599999989</v>
      </c>
      <c r="L29" s="6">
        <f t="shared" si="6"/>
        <v>5361.0681599999989</v>
      </c>
      <c r="M29" s="130"/>
      <c r="N29" s="131">
        <v>45761</v>
      </c>
      <c r="O29" s="131"/>
      <c r="P29" s="132">
        <f t="shared" ca="1" si="7"/>
        <v>-79</v>
      </c>
      <c r="Q29" s="131">
        <f t="shared" si="9"/>
        <v>45781</v>
      </c>
      <c r="R29" s="131"/>
      <c r="S29" s="132">
        <f t="shared" ca="1" si="8"/>
        <v>-59</v>
      </c>
      <c r="T29" s="131"/>
      <c r="U29" s="8"/>
      <c r="V29" s="23" t="s">
        <v>593</v>
      </c>
      <c r="W29" s="23"/>
      <c r="X29" s="23" t="s">
        <v>593</v>
      </c>
      <c r="Y29" s="23"/>
      <c r="Z29" s="22" t="s">
        <v>593</v>
      </c>
      <c r="AA29" s="23"/>
      <c r="AB29" s="22" t="s">
        <v>593</v>
      </c>
      <c r="AC29" s="23"/>
      <c r="AD29" s="22" t="s">
        <v>593</v>
      </c>
      <c r="AE29" s="23"/>
      <c r="AF29" s="22" t="s">
        <v>593</v>
      </c>
      <c r="AG29" s="23"/>
      <c r="AH29" s="22" t="s">
        <v>593</v>
      </c>
      <c r="AI29" s="23"/>
      <c r="AJ29" s="22" t="s">
        <v>593</v>
      </c>
      <c r="AK29" s="23"/>
      <c r="AL29" s="22" t="s">
        <v>593</v>
      </c>
      <c r="AM29" s="23"/>
      <c r="AN29" s="22">
        <v>7042</v>
      </c>
      <c r="AO29" s="23"/>
      <c r="AP29" s="22" t="s">
        <v>593</v>
      </c>
      <c r="AQ29" s="23"/>
      <c r="AR29" s="22" t="s">
        <v>593</v>
      </c>
      <c r="AS29" s="23"/>
      <c r="AT29" s="22" t="s">
        <v>593</v>
      </c>
      <c r="AU29" s="23"/>
      <c r="AV29" s="22" t="s">
        <v>593</v>
      </c>
      <c r="AW29" s="23"/>
      <c r="AX29" s="22" t="s">
        <v>593</v>
      </c>
      <c r="AY29" s="23"/>
      <c r="AZ29" s="22" t="s">
        <v>593</v>
      </c>
      <c r="BA29" s="23"/>
      <c r="BB29" s="22" t="s">
        <v>593</v>
      </c>
      <c r="BC29" s="23"/>
      <c r="BD29" s="22" t="s">
        <v>593</v>
      </c>
      <c r="BE29" s="23"/>
      <c r="BF29" s="22" t="s">
        <v>593</v>
      </c>
      <c r="BG29" s="23"/>
      <c r="BH29" s="22" t="s">
        <v>593</v>
      </c>
      <c r="BI29" s="23"/>
      <c r="BJ29" s="22" t="s">
        <v>593</v>
      </c>
      <c r="BK29" s="23"/>
      <c r="BL29" s="22" t="s">
        <v>593</v>
      </c>
      <c r="BM29" s="23"/>
      <c r="BN29" s="22" t="s">
        <v>593</v>
      </c>
      <c r="BO29" s="23"/>
      <c r="BP29" s="22" t="s">
        <v>593</v>
      </c>
      <c r="BQ29" s="23"/>
    </row>
    <row r="30" spans="1:69" ht="14.5">
      <c r="A30" s="14" t="s">
        <v>279</v>
      </c>
      <c r="B30" s="19" t="s">
        <v>59</v>
      </c>
      <c r="C30" s="15">
        <v>25</v>
      </c>
      <c r="D30" s="137" t="s">
        <v>268</v>
      </c>
      <c r="E30" s="146" t="s">
        <v>274</v>
      </c>
      <c r="F30" s="146" t="s">
        <v>255</v>
      </c>
      <c r="G30" s="145">
        <v>45793</v>
      </c>
      <c r="H30" s="6">
        <v>2376.2024999999999</v>
      </c>
      <c r="I30" s="259"/>
      <c r="J30" s="18"/>
      <c r="K30" s="6">
        <f t="shared" si="5"/>
        <v>2376.2024999999999</v>
      </c>
      <c r="L30" s="6">
        <f t="shared" si="6"/>
        <v>2376.2024999999999</v>
      </c>
      <c r="M30" s="130"/>
      <c r="N30" s="131">
        <v>45768</v>
      </c>
      <c r="O30" s="131"/>
      <c r="P30" s="132">
        <f t="shared" ca="1" si="7"/>
        <v>-72</v>
      </c>
      <c r="Q30" s="131">
        <f t="shared" si="9"/>
        <v>45788</v>
      </c>
      <c r="R30" s="131"/>
      <c r="S30" s="132">
        <f t="shared" ca="1" si="8"/>
        <v>-52</v>
      </c>
      <c r="T30" s="131"/>
      <c r="U30" s="8"/>
      <c r="V30" s="23" t="s">
        <v>593</v>
      </c>
      <c r="W30" s="23"/>
      <c r="X30" s="23" t="s">
        <v>593</v>
      </c>
      <c r="Y30" s="23"/>
      <c r="Z30" s="22" t="s">
        <v>593</v>
      </c>
      <c r="AA30" s="23"/>
      <c r="AB30" s="22" t="s">
        <v>593</v>
      </c>
      <c r="AC30" s="23"/>
      <c r="AD30" s="22" t="s">
        <v>593</v>
      </c>
      <c r="AE30" s="23"/>
      <c r="AF30" s="22" t="s">
        <v>593</v>
      </c>
      <c r="AG30" s="23"/>
      <c r="AH30" s="22" t="s">
        <v>593</v>
      </c>
      <c r="AI30" s="23"/>
      <c r="AJ30" s="22" t="s">
        <v>593</v>
      </c>
      <c r="AK30" s="23"/>
      <c r="AL30" s="22" t="s">
        <v>593</v>
      </c>
      <c r="AM30" s="23"/>
      <c r="AN30" s="22">
        <v>7042</v>
      </c>
      <c r="AO30" s="23"/>
      <c r="AP30" s="22" t="s">
        <v>593</v>
      </c>
      <c r="AQ30" s="23"/>
      <c r="AR30" s="22" t="s">
        <v>593</v>
      </c>
      <c r="AS30" s="23"/>
      <c r="AT30" s="22" t="s">
        <v>593</v>
      </c>
      <c r="AU30" s="23"/>
      <c r="AV30" s="22" t="s">
        <v>593</v>
      </c>
      <c r="AW30" s="23"/>
      <c r="AX30" s="22" t="s">
        <v>593</v>
      </c>
      <c r="AY30" s="23"/>
      <c r="AZ30" s="22" t="s">
        <v>593</v>
      </c>
      <c r="BA30" s="23"/>
      <c r="BB30" s="22" t="s">
        <v>593</v>
      </c>
      <c r="BC30" s="23"/>
      <c r="BD30" s="22" t="s">
        <v>593</v>
      </c>
      <c r="BE30" s="23"/>
      <c r="BF30" s="22" t="s">
        <v>593</v>
      </c>
      <c r="BG30" s="23"/>
      <c r="BH30" s="22" t="s">
        <v>593</v>
      </c>
      <c r="BI30" s="23"/>
      <c r="BJ30" s="22" t="s">
        <v>593</v>
      </c>
      <c r="BK30" s="23"/>
      <c r="BL30" s="22" t="s">
        <v>593</v>
      </c>
      <c r="BM30" s="23"/>
      <c r="BN30" s="22" t="s">
        <v>593</v>
      </c>
      <c r="BO30" s="23"/>
      <c r="BP30" s="22" t="s">
        <v>593</v>
      </c>
      <c r="BQ30" s="23"/>
    </row>
    <row r="31" spans="1:69" ht="14.5">
      <c r="A31" s="14" t="s">
        <v>279</v>
      </c>
      <c r="B31" s="19" t="s">
        <v>59</v>
      </c>
      <c r="C31" s="15">
        <v>25</v>
      </c>
      <c r="D31" s="137" t="s">
        <v>268</v>
      </c>
      <c r="E31" s="146" t="s">
        <v>274</v>
      </c>
      <c r="F31" s="146" t="s">
        <v>255</v>
      </c>
      <c r="G31" s="145">
        <v>45793</v>
      </c>
      <c r="H31" s="6">
        <v>2376.2024999999999</v>
      </c>
      <c r="I31" s="259"/>
      <c r="J31" s="18"/>
      <c r="K31" s="6">
        <f t="shared" si="5"/>
        <v>2376.2024999999999</v>
      </c>
      <c r="L31" s="6">
        <f t="shared" si="6"/>
        <v>2376.2024999999999</v>
      </c>
      <c r="M31" s="130"/>
      <c r="N31" s="131">
        <v>45768</v>
      </c>
      <c r="O31" s="131"/>
      <c r="P31" s="132">
        <f t="shared" ca="1" si="7"/>
        <v>-72</v>
      </c>
      <c r="Q31" s="131">
        <f t="shared" si="9"/>
        <v>45788</v>
      </c>
      <c r="R31" s="131"/>
      <c r="S31" s="132">
        <f t="shared" ca="1" si="8"/>
        <v>-52</v>
      </c>
      <c r="T31" s="131"/>
      <c r="U31" s="8"/>
      <c r="V31" s="23" t="s">
        <v>593</v>
      </c>
      <c r="W31" s="23"/>
      <c r="X31" s="23" t="s">
        <v>593</v>
      </c>
      <c r="Y31" s="23"/>
      <c r="Z31" s="22" t="s">
        <v>593</v>
      </c>
      <c r="AA31" s="23"/>
      <c r="AB31" s="22" t="s">
        <v>593</v>
      </c>
      <c r="AC31" s="23"/>
      <c r="AD31" s="22" t="s">
        <v>593</v>
      </c>
      <c r="AE31" s="23"/>
      <c r="AF31" s="22" t="s">
        <v>593</v>
      </c>
      <c r="AG31" s="23"/>
      <c r="AH31" s="22" t="s">
        <v>593</v>
      </c>
      <c r="AI31" s="23"/>
      <c r="AJ31" s="22" t="s">
        <v>593</v>
      </c>
      <c r="AK31" s="23"/>
      <c r="AL31" s="22" t="s">
        <v>593</v>
      </c>
      <c r="AM31" s="23"/>
      <c r="AN31" s="22">
        <v>7042</v>
      </c>
      <c r="AO31" s="23"/>
      <c r="AP31" s="22" t="s">
        <v>593</v>
      </c>
      <c r="AQ31" s="23"/>
      <c r="AR31" s="22" t="s">
        <v>593</v>
      </c>
      <c r="AS31" s="23"/>
      <c r="AT31" s="22" t="s">
        <v>593</v>
      </c>
      <c r="AU31" s="23"/>
      <c r="AV31" s="22" t="s">
        <v>593</v>
      </c>
      <c r="AW31" s="23"/>
      <c r="AX31" s="22" t="s">
        <v>593</v>
      </c>
      <c r="AY31" s="23"/>
      <c r="AZ31" s="22" t="s">
        <v>593</v>
      </c>
      <c r="BA31" s="23"/>
      <c r="BB31" s="22" t="s">
        <v>593</v>
      </c>
      <c r="BC31" s="23"/>
      <c r="BD31" s="22" t="s">
        <v>593</v>
      </c>
      <c r="BE31" s="23"/>
      <c r="BF31" s="22" t="s">
        <v>593</v>
      </c>
      <c r="BG31" s="23"/>
      <c r="BH31" s="22" t="s">
        <v>593</v>
      </c>
      <c r="BI31" s="23"/>
      <c r="BJ31" s="22" t="s">
        <v>593</v>
      </c>
      <c r="BK31" s="23"/>
      <c r="BL31" s="22" t="s">
        <v>593</v>
      </c>
      <c r="BM31" s="23"/>
      <c r="BN31" s="22" t="s">
        <v>593</v>
      </c>
      <c r="BO31" s="23"/>
      <c r="BP31" s="22" t="s">
        <v>593</v>
      </c>
      <c r="BQ31" s="23"/>
    </row>
    <row r="32" spans="1:69" ht="14.5">
      <c r="A32" s="14" t="s">
        <v>279</v>
      </c>
      <c r="B32" s="19" t="s">
        <v>59</v>
      </c>
      <c r="C32" s="15">
        <v>23</v>
      </c>
      <c r="D32" s="137" t="s">
        <v>268</v>
      </c>
      <c r="E32" s="146" t="s">
        <v>269</v>
      </c>
      <c r="F32" s="146" t="s">
        <v>255</v>
      </c>
      <c r="G32" s="145">
        <v>45793</v>
      </c>
      <c r="H32" s="6">
        <v>15774.2246</v>
      </c>
      <c r="I32" s="259"/>
      <c r="J32" s="18"/>
      <c r="K32" s="6">
        <f t="shared" si="5"/>
        <v>15774.2246</v>
      </c>
      <c r="L32" s="6">
        <f t="shared" si="6"/>
        <v>15774.2246</v>
      </c>
      <c r="M32" s="130"/>
      <c r="N32" s="131">
        <v>45768</v>
      </c>
      <c r="O32" s="131"/>
      <c r="P32" s="132">
        <f t="shared" ca="1" si="7"/>
        <v>-72</v>
      </c>
      <c r="Q32" s="131">
        <f t="shared" si="9"/>
        <v>45788</v>
      </c>
      <c r="R32" s="131"/>
      <c r="S32" s="132">
        <f t="shared" ca="1" si="8"/>
        <v>-52</v>
      </c>
      <c r="T32" s="131"/>
      <c r="U32" s="8"/>
      <c r="V32" s="23" t="s">
        <v>593</v>
      </c>
      <c r="W32" s="23"/>
      <c r="X32" s="23" t="s">
        <v>593</v>
      </c>
      <c r="Y32" s="23"/>
      <c r="Z32" s="22" t="s">
        <v>593</v>
      </c>
      <c r="AA32" s="23"/>
      <c r="AB32" s="22" t="s">
        <v>593</v>
      </c>
      <c r="AC32" s="23"/>
      <c r="AD32" s="22" t="s">
        <v>593</v>
      </c>
      <c r="AE32" s="23"/>
      <c r="AF32" s="22" t="s">
        <v>593</v>
      </c>
      <c r="AG32" s="23"/>
      <c r="AH32" s="22" t="s">
        <v>593</v>
      </c>
      <c r="AI32" s="23"/>
      <c r="AJ32" s="22" t="s">
        <v>593</v>
      </c>
      <c r="AK32" s="23"/>
      <c r="AL32" s="22" t="s">
        <v>593</v>
      </c>
      <c r="AM32" s="23"/>
      <c r="AN32" s="22">
        <v>7042</v>
      </c>
      <c r="AO32" s="23"/>
      <c r="AP32" s="22" t="s">
        <v>593</v>
      </c>
      <c r="AQ32" s="23"/>
      <c r="AR32" s="22" t="s">
        <v>593</v>
      </c>
      <c r="AS32" s="23"/>
      <c r="AT32" s="22" t="s">
        <v>593</v>
      </c>
      <c r="AU32" s="23"/>
      <c r="AV32" s="22" t="s">
        <v>593</v>
      </c>
      <c r="AW32" s="23"/>
      <c r="AX32" s="22" t="s">
        <v>593</v>
      </c>
      <c r="AY32" s="23"/>
      <c r="AZ32" s="22" t="s">
        <v>593</v>
      </c>
      <c r="BA32" s="23"/>
      <c r="BB32" s="22" t="s">
        <v>593</v>
      </c>
      <c r="BC32" s="23"/>
      <c r="BD32" s="22" t="s">
        <v>593</v>
      </c>
      <c r="BE32" s="23"/>
      <c r="BF32" s="22" t="s">
        <v>593</v>
      </c>
      <c r="BG32" s="23"/>
      <c r="BH32" s="22" t="s">
        <v>593</v>
      </c>
      <c r="BI32" s="23"/>
      <c r="BJ32" s="22" t="s">
        <v>593</v>
      </c>
      <c r="BK32" s="23"/>
      <c r="BL32" s="22" t="s">
        <v>593</v>
      </c>
      <c r="BM32" s="23"/>
      <c r="BN32" s="22" t="s">
        <v>593</v>
      </c>
      <c r="BO32" s="23"/>
      <c r="BP32" s="22" t="s">
        <v>593</v>
      </c>
      <c r="BQ32" s="23"/>
    </row>
    <row r="33" spans="1:69" ht="14.5">
      <c r="A33" s="14" t="s">
        <v>279</v>
      </c>
      <c r="B33" s="19" t="s">
        <v>59</v>
      </c>
      <c r="C33" s="15">
        <v>26</v>
      </c>
      <c r="D33" s="137" t="s">
        <v>268</v>
      </c>
      <c r="E33" s="146" t="s">
        <v>276</v>
      </c>
      <c r="F33" s="146" t="s">
        <v>255</v>
      </c>
      <c r="G33" s="145">
        <v>45793</v>
      </c>
      <c r="H33" s="6">
        <v>4001.3769599999996</v>
      </c>
      <c r="I33" s="259"/>
      <c r="J33" s="18"/>
      <c r="K33" s="6">
        <f t="shared" si="5"/>
        <v>4001.3769599999996</v>
      </c>
      <c r="L33" s="6">
        <f t="shared" si="6"/>
        <v>4001.3769599999996</v>
      </c>
      <c r="M33" s="130"/>
      <c r="N33" s="131">
        <v>45768</v>
      </c>
      <c r="O33" s="131"/>
      <c r="P33" s="132">
        <f t="shared" ca="1" si="7"/>
        <v>-72</v>
      </c>
      <c r="Q33" s="131">
        <f t="shared" si="9"/>
        <v>45788</v>
      </c>
      <c r="R33" s="131"/>
      <c r="S33" s="132">
        <f t="shared" ca="1" si="8"/>
        <v>-52</v>
      </c>
      <c r="T33" s="131"/>
      <c r="U33" s="8"/>
      <c r="V33" s="23" t="s">
        <v>593</v>
      </c>
      <c r="W33" s="23"/>
      <c r="X33" s="23" t="s">
        <v>593</v>
      </c>
      <c r="Y33" s="23"/>
      <c r="Z33" s="22" t="s">
        <v>593</v>
      </c>
      <c r="AA33" s="23"/>
      <c r="AB33" s="22" t="s">
        <v>593</v>
      </c>
      <c r="AC33" s="23"/>
      <c r="AD33" s="22" t="s">
        <v>593</v>
      </c>
      <c r="AE33" s="23"/>
      <c r="AF33" s="22" t="s">
        <v>593</v>
      </c>
      <c r="AG33" s="23"/>
      <c r="AH33" s="22" t="s">
        <v>593</v>
      </c>
      <c r="AI33" s="23"/>
      <c r="AJ33" s="22" t="s">
        <v>593</v>
      </c>
      <c r="AK33" s="23"/>
      <c r="AL33" s="22" t="s">
        <v>593</v>
      </c>
      <c r="AM33" s="23"/>
      <c r="AN33" s="22">
        <v>7042</v>
      </c>
      <c r="AO33" s="23"/>
      <c r="AP33" s="22" t="s">
        <v>593</v>
      </c>
      <c r="AQ33" s="23"/>
      <c r="AR33" s="22" t="s">
        <v>593</v>
      </c>
      <c r="AS33" s="23"/>
      <c r="AT33" s="22" t="s">
        <v>593</v>
      </c>
      <c r="AU33" s="23"/>
      <c r="AV33" s="22" t="s">
        <v>593</v>
      </c>
      <c r="AW33" s="23"/>
      <c r="AX33" s="22" t="s">
        <v>593</v>
      </c>
      <c r="AY33" s="23"/>
      <c r="AZ33" s="22" t="s">
        <v>593</v>
      </c>
      <c r="BA33" s="23"/>
      <c r="BB33" s="22" t="s">
        <v>593</v>
      </c>
      <c r="BC33" s="23"/>
      <c r="BD33" s="22" t="s">
        <v>593</v>
      </c>
      <c r="BE33" s="23"/>
      <c r="BF33" s="22" t="s">
        <v>593</v>
      </c>
      <c r="BG33" s="23"/>
      <c r="BH33" s="22" t="s">
        <v>593</v>
      </c>
      <c r="BI33" s="23"/>
      <c r="BJ33" s="22" t="s">
        <v>593</v>
      </c>
      <c r="BK33" s="23"/>
      <c r="BL33" s="22" t="s">
        <v>593</v>
      </c>
      <c r="BM33" s="23"/>
      <c r="BN33" s="22" t="s">
        <v>593</v>
      </c>
      <c r="BO33" s="23"/>
      <c r="BP33" s="22" t="s">
        <v>593</v>
      </c>
      <c r="BQ33" s="23"/>
    </row>
    <row r="34" spans="1:69" ht="14.5">
      <c r="A34" s="14" t="s">
        <v>280</v>
      </c>
      <c r="B34" s="19" t="s">
        <v>59</v>
      </c>
      <c r="C34" s="15">
        <v>25</v>
      </c>
      <c r="D34" s="137" t="s">
        <v>268</v>
      </c>
      <c r="E34" s="146" t="s">
        <v>274</v>
      </c>
      <c r="F34" s="146" t="s">
        <v>255</v>
      </c>
      <c r="G34" s="145">
        <v>45793</v>
      </c>
      <c r="H34" s="6">
        <v>1830.8849999999998</v>
      </c>
      <c r="I34" s="259"/>
      <c r="J34" s="18"/>
      <c r="K34" s="6">
        <f t="shared" si="5"/>
        <v>1830.8849999999998</v>
      </c>
      <c r="L34" s="6">
        <f t="shared" si="6"/>
        <v>1830.8849999999998</v>
      </c>
      <c r="M34" s="130"/>
      <c r="N34" s="131">
        <v>45768</v>
      </c>
      <c r="O34" s="131"/>
      <c r="P34" s="132">
        <f t="shared" ca="1" si="7"/>
        <v>-72</v>
      </c>
      <c r="Q34" s="131">
        <f t="shared" si="9"/>
        <v>45788</v>
      </c>
      <c r="R34" s="131"/>
      <c r="S34" s="132">
        <f t="shared" ca="1" si="8"/>
        <v>-52</v>
      </c>
      <c r="T34" s="131"/>
      <c r="U34" s="8"/>
      <c r="V34" s="23" t="s">
        <v>593</v>
      </c>
      <c r="W34" s="23"/>
      <c r="X34" s="23" t="s">
        <v>593</v>
      </c>
      <c r="Y34" s="23"/>
      <c r="Z34" s="22" t="s">
        <v>593</v>
      </c>
      <c r="AA34" s="23"/>
      <c r="AB34" s="22" t="s">
        <v>593</v>
      </c>
      <c r="AC34" s="23"/>
      <c r="AD34" s="22" t="s">
        <v>593</v>
      </c>
      <c r="AE34" s="23"/>
      <c r="AF34" s="22" t="s">
        <v>593</v>
      </c>
      <c r="AG34" s="23"/>
      <c r="AH34" s="22" t="s">
        <v>593</v>
      </c>
      <c r="AI34" s="23"/>
      <c r="AJ34" s="22" t="s">
        <v>593</v>
      </c>
      <c r="AK34" s="23"/>
      <c r="AL34" s="22" t="s">
        <v>593</v>
      </c>
      <c r="AM34" s="23"/>
      <c r="AN34" s="22">
        <v>7042</v>
      </c>
      <c r="AO34" s="23"/>
      <c r="AP34" s="22" t="s">
        <v>593</v>
      </c>
      <c r="AQ34" s="23"/>
      <c r="AR34" s="22" t="s">
        <v>593</v>
      </c>
      <c r="AS34" s="23"/>
      <c r="AT34" s="22" t="s">
        <v>593</v>
      </c>
      <c r="AU34" s="23"/>
      <c r="AV34" s="22" t="s">
        <v>593</v>
      </c>
      <c r="AW34" s="23"/>
      <c r="AX34" s="22" t="s">
        <v>593</v>
      </c>
      <c r="AY34" s="23"/>
      <c r="AZ34" s="22" t="s">
        <v>593</v>
      </c>
      <c r="BA34" s="23"/>
      <c r="BB34" s="22" t="s">
        <v>593</v>
      </c>
      <c r="BC34" s="23"/>
      <c r="BD34" s="22" t="s">
        <v>593</v>
      </c>
      <c r="BE34" s="23"/>
      <c r="BF34" s="22" t="s">
        <v>593</v>
      </c>
      <c r="BG34" s="23"/>
      <c r="BH34" s="22" t="s">
        <v>593</v>
      </c>
      <c r="BI34" s="23"/>
      <c r="BJ34" s="22" t="s">
        <v>593</v>
      </c>
      <c r="BK34" s="23"/>
      <c r="BL34" s="22" t="s">
        <v>593</v>
      </c>
      <c r="BM34" s="23"/>
      <c r="BN34" s="22" t="s">
        <v>593</v>
      </c>
      <c r="BO34" s="23"/>
      <c r="BP34" s="22" t="s">
        <v>593</v>
      </c>
      <c r="BQ34" s="23"/>
    </row>
    <row r="35" spans="1:69" ht="14.5">
      <c r="A35" s="14" t="s">
        <v>280</v>
      </c>
      <c r="B35" s="19" t="s">
        <v>59</v>
      </c>
      <c r="C35" s="15">
        <v>25</v>
      </c>
      <c r="D35" s="137" t="s">
        <v>268</v>
      </c>
      <c r="E35" s="146" t="s">
        <v>274</v>
      </c>
      <c r="F35" s="146" t="s">
        <v>255</v>
      </c>
      <c r="G35" s="145">
        <v>45793</v>
      </c>
      <c r="H35" s="6">
        <v>1830.8849999999998</v>
      </c>
      <c r="I35" s="259"/>
      <c r="J35" s="18"/>
      <c r="K35" s="6">
        <f t="shared" si="5"/>
        <v>1830.8849999999998</v>
      </c>
      <c r="L35" s="6">
        <f t="shared" si="6"/>
        <v>1830.8849999999998</v>
      </c>
      <c r="M35" s="130"/>
      <c r="N35" s="131">
        <v>45768</v>
      </c>
      <c r="O35" s="131"/>
      <c r="P35" s="132">
        <f t="shared" ca="1" si="7"/>
        <v>-72</v>
      </c>
      <c r="Q35" s="131">
        <f t="shared" si="9"/>
        <v>45788</v>
      </c>
      <c r="R35" s="131"/>
      <c r="S35" s="132">
        <f t="shared" ca="1" si="8"/>
        <v>-52</v>
      </c>
      <c r="T35" s="131"/>
      <c r="U35" s="8"/>
      <c r="V35" s="23" t="s">
        <v>593</v>
      </c>
      <c r="W35" s="23"/>
      <c r="X35" s="23" t="s">
        <v>593</v>
      </c>
      <c r="Y35" s="23"/>
      <c r="Z35" s="22" t="s">
        <v>593</v>
      </c>
      <c r="AA35" s="23"/>
      <c r="AB35" s="22" t="s">
        <v>593</v>
      </c>
      <c r="AC35" s="23"/>
      <c r="AD35" s="22" t="s">
        <v>593</v>
      </c>
      <c r="AE35" s="23"/>
      <c r="AF35" s="22" t="s">
        <v>593</v>
      </c>
      <c r="AG35" s="23"/>
      <c r="AH35" s="22" t="s">
        <v>593</v>
      </c>
      <c r="AI35" s="23"/>
      <c r="AJ35" s="22" t="s">
        <v>593</v>
      </c>
      <c r="AK35" s="23"/>
      <c r="AL35" s="22" t="s">
        <v>593</v>
      </c>
      <c r="AM35" s="23"/>
      <c r="AN35" s="22">
        <v>7042</v>
      </c>
      <c r="AO35" s="23"/>
      <c r="AP35" s="22" t="s">
        <v>593</v>
      </c>
      <c r="AQ35" s="23"/>
      <c r="AR35" s="22" t="s">
        <v>593</v>
      </c>
      <c r="AS35" s="23"/>
      <c r="AT35" s="22" t="s">
        <v>593</v>
      </c>
      <c r="AU35" s="23"/>
      <c r="AV35" s="22" t="s">
        <v>593</v>
      </c>
      <c r="AW35" s="23"/>
      <c r="AX35" s="22" t="s">
        <v>593</v>
      </c>
      <c r="AY35" s="23"/>
      <c r="AZ35" s="22" t="s">
        <v>593</v>
      </c>
      <c r="BA35" s="23"/>
      <c r="BB35" s="22" t="s">
        <v>593</v>
      </c>
      <c r="BC35" s="23"/>
      <c r="BD35" s="22" t="s">
        <v>593</v>
      </c>
      <c r="BE35" s="23"/>
      <c r="BF35" s="22" t="s">
        <v>593</v>
      </c>
      <c r="BG35" s="23"/>
      <c r="BH35" s="22" t="s">
        <v>593</v>
      </c>
      <c r="BI35" s="23"/>
      <c r="BJ35" s="22" t="s">
        <v>593</v>
      </c>
      <c r="BK35" s="23"/>
      <c r="BL35" s="22" t="s">
        <v>593</v>
      </c>
      <c r="BM35" s="23"/>
      <c r="BN35" s="22" t="s">
        <v>593</v>
      </c>
      <c r="BO35" s="23"/>
      <c r="BP35" s="22" t="s">
        <v>593</v>
      </c>
      <c r="BQ35" s="23"/>
    </row>
    <row r="36" spans="1:69" ht="14.5">
      <c r="A36" s="14" t="s">
        <v>280</v>
      </c>
      <c r="B36" s="19" t="s">
        <v>59</v>
      </c>
      <c r="C36" s="15">
        <v>26</v>
      </c>
      <c r="D36" s="137" t="s">
        <v>268</v>
      </c>
      <c r="E36" s="146" t="s">
        <v>276</v>
      </c>
      <c r="F36" s="146" t="s">
        <v>255</v>
      </c>
      <c r="G36" s="145">
        <v>45793</v>
      </c>
      <c r="H36" s="6">
        <v>9129.3552</v>
      </c>
      <c r="I36" s="259"/>
      <c r="J36" s="18"/>
      <c r="K36" s="6">
        <f t="shared" si="5"/>
        <v>9129.3552</v>
      </c>
      <c r="L36" s="6">
        <f t="shared" si="6"/>
        <v>9129.3552</v>
      </c>
      <c r="M36" s="130"/>
      <c r="N36" s="131">
        <v>45768</v>
      </c>
      <c r="O36" s="131"/>
      <c r="P36" s="132">
        <f t="shared" ca="1" si="7"/>
        <v>-72</v>
      </c>
      <c r="Q36" s="131">
        <f t="shared" si="9"/>
        <v>45788</v>
      </c>
      <c r="R36" s="131"/>
      <c r="S36" s="132">
        <f t="shared" ca="1" si="8"/>
        <v>-52</v>
      </c>
      <c r="T36" s="131"/>
      <c r="U36" s="8"/>
      <c r="V36" s="23" t="s">
        <v>593</v>
      </c>
      <c r="W36" s="23"/>
      <c r="X36" s="23" t="s">
        <v>593</v>
      </c>
      <c r="Y36" s="23"/>
      <c r="Z36" s="22" t="s">
        <v>593</v>
      </c>
      <c r="AA36" s="23"/>
      <c r="AB36" s="22" t="s">
        <v>593</v>
      </c>
      <c r="AC36" s="23"/>
      <c r="AD36" s="22" t="s">
        <v>593</v>
      </c>
      <c r="AE36" s="23"/>
      <c r="AF36" s="22" t="s">
        <v>593</v>
      </c>
      <c r="AG36" s="23"/>
      <c r="AH36" s="22" t="s">
        <v>593</v>
      </c>
      <c r="AI36" s="23"/>
      <c r="AJ36" s="22" t="s">
        <v>593</v>
      </c>
      <c r="AK36" s="23"/>
      <c r="AL36" s="22" t="s">
        <v>593</v>
      </c>
      <c r="AM36" s="23"/>
      <c r="AN36" s="22">
        <v>7042</v>
      </c>
      <c r="AO36" s="23"/>
      <c r="AP36" s="22" t="s">
        <v>593</v>
      </c>
      <c r="AQ36" s="23"/>
      <c r="AR36" s="22" t="s">
        <v>593</v>
      </c>
      <c r="AS36" s="23"/>
      <c r="AT36" s="22" t="s">
        <v>593</v>
      </c>
      <c r="AU36" s="23"/>
      <c r="AV36" s="22" t="s">
        <v>593</v>
      </c>
      <c r="AW36" s="23"/>
      <c r="AX36" s="22" t="s">
        <v>593</v>
      </c>
      <c r="AY36" s="23"/>
      <c r="AZ36" s="22" t="s">
        <v>593</v>
      </c>
      <c r="BA36" s="23"/>
      <c r="BB36" s="22" t="s">
        <v>593</v>
      </c>
      <c r="BC36" s="23"/>
      <c r="BD36" s="22" t="s">
        <v>593</v>
      </c>
      <c r="BE36" s="23"/>
      <c r="BF36" s="22" t="s">
        <v>593</v>
      </c>
      <c r="BG36" s="23"/>
      <c r="BH36" s="22" t="s">
        <v>593</v>
      </c>
      <c r="BI36" s="23"/>
      <c r="BJ36" s="22" t="s">
        <v>593</v>
      </c>
      <c r="BK36" s="23"/>
      <c r="BL36" s="22" t="s">
        <v>593</v>
      </c>
      <c r="BM36" s="23"/>
      <c r="BN36" s="22" t="s">
        <v>593</v>
      </c>
      <c r="BO36" s="23"/>
      <c r="BP36" s="22" t="s">
        <v>593</v>
      </c>
      <c r="BQ36" s="23"/>
    </row>
    <row r="37" spans="1:69" ht="14.5">
      <c r="A37" s="14" t="s">
        <v>281</v>
      </c>
      <c r="B37" s="19" t="s">
        <v>59</v>
      </c>
      <c r="C37" s="15">
        <v>25</v>
      </c>
      <c r="D37" s="137" t="s">
        <v>268</v>
      </c>
      <c r="E37" s="146" t="s">
        <v>274</v>
      </c>
      <c r="F37" s="146" t="s">
        <v>255</v>
      </c>
      <c r="G37" s="145">
        <v>45800</v>
      </c>
      <c r="H37" s="6">
        <v>1848.1574999999996</v>
      </c>
      <c r="I37" s="259"/>
      <c r="J37" s="18"/>
      <c r="K37" s="6">
        <f t="shared" si="5"/>
        <v>1848.1574999999996</v>
      </c>
      <c r="L37" s="6">
        <f t="shared" si="6"/>
        <v>1848.1574999999996</v>
      </c>
      <c r="M37" s="130"/>
      <c r="N37" s="131">
        <v>45775</v>
      </c>
      <c r="O37" s="131"/>
      <c r="P37" s="132">
        <f t="shared" ca="1" si="7"/>
        <v>-65</v>
      </c>
      <c r="Q37" s="131">
        <f t="shared" si="9"/>
        <v>45795</v>
      </c>
      <c r="R37" s="131"/>
      <c r="S37" s="132">
        <f t="shared" ca="1" si="8"/>
        <v>-45</v>
      </c>
      <c r="T37" s="131"/>
      <c r="U37" s="8"/>
      <c r="V37" s="23" t="s">
        <v>593</v>
      </c>
      <c r="W37" s="23"/>
      <c r="X37" s="23" t="s">
        <v>593</v>
      </c>
      <c r="Y37" s="23"/>
      <c r="Z37" s="22" t="s">
        <v>593</v>
      </c>
      <c r="AA37" s="23"/>
      <c r="AB37" s="22" t="s">
        <v>593</v>
      </c>
      <c r="AC37" s="23"/>
      <c r="AD37" s="22" t="s">
        <v>593</v>
      </c>
      <c r="AE37" s="23"/>
      <c r="AF37" s="22" t="s">
        <v>593</v>
      </c>
      <c r="AG37" s="23"/>
      <c r="AH37" s="22" t="s">
        <v>593</v>
      </c>
      <c r="AI37" s="23"/>
      <c r="AJ37" s="22" t="s">
        <v>593</v>
      </c>
      <c r="AK37" s="23"/>
      <c r="AL37" s="22" t="s">
        <v>593</v>
      </c>
      <c r="AM37" s="23"/>
      <c r="AN37" s="22">
        <v>7042</v>
      </c>
      <c r="AO37" s="23"/>
      <c r="AP37" s="22" t="s">
        <v>593</v>
      </c>
      <c r="AQ37" s="23"/>
      <c r="AR37" s="22" t="s">
        <v>593</v>
      </c>
      <c r="AS37" s="23"/>
      <c r="AT37" s="22" t="s">
        <v>593</v>
      </c>
      <c r="AU37" s="23"/>
      <c r="AV37" s="22" t="s">
        <v>593</v>
      </c>
      <c r="AW37" s="23"/>
      <c r="AX37" s="22" t="s">
        <v>593</v>
      </c>
      <c r="AY37" s="23"/>
      <c r="AZ37" s="22" t="s">
        <v>593</v>
      </c>
      <c r="BA37" s="23"/>
      <c r="BB37" s="22" t="s">
        <v>593</v>
      </c>
      <c r="BC37" s="23"/>
      <c r="BD37" s="22" t="s">
        <v>593</v>
      </c>
      <c r="BE37" s="23"/>
      <c r="BF37" s="22" t="s">
        <v>593</v>
      </c>
      <c r="BG37" s="23"/>
      <c r="BH37" s="22" t="s">
        <v>593</v>
      </c>
      <c r="BI37" s="23"/>
      <c r="BJ37" s="22" t="s">
        <v>593</v>
      </c>
      <c r="BK37" s="23"/>
      <c r="BL37" s="22" t="s">
        <v>593</v>
      </c>
      <c r="BM37" s="23"/>
      <c r="BN37" s="22" t="s">
        <v>593</v>
      </c>
      <c r="BO37" s="23"/>
      <c r="BP37" s="22" t="s">
        <v>593</v>
      </c>
      <c r="BQ37" s="23"/>
    </row>
    <row r="38" spans="1:69" ht="14.5">
      <c r="A38" s="14" t="s">
        <v>281</v>
      </c>
      <c r="B38" s="19" t="s">
        <v>59</v>
      </c>
      <c r="C38" s="15">
        <v>25</v>
      </c>
      <c r="D38" s="137" t="s">
        <v>268</v>
      </c>
      <c r="E38" s="146" t="s">
        <v>274</v>
      </c>
      <c r="F38" s="146" t="s">
        <v>255</v>
      </c>
      <c r="G38" s="145">
        <v>45800</v>
      </c>
      <c r="H38" s="6">
        <v>1848.1574999999996</v>
      </c>
      <c r="I38" s="259"/>
      <c r="J38" s="18"/>
      <c r="K38" s="6">
        <f t="shared" si="5"/>
        <v>1848.1574999999996</v>
      </c>
      <c r="L38" s="6">
        <f t="shared" si="6"/>
        <v>1848.1574999999996</v>
      </c>
      <c r="M38" s="130"/>
      <c r="N38" s="131">
        <v>45775</v>
      </c>
      <c r="O38" s="131"/>
      <c r="P38" s="132">
        <f t="shared" ca="1" si="7"/>
        <v>-65</v>
      </c>
      <c r="Q38" s="131">
        <f t="shared" si="9"/>
        <v>45795</v>
      </c>
      <c r="R38" s="131"/>
      <c r="S38" s="132">
        <f t="shared" ca="1" si="8"/>
        <v>-45</v>
      </c>
      <c r="T38" s="131"/>
      <c r="U38" s="8"/>
      <c r="V38" s="23" t="s">
        <v>593</v>
      </c>
      <c r="W38" s="23"/>
      <c r="X38" s="23" t="s">
        <v>593</v>
      </c>
      <c r="Y38" s="23"/>
      <c r="Z38" s="22" t="s">
        <v>593</v>
      </c>
      <c r="AA38" s="23"/>
      <c r="AB38" s="22" t="s">
        <v>593</v>
      </c>
      <c r="AC38" s="23"/>
      <c r="AD38" s="22" t="s">
        <v>593</v>
      </c>
      <c r="AE38" s="23"/>
      <c r="AF38" s="22" t="s">
        <v>593</v>
      </c>
      <c r="AG38" s="23"/>
      <c r="AH38" s="22" t="s">
        <v>593</v>
      </c>
      <c r="AI38" s="23"/>
      <c r="AJ38" s="22" t="s">
        <v>593</v>
      </c>
      <c r="AK38" s="23"/>
      <c r="AL38" s="22" t="s">
        <v>593</v>
      </c>
      <c r="AM38" s="23"/>
      <c r="AN38" s="22">
        <v>7042</v>
      </c>
      <c r="AO38" s="23"/>
      <c r="AP38" s="22" t="s">
        <v>593</v>
      </c>
      <c r="AQ38" s="23"/>
      <c r="AR38" s="22" t="s">
        <v>593</v>
      </c>
      <c r="AS38" s="23"/>
      <c r="AT38" s="22" t="s">
        <v>593</v>
      </c>
      <c r="AU38" s="23"/>
      <c r="AV38" s="22" t="s">
        <v>593</v>
      </c>
      <c r="AW38" s="23"/>
      <c r="AX38" s="22" t="s">
        <v>593</v>
      </c>
      <c r="AY38" s="23"/>
      <c r="AZ38" s="22" t="s">
        <v>593</v>
      </c>
      <c r="BA38" s="23"/>
      <c r="BB38" s="22" t="s">
        <v>593</v>
      </c>
      <c r="BC38" s="23"/>
      <c r="BD38" s="22" t="s">
        <v>593</v>
      </c>
      <c r="BE38" s="23"/>
      <c r="BF38" s="22" t="s">
        <v>593</v>
      </c>
      <c r="BG38" s="23"/>
      <c r="BH38" s="22" t="s">
        <v>593</v>
      </c>
      <c r="BI38" s="23"/>
      <c r="BJ38" s="22" t="s">
        <v>593</v>
      </c>
      <c r="BK38" s="23"/>
      <c r="BL38" s="22" t="s">
        <v>593</v>
      </c>
      <c r="BM38" s="23"/>
      <c r="BN38" s="22" t="s">
        <v>593</v>
      </c>
      <c r="BO38" s="23"/>
      <c r="BP38" s="22" t="s">
        <v>593</v>
      </c>
      <c r="BQ38" s="23"/>
    </row>
    <row r="39" spans="1:69" ht="14.5">
      <c r="A39" s="14" t="s">
        <v>281</v>
      </c>
      <c r="B39" s="19" t="s">
        <v>59</v>
      </c>
      <c r="C39" s="15">
        <v>23</v>
      </c>
      <c r="D39" s="137" t="s">
        <v>268</v>
      </c>
      <c r="E39" s="146" t="s">
        <v>269</v>
      </c>
      <c r="F39" s="146" t="s">
        <v>255</v>
      </c>
      <c r="G39" s="145">
        <v>45800</v>
      </c>
      <c r="H39" s="6">
        <v>16487.759799999996</v>
      </c>
      <c r="I39" s="259"/>
      <c r="J39" s="18"/>
      <c r="K39" s="6">
        <f t="shared" ref="K39:K51" si="10">H39-J39</f>
        <v>16487.759799999996</v>
      </c>
      <c r="L39" s="6">
        <f t="shared" ref="L39:L51" si="11">H39-I39</f>
        <v>16487.759799999996</v>
      </c>
      <c r="M39" s="130"/>
      <c r="N39" s="131">
        <v>45775</v>
      </c>
      <c r="O39" s="131"/>
      <c r="P39" s="132">
        <f t="shared" ref="P39:P51" ca="1" si="12">+IF(O39="",N39-TODAY(),N39-N39)</f>
        <v>-65</v>
      </c>
      <c r="Q39" s="131">
        <f t="shared" si="9"/>
        <v>45795</v>
      </c>
      <c r="R39" s="131"/>
      <c r="S39" s="132">
        <f t="shared" ref="S39:S51" ca="1" si="13">+IF(R39="",Q39-TODAY(),Q39-R39)</f>
        <v>-45</v>
      </c>
      <c r="T39" s="131"/>
      <c r="U39" s="8"/>
      <c r="V39" s="23" t="s">
        <v>593</v>
      </c>
      <c r="W39" s="23"/>
      <c r="X39" s="23" t="s">
        <v>593</v>
      </c>
      <c r="Y39" s="23"/>
      <c r="Z39" s="22" t="s">
        <v>593</v>
      </c>
      <c r="AA39" s="23"/>
      <c r="AB39" s="22" t="s">
        <v>593</v>
      </c>
      <c r="AC39" s="23"/>
      <c r="AD39" s="22" t="s">
        <v>593</v>
      </c>
      <c r="AE39" s="23"/>
      <c r="AF39" s="22" t="s">
        <v>593</v>
      </c>
      <c r="AG39" s="23"/>
      <c r="AH39" s="22" t="s">
        <v>593</v>
      </c>
      <c r="AI39" s="23"/>
      <c r="AJ39" s="22" t="s">
        <v>593</v>
      </c>
      <c r="AK39" s="23"/>
      <c r="AL39" s="22" t="s">
        <v>593</v>
      </c>
      <c r="AM39" s="23"/>
      <c r="AN39" s="22">
        <v>7043</v>
      </c>
      <c r="AO39" s="23"/>
      <c r="AP39" s="22" t="s">
        <v>593</v>
      </c>
      <c r="AQ39" s="23"/>
      <c r="AR39" s="22" t="s">
        <v>593</v>
      </c>
      <c r="AS39" s="23"/>
      <c r="AT39" s="22" t="s">
        <v>593</v>
      </c>
      <c r="AU39" s="23"/>
      <c r="AV39" s="22" t="s">
        <v>593</v>
      </c>
      <c r="AW39" s="23"/>
      <c r="AX39" s="22" t="s">
        <v>593</v>
      </c>
      <c r="AY39" s="23"/>
      <c r="AZ39" s="22" t="s">
        <v>593</v>
      </c>
      <c r="BA39" s="23"/>
      <c r="BB39" s="22" t="s">
        <v>593</v>
      </c>
      <c r="BC39" s="23"/>
      <c r="BD39" s="22" t="s">
        <v>593</v>
      </c>
      <c r="BE39" s="23"/>
      <c r="BF39" s="22" t="s">
        <v>593</v>
      </c>
      <c r="BG39" s="23"/>
      <c r="BH39" s="22" t="s">
        <v>593</v>
      </c>
      <c r="BI39" s="23"/>
      <c r="BJ39" s="22" t="s">
        <v>593</v>
      </c>
      <c r="BK39" s="23"/>
      <c r="BL39" s="22" t="s">
        <v>593</v>
      </c>
      <c r="BM39" s="23"/>
      <c r="BN39" s="22" t="s">
        <v>593</v>
      </c>
      <c r="BO39" s="23"/>
      <c r="BP39" s="22" t="s">
        <v>593</v>
      </c>
      <c r="BQ39" s="23"/>
    </row>
    <row r="40" spans="1:69" ht="14.5">
      <c r="A40" s="14" t="s">
        <v>281</v>
      </c>
      <c r="B40" s="19" t="s">
        <v>59</v>
      </c>
      <c r="C40" s="15">
        <v>26</v>
      </c>
      <c r="D40" s="137" t="s">
        <v>268</v>
      </c>
      <c r="E40" s="146" t="s">
        <v>276</v>
      </c>
      <c r="F40" s="146" t="s">
        <v>255</v>
      </c>
      <c r="G40" s="145">
        <v>45800</v>
      </c>
      <c r="H40" s="6">
        <v>3117.5776799999994</v>
      </c>
      <c r="I40" s="259"/>
      <c r="J40" s="18"/>
      <c r="K40" s="6">
        <f t="shared" si="10"/>
        <v>3117.5776799999994</v>
      </c>
      <c r="L40" s="6">
        <f t="shared" si="11"/>
        <v>3117.5776799999994</v>
      </c>
      <c r="M40" s="130"/>
      <c r="N40" s="131">
        <v>45775</v>
      </c>
      <c r="O40" s="131"/>
      <c r="P40" s="132">
        <f t="shared" ca="1" si="12"/>
        <v>-65</v>
      </c>
      <c r="Q40" s="131">
        <f t="shared" si="9"/>
        <v>45795</v>
      </c>
      <c r="R40" s="131"/>
      <c r="S40" s="132">
        <f t="shared" ca="1" si="13"/>
        <v>-45</v>
      </c>
      <c r="T40" s="131"/>
      <c r="U40" s="8"/>
      <c r="V40" s="23" t="s">
        <v>593</v>
      </c>
      <c r="W40" s="23"/>
      <c r="X40" s="23" t="s">
        <v>593</v>
      </c>
      <c r="Y40" s="23"/>
      <c r="Z40" s="22" t="s">
        <v>593</v>
      </c>
      <c r="AA40" s="23"/>
      <c r="AB40" s="22" t="s">
        <v>593</v>
      </c>
      <c r="AC40" s="23"/>
      <c r="AD40" s="22" t="s">
        <v>593</v>
      </c>
      <c r="AE40" s="23"/>
      <c r="AF40" s="22" t="s">
        <v>593</v>
      </c>
      <c r="AG40" s="23"/>
      <c r="AH40" s="22" t="s">
        <v>593</v>
      </c>
      <c r="AI40" s="23"/>
      <c r="AJ40" s="22" t="s">
        <v>593</v>
      </c>
      <c r="AK40" s="23"/>
      <c r="AL40" s="22" t="s">
        <v>593</v>
      </c>
      <c r="AM40" s="23"/>
      <c r="AN40" s="22">
        <v>7044</v>
      </c>
      <c r="AO40" s="23"/>
      <c r="AP40" s="22" t="s">
        <v>593</v>
      </c>
      <c r="AQ40" s="23"/>
      <c r="AR40" s="22" t="s">
        <v>593</v>
      </c>
      <c r="AS40" s="23"/>
      <c r="AT40" s="22" t="s">
        <v>593</v>
      </c>
      <c r="AU40" s="23"/>
      <c r="AV40" s="22" t="s">
        <v>593</v>
      </c>
      <c r="AW40" s="23"/>
      <c r="AX40" s="22" t="s">
        <v>593</v>
      </c>
      <c r="AY40" s="23"/>
      <c r="AZ40" s="22" t="s">
        <v>593</v>
      </c>
      <c r="BA40" s="23"/>
      <c r="BB40" s="22" t="s">
        <v>593</v>
      </c>
      <c r="BC40" s="23"/>
      <c r="BD40" s="22" t="s">
        <v>593</v>
      </c>
      <c r="BE40" s="23"/>
      <c r="BF40" s="22" t="s">
        <v>593</v>
      </c>
      <c r="BG40" s="23"/>
      <c r="BH40" s="22" t="s">
        <v>593</v>
      </c>
      <c r="BI40" s="23"/>
      <c r="BJ40" s="22" t="s">
        <v>593</v>
      </c>
      <c r="BK40" s="23"/>
      <c r="BL40" s="22" t="s">
        <v>593</v>
      </c>
      <c r="BM40" s="23"/>
      <c r="BN40" s="22" t="s">
        <v>593</v>
      </c>
      <c r="BO40" s="23"/>
      <c r="BP40" s="22" t="s">
        <v>593</v>
      </c>
      <c r="BQ40" s="23"/>
    </row>
    <row r="41" spans="1:69" ht="14.5">
      <c r="A41" s="14" t="s">
        <v>281</v>
      </c>
      <c r="B41" s="19" t="s">
        <v>59</v>
      </c>
      <c r="C41" s="15">
        <v>24</v>
      </c>
      <c r="D41" s="137" t="s">
        <v>268</v>
      </c>
      <c r="E41" s="146" t="s">
        <v>275</v>
      </c>
      <c r="F41" s="146" t="s">
        <v>255</v>
      </c>
      <c r="G41" s="145">
        <v>45800</v>
      </c>
      <c r="H41" s="6">
        <v>21319.763999999999</v>
      </c>
      <c r="I41" s="259"/>
      <c r="J41" s="18"/>
      <c r="K41" s="6">
        <f t="shared" si="10"/>
        <v>21319.763999999999</v>
      </c>
      <c r="L41" s="6">
        <f t="shared" si="11"/>
        <v>21319.763999999999</v>
      </c>
      <c r="M41" s="130"/>
      <c r="N41" s="131">
        <v>45775</v>
      </c>
      <c r="O41" s="131"/>
      <c r="P41" s="132">
        <f t="shared" ca="1" si="12"/>
        <v>-65</v>
      </c>
      <c r="Q41" s="131">
        <f t="shared" si="9"/>
        <v>45795</v>
      </c>
      <c r="R41" s="131"/>
      <c r="S41" s="132">
        <f t="shared" ca="1" si="13"/>
        <v>-45</v>
      </c>
      <c r="T41" s="131"/>
      <c r="U41" s="8"/>
      <c r="V41" s="23" t="s">
        <v>593</v>
      </c>
      <c r="W41" s="23"/>
      <c r="X41" s="23" t="s">
        <v>593</v>
      </c>
      <c r="Y41" s="23"/>
      <c r="Z41" s="22" t="s">
        <v>593</v>
      </c>
      <c r="AA41" s="23"/>
      <c r="AB41" s="22" t="s">
        <v>593</v>
      </c>
      <c r="AC41" s="23"/>
      <c r="AD41" s="22" t="s">
        <v>593</v>
      </c>
      <c r="AE41" s="23"/>
      <c r="AF41" s="22" t="s">
        <v>593</v>
      </c>
      <c r="AG41" s="23"/>
      <c r="AH41" s="22" t="s">
        <v>593</v>
      </c>
      <c r="AI41" s="23"/>
      <c r="AJ41" s="22" t="s">
        <v>593</v>
      </c>
      <c r="AK41" s="23"/>
      <c r="AL41" s="22" t="s">
        <v>593</v>
      </c>
      <c r="AM41" s="23"/>
      <c r="AN41" s="22">
        <v>7045</v>
      </c>
      <c r="AO41" s="23"/>
      <c r="AP41" s="22" t="s">
        <v>593</v>
      </c>
      <c r="AQ41" s="23"/>
      <c r="AR41" s="22" t="s">
        <v>593</v>
      </c>
      <c r="AS41" s="23"/>
      <c r="AT41" s="22" t="s">
        <v>593</v>
      </c>
      <c r="AU41" s="23"/>
      <c r="AV41" s="22" t="s">
        <v>593</v>
      </c>
      <c r="AW41" s="23"/>
      <c r="AX41" s="22" t="s">
        <v>593</v>
      </c>
      <c r="AY41" s="23"/>
      <c r="AZ41" s="22" t="s">
        <v>593</v>
      </c>
      <c r="BA41" s="23"/>
      <c r="BB41" s="22" t="s">
        <v>593</v>
      </c>
      <c r="BC41" s="23"/>
      <c r="BD41" s="22" t="s">
        <v>593</v>
      </c>
      <c r="BE41" s="23"/>
      <c r="BF41" s="22" t="s">
        <v>593</v>
      </c>
      <c r="BG41" s="23"/>
      <c r="BH41" s="22" t="s">
        <v>593</v>
      </c>
      <c r="BI41" s="23"/>
      <c r="BJ41" s="22" t="s">
        <v>593</v>
      </c>
      <c r="BK41" s="23"/>
      <c r="BL41" s="22" t="s">
        <v>593</v>
      </c>
      <c r="BM41" s="23"/>
      <c r="BN41" s="22" t="s">
        <v>593</v>
      </c>
      <c r="BO41" s="23"/>
      <c r="BP41" s="22" t="s">
        <v>593</v>
      </c>
      <c r="BQ41" s="23"/>
    </row>
    <row r="42" spans="1:69" ht="14.5">
      <c r="A42" s="14" t="s">
        <v>282</v>
      </c>
      <c r="B42" s="19" t="s">
        <v>59</v>
      </c>
      <c r="C42" s="15">
        <v>25</v>
      </c>
      <c r="D42" s="137" t="s">
        <v>268</v>
      </c>
      <c r="E42" s="146" t="s">
        <v>274</v>
      </c>
      <c r="F42" s="146" t="s">
        <v>255</v>
      </c>
      <c r="G42" s="145">
        <v>45800</v>
      </c>
      <c r="H42" s="6">
        <v>3158.3999999999996</v>
      </c>
      <c r="I42" s="259"/>
      <c r="J42" s="18"/>
      <c r="K42" s="6">
        <f t="shared" si="10"/>
        <v>3158.3999999999996</v>
      </c>
      <c r="L42" s="6">
        <f t="shared" si="11"/>
        <v>3158.3999999999996</v>
      </c>
      <c r="M42" s="130"/>
      <c r="N42" s="131">
        <v>45775</v>
      </c>
      <c r="O42" s="131"/>
      <c r="P42" s="132">
        <f t="shared" ca="1" si="12"/>
        <v>-65</v>
      </c>
      <c r="Q42" s="131">
        <f t="shared" si="9"/>
        <v>45795</v>
      </c>
      <c r="R42" s="131"/>
      <c r="S42" s="132">
        <f t="shared" ca="1" si="13"/>
        <v>-45</v>
      </c>
      <c r="T42" s="131"/>
      <c r="U42" s="8"/>
      <c r="V42" s="23" t="s">
        <v>593</v>
      </c>
      <c r="W42" s="23"/>
      <c r="X42" s="23" t="s">
        <v>593</v>
      </c>
      <c r="Y42" s="23"/>
      <c r="Z42" s="22" t="s">
        <v>593</v>
      </c>
      <c r="AA42" s="23"/>
      <c r="AB42" s="22" t="s">
        <v>593</v>
      </c>
      <c r="AC42" s="23"/>
      <c r="AD42" s="22" t="s">
        <v>593</v>
      </c>
      <c r="AE42" s="23"/>
      <c r="AF42" s="22" t="s">
        <v>593</v>
      </c>
      <c r="AG42" s="23"/>
      <c r="AH42" s="22" t="s">
        <v>593</v>
      </c>
      <c r="AI42" s="23"/>
      <c r="AJ42" s="22" t="s">
        <v>593</v>
      </c>
      <c r="AK42" s="23"/>
      <c r="AL42" s="22" t="s">
        <v>593</v>
      </c>
      <c r="AM42" s="23"/>
      <c r="AN42" s="22">
        <v>7046</v>
      </c>
      <c r="AO42" s="23"/>
      <c r="AP42" s="22" t="s">
        <v>593</v>
      </c>
      <c r="AQ42" s="23"/>
      <c r="AR42" s="22" t="s">
        <v>593</v>
      </c>
      <c r="AS42" s="23"/>
      <c r="AT42" s="22" t="s">
        <v>593</v>
      </c>
      <c r="AU42" s="23"/>
      <c r="AV42" s="22" t="s">
        <v>593</v>
      </c>
      <c r="AW42" s="23"/>
      <c r="AX42" s="22" t="s">
        <v>593</v>
      </c>
      <c r="AY42" s="23"/>
      <c r="AZ42" s="22" t="s">
        <v>593</v>
      </c>
      <c r="BA42" s="23"/>
      <c r="BB42" s="22" t="s">
        <v>593</v>
      </c>
      <c r="BC42" s="23"/>
      <c r="BD42" s="22" t="s">
        <v>593</v>
      </c>
      <c r="BE42" s="23"/>
      <c r="BF42" s="22" t="s">
        <v>593</v>
      </c>
      <c r="BG42" s="23"/>
      <c r="BH42" s="22" t="s">
        <v>593</v>
      </c>
      <c r="BI42" s="23"/>
      <c r="BJ42" s="22" t="s">
        <v>593</v>
      </c>
      <c r="BK42" s="23"/>
      <c r="BL42" s="22" t="s">
        <v>593</v>
      </c>
      <c r="BM42" s="23"/>
      <c r="BN42" s="22" t="s">
        <v>593</v>
      </c>
      <c r="BO42" s="23"/>
      <c r="BP42" s="22" t="s">
        <v>593</v>
      </c>
      <c r="BQ42" s="23"/>
    </row>
    <row r="43" spans="1:69" ht="14.5">
      <c r="A43" s="14" t="s">
        <v>282</v>
      </c>
      <c r="B43" s="19" t="s">
        <v>59</v>
      </c>
      <c r="C43" s="15">
        <v>25</v>
      </c>
      <c r="D43" s="137" t="s">
        <v>268</v>
      </c>
      <c r="E43" s="146" t="s">
        <v>274</v>
      </c>
      <c r="F43" s="146" t="s">
        <v>255</v>
      </c>
      <c r="G43" s="145">
        <v>45800</v>
      </c>
      <c r="H43" s="6">
        <v>3158.3999999999996</v>
      </c>
      <c r="I43" s="259"/>
      <c r="J43" s="18"/>
      <c r="K43" s="6">
        <f t="shared" si="10"/>
        <v>3158.3999999999996</v>
      </c>
      <c r="L43" s="6">
        <f t="shared" si="11"/>
        <v>3158.3999999999996</v>
      </c>
      <c r="M43" s="130"/>
      <c r="N43" s="131">
        <v>45775</v>
      </c>
      <c r="O43" s="131"/>
      <c r="P43" s="132">
        <f t="shared" ca="1" si="12"/>
        <v>-65</v>
      </c>
      <c r="Q43" s="131">
        <f t="shared" si="9"/>
        <v>45795</v>
      </c>
      <c r="R43" s="131"/>
      <c r="S43" s="132">
        <f t="shared" ca="1" si="13"/>
        <v>-45</v>
      </c>
      <c r="T43" s="131"/>
      <c r="U43" s="8"/>
      <c r="V43" s="23" t="s">
        <v>593</v>
      </c>
      <c r="W43" s="23"/>
      <c r="X43" s="23" t="s">
        <v>593</v>
      </c>
      <c r="Y43" s="23"/>
      <c r="Z43" s="22" t="s">
        <v>593</v>
      </c>
      <c r="AA43" s="23"/>
      <c r="AB43" s="22" t="s">
        <v>593</v>
      </c>
      <c r="AC43" s="23"/>
      <c r="AD43" s="22" t="s">
        <v>593</v>
      </c>
      <c r="AE43" s="23"/>
      <c r="AF43" s="22" t="s">
        <v>593</v>
      </c>
      <c r="AG43" s="23"/>
      <c r="AH43" s="22" t="s">
        <v>593</v>
      </c>
      <c r="AI43" s="23"/>
      <c r="AJ43" s="22" t="s">
        <v>593</v>
      </c>
      <c r="AK43" s="23"/>
      <c r="AL43" s="22" t="s">
        <v>593</v>
      </c>
      <c r="AM43" s="23"/>
      <c r="AN43" s="22">
        <v>7047</v>
      </c>
      <c r="AO43" s="23"/>
      <c r="AP43" s="22" t="s">
        <v>593</v>
      </c>
      <c r="AQ43" s="23"/>
      <c r="AR43" s="22" t="s">
        <v>593</v>
      </c>
      <c r="AS43" s="23"/>
      <c r="AT43" s="22" t="s">
        <v>593</v>
      </c>
      <c r="AU43" s="23"/>
      <c r="AV43" s="22" t="s">
        <v>593</v>
      </c>
      <c r="AW43" s="23"/>
      <c r="AX43" s="22" t="s">
        <v>593</v>
      </c>
      <c r="AY43" s="23"/>
      <c r="AZ43" s="22" t="s">
        <v>593</v>
      </c>
      <c r="BA43" s="23"/>
      <c r="BB43" s="22" t="s">
        <v>593</v>
      </c>
      <c r="BC43" s="23"/>
      <c r="BD43" s="22" t="s">
        <v>593</v>
      </c>
      <c r="BE43" s="23"/>
      <c r="BF43" s="22" t="s">
        <v>593</v>
      </c>
      <c r="BG43" s="23"/>
      <c r="BH43" s="22" t="s">
        <v>593</v>
      </c>
      <c r="BI43" s="23"/>
      <c r="BJ43" s="22" t="s">
        <v>593</v>
      </c>
      <c r="BK43" s="23"/>
      <c r="BL43" s="22" t="s">
        <v>593</v>
      </c>
      <c r="BM43" s="23"/>
      <c r="BN43" s="22" t="s">
        <v>593</v>
      </c>
      <c r="BO43" s="23"/>
      <c r="BP43" s="22" t="s">
        <v>593</v>
      </c>
      <c r="BQ43" s="23"/>
    </row>
    <row r="44" spans="1:69" ht="14.5">
      <c r="A44" s="14" t="s">
        <v>282</v>
      </c>
      <c r="B44" s="19" t="s">
        <v>59</v>
      </c>
      <c r="C44" s="15">
        <v>23</v>
      </c>
      <c r="D44" s="137" t="s">
        <v>268</v>
      </c>
      <c r="E44" s="146" t="s">
        <v>269</v>
      </c>
      <c r="F44" s="146" t="s">
        <v>255</v>
      </c>
      <c r="G44" s="145">
        <v>45800</v>
      </c>
      <c r="H44" s="6">
        <v>13582.652199999999</v>
      </c>
      <c r="I44" s="259"/>
      <c r="J44" s="18"/>
      <c r="K44" s="6">
        <f t="shared" si="10"/>
        <v>13582.652199999999</v>
      </c>
      <c r="L44" s="6">
        <f t="shared" si="11"/>
        <v>13582.652199999999</v>
      </c>
      <c r="M44" s="130"/>
      <c r="N44" s="131">
        <v>45775</v>
      </c>
      <c r="O44" s="131"/>
      <c r="P44" s="132">
        <f t="shared" ca="1" si="12"/>
        <v>-65</v>
      </c>
      <c r="Q44" s="131">
        <f t="shared" si="9"/>
        <v>45795</v>
      </c>
      <c r="R44" s="131"/>
      <c r="S44" s="132">
        <f t="shared" ca="1" si="13"/>
        <v>-45</v>
      </c>
      <c r="T44" s="131"/>
      <c r="U44" s="8"/>
      <c r="V44" s="23" t="s">
        <v>593</v>
      </c>
      <c r="W44" s="23"/>
      <c r="X44" s="23" t="s">
        <v>593</v>
      </c>
      <c r="Y44" s="23"/>
      <c r="Z44" s="22" t="s">
        <v>593</v>
      </c>
      <c r="AA44" s="23"/>
      <c r="AB44" s="22" t="s">
        <v>593</v>
      </c>
      <c r="AC44" s="23"/>
      <c r="AD44" s="22" t="s">
        <v>593</v>
      </c>
      <c r="AE44" s="23"/>
      <c r="AF44" s="22" t="s">
        <v>593</v>
      </c>
      <c r="AG44" s="23"/>
      <c r="AH44" s="22" t="s">
        <v>593</v>
      </c>
      <c r="AI44" s="23"/>
      <c r="AJ44" s="22" t="s">
        <v>593</v>
      </c>
      <c r="AK44" s="23"/>
      <c r="AL44" s="22" t="s">
        <v>593</v>
      </c>
      <c r="AM44" s="23"/>
      <c r="AN44" s="22">
        <v>7048</v>
      </c>
      <c r="AO44" s="23"/>
      <c r="AP44" s="22" t="s">
        <v>593</v>
      </c>
      <c r="AQ44" s="23"/>
      <c r="AR44" s="22" t="s">
        <v>593</v>
      </c>
      <c r="AS44" s="23"/>
      <c r="AT44" s="22" t="s">
        <v>593</v>
      </c>
      <c r="AU44" s="23"/>
      <c r="AV44" s="22" t="s">
        <v>593</v>
      </c>
      <c r="AW44" s="23"/>
      <c r="AX44" s="22" t="s">
        <v>593</v>
      </c>
      <c r="AY44" s="23"/>
      <c r="AZ44" s="22" t="s">
        <v>593</v>
      </c>
      <c r="BA44" s="23"/>
      <c r="BB44" s="22" t="s">
        <v>593</v>
      </c>
      <c r="BC44" s="23"/>
      <c r="BD44" s="22" t="s">
        <v>593</v>
      </c>
      <c r="BE44" s="23"/>
      <c r="BF44" s="22" t="s">
        <v>593</v>
      </c>
      <c r="BG44" s="23"/>
      <c r="BH44" s="22" t="s">
        <v>593</v>
      </c>
      <c r="BI44" s="23"/>
      <c r="BJ44" s="22" t="s">
        <v>593</v>
      </c>
      <c r="BK44" s="23"/>
      <c r="BL44" s="22" t="s">
        <v>593</v>
      </c>
      <c r="BM44" s="23"/>
      <c r="BN44" s="22" t="s">
        <v>593</v>
      </c>
      <c r="BO44" s="23"/>
      <c r="BP44" s="22" t="s">
        <v>593</v>
      </c>
      <c r="BQ44" s="23"/>
    </row>
    <row r="45" spans="1:69" ht="14.5">
      <c r="A45" s="14" t="s">
        <v>282</v>
      </c>
      <c r="B45" s="19" t="s">
        <v>59</v>
      </c>
      <c r="C45" s="15">
        <v>26</v>
      </c>
      <c r="D45" s="137" t="s">
        <v>268</v>
      </c>
      <c r="E45" s="146" t="s">
        <v>276</v>
      </c>
      <c r="F45" s="146" t="s">
        <v>255</v>
      </c>
      <c r="G45" s="145">
        <v>45800</v>
      </c>
      <c r="H45" s="6">
        <v>4894.8883199999991</v>
      </c>
      <c r="I45" s="259"/>
      <c r="J45" s="18"/>
      <c r="K45" s="6">
        <f t="shared" si="10"/>
        <v>4894.8883199999991</v>
      </c>
      <c r="L45" s="6">
        <f t="shared" si="11"/>
        <v>4894.8883199999991</v>
      </c>
      <c r="M45" s="130"/>
      <c r="N45" s="131">
        <v>45775</v>
      </c>
      <c r="O45" s="131"/>
      <c r="P45" s="132">
        <f t="shared" ca="1" si="12"/>
        <v>-65</v>
      </c>
      <c r="Q45" s="131">
        <f t="shared" si="9"/>
        <v>45795</v>
      </c>
      <c r="R45" s="131"/>
      <c r="S45" s="132">
        <f t="shared" ca="1" si="13"/>
        <v>-45</v>
      </c>
      <c r="T45" s="131"/>
      <c r="U45" s="8"/>
      <c r="V45" s="23" t="s">
        <v>593</v>
      </c>
      <c r="W45" s="23"/>
      <c r="X45" s="23" t="s">
        <v>593</v>
      </c>
      <c r="Y45" s="23"/>
      <c r="Z45" s="22" t="s">
        <v>593</v>
      </c>
      <c r="AA45" s="23"/>
      <c r="AB45" s="22" t="s">
        <v>593</v>
      </c>
      <c r="AC45" s="23"/>
      <c r="AD45" s="22" t="s">
        <v>593</v>
      </c>
      <c r="AE45" s="23"/>
      <c r="AF45" s="22" t="s">
        <v>593</v>
      </c>
      <c r="AG45" s="23"/>
      <c r="AH45" s="22" t="s">
        <v>593</v>
      </c>
      <c r="AI45" s="23"/>
      <c r="AJ45" s="22" t="s">
        <v>593</v>
      </c>
      <c r="AK45" s="23"/>
      <c r="AL45" s="22" t="s">
        <v>593</v>
      </c>
      <c r="AM45" s="23"/>
      <c r="AN45" s="22">
        <v>7049</v>
      </c>
      <c r="AO45" s="23"/>
      <c r="AP45" s="22" t="s">
        <v>593</v>
      </c>
      <c r="AQ45" s="23"/>
      <c r="AR45" s="22" t="s">
        <v>593</v>
      </c>
      <c r="AS45" s="23"/>
      <c r="AT45" s="22" t="s">
        <v>593</v>
      </c>
      <c r="AU45" s="23"/>
      <c r="AV45" s="22" t="s">
        <v>593</v>
      </c>
      <c r="AW45" s="23"/>
      <c r="AX45" s="22" t="s">
        <v>593</v>
      </c>
      <c r="AY45" s="23"/>
      <c r="AZ45" s="22" t="s">
        <v>593</v>
      </c>
      <c r="BA45" s="23"/>
      <c r="BB45" s="22" t="s">
        <v>593</v>
      </c>
      <c r="BC45" s="23"/>
      <c r="BD45" s="22" t="s">
        <v>593</v>
      </c>
      <c r="BE45" s="23"/>
      <c r="BF45" s="22" t="s">
        <v>593</v>
      </c>
      <c r="BG45" s="23"/>
      <c r="BH45" s="22" t="s">
        <v>593</v>
      </c>
      <c r="BI45" s="23"/>
      <c r="BJ45" s="22" t="s">
        <v>593</v>
      </c>
      <c r="BK45" s="23"/>
      <c r="BL45" s="22" t="s">
        <v>593</v>
      </c>
      <c r="BM45" s="23"/>
      <c r="BN45" s="22" t="s">
        <v>593</v>
      </c>
      <c r="BO45" s="23"/>
      <c r="BP45" s="22" t="s">
        <v>593</v>
      </c>
      <c r="BQ45" s="23"/>
    </row>
    <row r="46" spans="1:69" ht="14.5">
      <c r="A46" s="14" t="s">
        <v>283</v>
      </c>
      <c r="B46" s="19" t="s">
        <v>59</v>
      </c>
      <c r="C46" s="15">
        <v>23</v>
      </c>
      <c r="D46" s="137" t="s">
        <v>268</v>
      </c>
      <c r="E46" s="146" t="s">
        <v>269</v>
      </c>
      <c r="F46" s="146" t="s">
        <v>255</v>
      </c>
      <c r="G46" s="145">
        <v>45800</v>
      </c>
      <c r="H46" s="6">
        <v>46367.046299999995</v>
      </c>
      <c r="I46" s="259"/>
      <c r="J46" s="18"/>
      <c r="K46" s="6">
        <f t="shared" si="10"/>
        <v>46367.046299999995</v>
      </c>
      <c r="L46" s="6">
        <f t="shared" si="11"/>
        <v>46367.046299999995</v>
      </c>
      <c r="M46" s="130"/>
      <c r="N46" s="131">
        <v>45775</v>
      </c>
      <c r="O46" s="131"/>
      <c r="P46" s="132">
        <f t="shared" ca="1" si="12"/>
        <v>-65</v>
      </c>
      <c r="Q46" s="131">
        <f t="shared" si="9"/>
        <v>45795</v>
      </c>
      <c r="R46" s="131"/>
      <c r="S46" s="132">
        <f t="shared" ca="1" si="13"/>
        <v>-45</v>
      </c>
      <c r="T46" s="131"/>
      <c r="U46" s="8"/>
      <c r="V46" s="23" t="s">
        <v>593</v>
      </c>
      <c r="W46" s="23"/>
      <c r="X46" s="23" t="s">
        <v>593</v>
      </c>
      <c r="Y46" s="23"/>
      <c r="Z46" s="22" t="s">
        <v>593</v>
      </c>
      <c r="AA46" s="23"/>
      <c r="AB46" s="22" t="s">
        <v>593</v>
      </c>
      <c r="AC46" s="23"/>
      <c r="AD46" s="22" t="s">
        <v>593</v>
      </c>
      <c r="AE46" s="23"/>
      <c r="AF46" s="22" t="s">
        <v>593</v>
      </c>
      <c r="AG46" s="23"/>
      <c r="AH46" s="22" t="s">
        <v>593</v>
      </c>
      <c r="AI46" s="23"/>
      <c r="AJ46" s="22" t="s">
        <v>593</v>
      </c>
      <c r="AK46" s="23"/>
      <c r="AL46" s="22" t="s">
        <v>593</v>
      </c>
      <c r="AM46" s="23"/>
      <c r="AN46" s="22">
        <v>7050</v>
      </c>
      <c r="AO46" s="23"/>
      <c r="AP46" s="22" t="s">
        <v>593</v>
      </c>
      <c r="AQ46" s="23"/>
      <c r="AR46" s="22" t="s">
        <v>593</v>
      </c>
      <c r="AS46" s="23"/>
      <c r="AT46" s="22" t="s">
        <v>593</v>
      </c>
      <c r="AU46" s="23"/>
      <c r="AV46" s="22" t="s">
        <v>593</v>
      </c>
      <c r="AW46" s="23"/>
      <c r="AX46" s="22" t="s">
        <v>593</v>
      </c>
      <c r="AY46" s="23"/>
      <c r="AZ46" s="22" t="s">
        <v>593</v>
      </c>
      <c r="BA46" s="23"/>
      <c r="BB46" s="22" t="s">
        <v>593</v>
      </c>
      <c r="BC46" s="23"/>
      <c r="BD46" s="22" t="s">
        <v>593</v>
      </c>
      <c r="BE46" s="23"/>
      <c r="BF46" s="22" t="s">
        <v>593</v>
      </c>
      <c r="BG46" s="23"/>
      <c r="BH46" s="22" t="s">
        <v>593</v>
      </c>
      <c r="BI46" s="23"/>
      <c r="BJ46" s="22" t="s">
        <v>593</v>
      </c>
      <c r="BK46" s="23"/>
      <c r="BL46" s="22" t="s">
        <v>593</v>
      </c>
      <c r="BM46" s="23"/>
      <c r="BN46" s="22" t="s">
        <v>593</v>
      </c>
      <c r="BO46" s="23"/>
      <c r="BP46" s="22" t="s">
        <v>593</v>
      </c>
      <c r="BQ46" s="23"/>
    </row>
    <row r="47" spans="1:69" ht="14.5">
      <c r="A47" s="14" t="s">
        <v>284</v>
      </c>
      <c r="B47" s="19" t="s">
        <v>59</v>
      </c>
      <c r="C47" s="15">
        <v>25</v>
      </c>
      <c r="D47" s="137" t="s">
        <v>268</v>
      </c>
      <c r="E47" s="146" t="s">
        <v>274</v>
      </c>
      <c r="F47" s="146" t="s">
        <v>255</v>
      </c>
      <c r="G47" s="145">
        <v>45807</v>
      </c>
      <c r="H47" s="6">
        <v>2664.8999999999996</v>
      </c>
      <c r="I47" s="259"/>
      <c r="J47" s="18"/>
      <c r="K47" s="6">
        <f t="shared" si="10"/>
        <v>2664.8999999999996</v>
      </c>
      <c r="L47" s="6">
        <f t="shared" si="11"/>
        <v>2664.8999999999996</v>
      </c>
      <c r="M47" s="130"/>
      <c r="N47" s="131">
        <v>45782</v>
      </c>
      <c r="O47" s="131"/>
      <c r="P47" s="132">
        <f t="shared" ca="1" si="12"/>
        <v>-58</v>
      </c>
      <c r="Q47" s="131">
        <f t="shared" si="9"/>
        <v>45802</v>
      </c>
      <c r="R47" s="131"/>
      <c r="S47" s="132">
        <f t="shared" ca="1" si="13"/>
        <v>-38</v>
      </c>
      <c r="T47" s="131"/>
      <c r="U47" s="8"/>
      <c r="V47" s="23" t="s">
        <v>593</v>
      </c>
      <c r="W47" s="23"/>
      <c r="X47" s="23" t="s">
        <v>593</v>
      </c>
      <c r="Y47" s="23"/>
      <c r="Z47" s="22" t="s">
        <v>593</v>
      </c>
      <c r="AA47" s="23"/>
      <c r="AB47" s="22" t="s">
        <v>593</v>
      </c>
      <c r="AC47" s="23"/>
      <c r="AD47" s="22" t="s">
        <v>593</v>
      </c>
      <c r="AE47" s="23"/>
      <c r="AF47" s="22" t="s">
        <v>593</v>
      </c>
      <c r="AG47" s="23"/>
      <c r="AH47" s="22" t="s">
        <v>593</v>
      </c>
      <c r="AI47" s="23"/>
      <c r="AJ47" s="22" t="s">
        <v>593</v>
      </c>
      <c r="AK47" s="23"/>
      <c r="AL47" s="22" t="s">
        <v>593</v>
      </c>
      <c r="AM47" s="23"/>
      <c r="AN47" s="22">
        <v>7051</v>
      </c>
      <c r="AO47" s="23"/>
      <c r="AP47" s="22" t="s">
        <v>593</v>
      </c>
      <c r="AQ47" s="23"/>
      <c r="AR47" s="22" t="s">
        <v>593</v>
      </c>
      <c r="AS47" s="23"/>
      <c r="AT47" s="22" t="s">
        <v>593</v>
      </c>
      <c r="AU47" s="23"/>
      <c r="AV47" s="22" t="s">
        <v>593</v>
      </c>
      <c r="AW47" s="23"/>
      <c r="AX47" s="22" t="s">
        <v>593</v>
      </c>
      <c r="AY47" s="23"/>
      <c r="AZ47" s="22" t="s">
        <v>593</v>
      </c>
      <c r="BA47" s="23"/>
      <c r="BB47" s="22" t="s">
        <v>593</v>
      </c>
      <c r="BC47" s="23"/>
      <c r="BD47" s="22" t="s">
        <v>593</v>
      </c>
      <c r="BE47" s="23"/>
      <c r="BF47" s="22" t="s">
        <v>593</v>
      </c>
      <c r="BG47" s="23"/>
      <c r="BH47" s="22" t="s">
        <v>593</v>
      </c>
      <c r="BI47" s="23"/>
      <c r="BJ47" s="22" t="s">
        <v>593</v>
      </c>
      <c r="BK47" s="23"/>
      <c r="BL47" s="22" t="s">
        <v>593</v>
      </c>
      <c r="BM47" s="23"/>
      <c r="BN47" s="22" t="s">
        <v>593</v>
      </c>
      <c r="BO47" s="23"/>
      <c r="BP47" s="22" t="s">
        <v>593</v>
      </c>
      <c r="BQ47" s="23"/>
    </row>
    <row r="48" spans="1:69" ht="14.5">
      <c r="A48" s="14" t="s">
        <v>284</v>
      </c>
      <c r="B48" s="19" t="s">
        <v>59</v>
      </c>
      <c r="C48" s="15">
        <v>25</v>
      </c>
      <c r="D48" s="137" t="s">
        <v>268</v>
      </c>
      <c r="E48" s="146" t="s">
        <v>274</v>
      </c>
      <c r="F48" s="146" t="s">
        <v>255</v>
      </c>
      <c r="G48" s="145">
        <v>45807</v>
      </c>
      <c r="H48" s="6">
        <v>2664.8999999999996</v>
      </c>
      <c r="I48" s="259"/>
      <c r="J48" s="18"/>
      <c r="K48" s="6">
        <f t="shared" si="10"/>
        <v>2664.8999999999996</v>
      </c>
      <c r="L48" s="6">
        <f t="shared" si="11"/>
        <v>2664.8999999999996</v>
      </c>
      <c r="M48" s="130"/>
      <c r="N48" s="131">
        <v>45782</v>
      </c>
      <c r="O48" s="131"/>
      <c r="P48" s="132">
        <f t="shared" ca="1" si="12"/>
        <v>-58</v>
      </c>
      <c r="Q48" s="131">
        <f t="shared" si="9"/>
        <v>45802</v>
      </c>
      <c r="R48" s="131"/>
      <c r="S48" s="132">
        <f t="shared" ca="1" si="13"/>
        <v>-38</v>
      </c>
      <c r="T48" s="131"/>
      <c r="U48" s="8"/>
      <c r="V48" s="23" t="s">
        <v>593</v>
      </c>
      <c r="W48" s="23"/>
      <c r="X48" s="23" t="s">
        <v>593</v>
      </c>
      <c r="Y48" s="23"/>
      <c r="Z48" s="22" t="s">
        <v>593</v>
      </c>
      <c r="AA48" s="23"/>
      <c r="AB48" s="22" t="s">
        <v>593</v>
      </c>
      <c r="AC48" s="23"/>
      <c r="AD48" s="22" t="s">
        <v>593</v>
      </c>
      <c r="AE48" s="23"/>
      <c r="AF48" s="22" t="s">
        <v>593</v>
      </c>
      <c r="AG48" s="23"/>
      <c r="AH48" s="22" t="s">
        <v>593</v>
      </c>
      <c r="AI48" s="23"/>
      <c r="AJ48" s="22" t="s">
        <v>593</v>
      </c>
      <c r="AK48" s="23"/>
      <c r="AL48" s="22" t="s">
        <v>593</v>
      </c>
      <c r="AM48" s="23"/>
      <c r="AN48" s="22">
        <v>7052</v>
      </c>
      <c r="AO48" s="23"/>
      <c r="AP48" s="22" t="s">
        <v>593</v>
      </c>
      <c r="AQ48" s="23"/>
      <c r="AR48" s="22" t="s">
        <v>593</v>
      </c>
      <c r="AS48" s="23"/>
      <c r="AT48" s="22" t="s">
        <v>593</v>
      </c>
      <c r="AU48" s="23"/>
      <c r="AV48" s="22" t="s">
        <v>593</v>
      </c>
      <c r="AW48" s="23"/>
      <c r="AX48" s="22" t="s">
        <v>593</v>
      </c>
      <c r="AY48" s="23"/>
      <c r="AZ48" s="22" t="s">
        <v>593</v>
      </c>
      <c r="BA48" s="23"/>
      <c r="BB48" s="22" t="s">
        <v>593</v>
      </c>
      <c r="BC48" s="23"/>
      <c r="BD48" s="22" t="s">
        <v>593</v>
      </c>
      <c r="BE48" s="23"/>
      <c r="BF48" s="22" t="s">
        <v>593</v>
      </c>
      <c r="BG48" s="23"/>
      <c r="BH48" s="22" t="s">
        <v>593</v>
      </c>
      <c r="BI48" s="23"/>
      <c r="BJ48" s="22" t="s">
        <v>593</v>
      </c>
      <c r="BK48" s="23"/>
      <c r="BL48" s="22" t="s">
        <v>593</v>
      </c>
      <c r="BM48" s="23"/>
      <c r="BN48" s="22" t="s">
        <v>593</v>
      </c>
      <c r="BO48" s="23"/>
      <c r="BP48" s="22" t="s">
        <v>593</v>
      </c>
      <c r="BQ48" s="23"/>
    </row>
    <row r="49" spans="1:69" ht="14.5">
      <c r="A49" s="14" t="s">
        <v>284</v>
      </c>
      <c r="B49" s="19" t="s">
        <v>59</v>
      </c>
      <c r="C49" s="15">
        <v>26</v>
      </c>
      <c r="D49" s="137" t="s">
        <v>268</v>
      </c>
      <c r="E49" s="146" t="s">
        <v>276</v>
      </c>
      <c r="F49" s="146" t="s">
        <v>255</v>
      </c>
      <c r="G49" s="145">
        <v>45807</v>
      </c>
      <c r="H49" s="6">
        <v>4554.9655199999997</v>
      </c>
      <c r="I49" s="259"/>
      <c r="J49" s="18"/>
      <c r="K49" s="6">
        <f t="shared" si="10"/>
        <v>4554.9655199999997</v>
      </c>
      <c r="L49" s="6">
        <f t="shared" si="11"/>
        <v>4554.9655199999997</v>
      </c>
      <c r="M49" s="130"/>
      <c r="N49" s="131">
        <v>45782</v>
      </c>
      <c r="O49" s="131"/>
      <c r="P49" s="132">
        <f t="shared" ca="1" si="12"/>
        <v>-58</v>
      </c>
      <c r="Q49" s="131">
        <f t="shared" si="9"/>
        <v>45802</v>
      </c>
      <c r="R49" s="131"/>
      <c r="S49" s="132">
        <f t="shared" ca="1" si="13"/>
        <v>-38</v>
      </c>
      <c r="T49" s="131"/>
      <c r="U49" s="8"/>
      <c r="V49" s="23" t="s">
        <v>593</v>
      </c>
      <c r="W49" s="23"/>
      <c r="X49" s="23" t="s">
        <v>593</v>
      </c>
      <c r="Y49" s="23"/>
      <c r="Z49" s="22" t="s">
        <v>593</v>
      </c>
      <c r="AA49" s="23"/>
      <c r="AB49" s="22" t="s">
        <v>593</v>
      </c>
      <c r="AC49" s="23"/>
      <c r="AD49" s="22" t="s">
        <v>593</v>
      </c>
      <c r="AE49" s="23"/>
      <c r="AF49" s="22" t="s">
        <v>593</v>
      </c>
      <c r="AG49" s="23"/>
      <c r="AH49" s="22" t="s">
        <v>593</v>
      </c>
      <c r="AI49" s="23"/>
      <c r="AJ49" s="22" t="s">
        <v>593</v>
      </c>
      <c r="AK49" s="23"/>
      <c r="AL49" s="22" t="s">
        <v>593</v>
      </c>
      <c r="AM49" s="23"/>
      <c r="AN49" s="22">
        <v>7053</v>
      </c>
      <c r="AO49" s="23"/>
      <c r="AP49" s="22" t="s">
        <v>593</v>
      </c>
      <c r="AQ49" s="23"/>
      <c r="AR49" s="22" t="s">
        <v>593</v>
      </c>
      <c r="AS49" s="23"/>
      <c r="AT49" s="22" t="s">
        <v>593</v>
      </c>
      <c r="AU49" s="23"/>
      <c r="AV49" s="22" t="s">
        <v>593</v>
      </c>
      <c r="AW49" s="23"/>
      <c r="AX49" s="22" t="s">
        <v>593</v>
      </c>
      <c r="AY49" s="23"/>
      <c r="AZ49" s="22" t="s">
        <v>593</v>
      </c>
      <c r="BA49" s="23"/>
      <c r="BB49" s="22" t="s">
        <v>593</v>
      </c>
      <c r="BC49" s="23"/>
      <c r="BD49" s="22" t="s">
        <v>593</v>
      </c>
      <c r="BE49" s="23"/>
      <c r="BF49" s="22" t="s">
        <v>593</v>
      </c>
      <c r="BG49" s="23"/>
      <c r="BH49" s="22" t="s">
        <v>593</v>
      </c>
      <c r="BI49" s="23"/>
      <c r="BJ49" s="22" t="s">
        <v>593</v>
      </c>
      <c r="BK49" s="23"/>
      <c r="BL49" s="22" t="s">
        <v>593</v>
      </c>
      <c r="BM49" s="23"/>
      <c r="BN49" s="22" t="s">
        <v>593</v>
      </c>
      <c r="BO49" s="23"/>
      <c r="BP49" s="22" t="s">
        <v>593</v>
      </c>
      <c r="BQ49" s="23"/>
    </row>
    <row r="50" spans="1:69" ht="14.5">
      <c r="A50" s="14" t="s">
        <v>285</v>
      </c>
      <c r="B50" s="19" t="s">
        <v>59</v>
      </c>
      <c r="C50" s="15">
        <v>25</v>
      </c>
      <c r="D50" s="137" t="s">
        <v>268</v>
      </c>
      <c r="E50" s="146" t="s">
        <v>274</v>
      </c>
      <c r="F50" s="146" t="s">
        <v>255</v>
      </c>
      <c r="G50" s="145">
        <v>45807</v>
      </c>
      <c r="H50" s="6">
        <v>2914.1174999999998</v>
      </c>
      <c r="I50" s="259"/>
      <c r="J50" s="18"/>
      <c r="K50" s="6">
        <f t="shared" si="10"/>
        <v>2914.1174999999998</v>
      </c>
      <c r="L50" s="6">
        <f t="shared" si="11"/>
        <v>2914.1174999999998</v>
      </c>
      <c r="M50" s="130"/>
      <c r="N50" s="131">
        <v>45782</v>
      </c>
      <c r="O50" s="131"/>
      <c r="P50" s="132">
        <f t="shared" ca="1" si="12"/>
        <v>-58</v>
      </c>
      <c r="Q50" s="131">
        <f t="shared" si="9"/>
        <v>45802</v>
      </c>
      <c r="R50" s="131"/>
      <c r="S50" s="132">
        <f t="shared" ca="1" si="13"/>
        <v>-38</v>
      </c>
      <c r="T50" s="131"/>
      <c r="U50" s="8"/>
      <c r="V50" s="23" t="s">
        <v>593</v>
      </c>
      <c r="W50" s="23"/>
      <c r="X50" s="23" t="s">
        <v>593</v>
      </c>
      <c r="Y50" s="23"/>
      <c r="Z50" s="22" t="s">
        <v>593</v>
      </c>
      <c r="AA50" s="23"/>
      <c r="AB50" s="22" t="s">
        <v>593</v>
      </c>
      <c r="AC50" s="23"/>
      <c r="AD50" s="22" t="s">
        <v>593</v>
      </c>
      <c r="AE50" s="23"/>
      <c r="AF50" s="22" t="s">
        <v>593</v>
      </c>
      <c r="AG50" s="23"/>
      <c r="AH50" s="22" t="s">
        <v>593</v>
      </c>
      <c r="AI50" s="23"/>
      <c r="AJ50" s="22" t="s">
        <v>593</v>
      </c>
      <c r="AK50" s="23"/>
      <c r="AL50" s="22" t="s">
        <v>593</v>
      </c>
      <c r="AM50" s="23"/>
      <c r="AN50" s="22">
        <v>7054</v>
      </c>
      <c r="AO50" s="23"/>
      <c r="AP50" s="22" t="s">
        <v>593</v>
      </c>
      <c r="AQ50" s="23"/>
      <c r="AR50" s="22" t="s">
        <v>593</v>
      </c>
      <c r="AS50" s="23"/>
      <c r="AT50" s="22" t="s">
        <v>593</v>
      </c>
      <c r="AU50" s="23"/>
      <c r="AV50" s="22" t="s">
        <v>593</v>
      </c>
      <c r="AW50" s="23"/>
      <c r="AX50" s="22" t="s">
        <v>593</v>
      </c>
      <c r="AY50" s="23"/>
      <c r="AZ50" s="22" t="s">
        <v>593</v>
      </c>
      <c r="BA50" s="23"/>
      <c r="BB50" s="22" t="s">
        <v>593</v>
      </c>
      <c r="BC50" s="23"/>
      <c r="BD50" s="22" t="s">
        <v>593</v>
      </c>
      <c r="BE50" s="23"/>
      <c r="BF50" s="22" t="s">
        <v>593</v>
      </c>
      <c r="BG50" s="23"/>
      <c r="BH50" s="22" t="s">
        <v>593</v>
      </c>
      <c r="BI50" s="23"/>
      <c r="BJ50" s="22" t="s">
        <v>593</v>
      </c>
      <c r="BK50" s="23"/>
      <c r="BL50" s="22" t="s">
        <v>593</v>
      </c>
      <c r="BM50" s="23"/>
      <c r="BN50" s="22" t="s">
        <v>593</v>
      </c>
      <c r="BO50" s="23"/>
      <c r="BP50" s="22" t="s">
        <v>593</v>
      </c>
      <c r="BQ50" s="23"/>
    </row>
    <row r="51" spans="1:69" ht="14.5">
      <c r="A51" s="14" t="s">
        <v>285</v>
      </c>
      <c r="B51" s="19" t="s">
        <v>59</v>
      </c>
      <c r="C51" s="15">
        <v>25</v>
      </c>
      <c r="D51" s="137" t="s">
        <v>268</v>
      </c>
      <c r="E51" s="146" t="s">
        <v>274</v>
      </c>
      <c r="F51" s="146" t="s">
        <v>255</v>
      </c>
      <c r="G51" s="145">
        <v>45807</v>
      </c>
      <c r="H51" s="6">
        <v>2914.1174999999998</v>
      </c>
      <c r="I51" s="259"/>
      <c r="J51" s="18"/>
      <c r="K51" s="6">
        <f t="shared" si="10"/>
        <v>2914.1174999999998</v>
      </c>
      <c r="L51" s="6">
        <f t="shared" si="11"/>
        <v>2914.1174999999998</v>
      </c>
      <c r="M51" s="130"/>
      <c r="N51" s="131">
        <v>45782</v>
      </c>
      <c r="O51" s="131"/>
      <c r="P51" s="132">
        <f t="shared" ca="1" si="12"/>
        <v>-58</v>
      </c>
      <c r="Q51" s="131">
        <f t="shared" si="9"/>
        <v>45802</v>
      </c>
      <c r="R51" s="131"/>
      <c r="S51" s="132">
        <f t="shared" ca="1" si="13"/>
        <v>-38</v>
      </c>
      <c r="T51" s="131"/>
      <c r="U51" s="8"/>
      <c r="V51" s="23" t="s">
        <v>593</v>
      </c>
      <c r="W51" s="23"/>
      <c r="X51" s="23" t="s">
        <v>593</v>
      </c>
      <c r="Y51" s="23"/>
      <c r="Z51" s="22" t="s">
        <v>593</v>
      </c>
      <c r="AA51" s="23"/>
      <c r="AB51" s="22" t="s">
        <v>593</v>
      </c>
      <c r="AC51" s="23"/>
      <c r="AD51" s="22" t="s">
        <v>593</v>
      </c>
      <c r="AE51" s="23"/>
      <c r="AF51" s="22" t="s">
        <v>593</v>
      </c>
      <c r="AG51" s="23"/>
      <c r="AH51" s="22" t="s">
        <v>593</v>
      </c>
      <c r="AI51" s="23"/>
      <c r="AJ51" s="22" t="s">
        <v>593</v>
      </c>
      <c r="AK51" s="23"/>
      <c r="AL51" s="22" t="s">
        <v>593</v>
      </c>
      <c r="AM51" s="23"/>
      <c r="AN51" s="22">
        <v>7055</v>
      </c>
      <c r="AO51" s="23"/>
      <c r="AP51" s="22" t="s">
        <v>593</v>
      </c>
      <c r="AQ51" s="23"/>
      <c r="AR51" s="22" t="s">
        <v>593</v>
      </c>
      <c r="AS51" s="23"/>
      <c r="AT51" s="22" t="s">
        <v>593</v>
      </c>
      <c r="AU51" s="23"/>
      <c r="AV51" s="22" t="s">
        <v>593</v>
      </c>
      <c r="AW51" s="23"/>
      <c r="AX51" s="22" t="s">
        <v>593</v>
      </c>
      <c r="AY51" s="23"/>
      <c r="AZ51" s="22" t="s">
        <v>593</v>
      </c>
      <c r="BA51" s="23"/>
      <c r="BB51" s="22" t="s">
        <v>593</v>
      </c>
      <c r="BC51" s="23"/>
      <c r="BD51" s="22" t="s">
        <v>593</v>
      </c>
      <c r="BE51" s="23"/>
      <c r="BF51" s="22" t="s">
        <v>593</v>
      </c>
      <c r="BG51" s="23"/>
      <c r="BH51" s="22" t="s">
        <v>593</v>
      </c>
      <c r="BI51" s="23"/>
      <c r="BJ51" s="22" t="s">
        <v>593</v>
      </c>
      <c r="BK51" s="23"/>
      <c r="BL51" s="22" t="s">
        <v>593</v>
      </c>
      <c r="BM51" s="23"/>
      <c r="BN51" s="22" t="s">
        <v>593</v>
      </c>
      <c r="BO51" s="23"/>
      <c r="BP51" s="22" t="s">
        <v>593</v>
      </c>
      <c r="BQ51" s="23"/>
    </row>
    <row r="52" spans="1:69" ht="14.5">
      <c r="A52" s="14" t="s">
        <v>285</v>
      </c>
      <c r="B52" s="19" t="s">
        <v>59</v>
      </c>
      <c r="C52" s="15">
        <v>26</v>
      </c>
      <c r="D52" s="137" t="s">
        <v>268</v>
      </c>
      <c r="E52" s="146" t="s">
        <v>276</v>
      </c>
      <c r="F52" s="146" t="s">
        <v>255</v>
      </c>
      <c r="G52" s="145">
        <v>45807</v>
      </c>
      <c r="H52" s="6">
        <v>4894.8883199999991</v>
      </c>
      <c r="I52" s="259"/>
      <c r="J52" s="18"/>
      <c r="K52" s="6">
        <f>H52-J52</f>
        <v>4894.8883199999991</v>
      </c>
      <c r="L52" s="6">
        <f>H52-I52</f>
        <v>4894.8883199999991</v>
      </c>
      <c r="M52" s="130"/>
      <c r="N52" s="131">
        <v>45782</v>
      </c>
      <c r="O52" s="131"/>
      <c r="P52" s="132">
        <f ca="1">+IF(O52="",N52-TODAY(),N52-N52)</f>
        <v>-58</v>
      </c>
      <c r="Q52" s="131">
        <f t="shared" si="9"/>
        <v>45802</v>
      </c>
      <c r="R52" s="131"/>
      <c r="S52" s="132">
        <f ca="1">+IF(R52="",Q52-TODAY(),Q52-R52)</f>
        <v>-38</v>
      </c>
      <c r="T52" s="131"/>
      <c r="U52" s="8"/>
      <c r="V52" s="23" t="s">
        <v>593</v>
      </c>
      <c r="W52" s="23"/>
      <c r="X52" s="23" t="s">
        <v>593</v>
      </c>
      <c r="Y52" s="23"/>
      <c r="Z52" s="22" t="s">
        <v>593</v>
      </c>
      <c r="AA52" s="23"/>
      <c r="AB52" s="22" t="s">
        <v>593</v>
      </c>
      <c r="AC52" s="23"/>
      <c r="AD52" s="22" t="s">
        <v>593</v>
      </c>
      <c r="AE52" s="23"/>
      <c r="AF52" s="22" t="s">
        <v>593</v>
      </c>
      <c r="AG52" s="23"/>
      <c r="AH52" s="22" t="s">
        <v>593</v>
      </c>
      <c r="AI52" s="23"/>
      <c r="AJ52" s="22" t="s">
        <v>593</v>
      </c>
      <c r="AK52" s="23"/>
      <c r="AL52" s="22" t="s">
        <v>593</v>
      </c>
      <c r="AM52" s="23"/>
      <c r="AN52" s="22">
        <v>7056</v>
      </c>
      <c r="AO52" s="23"/>
      <c r="AP52" s="22" t="s">
        <v>593</v>
      </c>
      <c r="AQ52" s="23"/>
      <c r="AR52" s="22" t="s">
        <v>593</v>
      </c>
      <c r="AS52" s="23"/>
      <c r="AT52" s="22" t="s">
        <v>593</v>
      </c>
      <c r="AU52" s="23"/>
      <c r="AV52" s="22" t="s">
        <v>593</v>
      </c>
      <c r="AW52" s="23"/>
      <c r="AX52" s="22" t="s">
        <v>593</v>
      </c>
      <c r="AY52" s="23"/>
      <c r="AZ52" s="22" t="s">
        <v>593</v>
      </c>
      <c r="BA52" s="23"/>
      <c r="BB52" s="22" t="s">
        <v>593</v>
      </c>
      <c r="BC52" s="23"/>
      <c r="BD52" s="22" t="s">
        <v>593</v>
      </c>
      <c r="BE52" s="23"/>
      <c r="BF52" s="22" t="s">
        <v>593</v>
      </c>
      <c r="BG52" s="23"/>
      <c r="BH52" s="22" t="s">
        <v>593</v>
      </c>
      <c r="BI52" s="23"/>
      <c r="BJ52" s="22" t="s">
        <v>593</v>
      </c>
      <c r="BK52" s="23"/>
      <c r="BL52" s="22" t="s">
        <v>593</v>
      </c>
      <c r="BM52" s="23"/>
      <c r="BN52" s="22" t="s">
        <v>593</v>
      </c>
      <c r="BO52" s="23"/>
      <c r="BP52" s="22" t="s">
        <v>593</v>
      </c>
      <c r="BQ52" s="23"/>
    </row>
    <row r="53" spans="1:69" ht="14.5">
      <c r="A53" s="14" t="s">
        <v>287</v>
      </c>
      <c r="B53" s="19" t="s">
        <v>59</v>
      </c>
      <c r="C53" s="15">
        <v>25</v>
      </c>
      <c r="D53" s="137" t="s">
        <v>268</v>
      </c>
      <c r="E53" s="146" t="s">
        <v>274</v>
      </c>
      <c r="F53" s="146" t="s">
        <v>255</v>
      </c>
      <c r="G53" s="145">
        <v>45807</v>
      </c>
      <c r="H53" s="6">
        <v>1579.1999999999998</v>
      </c>
      <c r="I53" s="259"/>
      <c r="J53" s="18"/>
      <c r="K53" s="6">
        <f>H53-J53</f>
        <v>1579.1999999999998</v>
      </c>
      <c r="L53" s="6">
        <f>H53-I53</f>
        <v>1579.1999999999998</v>
      </c>
      <c r="M53" s="130"/>
      <c r="N53" s="131">
        <v>45782</v>
      </c>
      <c r="O53" s="131"/>
      <c r="P53" s="132">
        <f ca="1">+IF(O53="",N53-TODAY(),N53-N53)</f>
        <v>-58</v>
      </c>
      <c r="Q53" s="131">
        <f t="shared" si="9"/>
        <v>45802</v>
      </c>
      <c r="R53" s="131"/>
      <c r="S53" s="132">
        <f ca="1">+IF(R53="",Q53-TODAY(),Q53-R53)</f>
        <v>-38</v>
      </c>
      <c r="T53" s="131"/>
      <c r="U53" s="8"/>
      <c r="V53" s="23" t="s">
        <v>593</v>
      </c>
      <c r="W53" s="23"/>
      <c r="X53" s="23" t="s">
        <v>593</v>
      </c>
      <c r="Y53" s="23"/>
      <c r="Z53" s="22" t="s">
        <v>593</v>
      </c>
      <c r="AA53" s="23"/>
      <c r="AB53" s="22" t="s">
        <v>593</v>
      </c>
      <c r="AC53" s="23"/>
      <c r="AD53" s="22" t="s">
        <v>593</v>
      </c>
      <c r="AE53" s="23"/>
      <c r="AF53" s="22" t="s">
        <v>593</v>
      </c>
      <c r="AG53" s="23"/>
      <c r="AH53" s="22" t="s">
        <v>593</v>
      </c>
      <c r="AI53" s="23"/>
      <c r="AJ53" s="22" t="s">
        <v>593</v>
      </c>
      <c r="AK53" s="23"/>
      <c r="AL53" s="22" t="s">
        <v>593</v>
      </c>
      <c r="AM53" s="23"/>
      <c r="AN53" s="22">
        <v>7057</v>
      </c>
      <c r="AO53" s="23"/>
      <c r="AP53" s="22" t="s">
        <v>593</v>
      </c>
      <c r="AQ53" s="23"/>
      <c r="AR53" s="22" t="s">
        <v>593</v>
      </c>
      <c r="AS53" s="23"/>
      <c r="AT53" s="22" t="s">
        <v>593</v>
      </c>
      <c r="AU53" s="23"/>
      <c r="AV53" s="22" t="s">
        <v>593</v>
      </c>
      <c r="AW53" s="23"/>
      <c r="AX53" s="22" t="s">
        <v>593</v>
      </c>
      <c r="AY53" s="23"/>
      <c r="AZ53" s="22" t="s">
        <v>593</v>
      </c>
      <c r="BA53" s="23"/>
      <c r="BB53" s="22" t="s">
        <v>593</v>
      </c>
      <c r="BC53" s="23"/>
      <c r="BD53" s="22" t="s">
        <v>593</v>
      </c>
      <c r="BE53" s="23"/>
      <c r="BF53" s="22" t="s">
        <v>593</v>
      </c>
      <c r="BG53" s="23"/>
      <c r="BH53" s="22" t="s">
        <v>593</v>
      </c>
      <c r="BI53" s="23"/>
      <c r="BJ53" s="22" t="s">
        <v>593</v>
      </c>
      <c r="BK53" s="23"/>
      <c r="BL53" s="22" t="s">
        <v>593</v>
      </c>
      <c r="BM53" s="23"/>
      <c r="BN53" s="22" t="s">
        <v>593</v>
      </c>
      <c r="BO53" s="23"/>
      <c r="BP53" s="22" t="s">
        <v>593</v>
      </c>
      <c r="BQ53" s="23"/>
    </row>
    <row r="54" spans="1:69" ht="14.5">
      <c r="A54" s="14" t="s">
        <v>287</v>
      </c>
      <c r="B54" s="19" t="s">
        <v>59</v>
      </c>
      <c r="C54" s="15">
        <v>25</v>
      </c>
      <c r="D54" s="137" t="s">
        <v>268</v>
      </c>
      <c r="E54" s="146" t="s">
        <v>274</v>
      </c>
      <c r="F54" s="146" t="s">
        <v>255</v>
      </c>
      <c r="G54" s="145">
        <v>45807</v>
      </c>
      <c r="H54" s="6">
        <v>1579.1999999999998</v>
      </c>
      <c r="I54" s="259"/>
      <c r="J54" s="18"/>
      <c r="K54" s="6">
        <f>H54-J54</f>
        <v>1579.1999999999998</v>
      </c>
      <c r="L54" s="6">
        <f>H54-I54</f>
        <v>1579.1999999999998</v>
      </c>
      <c r="M54" s="130"/>
      <c r="N54" s="131">
        <v>45782</v>
      </c>
      <c r="O54" s="131"/>
      <c r="P54" s="132">
        <f ca="1">+IF(O54="",N54-TODAY(),N54-N54)</f>
        <v>-58</v>
      </c>
      <c r="Q54" s="131">
        <f t="shared" si="9"/>
        <v>45802</v>
      </c>
      <c r="R54" s="131"/>
      <c r="S54" s="132">
        <f ca="1">+IF(R54="",Q54-TODAY(),Q54-R54)</f>
        <v>-38</v>
      </c>
      <c r="T54" s="131"/>
      <c r="U54" s="8"/>
      <c r="V54" s="23" t="s">
        <v>593</v>
      </c>
      <c r="W54" s="23"/>
      <c r="X54" s="23" t="s">
        <v>593</v>
      </c>
      <c r="Y54" s="23"/>
      <c r="Z54" s="22" t="s">
        <v>593</v>
      </c>
      <c r="AA54" s="23"/>
      <c r="AB54" s="22" t="s">
        <v>593</v>
      </c>
      <c r="AC54" s="23"/>
      <c r="AD54" s="22" t="s">
        <v>593</v>
      </c>
      <c r="AE54" s="23"/>
      <c r="AF54" s="22" t="s">
        <v>593</v>
      </c>
      <c r="AG54" s="23"/>
      <c r="AH54" s="22" t="s">
        <v>593</v>
      </c>
      <c r="AI54" s="23"/>
      <c r="AJ54" s="22" t="s">
        <v>593</v>
      </c>
      <c r="AK54" s="23"/>
      <c r="AL54" s="22" t="s">
        <v>593</v>
      </c>
      <c r="AM54" s="23"/>
      <c r="AN54" s="22">
        <v>7058</v>
      </c>
      <c r="AO54" s="23"/>
      <c r="AP54" s="22" t="s">
        <v>593</v>
      </c>
      <c r="AQ54" s="23"/>
      <c r="AR54" s="22" t="s">
        <v>593</v>
      </c>
      <c r="AS54" s="23"/>
      <c r="AT54" s="22" t="s">
        <v>593</v>
      </c>
      <c r="AU54" s="23"/>
      <c r="AV54" s="22" t="s">
        <v>593</v>
      </c>
      <c r="AW54" s="23"/>
      <c r="AX54" s="22" t="s">
        <v>593</v>
      </c>
      <c r="AY54" s="23"/>
      <c r="AZ54" s="22" t="s">
        <v>593</v>
      </c>
      <c r="BA54" s="23"/>
      <c r="BB54" s="22" t="s">
        <v>593</v>
      </c>
      <c r="BC54" s="23"/>
      <c r="BD54" s="22" t="s">
        <v>593</v>
      </c>
      <c r="BE54" s="23"/>
      <c r="BF54" s="22" t="s">
        <v>593</v>
      </c>
      <c r="BG54" s="23"/>
      <c r="BH54" s="22" t="s">
        <v>593</v>
      </c>
      <c r="BI54" s="23"/>
      <c r="BJ54" s="22" t="s">
        <v>593</v>
      </c>
      <c r="BK54" s="23"/>
      <c r="BL54" s="22" t="s">
        <v>593</v>
      </c>
      <c r="BM54" s="23"/>
      <c r="BN54" s="22" t="s">
        <v>593</v>
      </c>
      <c r="BO54" s="23"/>
      <c r="BP54" s="22" t="s">
        <v>593</v>
      </c>
      <c r="BQ54" s="23"/>
    </row>
    <row r="55" spans="1:69" ht="14.5">
      <c r="A55" s="14" t="s">
        <v>287</v>
      </c>
      <c r="B55" s="19" t="s">
        <v>59</v>
      </c>
      <c r="C55" s="15">
        <v>23</v>
      </c>
      <c r="D55" s="137" t="s">
        <v>268</v>
      </c>
      <c r="E55" s="146" t="s">
        <v>269</v>
      </c>
      <c r="F55" s="146" t="s">
        <v>255</v>
      </c>
      <c r="G55" s="145">
        <v>45807</v>
      </c>
      <c r="H55" s="6">
        <v>11225.437699999999</v>
      </c>
      <c r="I55" s="259"/>
      <c r="J55" s="18"/>
      <c r="K55" s="6">
        <f>H55-J55</f>
        <v>11225.437699999999</v>
      </c>
      <c r="L55" s="6">
        <f>H55-I55</f>
        <v>11225.437699999999</v>
      </c>
      <c r="M55" s="130"/>
      <c r="N55" s="131">
        <v>45782</v>
      </c>
      <c r="O55" s="131"/>
      <c r="P55" s="132">
        <f ca="1">+IF(O55="",N55-TODAY(),N55-N55)</f>
        <v>-58</v>
      </c>
      <c r="Q55" s="131">
        <f t="shared" si="9"/>
        <v>45802</v>
      </c>
      <c r="R55" s="131"/>
      <c r="S55" s="132">
        <f ca="1">+IF(R55="",Q55-TODAY(),Q55-R55)</f>
        <v>-38</v>
      </c>
      <c r="T55" s="131"/>
      <c r="U55" s="8"/>
      <c r="V55" s="23" t="s">
        <v>593</v>
      </c>
      <c r="W55" s="23"/>
      <c r="X55" s="23" t="s">
        <v>593</v>
      </c>
      <c r="Y55" s="23"/>
      <c r="Z55" s="22" t="s">
        <v>593</v>
      </c>
      <c r="AA55" s="23"/>
      <c r="AB55" s="22" t="s">
        <v>593</v>
      </c>
      <c r="AC55" s="23"/>
      <c r="AD55" s="22" t="s">
        <v>593</v>
      </c>
      <c r="AE55" s="23"/>
      <c r="AF55" s="22" t="s">
        <v>593</v>
      </c>
      <c r="AG55" s="23"/>
      <c r="AH55" s="22" t="s">
        <v>593</v>
      </c>
      <c r="AI55" s="23"/>
      <c r="AJ55" s="22" t="s">
        <v>593</v>
      </c>
      <c r="AK55" s="23"/>
      <c r="AL55" s="22" t="s">
        <v>593</v>
      </c>
      <c r="AM55" s="23"/>
      <c r="AN55" s="22">
        <v>7059</v>
      </c>
      <c r="AO55" s="23"/>
      <c r="AP55" s="22" t="s">
        <v>593</v>
      </c>
      <c r="AQ55" s="23"/>
      <c r="AR55" s="22" t="s">
        <v>593</v>
      </c>
      <c r="AS55" s="23"/>
      <c r="AT55" s="22" t="s">
        <v>593</v>
      </c>
      <c r="AU55" s="23"/>
      <c r="AV55" s="22" t="s">
        <v>593</v>
      </c>
      <c r="AW55" s="23"/>
      <c r="AX55" s="22" t="s">
        <v>593</v>
      </c>
      <c r="AY55" s="23"/>
      <c r="AZ55" s="22" t="s">
        <v>593</v>
      </c>
      <c r="BA55" s="23"/>
      <c r="BB55" s="22" t="s">
        <v>593</v>
      </c>
      <c r="BC55" s="23"/>
      <c r="BD55" s="22" t="s">
        <v>593</v>
      </c>
      <c r="BE55" s="23"/>
      <c r="BF55" s="22" t="s">
        <v>593</v>
      </c>
      <c r="BG55" s="23"/>
      <c r="BH55" s="22" t="s">
        <v>593</v>
      </c>
      <c r="BI55" s="23"/>
      <c r="BJ55" s="22" t="s">
        <v>593</v>
      </c>
      <c r="BK55" s="23"/>
      <c r="BL55" s="22" t="s">
        <v>593</v>
      </c>
      <c r="BM55" s="23"/>
      <c r="BN55" s="22" t="s">
        <v>593</v>
      </c>
      <c r="BO55" s="23"/>
      <c r="BP55" s="22" t="s">
        <v>593</v>
      </c>
      <c r="BQ55" s="23"/>
    </row>
    <row r="56" spans="1:69" ht="14.5">
      <c r="A56" s="14" t="s">
        <v>287</v>
      </c>
      <c r="B56" s="19" t="s">
        <v>59</v>
      </c>
      <c r="C56" s="15">
        <v>26</v>
      </c>
      <c r="D56" s="137" t="s">
        <v>268</v>
      </c>
      <c r="E56" s="146" t="s">
        <v>276</v>
      </c>
      <c r="F56" s="146" t="s">
        <v>255</v>
      </c>
      <c r="G56" s="145">
        <v>45807</v>
      </c>
      <c r="H56" s="6">
        <v>2224.0663199999999</v>
      </c>
      <c r="I56" s="259"/>
      <c r="J56" s="18"/>
      <c r="K56" s="6">
        <f>H56-J56</f>
        <v>2224.0663199999999</v>
      </c>
      <c r="L56" s="6">
        <f>H56-I56</f>
        <v>2224.0663199999999</v>
      </c>
      <c r="M56" s="130"/>
      <c r="N56" s="131">
        <v>45782</v>
      </c>
      <c r="O56" s="131"/>
      <c r="P56" s="132">
        <f ca="1">+IF(O56="",N56-TODAY(),N56-N56)</f>
        <v>-58</v>
      </c>
      <c r="Q56" s="131">
        <f t="shared" si="9"/>
        <v>45802</v>
      </c>
      <c r="R56" s="131"/>
      <c r="S56" s="132">
        <f ca="1">+IF(R56="",Q56-TODAY(),Q56-R56)</f>
        <v>-38</v>
      </c>
      <c r="T56" s="131"/>
      <c r="U56" s="8"/>
      <c r="V56" s="23" t="s">
        <v>593</v>
      </c>
      <c r="W56" s="23"/>
      <c r="X56" s="23" t="s">
        <v>593</v>
      </c>
      <c r="Y56" s="23"/>
      <c r="Z56" s="22" t="s">
        <v>593</v>
      </c>
      <c r="AA56" s="23"/>
      <c r="AB56" s="22" t="s">
        <v>593</v>
      </c>
      <c r="AC56" s="23"/>
      <c r="AD56" s="22" t="s">
        <v>593</v>
      </c>
      <c r="AE56" s="23"/>
      <c r="AF56" s="22" t="s">
        <v>593</v>
      </c>
      <c r="AG56" s="23"/>
      <c r="AH56" s="22" t="s">
        <v>593</v>
      </c>
      <c r="AI56" s="23"/>
      <c r="AJ56" s="22" t="s">
        <v>593</v>
      </c>
      <c r="AK56" s="23"/>
      <c r="AL56" s="22" t="s">
        <v>593</v>
      </c>
      <c r="AM56" s="23"/>
      <c r="AN56" s="22">
        <v>7060</v>
      </c>
      <c r="AO56" s="23"/>
      <c r="AP56" s="22" t="s">
        <v>593</v>
      </c>
      <c r="AQ56" s="23"/>
      <c r="AR56" s="22" t="s">
        <v>593</v>
      </c>
      <c r="AS56" s="23"/>
      <c r="AT56" s="22" t="s">
        <v>593</v>
      </c>
      <c r="AU56" s="23"/>
      <c r="AV56" s="22" t="s">
        <v>593</v>
      </c>
      <c r="AW56" s="23"/>
      <c r="AX56" s="22" t="s">
        <v>593</v>
      </c>
      <c r="AY56" s="23"/>
      <c r="AZ56" s="22" t="s">
        <v>593</v>
      </c>
      <c r="BA56" s="23"/>
      <c r="BB56" s="22" t="s">
        <v>593</v>
      </c>
      <c r="BC56" s="23"/>
      <c r="BD56" s="22" t="s">
        <v>593</v>
      </c>
      <c r="BE56" s="23"/>
      <c r="BF56" s="22" t="s">
        <v>593</v>
      </c>
      <c r="BG56" s="23"/>
      <c r="BH56" s="22" t="s">
        <v>593</v>
      </c>
      <c r="BI56" s="23"/>
      <c r="BJ56" s="22" t="s">
        <v>593</v>
      </c>
      <c r="BK56" s="23"/>
      <c r="BL56" s="22" t="s">
        <v>593</v>
      </c>
      <c r="BM56" s="23"/>
      <c r="BN56" s="22" t="s">
        <v>593</v>
      </c>
      <c r="BO56" s="23"/>
      <c r="BP56" s="22" t="s">
        <v>593</v>
      </c>
      <c r="BQ56" s="23"/>
    </row>
  </sheetData>
  <mergeCells count="4">
    <mergeCell ref="Q3:S4"/>
    <mergeCell ref="T3:U4"/>
    <mergeCell ref="M3:M5"/>
    <mergeCell ref="N3:P4"/>
  </mergeCells>
  <conditionalFormatting sqref="A17:G56">
    <cfRule type="expression" dxfId="26" priority="2">
      <formula>ROW()=CELL("row")</formula>
    </cfRule>
  </conditionalFormatting>
  <conditionalFormatting sqref="A6:H6">
    <cfRule type="expression" dxfId="25" priority="18">
      <formula>ROW()=CELL("row")</formula>
    </cfRule>
  </conditionalFormatting>
  <conditionalFormatting sqref="A7:J16">
    <cfRule type="expression" dxfId="24" priority="25">
      <formula>ROW()=CELL("row")</formula>
    </cfRule>
  </conditionalFormatting>
  <conditionalFormatting sqref="M7:N7">
    <cfRule type="expression" dxfId="23" priority="38">
      <formula>ROW()=CELL("row")</formula>
    </cfRule>
  </conditionalFormatting>
  <conditionalFormatting sqref="P6:P56">
    <cfRule type="cellIs" dxfId="22" priority="14" operator="greaterThanOrEqual">
      <formula>0</formula>
    </cfRule>
    <cfRule type="cellIs" dxfId="21" priority="15" operator="lessThan">
      <formula>0</formula>
    </cfRule>
  </conditionalFormatting>
  <conditionalFormatting sqref="Q6:Q16 T6:T16 U7:U16 R8:R16 M8:O56 I17:J56 Q17:R56 T17:U56">
    <cfRule type="expression" dxfId="20" priority="46">
      <formula>ROW()=CELL("row")</formula>
    </cfRule>
  </conditionalFormatting>
  <conditionalFormatting sqref="S6:S56">
    <cfRule type="cellIs" dxfId="19" priority="12" operator="greaterThanOrEqual">
      <formula>0</formula>
    </cfRule>
    <cfRule type="cellIs" dxfId="18" priority="13" operator="lessThan">
      <formula>0</formula>
    </cfRule>
  </conditionalFormatting>
  <conditionalFormatting sqref="V6:BQ56">
    <cfRule type="containsErrors" dxfId="17" priority="36">
      <formula>ISERROR(V6)</formula>
    </cfRule>
    <cfRule type="containsBlanks" dxfId="16" priority="37">
      <formula>LEN(TRIM(V6))=0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1:BW88"/>
  <sheetViews>
    <sheetView workbookViewId="0">
      <pane xSplit="15" ySplit="9" topLeftCell="AV62" activePane="bottomRight" state="frozen"/>
      <selection pane="topRight" activeCell="P1" sqref="P1"/>
      <selection pane="bottomLeft" activeCell="A10" sqref="A10"/>
      <selection pane="bottomRight" activeCell="L24" sqref="L24"/>
    </sheetView>
  </sheetViews>
  <sheetFormatPr defaultColWidth="9.1640625" defaultRowHeight="14"/>
  <cols>
    <col min="1" max="1" width="1.83203125" style="92" customWidth="1"/>
    <col min="2" max="2" width="6.4140625" style="92" customWidth="1"/>
    <col min="3" max="3" width="5.83203125" style="92" customWidth="1"/>
    <col min="4" max="4" width="7.4140625" style="92" customWidth="1"/>
    <col min="5" max="5" width="8.83203125" hidden="1" customWidth="1"/>
    <col min="6" max="6" width="17.1640625" style="92" customWidth="1"/>
    <col min="7" max="7" width="9.4140625" style="92" customWidth="1"/>
    <col min="8" max="8" width="9" style="92" bestFit="1" customWidth="1"/>
    <col min="9" max="9" width="8.4140625" style="92" customWidth="1"/>
    <col min="10" max="10" width="9.1640625" hidden="1" customWidth="1"/>
    <col min="11" max="11" width="9.58203125" style="92" bestFit="1" customWidth="1"/>
    <col min="12" max="12" width="5" style="92" customWidth="1"/>
    <col min="13" max="13" width="4.1640625" style="92" customWidth="1"/>
    <col min="14" max="14" width="4.4140625" style="92" customWidth="1"/>
    <col min="15" max="27" width="9.1640625" style="92"/>
    <col min="28" max="47" width="0" hidden="1" customWidth="1"/>
    <col min="48" max="16384" width="9.1640625" style="92"/>
  </cols>
  <sheetData>
    <row r="1" spans="2:75" ht="14.5">
      <c r="D1" s="115" t="s">
        <v>594</v>
      </c>
      <c r="E1" s="91"/>
      <c r="F1" s="115" t="s">
        <v>595</v>
      </c>
      <c r="G1" s="115" t="s">
        <v>596</v>
      </c>
      <c r="H1" s="115" t="s">
        <v>597</v>
      </c>
    </row>
    <row r="2" spans="2:75" ht="14.5">
      <c r="D2" s="116" t="s">
        <v>598</v>
      </c>
      <c r="E2" s="91"/>
      <c r="F2" s="120">
        <f>+T10</f>
        <v>45667</v>
      </c>
      <c r="G2" s="121">
        <f>+T31</f>
        <v>45680.725490196077</v>
      </c>
      <c r="H2" s="121">
        <f>+T10</f>
        <v>45667</v>
      </c>
    </row>
    <row r="3" spans="2:75" ht="14.5">
      <c r="D3" s="116" t="s">
        <v>599</v>
      </c>
      <c r="E3" s="91"/>
      <c r="F3" s="120">
        <f>+W30+12</f>
        <v>45692.725490196077</v>
      </c>
      <c r="G3" s="120">
        <f>W69+12</f>
        <v>45722.198529411755</v>
      </c>
      <c r="H3" s="121">
        <f>+H2+R6+12</f>
        <v>45722.198529411762</v>
      </c>
    </row>
    <row r="4" spans="2:75" ht="14.5">
      <c r="D4" s="116" t="s">
        <v>600</v>
      </c>
      <c r="E4" s="91"/>
      <c r="F4" s="121">
        <f>+F3+6</f>
        <v>45698.725490196077</v>
      </c>
      <c r="G4" s="121">
        <f>+G3+6</f>
        <v>45728.198529411755</v>
      </c>
      <c r="H4" s="121">
        <f>+H3+15</f>
        <v>45737.198529411762</v>
      </c>
      <c r="Q4" s="119"/>
      <c r="R4" s="119"/>
    </row>
    <row r="5" spans="2:75" ht="14.5">
      <c r="D5" s="117"/>
      <c r="E5" s="13"/>
      <c r="F5" s="118"/>
      <c r="G5" s="118"/>
      <c r="H5" s="118"/>
      <c r="Q5" s="119"/>
      <c r="R5" s="119">
        <f>+Q10/R10</f>
        <v>10</v>
      </c>
    </row>
    <row r="6" spans="2:75" ht="14.5">
      <c r="B6" s="93"/>
      <c r="C6" s="93"/>
      <c r="D6" s="93"/>
      <c r="E6" s="13"/>
      <c r="F6" s="93"/>
      <c r="G6" s="93"/>
      <c r="H6" s="93" t="s">
        <v>222</v>
      </c>
      <c r="I6" s="93"/>
      <c r="J6" s="13"/>
      <c r="K6" s="96">
        <f>SUBTOTAL(9,K10:K829)</f>
        <v>24500</v>
      </c>
      <c r="L6" s="96">
        <f>SUBTOTAL(9,L10:L829)</f>
        <v>0</v>
      </c>
      <c r="M6" s="96">
        <f>SUBTOTAL(9,M10:M829)</f>
        <v>0</v>
      </c>
      <c r="N6" s="96">
        <f>SUBTOTAL(9,N10:N829)</f>
        <v>24500</v>
      </c>
      <c r="O6" s="96">
        <f>SUBTOTAL(9,O10:O829)</f>
        <v>24500</v>
      </c>
      <c r="P6" s="93"/>
      <c r="Q6" s="96">
        <f>SUBTOTAL(9,Q10:Q69)</f>
        <v>431.98529411764707</v>
      </c>
      <c r="R6" s="96">
        <f>SUBTOTAL(9,R10:R69)</f>
        <v>43.19852941176471</v>
      </c>
      <c r="S6" s="93"/>
      <c r="T6" s="97"/>
      <c r="U6" s="97"/>
      <c r="V6" s="97"/>
      <c r="W6" s="97"/>
      <c r="X6" s="97"/>
      <c r="Y6" s="98"/>
      <c r="Z6" s="98"/>
      <c r="AA6" s="98"/>
      <c r="AB6" s="24">
        <f t="shared" ref="AB6:BW6" si="0">SUBTOTAL(9,AB10:AB829)</f>
        <v>0</v>
      </c>
      <c r="AC6" s="24">
        <f t="shared" si="0"/>
        <v>0</v>
      </c>
      <c r="AD6" s="24">
        <f t="shared" si="0"/>
        <v>0</v>
      </c>
      <c r="AE6" s="24">
        <f t="shared" si="0"/>
        <v>0</v>
      </c>
      <c r="AF6" s="24">
        <f t="shared" si="0"/>
        <v>0</v>
      </c>
      <c r="AG6" s="24">
        <f t="shared" si="0"/>
        <v>0</v>
      </c>
      <c r="AH6" s="24">
        <f t="shared" si="0"/>
        <v>0</v>
      </c>
      <c r="AI6" s="24">
        <f t="shared" si="0"/>
        <v>0</v>
      </c>
      <c r="AJ6" s="24">
        <f t="shared" si="0"/>
        <v>0</v>
      </c>
      <c r="AK6" s="24">
        <f t="shared" si="0"/>
        <v>0</v>
      </c>
      <c r="AL6" s="24">
        <f t="shared" si="0"/>
        <v>0</v>
      </c>
      <c r="AM6" s="24">
        <f t="shared" si="0"/>
        <v>0</v>
      </c>
      <c r="AN6" s="24">
        <f t="shared" si="0"/>
        <v>0</v>
      </c>
      <c r="AO6" s="24">
        <f t="shared" si="0"/>
        <v>0</v>
      </c>
      <c r="AP6" s="24">
        <f t="shared" si="0"/>
        <v>0</v>
      </c>
      <c r="AQ6" s="24">
        <f t="shared" si="0"/>
        <v>0</v>
      </c>
      <c r="AR6" s="24">
        <f t="shared" si="0"/>
        <v>0</v>
      </c>
      <c r="AS6" s="24">
        <f t="shared" si="0"/>
        <v>0</v>
      </c>
      <c r="AT6" s="24">
        <f t="shared" si="0"/>
        <v>0</v>
      </c>
      <c r="AU6" s="24">
        <f t="shared" si="0"/>
        <v>0</v>
      </c>
      <c r="AV6" s="96">
        <f t="shared" si="0"/>
        <v>0</v>
      </c>
      <c r="AW6" s="96">
        <f t="shared" si="0"/>
        <v>0</v>
      </c>
      <c r="AX6" s="96">
        <f t="shared" si="0"/>
        <v>0</v>
      </c>
      <c r="AY6" s="96">
        <f t="shared" si="0"/>
        <v>0</v>
      </c>
      <c r="AZ6" s="96">
        <f t="shared" si="0"/>
        <v>0</v>
      </c>
      <c r="BA6" s="96">
        <f t="shared" si="0"/>
        <v>0</v>
      </c>
      <c r="BB6" s="96">
        <f t="shared" si="0"/>
        <v>3000</v>
      </c>
      <c r="BC6" s="96">
        <f t="shared" si="0"/>
        <v>0</v>
      </c>
      <c r="BD6" s="96">
        <f t="shared" si="0"/>
        <v>4000</v>
      </c>
      <c r="BE6" s="96">
        <f t="shared" si="0"/>
        <v>0</v>
      </c>
      <c r="BF6" s="96">
        <f t="shared" si="0"/>
        <v>4600</v>
      </c>
      <c r="BG6" s="96">
        <f t="shared" si="0"/>
        <v>0</v>
      </c>
      <c r="BH6" s="96">
        <f t="shared" si="0"/>
        <v>1300</v>
      </c>
      <c r="BI6" s="96">
        <f t="shared" si="0"/>
        <v>0</v>
      </c>
      <c r="BJ6" s="96">
        <f t="shared" si="0"/>
        <v>4900</v>
      </c>
      <c r="BK6" s="96">
        <f t="shared" si="0"/>
        <v>0</v>
      </c>
      <c r="BL6" s="96">
        <f t="shared" si="0"/>
        <v>3400</v>
      </c>
      <c r="BM6" s="96">
        <f t="shared" si="0"/>
        <v>0</v>
      </c>
      <c r="BN6" s="96">
        <f t="shared" si="0"/>
        <v>3300</v>
      </c>
      <c r="BO6" s="96">
        <f t="shared" si="0"/>
        <v>0</v>
      </c>
      <c r="BP6" s="96">
        <f t="shared" si="0"/>
        <v>0</v>
      </c>
      <c r="BQ6" s="96">
        <f t="shared" si="0"/>
        <v>0</v>
      </c>
      <c r="BR6" s="96">
        <f t="shared" si="0"/>
        <v>0</v>
      </c>
      <c r="BS6" s="96">
        <f t="shared" si="0"/>
        <v>0</v>
      </c>
      <c r="BT6" s="96">
        <f t="shared" si="0"/>
        <v>0</v>
      </c>
      <c r="BU6" s="96">
        <f t="shared" si="0"/>
        <v>0</v>
      </c>
      <c r="BV6" s="96">
        <f t="shared" si="0"/>
        <v>0</v>
      </c>
      <c r="BW6" s="96">
        <f t="shared" si="0"/>
        <v>0</v>
      </c>
    </row>
    <row r="7" spans="2:75" ht="14.5">
      <c r="B7" s="380" t="s">
        <v>19</v>
      </c>
      <c r="C7" s="378" t="s">
        <v>223</v>
      </c>
      <c r="D7" s="378" t="s">
        <v>20</v>
      </c>
      <c r="E7" s="378" t="s">
        <v>420</v>
      </c>
      <c r="F7" s="378" t="s">
        <v>22</v>
      </c>
      <c r="G7" s="378" t="s">
        <v>224</v>
      </c>
      <c r="H7" s="376" t="s">
        <v>225</v>
      </c>
      <c r="I7" s="376" t="s">
        <v>421</v>
      </c>
      <c r="J7" s="376" t="s">
        <v>24</v>
      </c>
      <c r="K7" s="379" t="s">
        <v>422</v>
      </c>
      <c r="L7" s="377" t="s">
        <v>423</v>
      </c>
      <c r="M7" s="371" t="s">
        <v>228</v>
      </c>
      <c r="N7" s="371" t="s">
        <v>229</v>
      </c>
      <c r="O7" s="371" t="s">
        <v>230</v>
      </c>
      <c r="P7" s="377" t="s">
        <v>28</v>
      </c>
      <c r="Q7" s="371" t="s">
        <v>601</v>
      </c>
      <c r="R7" s="90"/>
      <c r="S7" s="371" t="s">
        <v>426</v>
      </c>
      <c r="T7" s="372" t="s">
        <v>104</v>
      </c>
      <c r="U7" s="372"/>
      <c r="V7" s="372"/>
      <c r="W7" s="372" t="s">
        <v>30</v>
      </c>
      <c r="X7" s="372"/>
      <c r="Y7" s="372"/>
      <c r="Z7" s="372" t="s">
        <v>31</v>
      </c>
      <c r="AA7" s="372"/>
      <c r="AB7" s="386">
        <v>41</v>
      </c>
      <c r="AC7" s="386"/>
      <c r="AD7" s="386">
        <v>42</v>
      </c>
      <c r="AE7" s="386"/>
      <c r="AF7" s="386">
        <v>43</v>
      </c>
      <c r="AG7" s="386"/>
      <c r="AH7" s="386">
        <v>44</v>
      </c>
      <c r="AI7" s="386"/>
      <c r="AJ7" s="386">
        <v>45</v>
      </c>
      <c r="AK7" s="386"/>
      <c r="AL7" s="386">
        <v>46</v>
      </c>
      <c r="AM7" s="386"/>
      <c r="AN7" s="386">
        <v>47</v>
      </c>
      <c r="AO7" s="386"/>
      <c r="AP7" s="386">
        <f>AN7+1</f>
        <v>48</v>
      </c>
      <c r="AQ7" s="386"/>
      <c r="AR7" s="386">
        <f>+AP7+1</f>
        <v>49</v>
      </c>
      <c r="AS7" s="386"/>
      <c r="AT7" s="386">
        <f>+AR7+1</f>
        <v>50</v>
      </c>
      <c r="AU7" s="386"/>
      <c r="AV7" s="370">
        <f>+AT7+1</f>
        <v>51</v>
      </c>
      <c r="AW7" s="370"/>
      <c r="AX7" s="370">
        <f>+AV7+1</f>
        <v>52</v>
      </c>
      <c r="AY7" s="370"/>
      <c r="AZ7" s="370">
        <v>1</v>
      </c>
      <c r="BA7" s="370"/>
      <c r="BB7" s="370">
        <f>+AZ7+1</f>
        <v>2</v>
      </c>
      <c r="BC7" s="370"/>
      <c r="BD7" s="370">
        <f>+BB7+1</f>
        <v>3</v>
      </c>
      <c r="BE7" s="370"/>
      <c r="BF7" s="370">
        <f>+BD7+1</f>
        <v>4</v>
      </c>
      <c r="BG7" s="370"/>
      <c r="BH7" s="370">
        <f>+BF7+1</f>
        <v>5</v>
      </c>
      <c r="BI7" s="370"/>
      <c r="BJ7" s="370">
        <f>+BH7+1</f>
        <v>6</v>
      </c>
      <c r="BK7" s="370"/>
      <c r="BL7" s="370">
        <f>+BJ7+1</f>
        <v>7</v>
      </c>
      <c r="BM7" s="370"/>
      <c r="BN7" s="370">
        <f>+BL7+1</f>
        <v>8</v>
      </c>
      <c r="BO7" s="370"/>
      <c r="BP7" s="370">
        <f>+BN7+1</f>
        <v>9</v>
      </c>
      <c r="BQ7" s="370"/>
      <c r="BR7" s="370">
        <f>+BP7+1</f>
        <v>10</v>
      </c>
      <c r="BS7" s="370"/>
      <c r="BT7" s="370">
        <f>+BR7+1</f>
        <v>11</v>
      </c>
      <c r="BU7" s="370"/>
      <c r="BV7" s="370">
        <f>+BT7+1</f>
        <v>12</v>
      </c>
      <c r="BW7" s="370"/>
    </row>
    <row r="8" spans="2:75" ht="14.5">
      <c r="B8" s="380"/>
      <c r="C8" s="378"/>
      <c r="D8" s="378"/>
      <c r="E8" s="378"/>
      <c r="F8" s="378"/>
      <c r="G8" s="378"/>
      <c r="H8" s="376"/>
      <c r="I8" s="376"/>
      <c r="J8" s="376"/>
      <c r="K8" s="379"/>
      <c r="L8" s="377"/>
      <c r="M8" s="371"/>
      <c r="N8" s="371"/>
      <c r="O8" s="371"/>
      <c r="P8" s="377"/>
      <c r="Q8" s="371"/>
      <c r="R8" s="90" t="s">
        <v>602</v>
      </c>
      <c r="S8" s="371"/>
      <c r="T8" s="372"/>
      <c r="U8" s="372"/>
      <c r="V8" s="372"/>
      <c r="W8" s="372"/>
      <c r="X8" s="372"/>
      <c r="Y8" s="372"/>
      <c r="Z8" s="372"/>
      <c r="AA8" s="372"/>
      <c r="AB8" s="386" t="s">
        <v>33</v>
      </c>
      <c r="AC8" s="386"/>
      <c r="AD8" s="386" t="s">
        <v>34</v>
      </c>
      <c r="AE8" s="386"/>
      <c r="AF8" s="386" t="s">
        <v>35</v>
      </c>
      <c r="AG8" s="386"/>
      <c r="AH8" s="386" t="s">
        <v>36</v>
      </c>
      <c r="AI8" s="386"/>
      <c r="AJ8" s="386" t="s">
        <v>37</v>
      </c>
      <c r="AK8" s="386"/>
      <c r="AL8" s="386" t="s">
        <v>38</v>
      </c>
      <c r="AM8" s="386"/>
      <c r="AN8" s="386" t="s">
        <v>39</v>
      </c>
      <c r="AO8" s="386"/>
      <c r="AP8" s="386" t="s">
        <v>40</v>
      </c>
      <c r="AQ8" s="386"/>
      <c r="AR8" s="386" t="s">
        <v>41</v>
      </c>
      <c r="AS8" s="386"/>
      <c r="AT8" s="386" t="s">
        <v>42</v>
      </c>
      <c r="AU8" s="386"/>
      <c r="AV8" s="370" t="s">
        <v>43</v>
      </c>
      <c r="AW8" s="370"/>
      <c r="AX8" s="370" t="s">
        <v>44</v>
      </c>
      <c r="AY8" s="370"/>
      <c r="AZ8" s="370" t="s">
        <v>45</v>
      </c>
      <c r="BA8" s="370"/>
      <c r="BB8" s="370" t="s">
        <v>46</v>
      </c>
      <c r="BC8" s="370"/>
      <c r="BD8" s="370" t="s">
        <v>47</v>
      </c>
      <c r="BE8" s="370"/>
      <c r="BF8" s="370" t="s">
        <v>48</v>
      </c>
      <c r="BG8" s="370"/>
      <c r="BH8" s="370" t="s">
        <v>49</v>
      </c>
      <c r="BI8" s="370"/>
      <c r="BJ8" s="370" t="s">
        <v>231</v>
      </c>
      <c r="BK8" s="370"/>
      <c r="BL8" s="370" t="s">
        <v>232</v>
      </c>
      <c r="BM8" s="370"/>
      <c r="BN8" s="370" t="s">
        <v>233</v>
      </c>
      <c r="BO8" s="370"/>
      <c r="BP8" s="370" t="s">
        <v>234</v>
      </c>
      <c r="BQ8" s="370"/>
      <c r="BR8" s="370" t="s">
        <v>235</v>
      </c>
      <c r="BS8" s="370"/>
      <c r="BT8" s="370" t="s">
        <v>236</v>
      </c>
      <c r="BU8" s="370"/>
      <c r="BV8" s="370" t="s">
        <v>427</v>
      </c>
      <c r="BW8" s="370"/>
    </row>
    <row r="9" spans="2:75" ht="21">
      <c r="B9" s="380"/>
      <c r="C9" s="378"/>
      <c r="D9" s="378"/>
      <c r="E9" s="378"/>
      <c r="F9" s="378"/>
      <c r="G9" s="378"/>
      <c r="H9" s="376"/>
      <c r="I9" s="376"/>
      <c r="J9" s="376"/>
      <c r="K9" s="379"/>
      <c r="L9" s="377"/>
      <c r="M9" s="371"/>
      <c r="N9" s="371"/>
      <c r="O9" s="371"/>
      <c r="P9" s="377"/>
      <c r="Q9" s="371"/>
      <c r="R9" s="90" t="s">
        <v>603</v>
      </c>
      <c r="S9" s="371"/>
      <c r="T9" s="47" t="s">
        <v>50</v>
      </c>
      <c r="U9" s="48" t="s">
        <v>32</v>
      </c>
      <c r="V9" s="48" t="s">
        <v>52</v>
      </c>
      <c r="W9" s="47" t="s">
        <v>50</v>
      </c>
      <c r="X9" s="48" t="s">
        <v>32</v>
      </c>
      <c r="Y9" s="48" t="s">
        <v>52</v>
      </c>
      <c r="Z9" s="47" t="s">
        <v>53</v>
      </c>
      <c r="AA9" s="47" t="s">
        <v>54</v>
      </c>
      <c r="AB9" s="49" t="s">
        <v>50</v>
      </c>
      <c r="AC9" s="50" t="s">
        <v>32</v>
      </c>
      <c r="AD9" s="49" t="s">
        <v>50</v>
      </c>
      <c r="AE9" s="50" t="s">
        <v>32</v>
      </c>
      <c r="AF9" s="49" t="s">
        <v>50</v>
      </c>
      <c r="AG9" s="50" t="s">
        <v>32</v>
      </c>
      <c r="AH9" s="49" t="s">
        <v>50</v>
      </c>
      <c r="AI9" s="50" t="s">
        <v>32</v>
      </c>
      <c r="AJ9" s="49" t="s">
        <v>50</v>
      </c>
      <c r="AK9" s="50" t="s">
        <v>32</v>
      </c>
      <c r="AL9" s="49" t="s">
        <v>50</v>
      </c>
      <c r="AM9" s="50" t="s">
        <v>32</v>
      </c>
      <c r="AN9" s="49" t="s">
        <v>50</v>
      </c>
      <c r="AO9" s="50" t="s">
        <v>32</v>
      </c>
      <c r="AP9" s="49" t="s">
        <v>50</v>
      </c>
      <c r="AQ9" s="50" t="s">
        <v>32</v>
      </c>
      <c r="AR9" s="49" t="s">
        <v>50</v>
      </c>
      <c r="AS9" s="50" t="s">
        <v>32</v>
      </c>
      <c r="AT9" s="49" t="s">
        <v>50</v>
      </c>
      <c r="AU9" s="50" t="s">
        <v>32</v>
      </c>
      <c r="AV9" s="49" t="s">
        <v>50</v>
      </c>
      <c r="AW9" s="50" t="s">
        <v>32</v>
      </c>
      <c r="AX9" s="49" t="s">
        <v>50</v>
      </c>
      <c r="AY9" s="50" t="s">
        <v>32</v>
      </c>
      <c r="AZ9" s="49" t="s">
        <v>50</v>
      </c>
      <c r="BA9" s="50" t="s">
        <v>32</v>
      </c>
      <c r="BB9" s="49" t="s">
        <v>50</v>
      </c>
      <c r="BC9" s="50" t="s">
        <v>32</v>
      </c>
      <c r="BD9" s="49" t="s">
        <v>50</v>
      </c>
      <c r="BE9" s="50" t="s">
        <v>32</v>
      </c>
      <c r="BF9" s="49" t="s">
        <v>50</v>
      </c>
      <c r="BG9" s="50" t="s">
        <v>32</v>
      </c>
      <c r="BH9" s="49" t="s">
        <v>50</v>
      </c>
      <c r="BI9" s="50" t="s">
        <v>32</v>
      </c>
      <c r="BJ9" s="49" t="s">
        <v>50</v>
      </c>
      <c r="BK9" s="50" t="s">
        <v>32</v>
      </c>
      <c r="BL9" s="49" t="s">
        <v>50</v>
      </c>
      <c r="BM9" s="50" t="s">
        <v>32</v>
      </c>
      <c r="BN9" s="49" t="s">
        <v>50</v>
      </c>
      <c r="BO9" s="50" t="s">
        <v>32</v>
      </c>
      <c r="BP9" s="49" t="s">
        <v>50</v>
      </c>
      <c r="BQ9" s="50" t="s">
        <v>32</v>
      </c>
      <c r="BR9" s="49" t="s">
        <v>50</v>
      </c>
      <c r="BS9" s="50" t="s">
        <v>32</v>
      </c>
      <c r="BT9" s="49" t="s">
        <v>50</v>
      </c>
      <c r="BU9" s="50" t="s">
        <v>32</v>
      </c>
      <c r="BV9" s="49" t="s">
        <v>50</v>
      </c>
      <c r="BW9" s="50" t="s">
        <v>32</v>
      </c>
    </row>
    <row r="10" spans="2:75" s="192" customFormat="1" ht="13">
      <c r="B10" s="179" t="s">
        <v>604</v>
      </c>
      <c r="C10" s="172" t="s">
        <v>605</v>
      </c>
      <c r="D10" s="172" t="s">
        <v>134</v>
      </c>
      <c r="E10" s="180"/>
      <c r="F10" s="172" t="s">
        <v>606</v>
      </c>
      <c r="G10" s="172" t="s">
        <v>607</v>
      </c>
      <c r="H10" s="172" t="s">
        <v>239</v>
      </c>
      <c r="I10" s="172" t="s">
        <v>608</v>
      </c>
      <c r="J10" s="181"/>
      <c r="K10" s="182">
        <v>1500</v>
      </c>
      <c r="L10" s="183"/>
      <c r="M10" s="183"/>
      <c r="N10" s="183">
        <f t="shared" ref="N10:N69" si="1">+K10-M10</f>
        <v>1500</v>
      </c>
      <c r="O10" s="184">
        <f t="shared" ref="O10:O69" si="2">+K10-L10</f>
        <v>1500</v>
      </c>
      <c r="P10" s="183" t="s">
        <v>178</v>
      </c>
      <c r="Q10" s="185">
        <f>K10/(S10*85%)</f>
        <v>18.382352941176471</v>
      </c>
      <c r="R10" s="186">
        <f>+Q10/10</f>
        <v>1.8382352941176472</v>
      </c>
      <c r="S10" s="187">
        <v>96</v>
      </c>
      <c r="T10" s="188">
        <v>45667</v>
      </c>
      <c r="U10" s="189"/>
      <c r="V10" s="184">
        <f t="shared" ref="V10:V69" ca="1" si="3">+IF(U10="",T10-TODAY(),T10-U10)</f>
        <v>-173</v>
      </c>
      <c r="W10" s="189">
        <f>+T10+R10</f>
        <v>45668.838235294119</v>
      </c>
      <c r="X10" s="189"/>
      <c r="Y10" s="184">
        <f t="shared" ref="Y10:Y69" ca="1" si="4">+IF(X10="",W10-TODAY(),W10-X10)</f>
        <v>-171.16176470588107</v>
      </c>
      <c r="Z10" s="189"/>
      <c r="AA10" s="190"/>
      <c r="AB10" s="191" t="str">
        <f t="shared" ref="AB10:AB69" si="5">+IF($AB$7=WEEKNUM(T10),K10,"-")</f>
        <v>-</v>
      </c>
      <c r="AC10" s="190"/>
      <c r="AD10" s="191" t="str">
        <f t="shared" ref="AD10:AD69" si="6">+IF($AD$7=WEEKNUM(T10),K10,"")</f>
        <v/>
      </c>
      <c r="AE10" s="190"/>
      <c r="AF10" s="191" t="str">
        <f t="shared" ref="AF10:AF69" si="7">+IF($AF$7=WEEKNUM(T10),K10,"")</f>
        <v/>
      </c>
      <c r="AG10" s="190"/>
      <c r="AH10" s="191" t="str">
        <f t="shared" ref="AH10:AH69" si="8">+IF($AH$7=WEEKNUM(T10),K10,"")</f>
        <v/>
      </c>
      <c r="AI10" s="190"/>
      <c r="AJ10" s="191" t="str">
        <f t="shared" ref="AJ10:AJ69" si="9">+IF($AJ$7=WEEKNUM(T10),K10,"")</f>
        <v/>
      </c>
      <c r="AK10" s="190"/>
      <c r="AL10" s="191" t="str">
        <f t="shared" ref="AL10:AL69" si="10">+IF($AL$7=WEEKNUM(T10),K10,"")</f>
        <v/>
      </c>
      <c r="AM10" s="190"/>
      <c r="AN10" s="191" t="str">
        <f t="shared" ref="AN10:AN69" si="11">+IF($AN$7=WEEKNUM(T10),K10,"")</f>
        <v/>
      </c>
      <c r="AO10" s="190"/>
      <c r="AP10" s="191" t="str">
        <f t="shared" ref="AP10:AP69" si="12">+IF($AP$7=WEEKNUM(T10),K10,"")</f>
        <v/>
      </c>
      <c r="AQ10" s="190"/>
      <c r="AR10" s="191" t="str">
        <f t="shared" ref="AR10:AR69" si="13">+IF($AR$7=WEEKNUM(T10),K10,"")</f>
        <v/>
      </c>
      <c r="AS10" s="190"/>
      <c r="AT10" s="191" t="str">
        <f t="shared" ref="AT10:AT69" si="14">+IF($AT$7=WEEKNUM(T10),K10,"")</f>
        <v/>
      </c>
      <c r="AU10" s="190"/>
      <c r="AV10" s="191" t="str">
        <f t="shared" ref="AV10:AV69" si="15">+IF($AV$7=WEEKNUM(T10),K10,"")</f>
        <v/>
      </c>
      <c r="AW10" s="190"/>
      <c r="AX10" s="191" t="str">
        <f t="shared" ref="AX10:AX69" si="16">+IF($AX$7=WEEKNUM(T10),K10,"")</f>
        <v/>
      </c>
      <c r="AY10" s="190"/>
      <c r="AZ10" s="191" t="str">
        <f t="shared" ref="AZ10:AZ69" si="17">+IF($AZ$7=WEEKNUM(T10),K10,"")</f>
        <v/>
      </c>
      <c r="BA10" s="190"/>
      <c r="BB10" s="191">
        <f t="shared" ref="BB10:BB69" si="18">+IF($BB$7=WEEKNUM(T10),K10,"")</f>
        <v>1500</v>
      </c>
      <c r="BC10" s="190"/>
      <c r="BD10" s="191" t="str">
        <f t="shared" ref="BD10:BD69" si="19">+IF($BD$7=WEEKNUM(T10),K10,"")</f>
        <v/>
      </c>
      <c r="BE10" s="190"/>
      <c r="BF10" s="191" t="str">
        <f t="shared" ref="BF10:BF69" si="20">+IF($BF$7=WEEKNUM(T10),K10,"")</f>
        <v/>
      </c>
      <c r="BG10" s="190"/>
      <c r="BH10" s="191" t="str">
        <f t="shared" ref="BH10:BH69" si="21">+IF($BH$7=WEEKNUM(T10),K10,"")</f>
        <v/>
      </c>
      <c r="BI10" s="190"/>
      <c r="BJ10" s="191" t="str">
        <f t="shared" ref="BJ10:BJ69" si="22">+IF($BJ$7=WEEKNUM(T10),K10,"")</f>
        <v/>
      </c>
      <c r="BK10" s="190"/>
      <c r="BL10" s="191" t="str">
        <f t="shared" ref="BL10:BL69" si="23">+IF($BL$7=WEEKNUM(T10),K10,"")</f>
        <v/>
      </c>
      <c r="BM10" s="190"/>
      <c r="BN10" s="191" t="str">
        <f t="shared" ref="BN10:BN69" si="24">+IF($BN$7=WEEKNUM(T10),K10,"")</f>
        <v/>
      </c>
      <c r="BO10" s="190"/>
      <c r="BP10" s="191" t="str">
        <f t="shared" ref="BP10:BP69" si="25">+IF($BP$7=WEEKNUM(T10),K10,"")</f>
        <v/>
      </c>
      <c r="BQ10" s="190"/>
      <c r="BR10" s="191" t="str">
        <f t="shared" ref="BR10:BR69" si="26">+IF($BR$7=WEEKNUM(T10),K10,"")</f>
        <v/>
      </c>
      <c r="BS10" s="190"/>
      <c r="BT10" s="191" t="str">
        <f t="shared" ref="BT10:BT69" si="27">+IF($BT$7=WEEKNUM(T10),K10,"")</f>
        <v/>
      </c>
      <c r="BU10" s="190"/>
      <c r="BV10" s="191" t="str">
        <f t="shared" ref="BV10:BV69" si="28">+IF($BV$7=WEEKNUM(T10),K10,"")</f>
        <v/>
      </c>
      <c r="BW10" s="190"/>
    </row>
    <row r="11" spans="2:75" s="196" customFormat="1" ht="13">
      <c r="B11" s="179" t="s">
        <v>604</v>
      </c>
      <c r="C11" s="172" t="s">
        <v>605</v>
      </c>
      <c r="D11" s="172" t="s">
        <v>134</v>
      </c>
      <c r="E11" s="180"/>
      <c r="F11" s="172" t="s">
        <v>609</v>
      </c>
      <c r="G11" s="172" t="s">
        <v>607</v>
      </c>
      <c r="H11" s="172" t="s">
        <v>162</v>
      </c>
      <c r="I11" s="172" t="s">
        <v>608</v>
      </c>
      <c r="J11" s="181"/>
      <c r="K11" s="182">
        <v>0</v>
      </c>
      <c r="L11" s="193"/>
      <c r="M11" s="193"/>
      <c r="N11" s="193">
        <f t="shared" si="1"/>
        <v>0</v>
      </c>
      <c r="O11" s="184">
        <f t="shared" si="2"/>
        <v>0</v>
      </c>
      <c r="P11" s="193" t="s">
        <v>178</v>
      </c>
      <c r="Q11" s="194">
        <f t="shared" ref="Q11:Q69" si="29">K11/(S11*85%)</f>
        <v>0</v>
      </c>
      <c r="R11" s="195">
        <f t="shared" ref="R11:R69" si="30">+Q11/10</f>
        <v>0</v>
      </c>
      <c r="S11" s="179">
        <v>96</v>
      </c>
      <c r="T11" s="189">
        <f>+W10</f>
        <v>45668.838235294119</v>
      </c>
      <c r="U11" s="189"/>
      <c r="V11" s="184">
        <f t="shared" ca="1" si="3"/>
        <v>-171.16176470588107</v>
      </c>
      <c r="W11" s="189">
        <f>+T11+R11</f>
        <v>45668.838235294119</v>
      </c>
      <c r="X11" s="189"/>
      <c r="Y11" s="184">
        <f t="shared" ca="1" si="4"/>
        <v>-171.16176470588107</v>
      </c>
      <c r="Z11" s="189"/>
      <c r="AA11" s="190"/>
      <c r="AB11" s="191" t="str">
        <f t="shared" si="5"/>
        <v>-</v>
      </c>
      <c r="AC11" s="190"/>
      <c r="AD11" s="191" t="str">
        <f t="shared" si="6"/>
        <v/>
      </c>
      <c r="AE11" s="190"/>
      <c r="AF11" s="191" t="str">
        <f t="shared" si="7"/>
        <v/>
      </c>
      <c r="AG11" s="190"/>
      <c r="AH11" s="191" t="str">
        <f t="shared" si="8"/>
        <v/>
      </c>
      <c r="AI11" s="190"/>
      <c r="AJ11" s="191" t="str">
        <f t="shared" si="9"/>
        <v/>
      </c>
      <c r="AK11" s="190"/>
      <c r="AL11" s="191" t="str">
        <f t="shared" si="10"/>
        <v/>
      </c>
      <c r="AM11" s="190"/>
      <c r="AN11" s="191" t="str">
        <f t="shared" si="11"/>
        <v/>
      </c>
      <c r="AO11" s="190"/>
      <c r="AP11" s="191" t="str">
        <f t="shared" si="12"/>
        <v/>
      </c>
      <c r="AQ11" s="190"/>
      <c r="AR11" s="191" t="str">
        <f t="shared" si="13"/>
        <v/>
      </c>
      <c r="AS11" s="190"/>
      <c r="AT11" s="191" t="str">
        <f t="shared" si="14"/>
        <v/>
      </c>
      <c r="AU11" s="190"/>
      <c r="AV11" s="191" t="str">
        <f t="shared" si="15"/>
        <v/>
      </c>
      <c r="AW11" s="190"/>
      <c r="AX11" s="191" t="str">
        <f t="shared" si="16"/>
        <v/>
      </c>
      <c r="AY11" s="190"/>
      <c r="AZ11" s="191" t="str">
        <f t="shared" si="17"/>
        <v/>
      </c>
      <c r="BA11" s="190"/>
      <c r="BB11" s="191">
        <f t="shared" si="18"/>
        <v>0</v>
      </c>
      <c r="BC11" s="190"/>
      <c r="BD11" s="191" t="str">
        <f t="shared" si="19"/>
        <v/>
      </c>
      <c r="BE11" s="190"/>
      <c r="BF11" s="191" t="str">
        <f t="shared" si="20"/>
        <v/>
      </c>
      <c r="BG11" s="190"/>
      <c r="BH11" s="191" t="str">
        <f t="shared" si="21"/>
        <v/>
      </c>
      <c r="BI11" s="190"/>
      <c r="BJ11" s="191" t="str">
        <f t="shared" si="22"/>
        <v/>
      </c>
      <c r="BK11" s="190"/>
      <c r="BL11" s="191" t="str">
        <f t="shared" si="23"/>
        <v/>
      </c>
      <c r="BM11" s="190"/>
      <c r="BN11" s="191" t="str">
        <f t="shared" si="24"/>
        <v/>
      </c>
      <c r="BO11" s="190"/>
      <c r="BP11" s="191" t="str">
        <f t="shared" si="25"/>
        <v/>
      </c>
      <c r="BQ11" s="190"/>
      <c r="BR11" s="191" t="str">
        <f t="shared" si="26"/>
        <v/>
      </c>
      <c r="BS11" s="190"/>
      <c r="BT11" s="191" t="str">
        <f t="shared" si="27"/>
        <v/>
      </c>
      <c r="BU11" s="190"/>
      <c r="BV11" s="191" t="str">
        <f t="shared" si="28"/>
        <v/>
      </c>
      <c r="BW11" s="190"/>
    </row>
    <row r="12" spans="2:75" s="192" customFormat="1" ht="13">
      <c r="B12" s="179" t="s">
        <v>604</v>
      </c>
      <c r="C12" s="172" t="s">
        <v>605</v>
      </c>
      <c r="D12" s="172" t="s">
        <v>134</v>
      </c>
      <c r="E12" s="180"/>
      <c r="F12" s="172" t="s">
        <v>610</v>
      </c>
      <c r="G12" s="172" t="s">
        <v>607</v>
      </c>
      <c r="H12" s="172" t="s">
        <v>155</v>
      </c>
      <c r="I12" s="172" t="s">
        <v>608</v>
      </c>
      <c r="J12" s="181"/>
      <c r="K12" s="182">
        <v>1500</v>
      </c>
      <c r="L12" s="183"/>
      <c r="M12" s="183"/>
      <c r="N12" s="183">
        <f t="shared" si="1"/>
        <v>1500</v>
      </c>
      <c r="O12" s="184">
        <f t="shared" si="2"/>
        <v>1500</v>
      </c>
      <c r="P12" s="183" t="s">
        <v>178</v>
      </c>
      <c r="Q12" s="185">
        <f t="shared" si="29"/>
        <v>18.382352941176471</v>
      </c>
      <c r="R12" s="186">
        <f t="shared" si="30"/>
        <v>1.8382352941176472</v>
      </c>
      <c r="S12" s="187">
        <v>96</v>
      </c>
      <c r="T12" s="197">
        <f t="shared" ref="T12:T69" si="31">+W11</f>
        <v>45668.838235294119</v>
      </c>
      <c r="U12" s="189"/>
      <c r="V12" s="184">
        <f t="shared" ca="1" si="3"/>
        <v>-171.16176470588107</v>
      </c>
      <c r="W12" s="189">
        <f t="shared" ref="W12:W69" si="32">+T12+R12</f>
        <v>45670.676470588238</v>
      </c>
      <c r="X12" s="189"/>
      <c r="Y12" s="184">
        <f t="shared" ca="1" si="4"/>
        <v>-169.32352941176214</v>
      </c>
      <c r="Z12" s="189"/>
      <c r="AA12" s="190"/>
      <c r="AB12" s="191" t="str">
        <f t="shared" si="5"/>
        <v>-</v>
      </c>
      <c r="AC12" s="190"/>
      <c r="AD12" s="191" t="str">
        <f t="shared" si="6"/>
        <v/>
      </c>
      <c r="AE12" s="190"/>
      <c r="AF12" s="191" t="str">
        <f t="shared" si="7"/>
        <v/>
      </c>
      <c r="AG12" s="190"/>
      <c r="AH12" s="191" t="str">
        <f t="shared" si="8"/>
        <v/>
      </c>
      <c r="AI12" s="190"/>
      <c r="AJ12" s="191" t="str">
        <f t="shared" si="9"/>
        <v/>
      </c>
      <c r="AK12" s="190"/>
      <c r="AL12" s="191" t="str">
        <f t="shared" si="10"/>
        <v/>
      </c>
      <c r="AM12" s="190"/>
      <c r="AN12" s="191" t="str">
        <f t="shared" si="11"/>
        <v/>
      </c>
      <c r="AO12" s="190"/>
      <c r="AP12" s="191" t="str">
        <f t="shared" si="12"/>
        <v/>
      </c>
      <c r="AQ12" s="190"/>
      <c r="AR12" s="191" t="str">
        <f t="shared" si="13"/>
        <v/>
      </c>
      <c r="AS12" s="190"/>
      <c r="AT12" s="191" t="str">
        <f t="shared" si="14"/>
        <v/>
      </c>
      <c r="AU12" s="190"/>
      <c r="AV12" s="191" t="str">
        <f t="shared" si="15"/>
        <v/>
      </c>
      <c r="AW12" s="190"/>
      <c r="AX12" s="191" t="str">
        <f t="shared" si="16"/>
        <v/>
      </c>
      <c r="AY12" s="190"/>
      <c r="AZ12" s="191" t="str">
        <f t="shared" si="17"/>
        <v/>
      </c>
      <c r="BA12" s="190"/>
      <c r="BB12" s="191">
        <f t="shared" si="18"/>
        <v>1500</v>
      </c>
      <c r="BC12" s="190"/>
      <c r="BD12" s="191" t="str">
        <f t="shared" si="19"/>
        <v/>
      </c>
      <c r="BE12" s="190"/>
      <c r="BF12" s="191" t="str">
        <f t="shared" si="20"/>
        <v/>
      </c>
      <c r="BG12" s="190"/>
      <c r="BH12" s="191" t="str">
        <f t="shared" si="21"/>
        <v/>
      </c>
      <c r="BI12" s="190"/>
      <c r="BJ12" s="191" t="str">
        <f t="shared" si="22"/>
        <v/>
      </c>
      <c r="BK12" s="190"/>
      <c r="BL12" s="191" t="str">
        <f t="shared" si="23"/>
        <v/>
      </c>
      <c r="BM12" s="190"/>
      <c r="BN12" s="191" t="str">
        <f t="shared" si="24"/>
        <v/>
      </c>
      <c r="BO12" s="190"/>
      <c r="BP12" s="191" t="str">
        <f t="shared" si="25"/>
        <v/>
      </c>
      <c r="BQ12" s="190"/>
      <c r="BR12" s="191" t="str">
        <f t="shared" si="26"/>
        <v/>
      </c>
      <c r="BS12" s="190"/>
      <c r="BT12" s="191" t="str">
        <f t="shared" si="27"/>
        <v/>
      </c>
      <c r="BU12" s="190"/>
      <c r="BV12" s="191" t="str">
        <f t="shared" si="28"/>
        <v/>
      </c>
      <c r="BW12" s="190"/>
    </row>
    <row r="13" spans="2:75" s="192" customFormat="1" ht="13">
      <c r="B13" s="179" t="s">
        <v>604</v>
      </c>
      <c r="C13" s="172" t="s">
        <v>605</v>
      </c>
      <c r="D13" s="172" t="s">
        <v>134</v>
      </c>
      <c r="E13" s="180"/>
      <c r="F13" s="172" t="s">
        <v>606</v>
      </c>
      <c r="G13" s="172" t="s">
        <v>472</v>
      </c>
      <c r="H13" s="172" t="s">
        <v>239</v>
      </c>
      <c r="I13" s="172" t="s">
        <v>611</v>
      </c>
      <c r="J13" s="181"/>
      <c r="K13" s="182">
        <v>1100</v>
      </c>
      <c r="L13" s="183"/>
      <c r="M13" s="183"/>
      <c r="N13" s="183">
        <f t="shared" si="1"/>
        <v>1100</v>
      </c>
      <c r="O13" s="184">
        <f t="shared" si="2"/>
        <v>1100</v>
      </c>
      <c r="P13" s="183" t="s">
        <v>178</v>
      </c>
      <c r="Q13" s="185">
        <f t="shared" si="29"/>
        <v>13.480392156862745</v>
      </c>
      <c r="R13" s="186">
        <f t="shared" si="30"/>
        <v>1.3480392156862746</v>
      </c>
      <c r="S13" s="187">
        <v>96</v>
      </c>
      <c r="T13" s="197">
        <f t="shared" si="31"/>
        <v>45670.676470588238</v>
      </c>
      <c r="U13" s="189"/>
      <c r="V13" s="184">
        <f t="shared" ca="1" si="3"/>
        <v>-169.32352941176214</v>
      </c>
      <c r="W13" s="189">
        <f t="shared" si="32"/>
        <v>45672.024509803923</v>
      </c>
      <c r="X13" s="189"/>
      <c r="Y13" s="184">
        <f t="shared" ca="1" si="4"/>
        <v>-167.97549019607686</v>
      </c>
      <c r="Z13" s="189"/>
      <c r="AA13" s="190"/>
      <c r="AB13" s="191" t="str">
        <f t="shared" si="5"/>
        <v>-</v>
      </c>
      <c r="AC13" s="190"/>
      <c r="AD13" s="191" t="str">
        <f t="shared" si="6"/>
        <v/>
      </c>
      <c r="AE13" s="190"/>
      <c r="AF13" s="191" t="str">
        <f t="shared" si="7"/>
        <v/>
      </c>
      <c r="AG13" s="190"/>
      <c r="AH13" s="191" t="str">
        <f t="shared" si="8"/>
        <v/>
      </c>
      <c r="AI13" s="190"/>
      <c r="AJ13" s="191" t="str">
        <f t="shared" si="9"/>
        <v/>
      </c>
      <c r="AK13" s="190"/>
      <c r="AL13" s="191" t="str">
        <f t="shared" si="10"/>
        <v/>
      </c>
      <c r="AM13" s="190"/>
      <c r="AN13" s="191" t="str">
        <f t="shared" si="11"/>
        <v/>
      </c>
      <c r="AO13" s="190"/>
      <c r="AP13" s="191" t="str">
        <f t="shared" si="12"/>
        <v/>
      </c>
      <c r="AQ13" s="190"/>
      <c r="AR13" s="191" t="str">
        <f t="shared" si="13"/>
        <v/>
      </c>
      <c r="AS13" s="190"/>
      <c r="AT13" s="191" t="str">
        <f t="shared" si="14"/>
        <v/>
      </c>
      <c r="AU13" s="190"/>
      <c r="AV13" s="191" t="str">
        <f t="shared" si="15"/>
        <v/>
      </c>
      <c r="AW13" s="190"/>
      <c r="AX13" s="191" t="str">
        <f t="shared" si="16"/>
        <v/>
      </c>
      <c r="AY13" s="190"/>
      <c r="AZ13" s="191" t="str">
        <f t="shared" si="17"/>
        <v/>
      </c>
      <c r="BA13" s="190"/>
      <c r="BB13" s="191" t="str">
        <f t="shared" si="18"/>
        <v/>
      </c>
      <c r="BC13" s="190"/>
      <c r="BD13" s="191">
        <f t="shared" si="19"/>
        <v>1100</v>
      </c>
      <c r="BE13" s="190"/>
      <c r="BF13" s="191" t="str">
        <f t="shared" si="20"/>
        <v/>
      </c>
      <c r="BG13" s="190"/>
      <c r="BH13" s="191" t="str">
        <f t="shared" si="21"/>
        <v/>
      </c>
      <c r="BI13" s="190"/>
      <c r="BJ13" s="191" t="str">
        <f t="shared" si="22"/>
        <v/>
      </c>
      <c r="BK13" s="190"/>
      <c r="BL13" s="191" t="str">
        <f t="shared" si="23"/>
        <v/>
      </c>
      <c r="BM13" s="190"/>
      <c r="BN13" s="191" t="str">
        <f t="shared" si="24"/>
        <v/>
      </c>
      <c r="BO13" s="190"/>
      <c r="BP13" s="191" t="str">
        <f t="shared" si="25"/>
        <v/>
      </c>
      <c r="BQ13" s="190"/>
      <c r="BR13" s="191" t="str">
        <f t="shared" si="26"/>
        <v/>
      </c>
      <c r="BS13" s="190"/>
      <c r="BT13" s="191" t="str">
        <f t="shared" si="27"/>
        <v/>
      </c>
      <c r="BU13" s="190"/>
      <c r="BV13" s="191" t="str">
        <f t="shared" si="28"/>
        <v/>
      </c>
      <c r="BW13" s="190"/>
    </row>
    <row r="14" spans="2:75" s="192" customFormat="1" ht="13">
      <c r="B14" s="179" t="s">
        <v>604</v>
      </c>
      <c r="C14" s="172" t="s">
        <v>605</v>
      </c>
      <c r="D14" s="172" t="s">
        <v>134</v>
      </c>
      <c r="E14" s="180"/>
      <c r="F14" s="172" t="s">
        <v>609</v>
      </c>
      <c r="G14" s="172" t="s">
        <v>472</v>
      </c>
      <c r="H14" s="172" t="s">
        <v>162</v>
      </c>
      <c r="I14" s="172" t="s">
        <v>611</v>
      </c>
      <c r="J14" s="181"/>
      <c r="K14" s="182">
        <v>0</v>
      </c>
      <c r="L14" s="183"/>
      <c r="M14" s="183"/>
      <c r="N14" s="183">
        <f t="shared" si="1"/>
        <v>0</v>
      </c>
      <c r="O14" s="184">
        <f t="shared" si="2"/>
        <v>0</v>
      </c>
      <c r="P14" s="183" t="s">
        <v>178</v>
      </c>
      <c r="Q14" s="185">
        <f t="shared" si="29"/>
        <v>0</v>
      </c>
      <c r="R14" s="186">
        <f t="shared" si="30"/>
        <v>0</v>
      </c>
      <c r="S14" s="187">
        <v>96</v>
      </c>
      <c r="T14" s="197">
        <f t="shared" si="31"/>
        <v>45672.024509803923</v>
      </c>
      <c r="U14" s="189"/>
      <c r="V14" s="184">
        <f t="shared" ca="1" si="3"/>
        <v>-167.97549019607686</v>
      </c>
      <c r="W14" s="189">
        <f t="shared" si="32"/>
        <v>45672.024509803923</v>
      </c>
      <c r="X14" s="189"/>
      <c r="Y14" s="184">
        <f t="shared" ca="1" si="4"/>
        <v>-167.97549019607686</v>
      </c>
      <c r="Z14" s="189"/>
      <c r="AA14" s="190"/>
      <c r="AB14" s="191" t="str">
        <f t="shared" si="5"/>
        <v>-</v>
      </c>
      <c r="AC14" s="190"/>
      <c r="AD14" s="191" t="str">
        <f t="shared" si="6"/>
        <v/>
      </c>
      <c r="AE14" s="190"/>
      <c r="AF14" s="191" t="str">
        <f t="shared" si="7"/>
        <v/>
      </c>
      <c r="AG14" s="190"/>
      <c r="AH14" s="191" t="str">
        <f t="shared" si="8"/>
        <v/>
      </c>
      <c r="AI14" s="190"/>
      <c r="AJ14" s="191" t="str">
        <f t="shared" si="9"/>
        <v/>
      </c>
      <c r="AK14" s="190"/>
      <c r="AL14" s="191" t="str">
        <f t="shared" si="10"/>
        <v/>
      </c>
      <c r="AM14" s="190"/>
      <c r="AN14" s="191" t="str">
        <f t="shared" si="11"/>
        <v/>
      </c>
      <c r="AO14" s="190"/>
      <c r="AP14" s="191" t="str">
        <f t="shared" si="12"/>
        <v/>
      </c>
      <c r="AQ14" s="190"/>
      <c r="AR14" s="191" t="str">
        <f t="shared" si="13"/>
        <v/>
      </c>
      <c r="AS14" s="190"/>
      <c r="AT14" s="191" t="str">
        <f t="shared" si="14"/>
        <v/>
      </c>
      <c r="AU14" s="190"/>
      <c r="AV14" s="191" t="str">
        <f t="shared" si="15"/>
        <v/>
      </c>
      <c r="AW14" s="190"/>
      <c r="AX14" s="191" t="str">
        <f t="shared" si="16"/>
        <v/>
      </c>
      <c r="AY14" s="190"/>
      <c r="AZ14" s="191" t="str">
        <f t="shared" si="17"/>
        <v/>
      </c>
      <c r="BA14" s="190"/>
      <c r="BB14" s="191" t="str">
        <f t="shared" si="18"/>
        <v/>
      </c>
      <c r="BC14" s="190"/>
      <c r="BD14" s="191">
        <f t="shared" si="19"/>
        <v>0</v>
      </c>
      <c r="BE14" s="190"/>
      <c r="BF14" s="191" t="str">
        <f t="shared" si="20"/>
        <v/>
      </c>
      <c r="BG14" s="190"/>
      <c r="BH14" s="191" t="str">
        <f t="shared" si="21"/>
        <v/>
      </c>
      <c r="BI14" s="190"/>
      <c r="BJ14" s="191" t="str">
        <f t="shared" si="22"/>
        <v/>
      </c>
      <c r="BK14" s="190"/>
      <c r="BL14" s="191" t="str">
        <f t="shared" si="23"/>
        <v/>
      </c>
      <c r="BM14" s="190"/>
      <c r="BN14" s="191" t="str">
        <f t="shared" si="24"/>
        <v/>
      </c>
      <c r="BO14" s="190"/>
      <c r="BP14" s="191" t="str">
        <f t="shared" si="25"/>
        <v/>
      </c>
      <c r="BQ14" s="190"/>
      <c r="BR14" s="191" t="str">
        <f t="shared" si="26"/>
        <v/>
      </c>
      <c r="BS14" s="190"/>
      <c r="BT14" s="191" t="str">
        <f t="shared" si="27"/>
        <v/>
      </c>
      <c r="BU14" s="190"/>
      <c r="BV14" s="191" t="str">
        <f t="shared" si="28"/>
        <v/>
      </c>
      <c r="BW14" s="190"/>
    </row>
    <row r="15" spans="2:75" s="192" customFormat="1" ht="13">
      <c r="B15" s="179" t="s">
        <v>604</v>
      </c>
      <c r="C15" s="172" t="s">
        <v>605</v>
      </c>
      <c r="D15" s="172" t="s">
        <v>134</v>
      </c>
      <c r="E15" s="180"/>
      <c r="F15" s="172" t="s">
        <v>610</v>
      </c>
      <c r="G15" s="172" t="s">
        <v>472</v>
      </c>
      <c r="H15" s="172" t="s">
        <v>155</v>
      </c>
      <c r="I15" s="172" t="s">
        <v>611</v>
      </c>
      <c r="J15" s="181"/>
      <c r="K15" s="182">
        <v>1100</v>
      </c>
      <c r="L15" s="183"/>
      <c r="M15" s="183"/>
      <c r="N15" s="183">
        <f t="shared" si="1"/>
        <v>1100</v>
      </c>
      <c r="O15" s="184">
        <f t="shared" si="2"/>
        <v>1100</v>
      </c>
      <c r="P15" s="183" t="s">
        <v>178</v>
      </c>
      <c r="Q15" s="185">
        <f t="shared" si="29"/>
        <v>13.480392156862745</v>
      </c>
      <c r="R15" s="186">
        <f t="shared" si="30"/>
        <v>1.3480392156862746</v>
      </c>
      <c r="S15" s="187">
        <v>96</v>
      </c>
      <c r="T15" s="197">
        <f>+W14</f>
        <v>45672.024509803923</v>
      </c>
      <c r="U15" s="189"/>
      <c r="V15" s="184">
        <f t="shared" ca="1" si="3"/>
        <v>-167.97549019607686</v>
      </c>
      <c r="W15" s="189">
        <f t="shared" si="32"/>
        <v>45673.372549019608</v>
      </c>
      <c r="X15" s="189"/>
      <c r="Y15" s="184">
        <f t="shared" ca="1" si="4"/>
        <v>-166.62745098039159</v>
      </c>
      <c r="Z15" s="189"/>
      <c r="AA15" s="190"/>
      <c r="AB15" s="191" t="str">
        <f t="shared" si="5"/>
        <v>-</v>
      </c>
      <c r="AC15" s="190"/>
      <c r="AD15" s="191" t="str">
        <f t="shared" si="6"/>
        <v/>
      </c>
      <c r="AE15" s="190"/>
      <c r="AF15" s="191" t="str">
        <f t="shared" si="7"/>
        <v/>
      </c>
      <c r="AG15" s="190"/>
      <c r="AH15" s="191" t="str">
        <f t="shared" si="8"/>
        <v/>
      </c>
      <c r="AI15" s="190"/>
      <c r="AJ15" s="191" t="str">
        <f t="shared" si="9"/>
        <v/>
      </c>
      <c r="AK15" s="190"/>
      <c r="AL15" s="191" t="str">
        <f t="shared" si="10"/>
        <v/>
      </c>
      <c r="AM15" s="190"/>
      <c r="AN15" s="191" t="str">
        <f t="shared" si="11"/>
        <v/>
      </c>
      <c r="AO15" s="190"/>
      <c r="AP15" s="191" t="str">
        <f t="shared" si="12"/>
        <v/>
      </c>
      <c r="AQ15" s="190"/>
      <c r="AR15" s="191" t="str">
        <f t="shared" si="13"/>
        <v/>
      </c>
      <c r="AS15" s="190"/>
      <c r="AT15" s="191" t="str">
        <f t="shared" si="14"/>
        <v/>
      </c>
      <c r="AU15" s="190"/>
      <c r="AV15" s="191" t="str">
        <f t="shared" si="15"/>
        <v/>
      </c>
      <c r="AW15" s="190"/>
      <c r="AX15" s="191" t="str">
        <f t="shared" si="16"/>
        <v/>
      </c>
      <c r="AY15" s="190"/>
      <c r="AZ15" s="191" t="str">
        <f t="shared" si="17"/>
        <v/>
      </c>
      <c r="BA15" s="190"/>
      <c r="BB15" s="191" t="str">
        <f t="shared" si="18"/>
        <v/>
      </c>
      <c r="BC15" s="190"/>
      <c r="BD15" s="191">
        <f t="shared" si="19"/>
        <v>1100</v>
      </c>
      <c r="BE15" s="190"/>
      <c r="BF15" s="191" t="str">
        <f t="shared" si="20"/>
        <v/>
      </c>
      <c r="BG15" s="190"/>
      <c r="BH15" s="191" t="str">
        <f t="shared" si="21"/>
        <v/>
      </c>
      <c r="BI15" s="190"/>
      <c r="BJ15" s="191" t="str">
        <f t="shared" si="22"/>
        <v/>
      </c>
      <c r="BK15" s="190"/>
      <c r="BL15" s="191" t="str">
        <f t="shared" si="23"/>
        <v/>
      </c>
      <c r="BM15" s="190"/>
      <c r="BN15" s="191" t="str">
        <f t="shared" si="24"/>
        <v/>
      </c>
      <c r="BO15" s="190"/>
      <c r="BP15" s="191" t="str">
        <f t="shared" si="25"/>
        <v/>
      </c>
      <c r="BQ15" s="190"/>
      <c r="BR15" s="191" t="str">
        <f t="shared" si="26"/>
        <v/>
      </c>
      <c r="BS15" s="190"/>
      <c r="BT15" s="191" t="str">
        <f t="shared" si="27"/>
        <v/>
      </c>
      <c r="BU15" s="190"/>
      <c r="BV15" s="191" t="str">
        <f t="shared" si="28"/>
        <v/>
      </c>
      <c r="BW15" s="190"/>
    </row>
    <row r="16" spans="2:75" s="192" customFormat="1" ht="13">
      <c r="B16" s="179" t="s">
        <v>604</v>
      </c>
      <c r="C16" s="172" t="s">
        <v>605</v>
      </c>
      <c r="D16" s="172" t="s">
        <v>134</v>
      </c>
      <c r="E16" s="180"/>
      <c r="F16" s="172" t="s">
        <v>606</v>
      </c>
      <c r="G16" s="172" t="s">
        <v>612</v>
      </c>
      <c r="H16" s="172" t="s">
        <v>239</v>
      </c>
      <c r="I16" s="172" t="s">
        <v>613</v>
      </c>
      <c r="J16" s="181"/>
      <c r="K16" s="182">
        <v>800</v>
      </c>
      <c r="L16" s="183"/>
      <c r="M16" s="183"/>
      <c r="N16" s="183">
        <f t="shared" si="1"/>
        <v>800</v>
      </c>
      <c r="O16" s="184">
        <f t="shared" si="2"/>
        <v>800</v>
      </c>
      <c r="P16" s="183" t="s">
        <v>178</v>
      </c>
      <c r="Q16" s="185">
        <f t="shared" si="29"/>
        <v>19.607843137254903</v>
      </c>
      <c r="R16" s="186">
        <f t="shared" si="30"/>
        <v>1.9607843137254903</v>
      </c>
      <c r="S16" s="187">
        <v>48</v>
      </c>
      <c r="T16" s="197">
        <f t="shared" si="31"/>
        <v>45673.372549019608</v>
      </c>
      <c r="U16" s="189"/>
      <c r="V16" s="184">
        <f t="shared" ca="1" si="3"/>
        <v>-166.62745098039159</v>
      </c>
      <c r="W16" s="189">
        <f t="shared" si="32"/>
        <v>45675.333333333336</v>
      </c>
      <c r="X16" s="189"/>
      <c r="Y16" s="184">
        <f t="shared" ca="1" si="4"/>
        <v>-164.66666666666424</v>
      </c>
      <c r="Z16" s="189"/>
      <c r="AA16" s="190"/>
      <c r="AB16" s="191" t="str">
        <f t="shared" si="5"/>
        <v>-</v>
      </c>
      <c r="AC16" s="190"/>
      <c r="AD16" s="191" t="str">
        <f t="shared" si="6"/>
        <v/>
      </c>
      <c r="AE16" s="190"/>
      <c r="AF16" s="191" t="str">
        <f t="shared" si="7"/>
        <v/>
      </c>
      <c r="AG16" s="190"/>
      <c r="AH16" s="191" t="str">
        <f t="shared" si="8"/>
        <v/>
      </c>
      <c r="AI16" s="190"/>
      <c r="AJ16" s="191" t="str">
        <f t="shared" si="9"/>
        <v/>
      </c>
      <c r="AK16" s="190"/>
      <c r="AL16" s="191" t="str">
        <f t="shared" si="10"/>
        <v/>
      </c>
      <c r="AM16" s="190"/>
      <c r="AN16" s="191" t="str">
        <f t="shared" si="11"/>
        <v/>
      </c>
      <c r="AO16" s="190"/>
      <c r="AP16" s="191" t="str">
        <f t="shared" si="12"/>
        <v/>
      </c>
      <c r="AQ16" s="190"/>
      <c r="AR16" s="191" t="str">
        <f t="shared" si="13"/>
        <v/>
      </c>
      <c r="AS16" s="190"/>
      <c r="AT16" s="191" t="str">
        <f t="shared" si="14"/>
        <v/>
      </c>
      <c r="AU16" s="190"/>
      <c r="AV16" s="191" t="str">
        <f t="shared" si="15"/>
        <v/>
      </c>
      <c r="AW16" s="190"/>
      <c r="AX16" s="191" t="str">
        <f t="shared" si="16"/>
        <v/>
      </c>
      <c r="AY16" s="190"/>
      <c r="AZ16" s="191" t="str">
        <f t="shared" si="17"/>
        <v/>
      </c>
      <c r="BA16" s="190"/>
      <c r="BB16" s="191" t="str">
        <f t="shared" si="18"/>
        <v/>
      </c>
      <c r="BC16" s="190"/>
      <c r="BD16" s="191">
        <f t="shared" si="19"/>
        <v>800</v>
      </c>
      <c r="BE16" s="190"/>
      <c r="BF16" s="191" t="str">
        <f t="shared" si="20"/>
        <v/>
      </c>
      <c r="BG16" s="190"/>
      <c r="BH16" s="191" t="str">
        <f t="shared" si="21"/>
        <v/>
      </c>
      <c r="BI16" s="190"/>
      <c r="BJ16" s="191" t="str">
        <f t="shared" si="22"/>
        <v/>
      </c>
      <c r="BK16" s="190"/>
      <c r="BL16" s="191" t="str">
        <f t="shared" si="23"/>
        <v/>
      </c>
      <c r="BM16" s="190"/>
      <c r="BN16" s="191" t="str">
        <f t="shared" si="24"/>
        <v/>
      </c>
      <c r="BO16" s="190"/>
      <c r="BP16" s="191" t="str">
        <f t="shared" si="25"/>
        <v/>
      </c>
      <c r="BQ16" s="190"/>
      <c r="BR16" s="191" t="str">
        <f t="shared" si="26"/>
        <v/>
      </c>
      <c r="BS16" s="190"/>
      <c r="BT16" s="191" t="str">
        <f t="shared" si="27"/>
        <v/>
      </c>
      <c r="BU16" s="190"/>
      <c r="BV16" s="191" t="str">
        <f t="shared" si="28"/>
        <v/>
      </c>
      <c r="BW16" s="190"/>
    </row>
    <row r="17" spans="2:75" s="196" customFormat="1" ht="13">
      <c r="B17" s="179" t="s">
        <v>604</v>
      </c>
      <c r="C17" s="172" t="s">
        <v>605</v>
      </c>
      <c r="D17" s="172" t="s">
        <v>134</v>
      </c>
      <c r="E17" s="180"/>
      <c r="F17" s="172" t="s">
        <v>609</v>
      </c>
      <c r="G17" s="172" t="s">
        <v>612</v>
      </c>
      <c r="H17" s="172" t="s">
        <v>162</v>
      </c>
      <c r="I17" s="172" t="s">
        <v>613</v>
      </c>
      <c r="J17" s="181"/>
      <c r="K17" s="182">
        <v>0</v>
      </c>
      <c r="L17" s="193"/>
      <c r="M17" s="193"/>
      <c r="N17" s="193">
        <f t="shared" si="1"/>
        <v>0</v>
      </c>
      <c r="O17" s="184">
        <f t="shared" si="2"/>
        <v>0</v>
      </c>
      <c r="P17" s="193" t="s">
        <v>178</v>
      </c>
      <c r="Q17" s="194">
        <f t="shared" si="29"/>
        <v>0</v>
      </c>
      <c r="R17" s="195">
        <f t="shared" si="30"/>
        <v>0</v>
      </c>
      <c r="S17" s="179">
        <v>48</v>
      </c>
      <c r="T17" s="189">
        <f t="shared" si="31"/>
        <v>45675.333333333336</v>
      </c>
      <c r="U17" s="189"/>
      <c r="V17" s="184">
        <f t="shared" ca="1" si="3"/>
        <v>-164.66666666666424</v>
      </c>
      <c r="W17" s="189">
        <f t="shared" si="32"/>
        <v>45675.333333333336</v>
      </c>
      <c r="X17" s="189"/>
      <c r="Y17" s="184">
        <f t="shared" ca="1" si="4"/>
        <v>-164.66666666666424</v>
      </c>
      <c r="Z17" s="189"/>
      <c r="AA17" s="190"/>
      <c r="AB17" s="191" t="str">
        <f t="shared" si="5"/>
        <v>-</v>
      </c>
      <c r="AC17" s="190"/>
      <c r="AD17" s="191" t="str">
        <f t="shared" si="6"/>
        <v/>
      </c>
      <c r="AE17" s="190"/>
      <c r="AF17" s="191" t="str">
        <f t="shared" si="7"/>
        <v/>
      </c>
      <c r="AG17" s="190"/>
      <c r="AH17" s="191" t="str">
        <f t="shared" si="8"/>
        <v/>
      </c>
      <c r="AI17" s="190"/>
      <c r="AJ17" s="191" t="str">
        <f t="shared" si="9"/>
        <v/>
      </c>
      <c r="AK17" s="190"/>
      <c r="AL17" s="191" t="str">
        <f t="shared" si="10"/>
        <v/>
      </c>
      <c r="AM17" s="190"/>
      <c r="AN17" s="191" t="str">
        <f t="shared" si="11"/>
        <v/>
      </c>
      <c r="AO17" s="190"/>
      <c r="AP17" s="191" t="str">
        <f t="shared" si="12"/>
        <v/>
      </c>
      <c r="AQ17" s="190"/>
      <c r="AR17" s="191" t="str">
        <f t="shared" si="13"/>
        <v/>
      </c>
      <c r="AS17" s="190"/>
      <c r="AT17" s="191" t="str">
        <f t="shared" si="14"/>
        <v/>
      </c>
      <c r="AU17" s="190"/>
      <c r="AV17" s="191" t="str">
        <f t="shared" si="15"/>
        <v/>
      </c>
      <c r="AW17" s="190"/>
      <c r="AX17" s="191" t="str">
        <f t="shared" si="16"/>
        <v/>
      </c>
      <c r="AY17" s="190"/>
      <c r="AZ17" s="191" t="str">
        <f t="shared" si="17"/>
        <v/>
      </c>
      <c r="BA17" s="190"/>
      <c r="BB17" s="191" t="str">
        <f t="shared" si="18"/>
        <v/>
      </c>
      <c r="BC17" s="190"/>
      <c r="BD17" s="191">
        <f t="shared" si="19"/>
        <v>0</v>
      </c>
      <c r="BE17" s="190"/>
      <c r="BF17" s="191" t="str">
        <f t="shared" si="20"/>
        <v/>
      </c>
      <c r="BG17" s="190"/>
      <c r="BH17" s="191" t="str">
        <f t="shared" si="21"/>
        <v/>
      </c>
      <c r="BI17" s="190"/>
      <c r="BJ17" s="191" t="str">
        <f t="shared" si="22"/>
        <v/>
      </c>
      <c r="BK17" s="190"/>
      <c r="BL17" s="191" t="str">
        <f t="shared" si="23"/>
        <v/>
      </c>
      <c r="BM17" s="190"/>
      <c r="BN17" s="191" t="str">
        <f t="shared" si="24"/>
        <v/>
      </c>
      <c r="BO17" s="190"/>
      <c r="BP17" s="191" t="str">
        <f t="shared" si="25"/>
        <v/>
      </c>
      <c r="BQ17" s="190"/>
      <c r="BR17" s="191" t="str">
        <f t="shared" si="26"/>
        <v/>
      </c>
      <c r="BS17" s="190"/>
      <c r="BT17" s="191" t="str">
        <f t="shared" si="27"/>
        <v/>
      </c>
      <c r="BU17" s="190"/>
      <c r="BV17" s="191" t="str">
        <f t="shared" si="28"/>
        <v/>
      </c>
      <c r="BW17" s="190"/>
    </row>
    <row r="18" spans="2:75" s="192" customFormat="1" ht="13">
      <c r="B18" s="179" t="s">
        <v>604</v>
      </c>
      <c r="C18" s="172" t="s">
        <v>605</v>
      </c>
      <c r="D18" s="172" t="s">
        <v>134</v>
      </c>
      <c r="E18" s="180"/>
      <c r="F18" s="172" t="s">
        <v>610</v>
      </c>
      <c r="G18" s="172" t="s">
        <v>612</v>
      </c>
      <c r="H18" s="172" t="s">
        <v>155</v>
      </c>
      <c r="I18" s="172" t="s">
        <v>613</v>
      </c>
      <c r="J18" s="181"/>
      <c r="K18" s="182">
        <v>1000</v>
      </c>
      <c r="L18" s="183"/>
      <c r="M18" s="183"/>
      <c r="N18" s="183">
        <f t="shared" si="1"/>
        <v>1000</v>
      </c>
      <c r="O18" s="184">
        <f t="shared" si="2"/>
        <v>1000</v>
      </c>
      <c r="P18" s="183" t="s">
        <v>178</v>
      </c>
      <c r="Q18" s="185">
        <f t="shared" si="29"/>
        <v>24.509803921568629</v>
      </c>
      <c r="R18" s="186">
        <f t="shared" si="30"/>
        <v>2.4509803921568629</v>
      </c>
      <c r="S18" s="187">
        <v>48</v>
      </c>
      <c r="T18" s="197">
        <f t="shared" si="31"/>
        <v>45675.333333333336</v>
      </c>
      <c r="U18" s="189"/>
      <c r="V18" s="184">
        <f t="shared" ca="1" si="3"/>
        <v>-164.66666666666424</v>
      </c>
      <c r="W18" s="189">
        <f t="shared" si="32"/>
        <v>45677.784313725489</v>
      </c>
      <c r="X18" s="189"/>
      <c r="Y18" s="184">
        <f t="shared" ca="1" si="4"/>
        <v>-162.21568627451052</v>
      </c>
      <c r="Z18" s="189"/>
      <c r="AA18" s="190"/>
      <c r="AB18" s="191" t="str">
        <f t="shared" si="5"/>
        <v>-</v>
      </c>
      <c r="AC18" s="190"/>
      <c r="AD18" s="191" t="str">
        <f t="shared" si="6"/>
        <v/>
      </c>
      <c r="AE18" s="190"/>
      <c r="AF18" s="191" t="str">
        <f t="shared" si="7"/>
        <v/>
      </c>
      <c r="AG18" s="190"/>
      <c r="AH18" s="191" t="str">
        <f t="shared" si="8"/>
        <v/>
      </c>
      <c r="AI18" s="190"/>
      <c r="AJ18" s="191" t="str">
        <f t="shared" si="9"/>
        <v/>
      </c>
      <c r="AK18" s="190"/>
      <c r="AL18" s="191" t="str">
        <f t="shared" si="10"/>
        <v/>
      </c>
      <c r="AM18" s="190"/>
      <c r="AN18" s="191" t="str">
        <f t="shared" si="11"/>
        <v/>
      </c>
      <c r="AO18" s="190"/>
      <c r="AP18" s="191" t="str">
        <f t="shared" si="12"/>
        <v/>
      </c>
      <c r="AQ18" s="190"/>
      <c r="AR18" s="191" t="str">
        <f t="shared" si="13"/>
        <v/>
      </c>
      <c r="AS18" s="190"/>
      <c r="AT18" s="191" t="str">
        <f t="shared" si="14"/>
        <v/>
      </c>
      <c r="AU18" s="190"/>
      <c r="AV18" s="191" t="str">
        <f t="shared" si="15"/>
        <v/>
      </c>
      <c r="AW18" s="190"/>
      <c r="AX18" s="191" t="str">
        <f t="shared" si="16"/>
        <v/>
      </c>
      <c r="AY18" s="190"/>
      <c r="AZ18" s="191" t="str">
        <f t="shared" si="17"/>
        <v/>
      </c>
      <c r="BA18" s="190"/>
      <c r="BB18" s="191" t="str">
        <f t="shared" si="18"/>
        <v/>
      </c>
      <c r="BC18" s="190"/>
      <c r="BD18" s="191">
        <f t="shared" si="19"/>
        <v>1000</v>
      </c>
      <c r="BE18" s="190"/>
      <c r="BF18" s="191" t="str">
        <f t="shared" si="20"/>
        <v/>
      </c>
      <c r="BG18" s="190"/>
      <c r="BH18" s="191" t="str">
        <f t="shared" si="21"/>
        <v/>
      </c>
      <c r="BI18" s="190"/>
      <c r="BJ18" s="191" t="str">
        <f t="shared" si="22"/>
        <v/>
      </c>
      <c r="BK18" s="190"/>
      <c r="BL18" s="191" t="str">
        <f t="shared" si="23"/>
        <v/>
      </c>
      <c r="BM18" s="190"/>
      <c r="BN18" s="191" t="str">
        <f t="shared" si="24"/>
        <v/>
      </c>
      <c r="BO18" s="190"/>
      <c r="BP18" s="191" t="str">
        <f t="shared" si="25"/>
        <v/>
      </c>
      <c r="BQ18" s="190"/>
      <c r="BR18" s="191" t="str">
        <f t="shared" si="26"/>
        <v/>
      </c>
      <c r="BS18" s="190"/>
      <c r="BT18" s="191" t="str">
        <f t="shared" si="27"/>
        <v/>
      </c>
      <c r="BU18" s="190"/>
      <c r="BV18" s="191" t="str">
        <f t="shared" si="28"/>
        <v/>
      </c>
      <c r="BW18" s="190"/>
    </row>
    <row r="19" spans="2:75" s="192" customFormat="1" ht="13">
      <c r="B19" s="179" t="s">
        <v>604</v>
      </c>
      <c r="C19" s="172" t="s">
        <v>605</v>
      </c>
      <c r="D19" s="172" t="s">
        <v>134</v>
      </c>
      <c r="E19" s="180"/>
      <c r="F19" s="172" t="s">
        <v>606</v>
      </c>
      <c r="G19" s="172" t="s">
        <v>614</v>
      </c>
      <c r="H19" s="172" t="s">
        <v>239</v>
      </c>
      <c r="I19" s="172" t="s">
        <v>615</v>
      </c>
      <c r="J19" s="181"/>
      <c r="K19" s="182">
        <v>1000</v>
      </c>
      <c r="L19" s="183"/>
      <c r="M19" s="183"/>
      <c r="N19" s="183">
        <f t="shared" si="1"/>
        <v>1000</v>
      </c>
      <c r="O19" s="184">
        <f t="shared" si="2"/>
        <v>1000</v>
      </c>
      <c r="P19" s="183" t="s">
        <v>178</v>
      </c>
      <c r="Q19" s="185">
        <f t="shared" si="29"/>
        <v>14.705882352941176</v>
      </c>
      <c r="R19" s="186">
        <f t="shared" si="30"/>
        <v>1.4705882352941175</v>
      </c>
      <c r="S19" s="187">
        <v>80</v>
      </c>
      <c r="T19" s="197">
        <f t="shared" si="31"/>
        <v>45677.784313725489</v>
      </c>
      <c r="U19" s="189"/>
      <c r="V19" s="184">
        <f t="shared" ca="1" si="3"/>
        <v>-162.21568627451052</v>
      </c>
      <c r="W19" s="189">
        <f t="shared" si="32"/>
        <v>45679.254901960783</v>
      </c>
      <c r="X19" s="189"/>
      <c r="Y19" s="184">
        <f t="shared" ca="1" si="4"/>
        <v>-160.74509803921683</v>
      </c>
      <c r="Z19" s="189"/>
      <c r="AA19" s="190"/>
      <c r="AB19" s="191" t="str">
        <f t="shared" si="5"/>
        <v>-</v>
      </c>
      <c r="AC19" s="190"/>
      <c r="AD19" s="191" t="str">
        <f t="shared" si="6"/>
        <v/>
      </c>
      <c r="AE19" s="190"/>
      <c r="AF19" s="191" t="str">
        <f t="shared" si="7"/>
        <v/>
      </c>
      <c r="AG19" s="190"/>
      <c r="AH19" s="191" t="str">
        <f t="shared" si="8"/>
        <v/>
      </c>
      <c r="AI19" s="190"/>
      <c r="AJ19" s="191" t="str">
        <f t="shared" si="9"/>
        <v/>
      </c>
      <c r="AK19" s="190"/>
      <c r="AL19" s="191" t="str">
        <f t="shared" si="10"/>
        <v/>
      </c>
      <c r="AM19" s="190"/>
      <c r="AN19" s="191" t="str">
        <f t="shared" si="11"/>
        <v/>
      </c>
      <c r="AO19" s="190"/>
      <c r="AP19" s="191" t="str">
        <f t="shared" si="12"/>
        <v/>
      </c>
      <c r="AQ19" s="190"/>
      <c r="AR19" s="191" t="str">
        <f t="shared" si="13"/>
        <v/>
      </c>
      <c r="AS19" s="190"/>
      <c r="AT19" s="191" t="str">
        <f t="shared" si="14"/>
        <v/>
      </c>
      <c r="AU19" s="190"/>
      <c r="AV19" s="191" t="str">
        <f t="shared" si="15"/>
        <v/>
      </c>
      <c r="AW19" s="190"/>
      <c r="AX19" s="191" t="str">
        <f t="shared" si="16"/>
        <v/>
      </c>
      <c r="AY19" s="190"/>
      <c r="AZ19" s="191" t="str">
        <f t="shared" si="17"/>
        <v/>
      </c>
      <c r="BA19" s="190"/>
      <c r="BB19" s="191" t="str">
        <f t="shared" si="18"/>
        <v/>
      </c>
      <c r="BC19" s="190"/>
      <c r="BD19" s="191" t="str">
        <f t="shared" si="19"/>
        <v/>
      </c>
      <c r="BE19" s="190"/>
      <c r="BF19" s="191">
        <f t="shared" si="20"/>
        <v>1000</v>
      </c>
      <c r="BG19" s="190"/>
      <c r="BH19" s="191" t="str">
        <f t="shared" si="21"/>
        <v/>
      </c>
      <c r="BI19" s="190"/>
      <c r="BJ19" s="191" t="str">
        <f t="shared" si="22"/>
        <v/>
      </c>
      <c r="BK19" s="190"/>
      <c r="BL19" s="191" t="str">
        <f t="shared" si="23"/>
        <v/>
      </c>
      <c r="BM19" s="190"/>
      <c r="BN19" s="191" t="str">
        <f t="shared" si="24"/>
        <v/>
      </c>
      <c r="BO19" s="190"/>
      <c r="BP19" s="191" t="str">
        <f t="shared" si="25"/>
        <v/>
      </c>
      <c r="BQ19" s="190"/>
      <c r="BR19" s="191" t="str">
        <f t="shared" si="26"/>
        <v/>
      </c>
      <c r="BS19" s="190"/>
      <c r="BT19" s="191" t="str">
        <f t="shared" si="27"/>
        <v/>
      </c>
      <c r="BU19" s="190"/>
      <c r="BV19" s="191" t="str">
        <f t="shared" si="28"/>
        <v/>
      </c>
      <c r="BW19" s="190"/>
    </row>
    <row r="20" spans="2:75" s="196" customFormat="1" ht="13">
      <c r="B20" s="179" t="s">
        <v>604</v>
      </c>
      <c r="C20" s="172" t="s">
        <v>605</v>
      </c>
      <c r="D20" s="172" t="s">
        <v>134</v>
      </c>
      <c r="E20" s="180"/>
      <c r="F20" s="172" t="s">
        <v>609</v>
      </c>
      <c r="G20" s="172" t="s">
        <v>614</v>
      </c>
      <c r="H20" s="172" t="s">
        <v>162</v>
      </c>
      <c r="I20" s="172" t="s">
        <v>615</v>
      </c>
      <c r="J20" s="181"/>
      <c r="K20" s="182">
        <v>0</v>
      </c>
      <c r="L20" s="193"/>
      <c r="M20" s="193"/>
      <c r="N20" s="193">
        <f t="shared" si="1"/>
        <v>0</v>
      </c>
      <c r="O20" s="184">
        <f t="shared" si="2"/>
        <v>0</v>
      </c>
      <c r="P20" s="193" t="s">
        <v>178</v>
      </c>
      <c r="Q20" s="194">
        <f t="shared" si="29"/>
        <v>0</v>
      </c>
      <c r="R20" s="195">
        <f t="shared" si="30"/>
        <v>0</v>
      </c>
      <c r="S20" s="179">
        <v>80</v>
      </c>
      <c r="T20" s="189">
        <f t="shared" si="31"/>
        <v>45679.254901960783</v>
      </c>
      <c r="U20" s="189"/>
      <c r="V20" s="184">
        <f t="shared" ca="1" si="3"/>
        <v>-160.74509803921683</v>
      </c>
      <c r="W20" s="189">
        <f t="shared" si="32"/>
        <v>45679.254901960783</v>
      </c>
      <c r="X20" s="189"/>
      <c r="Y20" s="184">
        <f t="shared" ca="1" si="4"/>
        <v>-160.74509803921683</v>
      </c>
      <c r="Z20" s="189"/>
      <c r="AA20" s="190"/>
      <c r="AB20" s="191" t="str">
        <f t="shared" si="5"/>
        <v>-</v>
      </c>
      <c r="AC20" s="190"/>
      <c r="AD20" s="191" t="str">
        <f t="shared" si="6"/>
        <v/>
      </c>
      <c r="AE20" s="190"/>
      <c r="AF20" s="191" t="str">
        <f t="shared" si="7"/>
        <v/>
      </c>
      <c r="AG20" s="190"/>
      <c r="AH20" s="191" t="str">
        <f t="shared" si="8"/>
        <v/>
      </c>
      <c r="AI20" s="190"/>
      <c r="AJ20" s="191" t="str">
        <f t="shared" si="9"/>
        <v/>
      </c>
      <c r="AK20" s="190"/>
      <c r="AL20" s="191" t="str">
        <f t="shared" si="10"/>
        <v/>
      </c>
      <c r="AM20" s="190"/>
      <c r="AN20" s="191" t="str">
        <f t="shared" si="11"/>
        <v/>
      </c>
      <c r="AO20" s="190"/>
      <c r="AP20" s="191" t="str">
        <f t="shared" si="12"/>
        <v/>
      </c>
      <c r="AQ20" s="190"/>
      <c r="AR20" s="191" t="str">
        <f t="shared" si="13"/>
        <v/>
      </c>
      <c r="AS20" s="190"/>
      <c r="AT20" s="191" t="str">
        <f t="shared" si="14"/>
        <v/>
      </c>
      <c r="AU20" s="190"/>
      <c r="AV20" s="191" t="str">
        <f t="shared" si="15"/>
        <v/>
      </c>
      <c r="AW20" s="190"/>
      <c r="AX20" s="191" t="str">
        <f t="shared" si="16"/>
        <v/>
      </c>
      <c r="AY20" s="190"/>
      <c r="AZ20" s="191" t="str">
        <f t="shared" si="17"/>
        <v/>
      </c>
      <c r="BA20" s="190"/>
      <c r="BB20" s="191" t="str">
        <f t="shared" si="18"/>
        <v/>
      </c>
      <c r="BC20" s="190"/>
      <c r="BD20" s="191" t="str">
        <f t="shared" si="19"/>
        <v/>
      </c>
      <c r="BE20" s="190"/>
      <c r="BF20" s="191">
        <f t="shared" si="20"/>
        <v>0</v>
      </c>
      <c r="BG20" s="190"/>
      <c r="BH20" s="191" t="str">
        <f t="shared" si="21"/>
        <v/>
      </c>
      <c r="BI20" s="190"/>
      <c r="BJ20" s="191" t="str">
        <f t="shared" si="22"/>
        <v/>
      </c>
      <c r="BK20" s="190"/>
      <c r="BL20" s="191" t="str">
        <f t="shared" si="23"/>
        <v/>
      </c>
      <c r="BM20" s="190"/>
      <c r="BN20" s="191" t="str">
        <f t="shared" si="24"/>
        <v/>
      </c>
      <c r="BO20" s="190"/>
      <c r="BP20" s="191" t="str">
        <f t="shared" si="25"/>
        <v/>
      </c>
      <c r="BQ20" s="190"/>
      <c r="BR20" s="191" t="str">
        <f t="shared" si="26"/>
        <v/>
      </c>
      <c r="BS20" s="190"/>
      <c r="BT20" s="191" t="str">
        <f t="shared" si="27"/>
        <v/>
      </c>
      <c r="BU20" s="190"/>
      <c r="BV20" s="191" t="str">
        <f t="shared" si="28"/>
        <v/>
      </c>
      <c r="BW20" s="190"/>
    </row>
    <row r="21" spans="2:75" s="192" customFormat="1" ht="13">
      <c r="B21" s="179" t="s">
        <v>604</v>
      </c>
      <c r="C21" s="172" t="s">
        <v>605</v>
      </c>
      <c r="D21" s="172" t="s">
        <v>134</v>
      </c>
      <c r="E21" s="180"/>
      <c r="F21" s="172" t="s">
        <v>610</v>
      </c>
      <c r="G21" s="172" t="s">
        <v>614</v>
      </c>
      <c r="H21" s="172" t="s">
        <v>155</v>
      </c>
      <c r="I21" s="172" t="s">
        <v>615</v>
      </c>
      <c r="J21" s="181"/>
      <c r="K21" s="182">
        <v>1000</v>
      </c>
      <c r="L21" s="183"/>
      <c r="M21" s="183"/>
      <c r="N21" s="183">
        <f t="shared" si="1"/>
        <v>1000</v>
      </c>
      <c r="O21" s="184">
        <f t="shared" si="2"/>
        <v>1000</v>
      </c>
      <c r="P21" s="183" t="s">
        <v>178</v>
      </c>
      <c r="Q21" s="185">
        <f t="shared" si="29"/>
        <v>14.705882352941176</v>
      </c>
      <c r="R21" s="186">
        <f t="shared" si="30"/>
        <v>1.4705882352941175</v>
      </c>
      <c r="S21" s="187">
        <v>80</v>
      </c>
      <c r="T21" s="197">
        <f t="shared" si="31"/>
        <v>45679.254901960783</v>
      </c>
      <c r="U21" s="189"/>
      <c r="V21" s="184">
        <f t="shared" ca="1" si="3"/>
        <v>-160.74509803921683</v>
      </c>
      <c r="W21" s="189">
        <f t="shared" si="32"/>
        <v>45680.725490196077</v>
      </c>
      <c r="X21" s="189"/>
      <c r="Y21" s="184">
        <f t="shared" ca="1" si="4"/>
        <v>-159.27450980392314</v>
      </c>
      <c r="Z21" s="189"/>
      <c r="AA21" s="190"/>
      <c r="AB21" s="191" t="str">
        <f t="shared" si="5"/>
        <v>-</v>
      </c>
      <c r="AC21" s="190"/>
      <c r="AD21" s="191" t="str">
        <f t="shared" si="6"/>
        <v/>
      </c>
      <c r="AE21" s="190"/>
      <c r="AF21" s="191" t="str">
        <f t="shared" si="7"/>
        <v/>
      </c>
      <c r="AG21" s="190"/>
      <c r="AH21" s="191" t="str">
        <f t="shared" si="8"/>
        <v/>
      </c>
      <c r="AI21" s="190"/>
      <c r="AJ21" s="191" t="str">
        <f t="shared" si="9"/>
        <v/>
      </c>
      <c r="AK21" s="190"/>
      <c r="AL21" s="191" t="str">
        <f t="shared" si="10"/>
        <v/>
      </c>
      <c r="AM21" s="190"/>
      <c r="AN21" s="191" t="str">
        <f t="shared" si="11"/>
        <v/>
      </c>
      <c r="AO21" s="190"/>
      <c r="AP21" s="191" t="str">
        <f t="shared" si="12"/>
        <v/>
      </c>
      <c r="AQ21" s="190"/>
      <c r="AR21" s="191" t="str">
        <f t="shared" si="13"/>
        <v/>
      </c>
      <c r="AS21" s="190"/>
      <c r="AT21" s="191" t="str">
        <f t="shared" si="14"/>
        <v/>
      </c>
      <c r="AU21" s="190"/>
      <c r="AV21" s="191" t="str">
        <f t="shared" si="15"/>
        <v/>
      </c>
      <c r="AW21" s="190"/>
      <c r="AX21" s="191" t="str">
        <f t="shared" si="16"/>
        <v/>
      </c>
      <c r="AY21" s="190"/>
      <c r="AZ21" s="191" t="str">
        <f t="shared" si="17"/>
        <v/>
      </c>
      <c r="BA21" s="190"/>
      <c r="BB21" s="191" t="str">
        <f t="shared" si="18"/>
        <v/>
      </c>
      <c r="BC21" s="190"/>
      <c r="BD21" s="191" t="str">
        <f t="shared" si="19"/>
        <v/>
      </c>
      <c r="BE21" s="190"/>
      <c r="BF21" s="191">
        <f t="shared" si="20"/>
        <v>1000</v>
      </c>
      <c r="BG21" s="190"/>
      <c r="BH21" s="191" t="str">
        <f t="shared" si="21"/>
        <v/>
      </c>
      <c r="BI21" s="190"/>
      <c r="BJ21" s="191" t="str">
        <f t="shared" si="22"/>
        <v/>
      </c>
      <c r="BK21" s="190"/>
      <c r="BL21" s="191" t="str">
        <f t="shared" si="23"/>
        <v/>
      </c>
      <c r="BM21" s="190"/>
      <c r="BN21" s="191" t="str">
        <f t="shared" si="24"/>
        <v/>
      </c>
      <c r="BO21" s="190"/>
      <c r="BP21" s="191" t="str">
        <f t="shared" si="25"/>
        <v/>
      </c>
      <c r="BQ21" s="190"/>
      <c r="BR21" s="191" t="str">
        <f t="shared" si="26"/>
        <v/>
      </c>
      <c r="BS21" s="190"/>
      <c r="BT21" s="191" t="str">
        <f t="shared" si="27"/>
        <v/>
      </c>
      <c r="BU21" s="190"/>
      <c r="BV21" s="191" t="str">
        <f t="shared" si="28"/>
        <v/>
      </c>
      <c r="BW21" s="190"/>
    </row>
    <row r="22" spans="2:75" s="196" customFormat="1" ht="13">
      <c r="B22" s="179" t="s">
        <v>604</v>
      </c>
      <c r="C22" s="172" t="s">
        <v>605</v>
      </c>
      <c r="D22" s="172" t="s">
        <v>134</v>
      </c>
      <c r="E22" s="180"/>
      <c r="F22" s="172" t="s">
        <v>606</v>
      </c>
      <c r="G22" s="172" t="s">
        <v>240</v>
      </c>
      <c r="H22" s="172" t="s">
        <v>239</v>
      </c>
      <c r="I22" s="172" t="s">
        <v>616</v>
      </c>
      <c r="J22" s="181"/>
      <c r="K22" s="182">
        <v>0</v>
      </c>
      <c r="L22" s="193"/>
      <c r="M22" s="193"/>
      <c r="N22" s="193">
        <f t="shared" si="1"/>
        <v>0</v>
      </c>
      <c r="O22" s="184">
        <f t="shared" si="2"/>
        <v>0</v>
      </c>
      <c r="P22" s="193" t="s">
        <v>178</v>
      </c>
      <c r="Q22" s="194">
        <f t="shared" si="29"/>
        <v>0</v>
      </c>
      <c r="R22" s="195">
        <f t="shared" si="30"/>
        <v>0</v>
      </c>
      <c r="S22" s="179">
        <v>24</v>
      </c>
      <c r="T22" s="189">
        <f t="shared" si="31"/>
        <v>45680.725490196077</v>
      </c>
      <c r="U22" s="189"/>
      <c r="V22" s="184">
        <f t="shared" ca="1" si="3"/>
        <v>-159.27450980392314</v>
      </c>
      <c r="W22" s="189">
        <f t="shared" si="32"/>
        <v>45680.725490196077</v>
      </c>
      <c r="X22" s="189"/>
      <c r="Y22" s="184">
        <f t="shared" ca="1" si="4"/>
        <v>-159.27450980392314</v>
      </c>
      <c r="Z22" s="189"/>
      <c r="AA22" s="190"/>
      <c r="AB22" s="191" t="str">
        <f t="shared" si="5"/>
        <v>-</v>
      </c>
      <c r="AC22" s="190"/>
      <c r="AD22" s="191" t="str">
        <f t="shared" si="6"/>
        <v/>
      </c>
      <c r="AE22" s="190"/>
      <c r="AF22" s="191" t="str">
        <f t="shared" si="7"/>
        <v/>
      </c>
      <c r="AG22" s="190"/>
      <c r="AH22" s="191" t="str">
        <f t="shared" si="8"/>
        <v/>
      </c>
      <c r="AI22" s="190"/>
      <c r="AJ22" s="191" t="str">
        <f t="shared" si="9"/>
        <v/>
      </c>
      <c r="AK22" s="190"/>
      <c r="AL22" s="191" t="str">
        <f t="shared" si="10"/>
        <v/>
      </c>
      <c r="AM22" s="190"/>
      <c r="AN22" s="191" t="str">
        <f t="shared" si="11"/>
        <v/>
      </c>
      <c r="AO22" s="190"/>
      <c r="AP22" s="191" t="str">
        <f t="shared" si="12"/>
        <v/>
      </c>
      <c r="AQ22" s="190"/>
      <c r="AR22" s="191" t="str">
        <f t="shared" si="13"/>
        <v/>
      </c>
      <c r="AS22" s="190"/>
      <c r="AT22" s="191" t="str">
        <f t="shared" si="14"/>
        <v/>
      </c>
      <c r="AU22" s="190"/>
      <c r="AV22" s="191" t="str">
        <f t="shared" si="15"/>
        <v/>
      </c>
      <c r="AW22" s="190"/>
      <c r="AX22" s="191" t="str">
        <f t="shared" si="16"/>
        <v/>
      </c>
      <c r="AY22" s="190"/>
      <c r="AZ22" s="191" t="str">
        <f t="shared" si="17"/>
        <v/>
      </c>
      <c r="BA22" s="190"/>
      <c r="BB22" s="191" t="str">
        <f t="shared" si="18"/>
        <v/>
      </c>
      <c r="BC22" s="190"/>
      <c r="BD22" s="191" t="str">
        <f t="shared" si="19"/>
        <v/>
      </c>
      <c r="BE22" s="190"/>
      <c r="BF22" s="191">
        <f t="shared" si="20"/>
        <v>0</v>
      </c>
      <c r="BG22" s="190"/>
      <c r="BH22" s="191" t="str">
        <f t="shared" si="21"/>
        <v/>
      </c>
      <c r="BI22" s="190"/>
      <c r="BJ22" s="191" t="str">
        <f t="shared" si="22"/>
        <v/>
      </c>
      <c r="BK22" s="190"/>
      <c r="BL22" s="191" t="str">
        <f t="shared" si="23"/>
        <v/>
      </c>
      <c r="BM22" s="190"/>
      <c r="BN22" s="191" t="str">
        <f t="shared" si="24"/>
        <v/>
      </c>
      <c r="BO22" s="190"/>
      <c r="BP22" s="191" t="str">
        <f t="shared" si="25"/>
        <v/>
      </c>
      <c r="BQ22" s="190"/>
      <c r="BR22" s="191" t="str">
        <f t="shared" si="26"/>
        <v/>
      </c>
      <c r="BS22" s="190"/>
      <c r="BT22" s="191" t="str">
        <f t="shared" si="27"/>
        <v/>
      </c>
      <c r="BU22" s="190"/>
      <c r="BV22" s="191" t="str">
        <f t="shared" si="28"/>
        <v/>
      </c>
      <c r="BW22" s="190"/>
    </row>
    <row r="23" spans="2:75" s="192" customFormat="1" ht="13">
      <c r="B23" s="179" t="s">
        <v>604</v>
      </c>
      <c r="C23" s="172" t="s">
        <v>605</v>
      </c>
      <c r="D23" s="172" t="s">
        <v>134</v>
      </c>
      <c r="E23" s="180"/>
      <c r="F23" s="172" t="s">
        <v>609</v>
      </c>
      <c r="G23" s="172" t="s">
        <v>240</v>
      </c>
      <c r="H23" s="172" t="s">
        <v>162</v>
      </c>
      <c r="I23" s="172" t="s">
        <v>616</v>
      </c>
      <c r="J23" s="181"/>
      <c r="K23" s="182"/>
      <c r="L23" s="183"/>
      <c r="M23" s="183"/>
      <c r="N23" s="183">
        <f t="shared" si="1"/>
        <v>0</v>
      </c>
      <c r="O23" s="184">
        <f t="shared" si="2"/>
        <v>0</v>
      </c>
      <c r="P23" s="183" t="s">
        <v>178</v>
      </c>
      <c r="Q23" s="185">
        <f t="shared" si="29"/>
        <v>0</v>
      </c>
      <c r="R23" s="186">
        <f t="shared" si="30"/>
        <v>0</v>
      </c>
      <c r="S23" s="187">
        <v>24</v>
      </c>
      <c r="T23" s="197">
        <f t="shared" si="31"/>
        <v>45680.725490196077</v>
      </c>
      <c r="U23" s="189"/>
      <c r="V23" s="184">
        <f t="shared" ca="1" si="3"/>
        <v>-159.27450980392314</v>
      </c>
      <c r="W23" s="189">
        <f t="shared" si="32"/>
        <v>45680.725490196077</v>
      </c>
      <c r="X23" s="189"/>
      <c r="Y23" s="184">
        <f t="shared" ca="1" si="4"/>
        <v>-159.27450980392314</v>
      </c>
      <c r="Z23" s="189"/>
      <c r="AA23" s="190"/>
      <c r="AB23" s="191" t="str">
        <f t="shared" si="5"/>
        <v>-</v>
      </c>
      <c r="AC23" s="190"/>
      <c r="AD23" s="191" t="str">
        <f t="shared" si="6"/>
        <v/>
      </c>
      <c r="AE23" s="190"/>
      <c r="AF23" s="191" t="str">
        <f t="shared" si="7"/>
        <v/>
      </c>
      <c r="AG23" s="190"/>
      <c r="AH23" s="191" t="str">
        <f t="shared" si="8"/>
        <v/>
      </c>
      <c r="AI23" s="190"/>
      <c r="AJ23" s="191" t="str">
        <f t="shared" si="9"/>
        <v/>
      </c>
      <c r="AK23" s="190"/>
      <c r="AL23" s="191" t="str">
        <f t="shared" si="10"/>
        <v/>
      </c>
      <c r="AM23" s="190"/>
      <c r="AN23" s="191" t="str">
        <f t="shared" si="11"/>
        <v/>
      </c>
      <c r="AO23" s="190"/>
      <c r="AP23" s="191" t="str">
        <f t="shared" si="12"/>
        <v/>
      </c>
      <c r="AQ23" s="190"/>
      <c r="AR23" s="191" t="str">
        <f t="shared" si="13"/>
        <v/>
      </c>
      <c r="AS23" s="190"/>
      <c r="AT23" s="191" t="str">
        <f t="shared" si="14"/>
        <v/>
      </c>
      <c r="AU23" s="190"/>
      <c r="AV23" s="191" t="str">
        <f t="shared" si="15"/>
        <v/>
      </c>
      <c r="AW23" s="190"/>
      <c r="AX23" s="191" t="str">
        <f t="shared" si="16"/>
        <v/>
      </c>
      <c r="AY23" s="190"/>
      <c r="AZ23" s="191" t="str">
        <f t="shared" si="17"/>
        <v/>
      </c>
      <c r="BA23" s="190"/>
      <c r="BB23" s="191" t="str">
        <f t="shared" si="18"/>
        <v/>
      </c>
      <c r="BC23" s="190"/>
      <c r="BD23" s="191" t="str">
        <f t="shared" si="19"/>
        <v/>
      </c>
      <c r="BE23" s="190"/>
      <c r="BF23" s="191">
        <f t="shared" si="20"/>
        <v>0</v>
      </c>
      <c r="BG23" s="190"/>
      <c r="BH23" s="191" t="str">
        <f t="shared" si="21"/>
        <v/>
      </c>
      <c r="BI23" s="190"/>
      <c r="BJ23" s="191" t="str">
        <f t="shared" si="22"/>
        <v/>
      </c>
      <c r="BK23" s="190"/>
      <c r="BL23" s="191" t="str">
        <f t="shared" si="23"/>
        <v/>
      </c>
      <c r="BM23" s="190"/>
      <c r="BN23" s="191" t="str">
        <f t="shared" si="24"/>
        <v/>
      </c>
      <c r="BO23" s="190"/>
      <c r="BP23" s="191" t="str">
        <f t="shared" si="25"/>
        <v/>
      </c>
      <c r="BQ23" s="190"/>
      <c r="BR23" s="191" t="str">
        <f t="shared" si="26"/>
        <v/>
      </c>
      <c r="BS23" s="190"/>
      <c r="BT23" s="191" t="str">
        <f t="shared" si="27"/>
        <v/>
      </c>
      <c r="BU23" s="190"/>
      <c r="BV23" s="191" t="str">
        <f t="shared" si="28"/>
        <v/>
      </c>
      <c r="BW23" s="190"/>
    </row>
    <row r="24" spans="2:75" s="192" customFormat="1" ht="13">
      <c r="B24" s="179" t="s">
        <v>604</v>
      </c>
      <c r="C24" s="172" t="s">
        <v>605</v>
      </c>
      <c r="D24" s="172" t="s">
        <v>134</v>
      </c>
      <c r="E24" s="180"/>
      <c r="F24" s="172" t="s">
        <v>610</v>
      </c>
      <c r="G24" s="172" t="s">
        <v>240</v>
      </c>
      <c r="H24" s="172" t="s">
        <v>155</v>
      </c>
      <c r="I24" s="172" t="s">
        <v>616</v>
      </c>
      <c r="J24" s="181"/>
      <c r="K24" s="182"/>
      <c r="L24" s="183"/>
      <c r="M24" s="183"/>
      <c r="N24" s="183">
        <f t="shared" si="1"/>
        <v>0</v>
      </c>
      <c r="O24" s="184">
        <f t="shared" si="2"/>
        <v>0</v>
      </c>
      <c r="P24" s="183" t="s">
        <v>178</v>
      </c>
      <c r="Q24" s="185">
        <f t="shared" si="29"/>
        <v>0</v>
      </c>
      <c r="R24" s="186">
        <f t="shared" si="30"/>
        <v>0</v>
      </c>
      <c r="S24" s="187">
        <v>24</v>
      </c>
      <c r="T24" s="197">
        <f t="shared" si="31"/>
        <v>45680.725490196077</v>
      </c>
      <c r="U24" s="189"/>
      <c r="V24" s="184">
        <f t="shared" ca="1" si="3"/>
        <v>-159.27450980392314</v>
      </c>
      <c r="W24" s="189">
        <f t="shared" si="32"/>
        <v>45680.725490196077</v>
      </c>
      <c r="X24" s="189"/>
      <c r="Y24" s="184">
        <f t="shared" ca="1" si="4"/>
        <v>-159.27450980392314</v>
      </c>
      <c r="Z24" s="189"/>
      <c r="AA24" s="190"/>
      <c r="AB24" s="191" t="str">
        <f t="shared" si="5"/>
        <v>-</v>
      </c>
      <c r="AC24" s="190"/>
      <c r="AD24" s="191" t="str">
        <f t="shared" si="6"/>
        <v/>
      </c>
      <c r="AE24" s="190"/>
      <c r="AF24" s="191" t="str">
        <f t="shared" si="7"/>
        <v/>
      </c>
      <c r="AG24" s="190"/>
      <c r="AH24" s="191" t="str">
        <f t="shared" si="8"/>
        <v/>
      </c>
      <c r="AI24" s="190"/>
      <c r="AJ24" s="191" t="str">
        <f t="shared" si="9"/>
        <v/>
      </c>
      <c r="AK24" s="190"/>
      <c r="AL24" s="191" t="str">
        <f t="shared" si="10"/>
        <v/>
      </c>
      <c r="AM24" s="190"/>
      <c r="AN24" s="191" t="str">
        <f t="shared" si="11"/>
        <v/>
      </c>
      <c r="AO24" s="190"/>
      <c r="AP24" s="191" t="str">
        <f t="shared" si="12"/>
        <v/>
      </c>
      <c r="AQ24" s="190"/>
      <c r="AR24" s="191" t="str">
        <f t="shared" si="13"/>
        <v/>
      </c>
      <c r="AS24" s="190"/>
      <c r="AT24" s="191" t="str">
        <f t="shared" si="14"/>
        <v/>
      </c>
      <c r="AU24" s="190"/>
      <c r="AV24" s="191" t="str">
        <f t="shared" si="15"/>
        <v/>
      </c>
      <c r="AW24" s="190"/>
      <c r="AX24" s="191" t="str">
        <f t="shared" si="16"/>
        <v/>
      </c>
      <c r="AY24" s="190"/>
      <c r="AZ24" s="191" t="str">
        <f t="shared" si="17"/>
        <v/>
      </c>
      <c r="BA24" s="190"/>
      <c r="BB24" s="191" t="str">
        <f t="shared" si="18"/>
        <v/>
      </c>
      <c r="BC24" s="190"/>
      <c r="BD24" s="191" t="str">
        <f t="shared" si="19"/>
        <v/>
      </c>
      <c r="BE24" s="190"/>
      <c r="BF24" s="191">
        <f t="shared" si="20"/>
        <v>0</v>
      </c>
      <c r="BG24" s="190"/>
      <c r="BH24" s="191" t="str">
        <f t="shared" si="21"/>
        <v/>
      </c>
      <c r="BI24" s="190"/>
      <c r="BJ24" s="191" t="str">
        <f t="shared" si="22"/>
        <v/>
      </c>
      <c r="BK24" s="190"/>
      <c r="BL24" s="191" t="str">
        <f t="shared" si="23"/>
        <v/>
      </c>
      <c r="BM24" s="190"/>
      <c r="BN24" s="191" t="str">
        <f t="shared" si="24"/>
        <v/>
      </c>
      <c r="BO24" s="190"/>
      <c r="BP24" s="191" t="str">
        <f t="shared" si="25"/>
        <v/>
      </c>
      <c r="BQ24" s="190"/>
      <c r="BR24" s="191" t="str">
        <f t="shared" si="26"/>
        <v/>
      </c>
      <c r="BS24" s="190"/>
      <c r="BT24" s="191" t="str">
        <f t="shared" si="27"/>
        <v/>
      </c>
      <c r="BU24" s="190"/>
      <c r="BV24" s="191" t="str">
        <f t="shared" si="28"/>
        <v/>
      </c>
      <c r="BW24" s="190"/>
    </row>
    <row r="25" spans="2:75" s="196" customFormat="1" ht="13">
      <c r="B25" s="179" t="s">
        <v>604</v>
      </c>
      <c r="C25" s="172" t="s">
        <v>605</v>
      </c>
      <c r="D25" s="172" t="s">
        <v>134</v>
      </c>
      <c r="E25" s="180"/>
      <c r="F25" s="172" t="s">
        <v>606</v>
      </c>
      <c r="G25" s="172" t="s">
        <v>241</v>
      </c>
      <c r="H25" s="172" t="s">
        <v>239</v>
      </c>
      <c r="I25" s="172" t="s">
        <v>617</v>
      </c>
      <c r="J25" s="181"/>
      <c r="K25" s="182">
        <v>0</v>
      </c>
      <c r="L25" s="193"/>
      <c r="M25" s="193"/>
      <c r="N25" s="193">
        <f t="shared" si="1"/>
        <v>0</v>
      </c>
      <c r="O25" s="184">
        <f t="shared" si="2"/>
        <v>0</v>
      </c>
      <c r="P25" s="193" t="s">
        <v>178</v>
      </c>
      <c r="Q25" s="194">
        <f t="shared" si="29"/>
        <v>0</v>
      </c>
      <c r="R25" s="195">
        <f t="shared" si="30"/>
        <v>0</v>
      </c>
      <c r="S25" s="179">
        <v>32</v>
      </c>
      <c r="T25" s="189">
        <f t="shared" si="31"/>
        <v>45680.725490196077</v>
      </c>
      <c r="U25" s="189"/>
      <c r="V25" s="184">
        <f t="shared" ca="1" si="3"/>
        <v>-159.27450980392314</v>
      </c>
      <c r="W25" s="189">
        <f t="shared" si="32"/>
        <v>45680.725490196077</v>
      </c>
      <c r="X25" s="189"/>
      <c r="Y25" s="184">
        <f t="shared" ca="1" si="4"/>
        <v>-159.27450980392314</v>
      </c>
      <c r="Z25" s="189"/>
      <c r="AA25" s="190"/>
      <c r="AB25" s="191" t="str">
        <f t="shared" si="5"/>
        <v>-</v>
      </c>
      <c r="AC25" s="190"/>
      <c r="AD25" s="191" t="str">
        <f t="shared" si="6"/>
        <v/>
      </c>
      <c r="AE25" s="190"/>
      <c r="AF25" s="191" t="str">
        <f t="shared" si="7"/>
        <v/>
      </c>
      <c r="AG25" s="190"/>
      <c r="AH25" s="191" t="str">
        <f t="shared" si="8"/>
        <v/>
      </c>
      <c r="AI25" s="190"/>
      <c r="AJ25" s="191" t="str">
        <f t="shared" si="9"/>
        <v/>
      </c>
      <c r="AK25" s="190"/>
      <c r="AL25" s="191" t="str">
        <f t="shared" si="10"/>
        <v/>
      </c>
      <c r="AM25" s="190"/>
      <c r="AN25" s="191" t="str">
        <f t="shared" si="11"/>
        <v/>
      </c>
      <c r="AO25" s="190"/>
      <c r="AP25" s="191" t="str">
        <f t="shared" si="12"/>
        <v/>
      </c>
      <c r="AQ25" s="190"/>
      <c r="AR25" s="191" t="str">
        <f t="shared" si="13"/>
        <v/>
      </c>
      <c r="AS25" s="190"/>
      <c r="AT25" s="191" t="str">
        <f t="shared" si="14"/>
        <v/>
      </c>
      <c r="AU25" s="190"/>
      <c r="AV25" s="191" t="str">
        <f t="shared" si="15"/>
        <v/>
      </c>
      <c r="AW25" s="190"/>
      <c r="AX25" s="191" t="str">
        <f t="shared" si="16"/>
        <v/>
      </c>
      <c r="AY25" s="190"/>
      <c r="AZ25" s="191" t="str">
        <f t="shared" si="17"/>
        <v/>
      </c>
      <c r="BA25" s="190"/>
      <c r="BB25" s="191" t="str">
        <f t="shared" si="18"/>
        <v/>
      </c>
      <c r="BC25" s="190"/>
      <c r="BD25" s="191" t="str">
        <f t="shared" si="19"/>
        <v/>
      </c>
      <c r="BE25" s="190"/>
      <c r="BF25" s="191">
        <f t="shared" si="20"/>
        <v>0</v>
      </c>
      <c r="BG25" s="190"/>
      <c r="BH25" s="191" t="str">
        <f t="shared" si="21"/>
        <v/>
      </c>
      <c r="BI25" s="190"/>
      <c r="BJ25" s="191" t="str">
        <f t="shared" si="22"/>
        <v/>
      </c>
      <c r="BK25" s="190"/>
      <c r="BL25" s="191" t="str">
        <f t="shared" si="23"/>
        <v/>
      </c>
      <c r="BM25" s="190"/>
      <c r="BN25" s="191" t="str">
        <f t="shared" si="24"/>
        <v/>
      </c>
      <c r="BO25" s="190"/>
      <c r="BP25" s="191" t="str">
        <f t="shared" si="25"/>
        <v/>
      </c>
      <c r="BQ25" s="190"/>
      <c r="BR25" s="191" t="str">
        <f t="shared" si="26"/>
        <v/>
      </c>
      <c r="BS25" s="190"/>
      <c r="BT25" s="191" t="str">
        <f t="shared" si="27"/>
        <v/>
      </c>
      <c r="BU25" s="190"/>
      <c r="BV25" s="191" t="str">
        <f t="shared" si="28"/>
        <v/>
      </c>
      <c r="BW25" s="190"/>
    </row>
    <row r="26" spans="2:75" s="192" customFormat="1" ht="13">
      <c r="B26" s="179" t="s">
        <v>604</v>
      </c>
      <c r="C26" s="172" t="s">
        <v>605</v>
      </c>
      <c r="D26" s="172" t="s">
        <v>134</v>
      </c>
      <c r="E26" s="180"/>
      <c r="F26" s="172" t="s">
        <v>609</v>
      </c>
      <c r="G26" s="172" t="s">
        <v>241</v>
      </c>
      <c r="H26" s="172" t="s">
        <v>162</v>
      </c>
      <c r="I26" s="172" t="s">
        <v>617</v>
      </c>
      <c r="J26" s="181"/>
      <c r="K26" s="182"/>
      <c r="L26" s="183"/>
      <c r="M26" s="183"/>
      <c r="N26" s="183">
        <f t="shared" si="1"/>
        <v>0</v>
      </c>
      <c r="O26" s="184">
        <f t="shared" si="2"/>
        <v>0</v>
      </c>
      <c r="P26" s="183" t="s">
        <v>178</v>
      </c>
      <c r="Q26" s="185">
        <f t="shared" si="29"/>
        <v>0</v>
      </c>
      <c r="R26" s="186">
        <f t="shared" si="30"/>
        <v>0</v>
      </c>
      <c r="S26" s="187">
        <v>32</v>
      </c>
      <c r="T26" s="197">
        <f t="shared" si="31"/>
        <v>45680.725490196077</v>
      </c>
      <c r="U26" s="189"/>
      <c r="V26" s="184">
        <f t="shared" ca="1" si="3"/>
        <v>-159.27450980392314</v>
      </c>
      <c r="W26" s="189">
        <f t="shared" si="32"/>
        <v>45680.725490196077</v>
      </c>
      <c r="X26" s="189"/>
      <c r="Y26" s="184">
        <f t="shared" ca="1" si="4"/>
        <v>-159.27450980392314</v>
      </c>
      <c r="Z26" s="189"/>
      <c r="AA26" s="190"/>
      <c r="AB26" s="191" t="str">
        <f t="shared" si="5"/>
        <v>-</v>
      </c>
      <c r="AC26" s="190"/>
      <c r="AD26" s="191" t="str">
        <f t="shared" si="6"/>
        <v/>
      </c>
      <c r="AE26" s="190"/>
      <c r="AF26" s="191" t="str">
        <f t="shared" si="7"/>
        <v/>
      </c>
      <c r="AG26" s="190"/>
      <c r="AH26" s="191" t="str">
        <f t="shared" si="8"/>
        <v/>
      </c>
      <c r="AI26" s="190"/>
      <c r="AJ26" s="191" t="str">
        <f t="shared" si="9"/>
        <v/>
      </c>
      <c r="AK26" s="190"/>
      <c r="AL26" s="191" t="str">
        <f t="shared" si="10"/>
        <v/>
      </c>
      <c r="AM26" s="190"/>
      <c r="AN26" s="191" t="str">
        <f t="shared" si="11"/>
        <v/>
      </c>
      <c r="AO26" s="190"/>
      <c r="AP26" s="191" t="str">
        <f t="shared" si="12"/>
        <v/>
      </c>
      <c r="AQ26" s="190"/>
      <c r="AR26" s="191" t="str">
        <f t="shared" si="13"/>
        <v/>
      </c>
      <c r="AS26" s="190"/>
      <c r="AT26" s="191" t="str">
        <f t="shared" si="14"/>
        <v/>
      </c>
      <c r="AU26" s="190"/>
      <c r="AV26" s="191" t="str">
        <f t="shared" si="15"/>
        <v/>
      </c>
      <c r="AW26" s="190"/>
      <c r="AX26" s="191" t="str">
        <f t="shared" si="16"/>
        <v/>
      </c>
      <c r="AY26" s="190"/>
      <c r="AZ26" s="191" t="str">
        <f t="shared" si="17"/>
        <v/>
      </c>
      <c r="BA26" s="190"/>
      <c r="BB26" s="191" t="str">
        <f t="shared" si="18"/>
        <v/>
      </c>
      <c r="BC26" s="190"/>
      <c r="BD26" s="191" t="str">
        <f t="shared" si="19"/>
        <v/>
      </c>
      <c r="BE26" s="190"/>
      <c r="BF26" s="191">
        <f t="shared" si="20"/>
        <v>0</v>
      </c>
      <c r="BG26" s="190"/>
      <c r="BH26" s="191" t="str">
        <f t="shared" si="21"/>
        <v/>
      </c>
      <c r="BI26" s="190"/>
      <c r="BJ26" s="191" t="str">
        <f t="shared" si="22"/>
        <v/>
      </c>
      <c r="BK26" s="190"/>
      <c r="BL26" s="191" t="str">
        <f t="shared" si="23"/>
        <v/>
      </c>
      <c r="BM26" s="190"/>
      <c r="BN26" s="191" t="str">
        <f t="shared" si="24"/>
        <v/>
      </c>
      <c r="BO26" s="190"/>
      <c r="BP26" s="191" t="str">
        <f t="shared" si="25"/>
        <v/>
      </c>
      <c r="BQ26" s="190"/>
      <c r="BR26" s="191" t="str">
        <f t="shared" si="26"/>
        <v/>
      </c>
      <c r="BS26" s="190"/>
      <c r="BT26" s="191" t="str">
        <f t="shared" si="27"/>
        <v/>
      </c>
      <c r="BU26" s="190"/>
      <c r="BV26" s="191" t="str">
        <f t="shared" si="28"/>
        <v/>
      </c>
      <c r="BW26" s="190"/>
    </row>
    <row r="27" spans="2:75" s="192" customFormat="1" ht="13">
      <c r="B27" s="179" t="s">
        <v>604</v>
      </c>
      <c r="C27" s="172" t="s">
        <v>605</v>
      </c>
      <c r="D27" s="172" t="s">
        <v>134</v>
      </c>
      <c r="E27" s="180"/>
      <c r="F27" s="172" t="s">
        <v>610</v>
      </c>
      <c r="G27" s="172" t="s">
        <v>241</v>
      </c>
      <c r="H27" s="172" t="s">
        <v>155</v>
      </c>
      <c r="I27" s="172" t="s">
        <v>617</v>
      </c>
      <c r="J27" s="181"/>
      <c r="K27" s="182"/>
      <c r="L27" s="183"/>
      <c r="M27" s="183"/>
      <c r="N27" s="183">
        <f t="shared" si="1"/>
        <v>0</v>
      </c>
      <c r="O27" s="184">
        <f t="shared" si="2"/>
        <v>0</v>
      </c>
      <c r="P27" s="183" t="s">
        <v>178</v>
      </c>
      <c r="Q27" s="185">
        <f t="shared" si="29"/>
        <v>0</v>
      </c>
      <c r="R27" s="186">
        <f t="shared" si="30"/>
        <v>0</v>
      </c>
      <c r="S27" s="187">
        <v>32</v>
      </c>
      <c r="T27" s="197">
        <f t="shared" si="31"/>
        <v>45680.725490196077</v>
      </c>
      <c r="U27" s="189"/>
      <c r="V27" s="184">
        <f t="shared" ca="1" si="3"/>
        <v>-159.27450980392314</v>
      </c>
      <c r="W27" s="189">
        <f t="shared" si="32"/>
        <v>45680.725490196077</v>
      </c>
      <c r="X27" s="189"/>
      <c r="Y27" s="184">
        <f t="shared" ca="1" si="4"/>
        <v>-159.27450980392314</v>
      </c>
      <c r="Z27" s="189"/>
      <c r="AA27" s="190"/>
      <c r="AB27" s="191" t="str">
        <f t="shared" si="5"/>
        <v>-</v>
      </c>
      <c r="AC27" s="190"/>
      <c r="AD27" s="191" t="str">
        <f t="shared" si="6"/>
        <v/>
      </c>
      <c r="AE27" s="190"/>
      <c r="AF27" s="191" t="str">
        <f t="shared" si="7"/>
        <v/>
      </c>
      <c r="AG27" s="190"/>
      <c r="AH27" s="191" t="str">
        <f t="shared" si="8"/>
        <v/>
      </c>
      <c r="AI27" s="190"/>
      <c r="AJ27" s="191" t="str">
        <f t="shared" si="9"/>
        <v/>
      </c>
      <c r="AK27" s="190"/>
      <c r="AL27" s="191" t="str">
        <f t="shared" si="10"/>
        <v/>
      </c>
      <c r="AM27" s="190"/>
      <c r="AN27" s="191" t="str">
        <f t="shared" si="11"/>
        <v/>
      </c>
      <c r="AO27" s="190"/>
      <c r="AP27" s="191" t="str">
        <f t="shared" si="12"/>
        <v/>
      </c>
      <c r="AQ27" s="190"/>
      <c r="AR27" s="191" t="str">
        <f t="shared" si="13"/>
        <v/>
      </c>
      <c r="AS27" s="190"/>
      <c r="AT27" s="191" t="str">
        <f t="shared" si="14"/>
        <v/>
      </c>
      <c r="AU27" s="190"/>
      <c r="AV27" s="191" t="str">
        <f t="shared" si="15"/>
        <v/>
      </c>
      <c r="AW27" s="190"/>
      <c r="AX27" s="191" t="str">
        <f t="shared" si="16"/>
        <v/>
      </c>
      <c r="AY27" s="190"/>
      <c r="AZ27" s="191" t="str">
        <f t="shared" si="17"/>
        <v/>
      </c>
      <c r="BA27" s="190"/>
      <c r="BB27" s="191" t="str">
        <f t="shared" si="18"/>
        <v/>
      </c>
      <c r="BC27" s="190"/>
      <c r="BD27" s="191" t="str">
        <f t="shared" si="19"/>
        <v/>
      </c>
      <c r="BE27" s="190"/>
      <c r="BF27" s="191">
        <f t="shared" si="20"/>
        <v>0</v>
      </c>
      <c r="BG27" s="190"/>
      <c r="BH27" s="191" t="str">
        <f t="shared" si="21"/>
        <v/>
      </c>
      <c r="BI27" s="190"/>
      <c r="BJ27" s="191" t="str">
        <f t="shared" si="22"/>
        <v/>
      </c>
      <c r="BK27" s="190"/>
      <c r="BL27" s="191" t="str">
        <f t="shared" si="23"/>
        <v/>
      </c>
      <c r="BM27" s="190"/>
      <c r="BN27" s="191" t="str">
        <f t="shared" si="24"/>
        <v/>
      </c>
      <c r="BO27" s="190"/>
      <c r="BP27" s="191" t="str">
        <f t="shared" si="25"/>
        <v/>
      </c>
      <c r="BQ27" s="190"/>
      <c r="BR27" s="191" t="str">
        <f t="shared" si="26"/>
        <v/>
      </c>
      <c r="BS27" s="190"/>
      <c r="BT27" s="191" t="str">
        <f t="shared" si="27"/>
        <v/>
      </c>
      <c r="BU27" s="190"/>
      <c r="BV27" s="191" t="str">
        <f t="shared" si="28"/>
        <v/>
      </c>
      <c r="BW27" s="190"/>
    </row>
    <row r="28" spans="2:75" s="196" customFormat="1" ht="13">
      <c r="B28" s="179" t="s">
        <v>604</v>
      </c>
      <c r="C28" s="172" t="s">
        <v>605</v>
      </c>
      <c r="D28" s="172" t="s">
        <v>134</v>
      </c>
      <c r="E28" s="180"/>
      <c r="F28" s="172" t="s">
        <v>606</v>
      </c>
      <c r="G28" s="172" t="s">
        <v>618</v>
      </c>
      <c r="H28" s="172" t="s">
        <v>239</v>
      </c>
      <c r="I28" s="172" t="s">
        <v>619</v>
      </c>
      <c r="J28" s="181"/>
      <c r="K28" s="182">
        <v>0</v>
      </c>
      <c r="L28" s="193"/>
      <c r="M28" s="193"/>
      <c r="N28" s="193">
        <f t="shared" si="1"/>
        <v>0</v>
      </c>
      <c r="O28" s="184">
        <f t="shared" si="2"/>
        <v>0</v>
      </c>
      <c r="P28" s="193" t="s">
        <v>178</v>
      </c>
      <c r="Q28" s="194">
        <f t="shared" si="29"/>
        <v>0</v>
      </c>
      <c r="R28" s="195">
        <f t="shared" si="30"/>
        <v>0</v>
      </c>
      <c r="S28" s="179">
        <v>64</v>
      </c>
      <c r="T28" s="189">
        <f t="shared" si="31"/>
        <v>45680.725490196077</v>
      </c>
      <c r="U28" s="189"/>
      <c r="V28" s="184">
        <f t="shared" ca="1" si="3"/>
        <v>-159.27450980392314</v>
      </c>
      <c r="W28" s="189">
        <f t="shared" si="32"/>
        <v>45680.725490196077</v>
      </c>
      <c r="X28" s="189"/>
      <c r="Y28" s="184">
        <f t="shared" ca="1" si="4"/>
        <v>-159.27450980392314</v>
      </c>
      <c r="Z28" s="189"/>
      <c r="AA28" s="190"/>
      <c r="AB28" s="191" t="str">
        <f t="shared" si="5"/>
        <v>-</v>
      </c>
      <c r="AC28" s="190"/>
      <c r="AD28" s="191" t="str">
        <f t="shared" si="6"/>
        <v/>
      </c>
      <c r="AE28" s="190"/>
      <c r="AF28" s="191" t="str">
        <f t="shared" si="7"/>
        <v/>
      </c>
      <c r="AG28" s="190"/>
      <c r="AH28" s="191" t="str">
        <f t="shared" si="8"/>
        <v/>
      </c>
      <c r="AI28" s="190"/>
      <c r="AJ28" s="191" t="str">
        <f t="shared" si="9"/>
        <v/>
      </c>
      <c r="AK28" s="190"/>
      <c r="AL28" s="191" t="str">
        <f t="shared" si="10"/>
        <v/>
      </c>
      <c r="AM28" s="190"/>
      <c r="AN28" s="191" t="str">
        <f t="shared" si="11"/>
        <v/>
      </c>
      <c r="AO28" s="190"/>
      <c r="AP28" s="191" t="str">
        <f t="shared" si="12"/>
        <v/>
      </c>
      <c r="AQ28" s="190"/>
      <c r="AR28" s="191" t="str">
        <f t="shared" si="13"/>
        <v/>
      </c>
      <c r="AS28" s="190"/>
      <c r="AT28" s="191" t="str">
        <f t="shared" si="14"/>
        <v/>
      </c>
      <c r="AU28" s="190"/>
      <c r="AV28" s="191" t="str">
        <f t="shared" si="15"/>
        <v/>
      </c>
      <c r="AW28" s="190"/>
      <c r="AX28" s="191" t="str">
        <f t="shared" si="16"/>
        <v/>
      </c>
      <c r="AY28" s="190"/>
      <c r="AZ28" s="191" t="str">
        <f t="shared" si="17"/>
        <v/>
      </c>
      <c r="BA28" s="190"/>
      <c r="BB28" s="191" t="str">
        <f t="shared" si="18"/>
        <v/>
      </c>
      <c r="BC28" s="190"/>
      <c r="BD28" s="191" t="str">
        <f t="shared" si="19"/>
        <v/>
      </c>
      <c r="BE28" s="190"/>
      <c r="BF28" s="191">
        <f t="shared" si="20"/>
        <v>0</v>
      </c>
      <c r="BG28" s="190"/>
      <c r="BH28" s="191" t="str">
        <f t="shared" si="21"/>
        <v/>
      </c>
      <c r="BI28" s="190"/>
      <c r="BJ28" s="191" t="str">
        <f t="shared" si="22"/>
        <v/>
      </c>
      <c r="BK28" s="190"/>
      <c r="BL28" s="191" t="str">
        <f t="shared" si="23"/>
        <v/>
      </c>
      <c r="BM28" s="190"/>
      <c r="BN28" s="191" t="str">
        <f t="shared" si="24"/>
        <v/>
      </c>
      <c r="BO28" s="190"/>
      <c r="BP28" s="191" t="str">
        <f t="shared" si="25"/>
        <v/>
      </c>
      <c r="BQ28" s="190"/>
      <c r="BR28" s="191" t="str">
        <f t="shared" si="26"/>
        <v/>
      </c>
      <c r="BS28" s="190"/>
      <c r="BT28" s="191" t="str">
        <f t="shared" si="27"/>
        <v/>
      </c>
      <c r="BU28" s="190"/>
      <c r="BV28" s="191" t="str">
        <f t="shared" si="28"/>
        <v/>
      </c>
      <c r="BW28" s="190"/>
    </row>
    <row r="29" spans="2:75" s="196" customFormat="1" ht="13">
      <c r="B29" s="179" t="s">
        <v>604</v>
      </c>
      <c r="C29" s="172" t="s">
        <v>605</v>
      </c>
      <c r="D29" s="172" t="s">
        <v>134</v>
      </c>
      <c r="E29" s="180"/>
      <c r="F29" s="172" t="s">
        <v>609</v>
      </c>
      <c r="G29" s="172" t="s">
        <v>618</v>
      </c>
      <c r="H29" s="172" t="s">
        <v>162</v>
      </c>
      <c r="I29" s="172" t="s">
        <v>619</v>
      </c>
      <c r="J29" s="181"/>
      <c r="K29" s="182">
        <v>0</v>
      </c>
      <c r="L29" s="193"/>
      <c r="M29" s="193"/>
      <c r="N29" s="193">
        <f t="shared" si="1"/>
        <v>0</v>
      </c>
      <c r="O29" s="184">
        <f t="shared" si="2"/>
        <v>0</v>
      </c>
      <c r="P29" s="193" t="s">
        <v>178</v>
      </c>
      <c r="Q29" s="194">
        <f t="shared" si="29"/>
        <v>0</v>
      </c>
      <c r="R29" s="195">
        <f t="shared" si="30"/>
        <v>0</v>
      </c>
      <c r="S29" s="179">
        <v>64</v>
      </c>
      <c r="T29" s="189">
        <f t="shared" si="31"/>
        <v>45680.725490196077</v>
      </c>
      <c r="U29" s="189"/>
      <c r="V29" s="184">
        <f t="shared" ca="1" si="3"/>
        <v>-159.27450980392314</v>
      </c>
      <c r="W29" s="189">
        <f t="shared" si="32"/>
        <v>45680.725490196077</v>
      </c>
      <c r="X29" s="189"/>
      <c r="Y29" s="184">
        <f t="shared" ca="1" si="4"/>
        <v>-159.27450980392314</v>
      </c>
      <c r="Z29" s="189"/>
      <c r="AA29" s="190"/>
      <c r="AB29" s="191" t="str">
        <f t="shared" si="5"/>
        <v>-</v>
      </c>
      <c r="AC29" s="190"/>
      <c r="AD29" s="191" t="str">
        <f t="shared" si="6"/>
        <v/>
      </c>
      <c r="AE29" s="190"/>
      <c r="AF29" s="191" t="str">
        <f t="shared" si="7"/>
        <v/>
      </c>
      <c r="AG29" s="190"/>
      <c r="AH29" s="191" t="str">
        <f t="shared" si="8"/>
        <v/>
      </c>
      <c r="AI29" s="190"/>
      <c r="AJ29" s="191" t="str">
        <f t="shared" si="9"/>
        <v/>
      </c>
      <c r="AK29" s="190"/>
      <c r="AL29" s="191" t="str">
        <f t="shared" si="10"/>
        <v/>
      </c>
      <c r="AM29" s="190"/>
      <c r="AN29" s="191" t="str">
        <f t="shared" si="11"/>
        <v/>
      </c>
      <c r="AO29" s="190"/>
      <c r="AP29" s="191" t="str">
        <f t="shared" si="12"/>
        <v/>
      </c>
      <c r="AQ29" s="190"/>
      <c r="AR29" s="191" t="str">
        <f t="shared" si="13"/>
        <v/>
      </c>
      <c r="AS29" s="190"/>
      <c r="AT29" s="191" t="str">
        <f t="shared" si="14"/>
        <v/>
      </c>
      <c r="AU29" s="190"/>
      <c r="AV29" s="191" t="str">
        <f t="shared" si="15"/>
        <v/>
      </c>
      <c r="AW29" s="190"/>
      <c r="AX29" s="191" t="str">
        <f t="shared" si="16"/>
        <v/>
      </c>
      <c r="AY29" s="190"/>
      <c r="AZ29" s="191" t="str">
        <f t="shared" si="17"/>
        <v/>
      </c>
      <c r="BA29" s="190"/>
      <c r="BB29" s="191" t="str">
        <f t="shared" si="18"/>
        <v/>
      </c>
      <c r="BC29" s="190"/>
      <c r="BD29" s="191" t="str">
        <f t="shared" si="19"/>
        <v/>
      </c>
      <c r="BE29" s="190"/>
      <c r="BF29" s="191">
        <f t="shared" si="20"/>
        <v>0</v>
      </c>
      <c r="BG29" s="190"/>
      <c r="BH29" s="191" t="str">
        <f t="shared" si="21"/>
        <v/>
      </c>
      <c r="BI29" s="190"/>
      <c r="BJ29" s="191" t="str">
        <f t="shared" si="22"/>
        <v/>
      </c>
      <c r="BK29" s="190"/>
      <c r="BL29" s="191" t="str">
        <f t="shared" si="23"/>
        <v/>
      </c>
      <c r="BM29" s="190"/>
      <c r="BN29" s="191" t="str">
        <f t="shared" si="24"/>
        <v/>
      </c>
      <c r="BO29" s="190"/>
      <c r="BP29" s="191" t="str">
        <f t="shared" si="25"/>
        <v/>
      </c>
      <c r="BQ29" s="190"/>
      <c r="BR29" s="191" t="str">
        <f t="shared" si="26"/>
        <v/>
      </c>
      <c r="BS29" s="190"/>
      <c r="BT29" s="191" t="str">
        <f t="shared" si="27"/>
        <v/>
      </c>
      <c r="BU29" s="190"/>
      <c r="BV29" s="191" t="str">
        <f t="shared" si="28"/>
        <v/>
      </c>
      <c r="BW29" s="190"/>
    </row>
    <row r="30" spans="2:75" s="196" customFormat="1" ht="13">
      <c r="B30" s="179" t="s">
        <v>604</v>
      </c>
      <c r="C30" s="172" t="s">
        <v>605</v>
      </c>
      <c r="D30" s="172" t="s">
        <v>134</v>
      </c>
      <c r="E30" s="180"/>
      <c r="F30" s="172" t="s">
        <v>610</v>
      </c>
      <c r="G30" s="172" t="s">
        <v>618</v>
      </c>
      <c r="H30" s="172" t="s">
        <v>155</v>
      </c>
      <c r="I30" s="172" t="s">
        <v>619</v>
      </c>
      <c r="J30" s="181"/>
      <c r="K30" s="182">
        <v>0</v>
      </c>
      <c r="L30" s="193"/>
      <c r="M30" s="193"/>
      <c r="N30" s="193">
        <f t="shared" si="1"/>
        <v>0</v>
      </c>
      <c r="O30" s="184">
        <f t="shared" si="2"/>
        <v>0</v>
      </c>
      <c r="P30" s="193" t="s">
        <v>178</v>
      </c>
      <c r="Q30" s="194">
        <f t="shared" si="29"/>
        <v>0</v>
      </c>
      <c r="R30" s="195">
        <f t="shared" si="30"/>
        <v>0</v>
      </c>
      <c r="S30" s="179">
        <v>64</v>
      </c>
      <c r="T30" s="189">
        <f t="shared" si="31"/>
        <v>45680.725490196077</v>
      </c>
      <c r="U30" s="189"/>
      <c r="V30" s="184">
        <f t="shared" ca="1" si="3"/>
        <v>-159.27450980392314</v>
      </c>
      <c r="W30" s="189">
        <f t="shared" si="32"/>
        <v>45680.725490196077</v>
      </c>
      <c r="X30" s="189"/>
      <c r="Y30" s="184">
        <f t="shared" ca="1" si="4"/>
        <v>-159.27450980392314</v>
      </c>
      <c r="Z30" s="189"/>
      <c r="AA30" s="190"/>
      <c r="AB30" s="191" t="str">
        <f t="shared" si="5"/>
        <v>-</v>
      </c>
      <c r="AC30" s="190"/>
      <c r="AD30" s="191" t="str">
        <f t="shared" si="6"/>
        <v/>
      </c>
      <c r="AE30" s="190"/>
      <c r="AF30" s="191" t="str">
        <f t="shared" si="7"/>
        <v/>
      </c>
      <c r="AG30" s="190"/>
      <c r="AH30" s="191" t="str">
        <f t="shared" si="8"/>
        <v/>
      </c>
      <c r="AI30" s="190"/>
      <c r="AJ30" s="191" t="str">
        <f t="shared" si="9"/>
        <v/>
      </c>
      <c r="AK30" s="190"/>
      <c r="AL30" s="191" t="str">
        <f t="shared" si="10"/>
        <v/>
      </c>
      <c r="AM30" s="190"/>
      <c r="AN30" s="191" t="str">
        <f t="shared" si="11"/>
        <v/>
      </c>
      <c r="AO30" s="190"/>
      <c r="AP30" s="191" t="str">
        <f t="shared" si="12"/>
        <v/>
      </c>
      <c r="AQ30" s="190"/>
      <c r="AR30" s="191" t="str">
        <f t="shared" si="13"/>
        <v/>
      </c>
      <c r="AS30" s="190"/>
      <c r="AT30" s="191" t="str">
        <f t="shared" si="14"/>
        <v/>
      </c>
      <c r="AU30" s="190"/>
      <c r="AV30" s="191" t="str">
        <f t="shared" si="15"/>
        <v/>
      </c>
      <c r="AW30" s="190"/>
      <c r="AX30" s="191" t="str">
        <f t="shared" si="16"/>
        <v/>
      </c>
      <c r="AY30" s="190"/>
      <c r="AZ30" s="191" t="str">
        <f t="shared" si="17"/>
        <v/>
      </c>
      <c r="BA30" s="190"/>
      <c r="BB30" s="191" t="str">
        <f t="shared" si="18"/>
        <v/>
      </c>
      <c r="BC30" s="190"/>
      <c r="BD30" s="191" t="str">
        <f t="shared" si="19"/>
        <v/>
      </c>
      <c r="BE30" s="190"/>
      <c r="BF30" s="191">
        <f t="shared" si="20"/>
        <v>0</v>
      </c>
      <c r="BG30" s="190"/>
      <c r="BH30" s="191" t="str">
        <f t="shared" si="21"/>
        <v/>
      </c>
      <c r="BI30" s="190"/>
      <c r="BJ30" s="191" t="str">
        <f t="shared" si="22"/>
        <v/>
      </c>
      <c r="BK30" s="190"/>
      <c r="BL30" s="191" t="str">
        <f t="shared" si="23"/>
        <v/>
      </c>
      <c r="BM30" s="190"/>
      <c r="BN30" s="191" t="str">
        <f t="shared" si="24"/>
        <v/>
      </c>
      <c r="BO30" s="190"/>
      <c r="BP30" s="191" t="str">
        <f t="shared" si="25"/>
        <v/>
      </c>
      <c r="BQ30" s="190"/>
      <c r="BR30" s="191" t="str">
        <f t="shared" si="26"/>
        <v/>
      </c>
      <c r="BS30" s="190"/>
      <c r="BT30" s="191" t="str">
        <f t="shared" si="27"/>
        <v/>
      </c>
      <c r="BU30" s="190"/>
      <c r="BV30" s="191" t="str">
        <f t="shared" si="28"/>
        <v/>
      </c>
      <c r="BW30" s="190"/>
    </row>
    <row r="31" spans="2:75" s="192" customFormat="1" ht="13">
      <c r="B31" s="179" t="s">
        <v>604</v>
      </c>
      <c r="C31" s="172" t="s">
        <v>620</v>
      </c>
      <c r="D31" s="172" t="s">
        <v>134</v>
      </c>
      <c r="E31" s="180"/>
      <c r="F31" s="172" t="s">
        <v>606</v>
      </c>
      <c r="G31" s="172" t="s">
        <v>607</v>
      </c>
      <c r="H31" s="172" t="s">
        <v>239</v>
      </c>
      <c r="I31" s="172" t="s">
        <v>608</v>
      </c>
      <c r="J31" s="181"/>
      <c r="K31" s="182"/>
      <c r="L31" s="183"/>
      <c r="M31" s="183"/>
      <c r="N31" s="183">
        <f t="shared" si="1"/>
        <v>0</v>
      </c>
      <c r="O31" s="184">
        <f t="shared" si="2"/>
        <v>0</v>
      </c>
      <c r="P31" s="183" t="s">
        <v>178</v>
      </c>
      <c r="Q31" s="185">
        <f t="shared" si="29"/>
        <v>0</v>
      </c>
      <c r="R31" s="186">
        <f t="shared" si="30"/>
        <v>0</v>
      </c>
      <c r="S31" s="187">
        <v>96</v>
      </c>
      <c r="T31" s="197">
        <f t="shared" si="31"/>
        <v>45680.725490196077</v>
      </c>
      <c r="U31" s="189"/>
      <c r="V31" s="184">
        <f t="shared" ca="1" si="3"/>
        <v>-159.27450980392314</v>
      </c>
      <c r="W31" s="189">
        <f t="shared" si="32"/>
        <v>45680.725490196077</v>
      </c>
      <c r="X31" s="189"/>
      <c r="Y31" s="184">
        <f t="shared" ca="1" si="4"/>
        <v>-159.27450980392314</v>
      </c>
      <c r="Z31" s="189"/>
      <c r="AA31" s="190"/>
      <c r="AB31" s="191" t="str">
        <f t="shared" si="5"/>
        <v>-</v>
      </c>
      <c r="AC31" s="190"/>
      <c r="AD31" s="191" t="str">
        <f t="shared" si="6"/>
        <v/>
      </c>
      <c r="AE31" s="190"/>
      <c r="AF31" s="191" t="str">
        <f t="shared" si="7"/>
        <v/>
      </c>
      <c r="AG31" s="190"/>
      <c r="AH31" s="191" t="str">
        <f t="shared" si="8"/>
        <v/>
      </c>
      <c r="AI31" s="190"/>
      <c r="AJ31" s="191" t="str">
        <f t="shared" si="9"/>
        <v/>
      </c>
      <c r="AK31" s="190"/>
      <c r="AL31" s="191" t="str">
        <f t="shared" si="10"/>
        <v/>
      </c>
      <c r="AM31" s="190"/>
      <c r="AN31" s="191" t="str">
        <f t="shared" si="11"/>
        <v/>
      </c>
      <c r="AO31" s="190"/>
      <c r="AP31" s="191" t="str">
        <f t="shared" si="12"/>
        <v/>
      </c>
      <c r="AQ31" s="190"/>
      <c r="AR31" s="191" t="str">
        <f t="shared" si="13"/>
        <v/>
      </c>
      <c r="AS31" s="190"/>
      <c r="AT31" s="191" t="str">
        <f t="shared" si="14"/>
        <v/>
      </c>
      <c r="AU31" s="190"/>
      <c r="AV31" s="191" t="str">
        <f t="shared" si="15"/>
        <v/>
      </c>
      <c r="AW31" s="190"/>
      <c r="AX31" s="191" t="str">
        <f t="shared" si="16"/>
        <v/>
      </c>
      <c r="AY31" s="190"/>
      <c r="AZ31" s="191" t="str">
        <f t="shared" si="17"/>
        <v/>
      </c>
      <c r="BA31" s="190"/>
      <c r="BB31" s="191" t="str">
        <f t="shared" si="18"/>
        <v/>
      </c>
      <c r="BC31" s="190"/>
      <c r="BD31" s="191" t="str">
        <f t="shared" si="19"/>
        <v/>
      </c>
      <c r="BE31" s="190"/>
      <c r="BF31" s="191">
        <f t="shared" si="20"/>
        <v>0</v>
      </c>
      <c r="BG31" s="190"/>
      <c r="BH31" s="191" t="str">
        <f t="shared" si="21"/>
        <v/>
      </c>
      <c r="BI31" s="190"/>
      <c r="BJ31" s="191" t="str">
        <f t="shared" si="22"/>
        <v/>
      </c>
      <c r="BK31" s="190"/>
      <c r="BL31" s="191" t="str">
        <f t="shared" si="23"/>
        <v/>
      </c>
      <c r="BM31" s="190"/>
      <c r="BN31" s="191" t="str">
        <f t="shared" si="24"/>
        <v/>
      </c>
      <c r="BO31" s="190"/>
      <c r="BP31" s="191" t="str">
        <f t="shared" si="25"/>
        <v/>
      </c>
      <c r="BQ31" s="190"/>
      <c r="BR31" s="191" t="str">
        <f t="shared" si="26"/>
        <v/>
      </c>
      <c r="BS31" s="190"/>
      <c r="BT31" s="191" t="str">
        <f t="shared" si="27"/>
        <v/>
      </c>
      <c r="BU31" s="190"/>
      <c r="BV31" s="191" t="str">
        <f t="shared" si="28"/>
        <v/>
      </c>
      <c r="BW31" s="190"/>
    </row>
    <row r="32" spans="2:75" s="192" customFormat="1" ht="13">
      <c r="B32" s="179" t="s">
        <v>604</v>
      </c>
      <c r="C32" s="172" t="s">
        <v>620</v>
      </c>
      <c r="D32" s="172" t="s">
        <v>134</v>
      </c>
      <c r="E32" s="180"/>
      <c r="F32" s="172" t="s">
        <v>609</v>
      </c>
      <c r="G32" s="172" t="s">
        <v>607</v>
      </c>
      <c r="H32" s="172" t="s">
        <v>162</v>
      </c>
      <c r="I32" s="172" t="s">
        <v>608</v>
      </c>
      <c r="J32" s="181"/>
      <c r="K32" s="182"/>
      <c r="L32" s="183"/>
      <c r="M32" s="183"/>
      <c r="N32" s="183">
        <f t="shared" si="1"/>
        <v>0</v>
      </c>
      <c r="O32" s="184">
        <f t="shared" si="2"/>
        <v>0</v>
      </c>
      <c r="P32" s="183" t="s">
        <v>178</v>
      </c>
      <c r="Q32" s="185">
        <f t="shared" si="29"/>
        <v>0</v>
      </c>
      <c r="R32" s="186">
        <f t="shared" si="30"/>
        <v>0</v>
      </c>
      <c r="S32" s="187">
        <v>96</v>
      </c>
      <c r="T32" s="197">
        <f t="shared" si="31"/>
        <v>45680.725490196077</v>
      </c>
      <c r="U32" s="189"/>
      <c r="V32" s="184">
        <f t="shared" ca="1" si="3"/>
        <v>-159.27450980392314</v>
      </c>
      <c r="W32" s="189">
        <f t="shared" si="32"/>
        <v>45680.725490196077</v>
      </c>
      <c r="X32" s="189"/>
      <c r="Y32" s="184">
        <f t="shared" ca="1" si="4"/>
        <v>-159.27450980392314</v>
      </c>
      <c r="Z32" s="189"/>
      <c r="AA32" s="190"/>
      <c r="AB32" s="191" t="str">
        <f t="shared" si="5"/>
        <v>-</v>
      </c>
      <c r="AC32" s="190"/>
      <c r="AD32" s="191" t="str">
        <f t="shared" si="6"/>
        <v/>
      </c>
      <c r="AE32" s="190"/>
      <c r="AF32" s="191" t="str">
        <f t="shared" si="7"/>
        <v/>
      </c>
      <c r="AG32" s="190"/>
      <c r="AH32" s="191" t="str">
        <f t="shared" si="8"/>
        <v/>
      </c>
      <c r="AI32" s="190"/>
      <c r="AJ32" s="191" t="str">
        <f t="shared" si="9"/>
        <v/>
      </c>
      <c r="AK32" s="190"/>
      <c r="AL32" s="191" t="str">
        <f t="shared" si="10"/>
        <v/>
      </c>
      <c r="AM32" s="190"/>
      <c r="AN32" s="191" t="str">
        <f t="shared" si="11"/>
        <v/>
      </c>
      <c r="AO32" s="190"/>
      <c r="AP32" s="191" t="str">
        <f t="shared" si="12"/>
        <v/>
      </c>
      <c r="AQ32" s="190"/>
      <c r="AR32" s="191" t="str">
        <f t="shared" si="13"/>
        <v/>
      </c>
      <c r="AS32" s="190"/>
      <c r="AT32" s="191" t="str">
        <f t="shared" si="14"/>
        <v/>
      </c>
      <c r="AU32" s="190"/>
      <c r="AV32" s="191" t="str">
        <f t="shared" si="15"/>
        <v/>
      </c>
      <c r="AW32" s="190"/>
      <c r="AX32" s="191" t="str">
        <f t="shared" si="16"/>
        <v/>
      </c>
      <c r="AY32" s="190"/>
      <c r="AZ32" s="191" t="str">
        <f t="shared" si="17"/>
        <v/>
      </c>
      <c r="BA32" s="190"/>
      <c r="BB32" s="191" t="str">
        <f t="shared" si="18"/>
        <v/>
      </c>
      <c r="BC32" s="190"/>
      <c r="BD32" s="191" t="str">
        <f t="shared" si="19"/>
        <v/>
      </c>
      <c r="BE32" s="190"/>
      <c r="BF32" s="191">
        <f t="shared" si="20"/>
        <v>0</v>
      </c>
      <c r="BG32" s="190"/>
      <c r="BH32" s="191" t="str">
        <f t="shared" si="21"/>
        <v/>
      </c>
      <c r="BI32" s="190"/>
      <c r="BJ32" s="191" t="str">
        <f t="shared" si="22"/>
        <v/>
      </c>
      <c r="BK32" s="190"/>
      <c r="BL32" s="191" t="str">
        <f t="shared" si="23"/>
        <v/>
      </c>
      <c r="BM32" s="190"/>
      <c r="BN32" s="191" t="str">
        <f t="shared" si="24"/>
        <v/>
      </c>
      <c r="BO32" s="190"/>
      <c r="BP32" s="191" t="str">
        <f t="shared" si="25"/>
        <v/>
      </c>
      <c r="BQ32" s="190"/>
      <c r="BR32" s="191" t="str">
        <f t="shared" si="26"/>
        <v/>
      </c>
      <c r="BS32" s="190"/>
      <c r="BT32" s="191" t="str">
        <f t="shared" si="27"/>
        <v/>
      </c>
      <c r="BU32" s="190"/>
      <c r="BV32" s="191" t="str">
        <f t="shared" si="28"/>
        <v/>
      </c>
      <c r="BW32" s="190"/>
    </row>
    <row r="33" spans="2:75" s="192" customFormat="1" ht="13">
      <c r="B33" s="179" t="s">
        <v>604</v>
      </c>
      <c r="C33" s="172" t="s">
        <v>620</v>
      </c>
      <c r="D33" s="172" t="s">
        <v>134</v>
      </c>
      <c r="E33" s="180"/>
      <c r="F33" s="172" t="s">
        <v>610</v>
      </c>
      <c r="G33" s="172" t="s">
        <v>607</v>
      </c>
      <c r="H33" s="172" t="s">
        <v>155</v>
      </c>
      <c r="I33" s="172" t="s">
        <v>608</v>
      </c>
      <c r="J33" s="181"/>
      <c r="K33" s="182"/>
      <c r="L33" s="183"/>
      <c r="M33" s="183"/>
      <c r="N33" s="183">
        <f t="shared" si="1"/>
        <v>0</v>
      </c>
      <c r="O33" s="184">
        <f t="shared" si="2"/>
        <v>0</v>
      </c>
      <c r="P33" s="183" t="s">
        <v>178</v>
      </c>
      <c r="Q33" s="185">
        <f t="shared" si="29"/>
        <v>0</v>
      </c>
      <c r="R33" s="186">
        <f t="shared" si="30"/>
        <v>0</v>
      </c>
      <c r="S33" s="187">
        <v>96</v>
      </c>
      <c r="T33" s="197">
        <f t="shared" si="31"/>
        <v>45680.725490196077</v>
      </c>
      <c r="U33" s="189"/>
      <c r="V33" s="184">
        <f t="shared" ca="1" si="3"/>
        <v>-159.27450980392314</v>
      </c>
      <c r="W33" s="189">
        <f t="shared" si="32"/>
        <v>45680.725490196077</v>
      </c>
      <c r="X33" s="189"/>
      <c r="Y33" s="184">
        <f t="shared" ca="1" si="4"/>
        <v>-159.27450980392314</v>
      </c>
      <c r="Z33" s="189"/>
      <c r="AA33" s="190"/>
      <c r="AB33" s="191" t="str">
        <f t="shared" si="5"/>
        <v>-</v>
      </c>
      <c r="AC33" s="190"/>
      <c r="AD33" s="191" t="str">
        <f t="shared" si="6"/>
        <v/>
      </c>
      <c r="AE33" s="190"/>
      <c r="AF33" s="191" t="str">
        <f t="shared" si="7"/>
        <v/>
      </c>
      <c r="AG33" s="190"/>
      <c r="AH33" s="191" t="str">
        <f t="shared" si="8"/>
        <v/>
      </c>
      <c r="AI33" s="190"/>
      <c r="AJ33" s="191" t="str">
        <f t="shared" si="9"/>
        <v/>
      </c>
      <c r="AK33" s="190"/>
      <c r="AL33" s="191" t="str">
        <f t="shared" si="10"/>
        <v/>
      </c>
      <c r="AM33" s="190"/>
      <c r="AN33" s="191" t="str">
        <f t="shared" si="11"/>
        <v/>
      </c>
      <c r="AO33" s="190"/>
      <c r="AP33" s="191" t="str">
        <f t="shared" si="12"/>
        <v/>
      </c>
      <c r="AQ33" s="190"/>
      <c r="AR33" s="191" t="str">
        <f t="shared" si="13"/>
        <v/>
      </c>
      <c r="AS33" s="190"/>
      <c r="AT33" s="191" t="str">
        <f t="shared" si="14"/>
        <v/>
      </c>
      <c r="AU33" s="190"/>
      <c r="AV33" s="191" t="str">
        <f t="shared" si="15"/>
        <v/>
      </c>
      <c r="AW33" s="190"/>
      <c r="AX33" s="191" t="str">
        <f t="shared" si="16"/>
        <v/>
      </c>
      <c r="AY33" s="190"/>
      <c r="AZ33" s="191" t="str">
        <f t="shared" si="17"/>
        <v/>
      </c>
      <c r="BA33" s="190"/>
      <c r="BB33" s="191" t="str">
        <f t="shared" si="18"/>
        <v/>
      </c>
      <c r="BC33" s="190"/>
      <c r="BD33" s="191" t="str">
        <f t="shared" si="19"/>
        <v/>
      </c>
      <c r="BE33" s="190"/>
      <c r="BF33" s="191">
        <f t="shared" si="20"/>
        <v>0</v>
      </c>
      <c r="BG33" s="190"/>
      <c r="BH33" s="191" t="str">
        <f t="shared" si="21"/>
        <v/>
      </c>
      <c r="BI33" s="190"/>
      <c r="BJ33" s="191" t="str">
        <f t="shared" si="22"/>
        <v/>
      </c>
      <c r="BK33" s="190"/>
      <c r="BL33" s="191" t="str">
        <f t="shared" si="23"/>
        <v/>
      </c>
      <c r="BM33" s="190"/>
      <c r="BN33" s="191" t="str">
        <f t="shared" si="24"/>
        <v/>
      </c>
      <c r="BO33" s="190"/>
      <c r="BP33" s="191" t="str">
        <f t="shared" si="25"/>
        <v/>
      </c>
      <c r="BQ33" s="190"/>
      <c r="BR33" s="191" t="str">
        <f t="shared" si="26"/>
        <v/>
      </c>
      <c r="BS33" s="190"/>
      <c r="BT33" s="191" t="str">
        <f t="shared" si="27"/>
        <v/>
      </c>
      <c r="BU33" s="190"/>
      <c r="BV33" s="191" t="str">
        <f t="shared" si="28"/>
        <v/>
      </c>
      <c r="BW33" s="190"/>
    </row>
    <row r="34" spans="2:75" s="196" customFormat="1" ht="13">
      <c r="B34" s="179" t="s">
        <v>604</v>
      </c>
      <c r="C34" s="172" t="s">
        <v>620</v>
      </c>
      <c r="D34" s="172" t="s">
        <v>134</v>
      </c>
      <c r="E34" s="180"/>
      <c r="F34" s="172" t="s">
        <v>606</v>
      </c>
      <c r="G34" s="172" t="s">
        <v>472</v>
      </c>
      <c r="H34" s="172" t="s">
        <v>239</v>
      </c>
      <c r="I34" s="172" t="s">
        <v>611</v>
      </c>
      <c r="J34" s="181"/>
      <c r="K34" s="182">
        <v>0</v>
      </c>
      <c r="L34" s="193"/>
      <c r="M34" s="193"/>
      <c r="N34" s="193">
        <f t="shared" si="1"/>
        <v>0</v>
      </c>
      <c r="O34" s="184">
        <f t="shared" si="2"/>
        <v>0</v>
      </c>
      <c r="P34" s="193" t="s">
        <v>178</v>
      </c>
      <c r="Q34" s="194">
        <f t="shared" si="29"/>
        <v>0</v>
      </c>
      <c r="R34" s="195">
        <f t="shared" si="30"/>
        <v>0</v>
      </c>
      <c r="S34" s="179">
        <v>96</v>
      </c>
      <c r="T34" s="189">
        <f t="shared" si="31"/>
        <v>45680.725490196077</v>
      </c>
      <c r="U34" s="189"/>
      <c r="V34" s="184">
        <f t="shared" ca="1" si="3"/>
        <v>-159.27450980392314</v>
      </c>
      <c r="W34" s="189">
        <f t="shared" si="32"/>
        <v>45680.725490196077</v>
      </c>
      <c r="X34" s="189"/>
      <c r="Y34" s="184">
        <f t="shared" ca="1" si="4"/>
        <v>-159.27450980392314</v>
      </c>
      <c r="Z34" s="189"/>
      <c r="AA34" s="190"/>
      <c r="AB34" s="191" t="str">
        <f t="shared" si="5"/>
        <v>-</v>
      </c>
      <c r="AC34" s="190"/>
      <c r="AD34" s="191" t="str">
        <f t="shared" si="6"/>
        <v/>
      </c>
      <c r="AE34" s="190"/>
      <c r="AF34" s="191" t="str">
        <f t="shared" si="7"/>
        <v/>
      </c>
      <c r="AG34" s="190"/>
      <c r="AH34" s="191" t="str">
        <f t="shared" si="8"/>
        <v/>
      </c>
      <c r="AI34" s="190"/>
      <c r="AJ34" s="191" t="str">
        <f t="shared" si="9"/>
        <v/>
      </c>
      <c r="AK34" s="190"/>
      <c r="AL34" s="191" t="str">
        <f t="shared" si="10"/>
        <v/>
      </c>
      <c r="AM34" s="190"/>
      <c r="AN34" s="191" t="str">
        <f t="shared" si="11"/>
        <v/>
      </c>
      <c r="AO34" s="190"/>
      <c r="AP34" s="191" t="str">
        <f t="shared" si="12"/>
        <v/>
      </c>
      <c r="AQ34" s="190"/>
      <c r="AR34" s="191" t="str">
        <f t="shared" si="13"/>
        <v/>
      </c>
      <c r="AS34" s="190"/>
      <c r="AT34" s="191" t="str">
        <f t="shared" si="14"/>
        <v/>
      </c>
      <c r="AU34" s="190"/>
      <c r="AV34" s="191" t="str">
        <f t="shared" si="15"/>
        <v/>
      </c>
      <c r="AW34" s="190"/>
      <c r="AX34" s="191" t="str">
        <f t="shared" si="16"/>
        <v/>
      </c>
      <c r="AY34" s="190"/>
      <c r="AZ34" s="191" t="str">
        <f t="shared" si="17"/>
        <v/>
      </c>
      <c r="BA34" s="190"/>
      <c r="BB34" s="191" t="str">
        <f t="shared" si="18"/>
        <v/>
      </c>
      <c r="BC34" s="190"/>
      <c r="BD34" s="191" t="str">
        <f t="shared" si="19"/>
        <v/>
      </c>
      <c r="BE34" s="190"/>
      <c r="BF34" s="191">
        <f t="shared" si="20"/>
        <v>0</v>
      </c>
      <c r="BG34" s="190"/>
      <c r="BH34" s="191" t="str">
        <f t="shared" si="21"/>
        <v/>
      </c>
      <c r="BI34" s="190"/>
      <c r="BJ34" s="191" t="str">
        <f t="shared" si="22"/>
        <v/>
      </c>
      <c r="BK34" s="190"/>
      <c r="BL34" s="191" t="str">
        <f t="shared" si="23"/>
        <v/>
      </c>
      <c r="BM34" s="190"/>
      <c r="BN34" s="191" t="str">
        <f t="shared" si="24"/>
        <v/>
      </c>
      <c r="BO34" s="190"/>
      <c r="BP34" s="191" t="str">
        <f t="shared" si="25"/>
        <v/>
      </c>
      <c r="BQ34" s="190"/>
      <c r="BR34" s="191" t="str">
        <f t="shared" si="26"/>
        <v/>
      </c>
      <c r="BS34" s="190"/>
      <c r="BT34" s="191" t="str">
        <f t="shared" si="27"/>
        <v/>
      </c>
      <c r="BU34" s="190"/>
      <c r="BV34" s="191" t="str">
        <f t="shared" si="28"/>
        <v/>
      </c>
      <c r="BW34" s="190"/>
    </row>
    <row r="35" spans="2:75" s="192" customFormat="1" ht="13">
      <c r="B35" s="179" t="s">
        <v>604</v>
      </c>
      <c r="C35" s="172" t="s">
        <v>620</v>
      </c>
      <c r="D35" s="172" t="s">
        <v>134</v>
      </c>
      <c r="E35" s="180"/>
      <c r="F35" s="172" t="s">
        <v>609</v>
      </c>
      <c r="G35" s="172" t="s">
        <v>472</v>
      </c>
      <c r="H35" s="172" t="s">
        <v>162</v>
      </c>
      <c r="I35" s="172" t="s">
        <v>611</v>
      </c>
      <c r="J35" s="181"/>
      <c r="K35" s="182">
        <v>300</v>
      </c>
      <c r="L35" s="183"/>
      <c r="M35" s="183"/>
      <c r="N35" s="183">
        <f t="shared" si="1"/>
        <v>300</v>
      </c>
      <c r="O35" s="184">
        <f t="shared" si="2"/>
        <v>300</v>
      </c>
      <c r="P35" s="183" t="s">
        <v>178</v>
      </c>
      <c r="Q35" s="185">
        <f t="shared" si="29"/>
        <v>3.6764705882352944</v>
      </c>
      <c r="R35" s="186">
        <f t="shared" si="30"/>
        <v>0.36764705882352944</v>
      </c>
      <c r="S35" s="187">
        <v>96</v>
      </c>
      <c r="T35" s="197">
        <f t="shared" si="31"/>
        <v>45680.725490196077</v>
      </c>
      <c r="U35" s="189"/>
      <c r="V35" s="184">
        <f t="shared" ca="1" si="3"/>
        <v>-159.27450980392314</v>
      </c>
      <c r="W35" s="189">
        <f t="shared" si="32"/>
        <v>45681.093137254902</v>
      </c>
      <c r="X35" s="189"/>
      <c r="Y35" s="184">
        <f t="shared" ca="1" si="4"/>
        <v>-158.9068627450979</v>
      </c>
      <c r="Z35" s="189"/>
      <c r="AA35" s="190"/>
      <c r="AB35" s="191" t="str">
        <f t="shared" si="5"/>
        <v>-</v>
      </c>
      <c r="AC35" s="190"/>
      <c r="AD35" s="191" t="str">
        <f t="shared" si="6"/>
        <v/>
      </c>
      <c r="AE35" s="190"/>
      <c r="AF35" s="191" t="str">
        <f t="shared" si="7"/>
        <v/>
      </c>
      <c r="AG35" s="190"/>
      <c r="AH35" s="191" t="str">
        <f t="shared" si="8"/>
        <v/>
      </c>
      <c r="AI35" s="190"/>
      <c r="AJ35" s="191" t="str">
        <f t="shared" si="9"/>
        <v/>
      </c>
      <c r="AK35" s="190"/>
      <c r="AL35" s="191" t="str">
        <f t="shared" si="10"/>
        <v/>
      </c>
      <c r="AM35" s="190"/>
      <c r="AN35" s="191" t="str">
        <f t="shared" si="11"/>
        <v/>
      </c>
      <c r="AO35" s="190"/>
      <c r="AP35" s="191" t="str">
        <f t="shared" si="12"/>
        <v/>
      </c>
      <c r="AQ35" s="190"/>
      <c r="AR35" s="191" t="str">
        <f t="shared" si="13"/>
        <v/>
      </c>
      <c r="AS35" s="190"/>
      <c r="AT35" s="191" t="str">
        <f t="shared" si="14"/>
        <v/>
      </c>
      <c r="AU35" s="190"/>
      <c r="AV35" s="191" t="str">
        <f t="shared" si="15"/>
        <v/>
      </c>
      <c r="AW35" s="190"/>
      <c r="AX35" s="191" t="str">
        <f t="shared" si="16"/>
        <v/>
      </c>
      <c r="AY35" s="190"/>
      <c r="AZ35" s="191" t="str">
        <f t="shared" si="17"/>
        <v/>
      </c>
      <c r="BA35" s="190"/>
      <c r="BB35" s="191" t="str">
        <f t="shared" si="18"/>
        <v/>
      </c>
      <c r="BC35" s="190"/>
      <c r="BD35" s="191" t="str">
        <f t="shared" si="19"/>
        <v/>
      </c>
      <c r="BE35" s="190"/>
      <c r="BF35" s="191">
        <f t="shared" si="20"/>
        <v>300</v>
      </c>
      <c r="BG35" s="190"/>
      <c r="BH35" s="191" t="str">
        <f t="shared" si="21"/>
        <v/>
      </c>
      <c r="BI35" s="190"/>
      <c r="BJ35" s="191" t="str">
        <f t="shared" si="22"/>
        <v/>
      </c>
      <c r="BK35" s="190"/>
      <c r="BL35" s="191" t="str">
        <f t="shared" si="23"/>
        <v/>
      </c>
      <c r="BM35" s="190"/>
      <c r="BN35" s="191" t="str">
        <f t="shared" si="24"/>
        <v/>
      </c>
      <c r="BO35" s="190"/>
      <c r="BP35" s="191" t="str">
        <f t="shared" si="25"/>
        <v/>
      </c>
      <c r="BQ35" s="190"/>
      <c r="BR35" s="191" t="str">
        <f t="shared" si="26"/>
        <v/>
      </c>
      <c r="BS35" s="190"/>
      <c r="BT35" s="191" t="str">
        <f t="shared" si="27"/>
        <v/>
      </c>
      <c r="BU35" s="190"/>
      <c r="BV35" s="191" t="str">
        <f t="shared" si="28"/>
        <v/>
      </c>
      <c r="BW35" s="190"/>
    </row>
    <row r="36" spans="2:75" s="192" customFormat="1" ht="13">
      <c r="B36" s="179" t="s">
        <v>604</v>
      </c>
      <c r="C36" s="172" t="s">
        <v>620</v>
      </c>
      <c r="D36" s="172" t="s">
        <v>134</v>
      </c>
      <c r="E36" s="180"/>
      <c r="F36" s="172" t="s">
        <v>610</v>
      </c>
      <c r="G36" s="172" t="s">
        <v>472</v>
      </c>
      <c r="H36" s="172" t="s">
        <v>155</v>
      </c>
      <c r="I36" s="172" t="s">
        <v>611</v>
      </c>
      <c r="J36" s="181"/>
      <c r="K36" s="182">
        <v>300</v>
      </c>
      <c r="L36" s="183"/>
      <c r="M36" s="183"/>
      <c r="N36" s="183">
        <f t="shared" si="1"/>
        <v>300</v>
      </c>
      <c r="O36" s="184">
        <f t="shared" si="2"/>
        <v>300</v>
      </c>
      <c r="P36" s="183" t="s">
        <v>178</v>
      </c>
      <c r="Q36" s="185">
        <f t="shared" si="29"/>
        <v>3.6764705882352944</v>
      </c>
      <c r="R36" s="186">
        <f t="shared" si="30"/>
        <v>0.36764705882352944</v>
      </c>
      <c r="S36" s="187">
        <v>96</v>
      </c>
      <c r="T36" s="197">
        <f t="shared" si="31"/>
        <v>45681.093137254902</v>
      </c>
      <c r="U36" s="189"/>
      <c r="V36" s="184">
        <f t="shared" ca="1" si="3"/>
        <v>-158.9068627450979</v>
      </c>
      <c r="W36" s="189">
        <f t="shared" si="32"/>
        <v>45681.460784313727</v>
      </c>
      <c r="X36" s="189"/>
      <c r="Y36" s="184">
        <f t="shared" ca="1" si="4"/>
        <v>-158.53921568627266</v>
      </c>
      <c r="Z36" s="189"/>
      <c r="AA36" s="190"/>
      <c r="AB36" s="191" t="str">
        <f t="shared" si="5"/>
        <v>-</v>
      </c>
      <c r="AC36" s="190"/>
      <c r="AD36" s="191" t="str">
        <f t="shared" si="6"/>
        <v/>
      </c>
      <c r="AE36" s="190"/>
      <c r="AF36" s="191" t="str">
        <f t="shared" si="7"/>
        <v/>
      </c>
      <c r="AG36" s="190"/>
      <c r="AH36" s="191" t="str">
        <f t="shared" si="8"/>
        <v/>
      </c>
      <c r="AI36" s="190"/>
      <c r="AJ36" s="191" t="str">
        <f t="shared" si="9"/>
        <v/>
      </c>
      <c r="AK36" s="190"/>
      <c r="AL36" s="191" t="str">
        <f t="shared" si="10"/>
        <v/>
      </c>
      <c r="AM36" s="190"/>
      <c r="AN36" s="191" t="str">
        <f t="shared" si="11"/>
        <v/>
      </c>
      <c r="AO36" s="190"/>
      <c r="AP36" s="191" t="str">
        <f t="shared" si="12"/>
        <v/>
      </c>
      <c r="AQ36" s="190"/>
      <c r="AR36" s="191" t="str">
        <f t="shared" si="13"/>
        <v/>
      </c>
      <c r="AS36" s="190"/>
      <c r="AT36" s="191" t="str">
        <f t="shared" si="14"/>
        <v/>
      </c>
      <c r="AU36" s="190"/>
      <c r="AV36" s="191" t="str">
        <f t="shared" si="15"/>
        <v/>
      </c>
      <c r="AW36" s="190"/>
      <c r="AX36" s="191" t="str">
        <f t="shared" si="16"/>
        <v/>
      </c>
      <c r="AY36" s="190"/>
      <c r="AZ36" s="191" t="str">
        <f t="shared" si="17"/>
        <v/>
      </c>
      <c r="BA36" s="190"/>
      <c r="BB36" s="191" t="str">
        <f t="shared" si="18"/>
        <v/>
      </c>
      <c r="BC36" s="190"/>
      <c r="BD36" s="191" t="str">
        <f t="shared" si="19"/>
        <v/>
      </c>
      <c r="BE36" s="190"/>
      <c r="BF36" s="191">
        <f t="shared" si="20"/>
        <v>300</v>
      </c>
      <c r="BG36" s="190"/>
      <c r="BH36" s="191" t="str">
        <f t="shared" si="21"/>
        <v/>
      </c>
      <c r="BI36" s="190"/>
      <c r="BJ36" s="191" t="str">
        <f t="shared" si="22"/>
        <v/>
      </c>
      <c r="BK36" s="190"/>
      <c r="BL36" s="191" t="str">
        <f t="shared" si="23"/>
        <v/>
      </c>
      <c r="BM36" s="190"/>
      <c r="BN36" s="191" t="str">
        <f t="shared" si="24"/>
        <v/>
      </c>
      <c r="BO36" s="190"/>
      <c r="BP36" s="191" t="str">
        <f t="shared" si="25"/>
        <v/>
      </c>
      <c r="BQ36" s="190"/>
      <c r="BR36" s="191" t="str">
        <f t="shared" si="26"/>
        <v/>
      </c>
      <c r="BS36" s="190"/>
      <c r="BT36" s="191" t="str">
        <f t="shared" si="27"/>
        <v/>
      </c>
      <c r="BU36" s="190"/>
      <c r="BV36" s="191" t="str">
        <f t="shared" si="28"/>
        <v/>
      </c>
      <c r="BW36" s="190"/>
    </row>
    <row r="37" spans="2:75" s="192" customFormat="1" ht="13">
      <c r="B37" s="179" t="s">
        <v>604</v>
      </c>
      <c r="C37" s="172" t="s">
        <v>620</v>
      </c>
      <c r="D37" s="172" t="s">
        <v>134</v>
      </c>
      <c r="E37" s="180"/>
      <c r="F37" s="172" t="s">
        <v>606</v>
      </c>
      <c r="G37" s="172" t="s">
        <v>612</v>
      </c>
      <c r="H37" s="172" t="s">
        <v>239</v>
      </c>
      <c r="I37" s="172" t="s">
        <v>613</v>
      </c>
      <c r="J37" s="181"/>
      <c r="K37" s="182"/>
      <c r="L37" s="183"/>
      <c r="M37" s="183"/>
      <c r="N37" s="183">
        <f t="shared" si="1"/>
        <v>0</v>
      </c>
      <c r="O37" s="184">
        <f t="shared" si="2"/>
        <v>0</v>
      </c>
      <c r="P37" s="183" t="s">
        <v>178</v>
      </c>
      <c r="Q37" s="185">
        <f t="shared" si="29"/>
        <v>0</v>
      </c>
      <c r="R37" s="186">
        <f t="shared" si="30"/>
        <v>0</v>
      </c>
      <c r="S37" s="187">
        <v>48</v>
      </c>
      <c r="T37" s="197">
        <f t="shared" si="31"/>
        <v>45681.460784313727</v>
      </c>
      <c r="U37" s="189"/>
      <c r="V37" s="184">
        <f t="shared" ca="1" si="3"/>
        <v>-158.53921568627266</v>
      </c>
      <c r="W37" s="189">
        <f t="shared" si="32"/>
        <v>45681.460784313727</v>
      </c>
      <c r="X37" s="189"/>
      <c r="Y37" s="184">
        <f t="shared" ca="1" si="4"/>
        <v>-158.53921568627266</v>
      </c>
      <c r="Z37" s="189"/>
      <c r="AA37" s="190"/>
      <c r="AB37" s="191" t="str">
        <f t="shared" si="5"/>
        <v>-</v>
      </c>
      <c r="AC37" s="190"/>
      <c r="AD37" s="191" t="str">
        <f t="shared" si="6"/>
        <v/>
      </c>
      <c r="AE37" s="190"/>
      <c r="AF37" s="191" t="str">
        <f t="shared" si="7"/>
        <v/>
      </c>
      <c r="AG37" s="190"/>
      <c r="AH37" s="191" t="str">
        <f t="shared" si="8"/>
        <v/>
      </c>
      <c r="AI37" s="190"/>
      <c r="AJ37" s="191" t="str">
        <f t="shared" si="9"/>
        <v/>
      </c>
      <c r="AK37" s="190"/>
      <c r="AL37" s="191" t="str">
        <f t="shared" si="10"/>
        <v/>
      </c>
      <c r="AM37" s="190"/>
      <c r="AN37" s="191" t="str">
        <f t="shared" si="11"/>
        <v/>
      </c>
      <c r="AO37" s="190"/>
      <c r="AP37" s="191" t="str">
        <f t="shared" si="12"/>
        <v/>
      </c>
      <c r="AQ37" s="190"/>
      <c r="AR37" s="191" t="str">
        <f t="shared" si="13"/>
        <v/>
      </c>
      <c r="AS37" s="190"/>
      <c r="AT37" s="191" t="str">
        <f t="shared" si="14"/>
        <v/>
      </c>
      <c r="AU37" s="190"/>
      <c r="AV37" s="191" t="str">
        <f t="shared" si="15"/>
        <v/>
      </c>
      <c r="AW37" s="190"/>
      <c r="AX37" s="191" t="str">
        <f t="shared" si="16"/>
        <v/>
      </c>
      <c r="AY37" s="190"/>
      <c r="AZ37" s="191" t="str">
        <f t="shared" si="17"/>
        <v/>
      </c>
      <c r="BA37" s="190"/>
      <c r="BB37" s="191" t="str">
        <f t="shared" si="18"/>
        <v/>
      </c>
      <c r="BC37" s="190"/>
      <c r="BD37" s="191" t="str">
        <f t="shared" si="19"/>
        <v/>
      </c>
      <c r="BE37" s="190"/>
      <c r="BF37" s="191">
        <f t="shared" si="20"/>
        <v>0</v>
      </c>
      <c r="BG37" s="190"/>
      <c r="BH37" s="191" t="str">
        <f t="shared" si="21"/>
        <v/>
      </c>
      <c r="BI37" s="190"/>
      <c r="BJ37" s="191" t="str">
        <f t="shared" si="22"/>
        <v/>
      </c>
      <c r="BK37" s="190"/>
      <c r="BL37" s="191" t="str">
        <f t="shared" si="23"/>
        <v/>
      </c>
      <c r="BM37" s="190"/>
      <c r="BN37" s="191" t="str">
        <f t="shared" si="24"/>
        <v/>
      </c>
      <c r="BO37" s="190"/>
      <c r="BP37" s="191" t="str">
        <f t="shared" si="25"/>
        <v/>
      </c>
      <c r="BQ37" s="190"/>
      <c r="BR37" s="191" t="str">
        <f t="shared" si="26"/>
        <v/>
      </c>
      <c r="BS37" s="190"/>
      <c r="BT37" s="191" t="str">
        <f t="shared" si="27"/>
        <v/>
      </c>
      <c r="BU37" s="190"/>
      <c r="BV37" s="191" t="str">
        <f t="shared" si="28"/>
        <v/>
      </c>
      <c r="BW37" s="190"/>
    </row>
    <row r="38" spans="2:75" s="192" customFormat="1" ht="13">
      <c r="B38" s="179" t="s">
        <v>604</v>
      </c>
      <c r="C38" s="172" t="s">
        <v>620</v>
      </c>
      <c r="D38" s="172" t="s">
        <v>134</v>
      </c>
      <c r="E38" s="180"/>
      <c r="F38" s="172" t="s">
        <v>609</v>
      </c>
      <c r="G38" s="172" t="s">
        <v>612</v>
      </c>
      <c r="H38" s="172" t="s">
        <v>162</v>
      </c>
      <c r="I38" s="172" t="s">
        <v>613</v>
      </c>
      <c r="J38" s="181"/>
      <c r="K38" s="182"/>
      <c r="L38" s="183"/>
      <c r="M38" s="183"/>
      <c r="N38" s="183">
        <f t="shared" si="1"/>
        <v>0</v>
      </c>
      <c r="O38" s="184">
        <f t="shared" si="2"/>
        <v>0</v>
      </c>
      <c r="P38" s="183" t="s">
        <v>178</v>
      </c>
      <c r="Q38" s="185">
        <f t="shared" si="29"/>
        <v>0</v>
      </c>
      <c r="R38" s="186">
        <f t="shared" si="30"/>
        <v>0</v>
      </c>
      <c r="S38" s="187">
        <v>48</v>
      </c>
      <c r="T38" s="197">
        <f t="shared" si="31"/>
        <v>45681.460784313727</v>
      </c>
      <c r="U38" s="189"/>
      <c r="V38" s="184">
        <f t="shared" ca="1" si="3"/>
        <v>-158.53921568627266</v>
      </c>
      <c r="W38" s="189">
        <f t="shared" si="32"/>
        <v>45681.460784313727</v>
      </c>
      <c r="X38" s="189"/>
      <c r="Y38" s="184">
        <f t="shared" ca="1" si="4"/>
        <v>-158.53921568627266</v>
      </c>
      <c r="Z38" s="189"/>
      <c r="AA38" s="190"/>
      <c r="AB38" s="191" t="str">
        <f t="shared" si="5"/>
        <v>-</v>
      </c>
      <c r="AC38" s="190"/>
      <c r="AD38" s="191" t="str">
        <f t="shared" si="6"/>
        <v/>
      </c>
      <c r="AE38" s="190"/>
      <c r="AF38" s="191" t="str">
        <f t="shared" si="7"/>
        <v/>
      </c>
      <c r="AG38" s="190"/>
      <c r="AH38" s="191" t="str">
        <f t="shared" si="8"/>
        <v/>
      </c>
      <c r="AI38" s="190"/>
      <c r="AJ38" s="191" t="str">
        <f t="shared" si="9"/>
        <v/>
      </c>
      <c r="AK38" s="190"/>
      <c r="AL38" s="191" t="str">
        <f t="shared" si="10"/>
        <v/>
      </c>
      <c r="AM38" s="190"/>
      <c r="AN38" s="191" t="str">
        <f t="shared" si="11"/>
        <v/>
      </c>
      <c r="AO38" s="190"/>
      <c r="AP38" s="191" t="str">
        <f t="shared" si="12"/>
        <v/>
      </c>
      <c r="AQ38" s="190"/>
      <c r="AR38" s="191" t="str">
        <f t="shared" si="13"/>
        <v/>
      </c>
      <c r="AS38" s="190"/>
      <c r="AT38" s="191" t="str">
        <f t="shared" si="14"/>
        <v/>
      </c>
      <c r="AU38" s="190"/>
      <c r="AV38" s="191" t="str">
        <f t="shared" si="15"/>
        <v/>
      </c>
      <c r="AW38" s="190"/>
      <c r="AX38" s="191" t="str">
        <f t="shared" si="16"/>
        <v/>
      </c>
      <c r="AY38" s="190"/>
      <c r="AZ38" s="191" t="str">
        <f t="shared" si="17"/>
        <v/>
      </c>
      <c r="BA38" s="190"/>
      <c r="BB38" s="191" t="str">
        <f t="shared" si="18"/>
        <v/>
      </c>
      <c r="BC38" s="190"/>
      <c r="BD38" s="191" t="str">
        <f t="shared" si="19"/>
        <v/>
      </c>
      <c r="BE38" s="190"/>
      <c r="BF38" s="191">
        <f t="shared" si="20"/>
        <v>0</v>
      </c>
      <c r="BG38" s="190"/>
      <c r="BH38" s="191" t="str">
        <f t="shared" si="21"/>
        <v/>
      </c>
      <c r="BI38" s="190"/>
      <c r="BJ38" s="191" t="str">
        <f t="shared" si="22"/>
        <v/>
      </c>
      <c r="BK38" s="190"/>
      <c r="BL38" s="191" t="str">
        <f t="shared" si="23"/>
        <v/>
      </c>
      <c r="BM38" s="190"/>
      <c r="BN38" s="191" t="str">
        <f t="shared" si="24"/>
        <v/>
      </c>
      <c r="BO38" s="190"/>
      <c r="BP38" s="191" t="str">
        <f t="shared" si="25"/>
        <v/>
      </c>
      <c r="BQ38" s="190"/>
      <c r="BR38" s="191" t="str">
        <f t="shared" si="26"/>
        <v/>
      </c>
      <c r="BS38" s="190"/>
      <c r="BT38" s="191" t="str">
        <f t="shared" si="27"/>
        <v/>
      </c>
      <c r="BU38" s="190"/>
      <c r="BV38" s="191" t="str">
        <f t="shared" si="28"/>
        <v/>
      </c>
      <c r="BW38" s="190"/>
    </row>
    <row r="39" spans="2:75" s="192" customFormat="1" ht="13">
      <c r="B39" s="179" t="s">
        <v>604</v>
      </c>
      <c r="C39" s="172" t="s">
        <v>620</v>
      </c>
      <c r="D39" s="172" t="s">
        <v>134</v>
      </c>
      <c r="E39" s="180"/>
      <c r="F39" s="172" t="s">
        <v>610</v>
      </c>
      <c r="G39" s="172" t="s">
        <v>612</v>
      </c>
      <c r="H39" s="172" t="s">
        <v>155</v>
      </c>
      <c r="I39" s="172" t="s">
        <v>613</v>
      </c>
      <c r="J39" s="181"/>
      <c r="K39" s="182"/>
      <c r="L39" s="183"/>
      <c r="M39" s="183"/>
      <c r="N39" s="183">
        <f t="shared" si="1"/>
        <v>0</v>
      </c>
      <c r="O39" s="184">
        <f t="shared" si="2"/>
        <v>0</v>
      </c>
      <c r="P39" s="183" t="s">
        <v>178</v>
      </c>
      <c r="Q39" s="185">
        <f t="shared" si="29"/>
        <v>0</v>
      </c>
      <c r="R39" s="186">
        <f t="shared" si="30"/>
        <v>0</v>
      </c>
      <c r="S39" s="187">
        <v>48</v>
      </c>
      <c r="T39" s="197">
        <f t="shared" si="31"/>
        <v>45681.460784313727</v>
      </c>
      <c r="U39" s="189"/>
      <c r="V39" s="184">
        <f t="shared" ca="1" si="3"/>
        <v>-158.53921568627266</v>
      </c>
      <c r="W39" s="189">
        <f t="shared" si="32"/>
        <v>45681.460784313727</v>
      </c>
      <c r="X39" s="189"/>
      <c r="Y39" s="184">
        <f t="shared" ca="1" si="4"/>
        <v>-158.53921568627266</v>
      </c>
      <c r="Z39" s="189"/>
      <c r="AA39" s="190"/>
      <c r="AB39" s="191" t="str">
        <f t="shared" si="5"/>
        <v>-</v>
      </c>
      <c r="AC39" s="190"/>
      <c r="AD39" s="191" t="str">
        <f t="shared" si="6"/>
        <v/>
      </c>
      <c r="AE39" s="190"/>
      <c r="AF39" s="191" t="str">
        <f t="shared" si="7"/>
        <v/>
      </c>
      <c r="AG39" s="190"/>
      <c r="AH39" s="191" t="str">
        <f t="shared" si="8"/>
        <v/>
      </c>
      <c r="AI39" s="190"/>
      <c r="AJ39" s="191" t="str">
        <f t="shared" si="9"/>
        <v/>
      </c>
      <c r="AK39" s="190"/>
      <c r="AL39" s="191" t="str">
        <f t="shared" si="10"/>
        <v/>
      </c>
      <c r="AM39" s="190"/>
      <c r="AN39" s="191" t="str">
        <f t="shared" si="11"/>
        <v/>
      </c>
      <c r="AO39" s="190"/>
      <c r="AP39" s="191" t="str">
        <f t="shared" si="12"/>
        <v/>
      </c>
      <c r="AQ39" s="190"/>
      <c r="AR39" s="191" t="str">
        <f t="shared" si="13"/>
        <v/>
      </c>
      <c r="AS39" s="190"/>
      <c r="AT39" s="191" t="str">
        <f t="shared" si="14"/>
        <v/>
      </c>
      <c r="AU39" s="190"/>
      <c r="AV39" s="191" t="str">
        <f t="shared" si="15"/>
        <v/>
      </c>
      <c r="AW39" s="190"/>
      <c r="AX39" s="191" t="str">
        <f t="shared" si="16"/>
        <v/>
      </c>
      <c r="AY39" s="190"/>
      <c r="AZ39" s="191" t="str">
        <f t="shared" si="17"/>
        <v/>
      </c>
      <c r="BA39" s="190"/>
      <c r="BB39" s="191" t="str">
        <f t="shared" si="18"/>
        <v/>
      </c>
      <c r="BC39" s="190"/>
      <c r="BD39" s="191" t="str">
        <f t="shared" si="19"/>
        <v/>
      </c>
      <c r="BE39" s="190"/>
      <c r="BF39" s="191">
        <f t="shared" si="20"/>
        <v>0</v>
      </c>
      <c r="BG39" s="190"/>
      <c r="BH39" s="191" t="str">
        <f t="shared" si="21"/>
        <v/>
      </c>
      <c r="BI39" s="190"/>
      <c r="BJ39" s="191" t="str">
        <f t="shared" si="22"/>
        <v/>
      </c>
      <c r="BK39" s="190"/>
      <c r="BL39" s="191" t="str">
        <f t="shared" si="23"/>
        <v/>
      </c>
      <c r="BM39" s="190"/>
      <c r="BN39" s="191" t="str">
        <f t="shared" si="24"/>
        <v/>
      </c>
      <c r="BO39" s="190"/>
      <c r="BP39" s="191" t="str">
        <f t="shared" si="25"/>
        <v/>
      </c>
      <c r="BQ39" s="190"/>
      <c r="BR39" s="191" t="str">
        <f t="shared" si="26"/>
        <v/>
      </c>
      <c r="BS39" s="190"/>
      <c r="BT39" s="191" t="str">
        <f t="shared" si="27"/>
        <v/>
      </c>
      <c r="BU39" s="190"/>
      <c r="BV39" s="191" t="str">
        <f t="shared" si="28"/>
        <v/>
      </c>
      <c r="BW39" s="190"/>
    </row>
    <row r="40" spans="2:75" s="196" customFormat="1" ht="13">
      <c r="B40" s="179" t="s">
        <v>604</v>
      </c>
      <c r="C40" s="172" t="s">
        <v>620</v>
      </c>
      <c r="D40" s="172" t="s">
        <v>134</v>
      </c>
      <c r="E40" s="180"/>
      <c r="F40" s="172" t="s">
        <v>606</v>
      </c>
      <c r="G40" s="172" t="s">
        <v>614</v>
      </c>
      <c r="H40" s="172" t="s">
        <v>239</v>
      </c>
      <c r="I40" s="172" t="s">
        <v>615</v>
      </c>
      <c r="J40" s="181"/>
      <c r="K40" s="182">
        <v>1000</v>
      </c>
      <c r="L40" s="193"/>
      <c r="M40" s="193"/>
      <c r="N40" s="193">
        <f t="shared" si="1"/>
        <v>1000</v>
      </c>
      <c r="O40" s="184">
        <f t="shared" si="2"/>
        <v>1000</v>
      </c>
      <c r="P40" s="193" t="s">
        <v>178</v>
      </c>
      <c r="Q40" s="194">
        <f t="shared" si="29"/>
        <v>14.705882352941176</v>
      </c>
      <c r="R40" s="195">
        <f t="shared" si="30"/>
        <v>1.4705882352941175</v>
      </c>
      <c r="S40" s="179">
        <v>80</v>
      </c>
      <c r="T40" s="189">
        <f t="shared" si="31"/>
        <v>45681.460784313727</v>
      </c>
      <c r="U40" s="189"/>
      <c r="V40" s="184">
        <f t="shared" ca="1" si="3"/>
        <v>-158.53921568627266</v>
      </c>
      <c r="W40" s="189">
        <f t="shared" si="32"/>
        <v>45682.931372549021</v>
      </c>
      <c r="X40" s="189"/>
      <c r="Y40" s="184">
        <f t="shared" ca="1" si="4"/>
        <v>-157.06862745097897</v>
      </c>
      <c r="Z40" s="189"/>
      <c r="AA40" s="190"/>
      <c r="AB40" s="191" t="str">
        <f t="shared" si="5"/>
        <v>-</v>
      </c>
      <c r="AC40" s="190"/>
      <c r="AD40" s="191" t="str">
        <f t="shared" si="6"/>
        <v/>
      </c>
      <c r="AE40" s="190"/>
      <c r="AF40" s="191" t="str">
        <f t="shared" si="7"/>
        <v/>
      </c>
      <c r="AG40" s="190"/>
      <c r="AH40" s="191" t="str">
        <f t="shared" si="8"/>
        <v/>
      </c>
      <c r="AI40" s="190"/>
      <c r="AJ40" s="191" t="str">
        <f t="shared" si="9"/>
        <v/>
      </c>
      <c r="AK40" s="190"/>
      <c r="AL40" s="191" t="str">
        <f t="shared" si="10"/>
        <v/>
      </c>
      <c r="AM40" s="190"/>
      <c r="AN40" s="191" t="str">
        <f t="shared" si="11"/>
        <v/>
      </c>
      <c r="AO40" s="190"/>
      <c r="AP40" s="191" t="str">
        <f t="shared" si="12"/>
        <v/>
      </c>
      <c r="AQ40" s="190"/>
      <c r="AR40" s="191" t="str">
        <f t="shared" si="13"/>
        <v/>
      </c>
      <c r="AS40" s="190"/>
      <c r="AT40" s="191" t="str">
        <f t="shared" si="14"/>
        <v/>
      </c>
      <c r="AU40" s="190"/>
      <c r="AV40" s="191" t="str">
        <f t="shared" si="15"/>
        <v/>
      </c>
      <c r="AW40" s="190"/>
      <c r="AX40" s="191" t="str">
        <f t="shared" si="16"/>
        <v/>
      </c>
      <c r="AY40" s="190"/>
      <c r="AZ40" s="191" t="str">
        <f t="shared" si="17"/>
        <v/>
      </c>
      <c r="BA40" s="190"/>
      <c r="BB40" s="191" t="str">
        <f t="shared" si="18"/>
        <v/>
      </c>
      <c r="BC40" s="190"/>
      <c r="BD40" s="191" t="str">
        <f t="shared" si="19"/>
        <v/>
      </c>
      <c r="BE40" s="190"/>
      <c r="BF40" s="191">
        <f t="shared" si="20"/>
        <v>1000</v>
      </c>
      <c r="BG40" s="190"/>
      <c r="BH40" s="191" t="str">
        <f t="shared" si="21"/>
        <v/>
      </c>
      <c r="BI40" s="190"/>
      <c r="BJ40" s="191" t="str">
        <f t="shared" si="22"/>
        <v/>
      </c>
      <c r="BK40" s="190"/>
      <c r="BL40" s="191" t="str">
        <f t="shared" si="23"/>
        <v/>
      </c>
      <c r="BM40" s="190"/>
      <c r="BN40" s="191" t="str">
        <f t="shared" si="24"/>
        <v/>
      </c>
      <c r="BO40" s="190"/>
      <c r="BP40" s="191" t="str">
        <f t="shared" si="25"/>
        <v/>
      </c>
      <c r="BQ40" s="190"/>
      <c r="BR40" s="191" t="str">
        <f t="shared" si="26"/>
        <v/>
      </c>
      <c r="BS40" s="190"/>
      <c r="BT40" s="191" t="str">
        <f t="shared" si="27"/>
        <v/>
      </c>
      <c r="BU40" s="190"/>
      <c r="BV40" s="191" t="str">
        <f t="shared" si="28"/>
        <v/>
      </c>
      <c r="BW40" s="190"/>
    </row>
    <row r="41" spans="2:75" s="192" customFormat="1" ht="13">
      <c r="B41" s="179" t="s">
        <v>604</v>
      </c>
      <c r="C41" s="172" t="s">
        <v>620</v>
      </c>
      <c r="D41" s="172" t="s">
        <v>134</v>
      </c>
      <c r="E41" s="180"/>
      <c r="F41" s="172" t="s">
        <v>609</v>
      </c>
      <c r="G41" s="172" t="s">
        <v>614</v>
      </c>
      <c r="H41" s="172" t="s">
        <v>162</v>
      </c>
      <c r="I41" s="172" t="s">
        <v>615</v>
      </c>
      <c r="J41" s="181"/>
      <c r="K41" s="182"/>
      <c r="L41" s="183"/>
      <c r="M41" s="183"/>
      <c r="N41" s="183">
        <f t="shared" si="1"/>
        <v>0</v>
      </c>
      <c r="O41" s="184">
        <f t="shared" si="2"/>
        <v>0</v>
      </c>
      <c r="P41" s="183" t="s">
        <v>178</v>
      </c>
      <c r="Q41" s="185">
        <f t="shared" si="29"/>
        <v>0</v>
      </c>
      <c r="R41" s="186">
        <f t="shared" si="30"/>
        <v>0</v>
      </c>
      <c r="S41" s="187">
        <v>80</v>
      </c>
      <c r="T41" s="197">
        <f t="shared" si="31"/>
        <v>45682.931372549021</v>
      </c>
      <c r="U41" s="189"/>
      <c r="V41" s="184">
        <f t="shared" ca="1" si="3"/>
        <v>-157.06862745097897</v>
      </c>
      <c r="W41" s="189">
        <f t="shared" si="32"/>
        <v>45682.931372549021</v>
      </c>
      <c r="X41" s="189"/>
      <c r="Y41" s="184">
        <f t="shared" ca="1" si="4"/>
        <v>-157.06862745097897</v>
      </c>
      <c r="Z41" s="189"/>
      <c r="AA41" s="190"/>
      <c r="AB41" s="191" t="str">
        <f t="shared" si="5"/>
        <v>-</v>
      </c>
      <c r="AC41" s="190"/>
      <c r="AD41" s="191" t="str">
        <f t="shared" si="6"/>
        <v/>
      </c>
      <c r="AE41" s="190"/>
      <c r="AF41" s="191" t="str">
        <f t="shared" si="7"/>
        <v/>
      </c>
      <c r="AG41" s="190"/>
      <c r="AH41" s="191" t="str">
        <f t="shared" si="8"/>
        <v/>
      </c>
      <c r="AI41" s="190"/>
      <c r="AJ41" s="191" t="str">
        <f t="shared" si="9"/>
        <v/>
      </c>
      <c r="AK41" s="190"/>
      <c r="AL41" s="191" t="str">
        <f t="shared" si="10"/>
        <v/>
      </c>
      <c r="AM41" s="190"/>
      <c r="AN41" s="191" t="str">
        <f t="shared" si="11"/>
        <v/>
      </c>
      <c r="AO41" s="190"/>
      <c r="AP41" s="191" t="str">
        <f t="shared" si="12"/>
        <v/>
      </c>
      <c r="AQ41" s="190"/>
      <c r="AR41" s="191" t="str">
        <f t="shared" si="13"/>
        <v/>
      </c>
      <c r="AS41" s="190"/>
      <c r="AT41" s="191" t="str">
        <f t="shared" si="14"/>
        <v/>
      </c>
      <c r="AU41" s="190"/>
      <c r="AV41" s="191" t="str">
        <f t="shared" si="15"/>
        <v/>
      </c>
      <c r="AW41" s="190"/>
      <c r="AX41" s="191" t="str">
        <f t="shared" si="16"/>
        <v/>
      </c>
      <c r="AY41" s="190"/>
      <c r="AZ41" s="191" t="str">
        <f t="shared" si="17"/>
        <v/>
      </c>
      <c r="BA41" s="190"/>
      <c r="BB41" s="191" t="str">
        <f t="shared" si="18"/>
        <v/>
      </c>
      <c r="BC41" s="190"/>
      <c r="BD41" s="191" t="str">
        <f t="shared" si="19"/>
        <v/>
      </c>
      <c r="BE41" s="190"/>
      <c r="BF41" s="191">
        <f t="shared" si="20"/>
        <v>0</v>
      </c>
      <c r="BG41" s="190"/>
      <c r="BH41" s="191" t="str">
        <f t="shared" si="21"/>
        <v/>
      </c>
      <c r="BI41" s="190"/>
      <c r="BJ41" s="191" t="str">
        <f t="shared" si="22"/>
        <v/>
      </c>
      <c r="BK41" s="190"/>
      <c r="BL41" s="191" t="str">
        <f t="shared" si="23"/>
        <v/>
      </c>
      <c r="BM41" s="190"/>
      <c r="BN41" s="191" t="str">
        <f t="shared" si="24"/>
        <v/>
      </c>
      <c r="BO41" s="190"/>
      <c r="BP41" s="191" t="str">
        <f t="shared" si="25"/>
        <v/>
      </c>
      <c r="BQ41" s="190"/>
      <c r="BR41" s="191" t="str">
        <f t="shared" si="26"/>
        <v/>
      </c>
      <c r="BS41" s="190"/>
      <c r="BT41" s="191" t="str">
        <f t="shared" si="27"/>
        <v/>
      </c>
      <c r="BU41" s="190"/>
      <c r="BV41" s="191" t="str">
        <f t="shared" si="28"/>
        <v/>
      </c>
      <c r="BW41" s="190"/>
    </row>
    <row r="42" spans="2:75" s="192" customFormat="1" ht="13">
      <c r="B42" s="179" t="s">
        <v>604</v>
      </c>
      <c r="C42" s="172" t="s">
        <v>620</v>
      </c>
      <c r="D42" s="172" t="s">
        <v>134</v>
      </c>
      <c r="E42" s="180"/>
      <c r="F42" s="172" t="s">
        <v>610</v>
      </c>
      <c r="G42" s="172" t="s">
        <v>614</v>
      </c>
      <c r="H42" s="172" t="s">
        <v>155</v>
      </c>
      <c r="I42" s="172" t="s">
        <v>615</v>
      </c>
      <c r="J42" s="181"/>
      <c r="K42" s="182">
        <v>1000</v>
      </c>
      <c r="L42" s="183"/>
      <c r="M42" s="183"/>
      <c r="N42" s="183">
        <f t="shared" si="1"/>
        <v>1000</v>
      </c>
      <c r="O42" s="184">
        <f t="shared" si="2"/>
        <v>1000</v>
      </c>
      <c r="P42" s="183" t="s">
        <v>178</v>
      </c>
      <c r="Q42" s="185">
        <f t="shared" si="29"/>
        <v>14.705882352941176</v>
      </c>
      <c r="R42" s="186">
        <f t="shared" si="30"/>
        <v>1.4705882352941175</v>
      </c>
      <c r="S42" s="187">
        <v>80</v>
      </c>
      <c r="T42" s="197">
        <f t="shared" si="31"/>
        <v>45682.931372549021</v>
      </c>
      <c r="U42" s="189"/>
      <c r="V42" s="184">
        <f t="shared" ca="1" si="3"/>
        <v>-157.06862745097897</v>
      </c>
      <c r="W42" s="189">
        <f t="shared" si="32"/>
        <v>45684.401960784315</v>
      </c>
      <c r="X42" s="189"/>
      <c r="Y42" s="184">
        <f t="shared" ca="1" si="4"/>
        <v>-155.59803921568528</v>
      </c>
      <c r="Z42" s="189"/>
      <c r="AA42" s="190"/>
      <c r="AB42" s="191" t="str">
        <f t="shared" si="5"/>
        <v>-</v>
      </c>
      <c r="AC42" s="190"/>
      <c r="AD42" s="191" t="str">
        <f t="shared" si="6"/>
        <v/>
      </c>
      <c r="AE42" s="190"/>
      <c r="AF42" s="191" t="str">
        <f t="shared" si="7"/>
        <v/>
      </c>
      <c r="AG42" s="190"/>
      <c r="AH42" s="191" t="str">
        <f t="shared" si="8"/>
        <v/>
      </c>
      <c r="AI42" s="190"/>
      <c r="AJ42" s="191" t="str">
        <f t="shared" si="9"/>
        <v/>
      </c>
      <c r="AK42" s="190"/>
      <c r="AL42" s="191" t="str">
        <f t="shared" si="10"/>
        <v/>
      </c>
      <c r="AM42" s="190"/>
      <c r="AN42" s="191" t="str">
        <f t="shared" si="11"/>
        <v/>
      </c>
      <c r="AO42" s="190"/>
      <c r="AP42" s="191" t="str">
        <f t="shared" si="12"/>
        <v/>
      </c>
      <c r="AQ42" s="190"/>
      <c r="AR42" s="191" t="str">
        <f t="shared" si="13"/>
        <v/>
      </c>
      <c r="AS42" s="190"/>
      <c r="AT42" s="191" t="str">
        <f t="shared" si="14"/>
        <v/>
      </c>
      <c r="AU42" s="190"/>
      <c r="AV42" s="191" t="str">
        <f t="shared" si="15"/>
        <v/>
      </c>
      <c r="AW42" s="190"/>
      <c r="AX42" s="191" t="str">
        <f t="shared" si="16"/>
        <v/>
      </c>
      <c r="AY42" s="190"/>
      <c r="AZ42" s="191" t="str">
        <f t="shared" si="17"/>
        <v/>
      </c>
      <c r="BA42" s="190"/>
      <c r="BB42" s="191" t="str">
        <f t="shared" si="18"/>
        <v/>
      </c>
      <c r="BC42" s="190"/>
      <c r="BD42" s="191" t="str">
        <f t="shared" si="19"/>
        <v/>
      </c>
      <c r="BE42" s="190"/>
      <c r="BF42" s="191">
        <f t="shared" si="20"/>
        <v>1000</v>
      </c>
      <c r="BG42" s="190"/>
      <c r="BH42" s="191" t="str">
        <f t="shared" si="21"/>
        <v/>
      </c>
      <c r="BI42" s="190"/>
      <c r="BJ42" s="191" t="str">
        <f t="shared" si="22"/>
        <v/>
      </c>
      <c r="BK42" s="190"/>
      <c r="BL42" s="191" t="str">
        <f t="shared" si="23"/>
        <v/>
      </c>
      <c r="BM42" s="190"/>
      <c r="BN42" s="191" t="str">
        <f t="shared" si="24"/>
        <v/>
      </c>
      <c r="BO42" s="190"/>
      <c r="BP42" s="191" t="str">
        <f t="shared" si="25"/>
        <v/>
      </c>
      <c r="BQ42" s="190"/>
      <c r="BR42" s="191" t="str">
        <f t="shared" si="26"/>
        <v/>
      </c>
      <c r="BS42" s="190"/>
      <c r="BT42" s="191" t="str">
        <f t="shared" si="27"/>
        <v/>
      </c>
      <c r="BU42" s="190"/>
      <c r="BV42" s="191" t="str">
        <f t="shared" si="28"/>
        <v/>
      </c>
      <c r="BW42" s="190"/>
    </row>
    <row r="43" spans="2:75" s="196" customFormat="1" ht="13">
      <c r="B43" s="179" t="s">
        <v>604</v>
      </c>
      <c r="C43" s="172" t="s">
        <v>620</v>
      </c>
      <c r="D43" s="172" t="s">
        <v>134</v>
      </c>
      <c r="E43" s="180"/>
      <c r="F43" s="172" t="s">
        <v>606</v>
      </c>
      <c r="G43" s="172" t="s">
        <v>240</v>
      </c>
      <c r="H43" s="172" t="s">
        <v>239</v>
      </c>
      <c r="I43" s="172" t="s">
        <v>616</v>
      </c>
      <c r="J43" s="181"/>
      <c r="K43" s="182">
        <v>0</v>
      </c>
      <c r="L43" s="193"/>
      <c r="M43" s="193"/>
      <c r="N43" s="193">
        <f t="shared" si="1"/>
        <v>0</v>
      </c>
      <c r="O43" s="184">
        <f t="shared" si="2"/>
        <v>0</v>
      </c>
      <c r="P43" s="193" t="s">
        <v>178</v>
      </c>
      <c r="Q43" s="194">
        <f t="shared" si="29"/>
        <v>0</v>
      </c>
      <c r="R43" s="195">
        <f t="shared" si="30"/>
        <v>0</v>
      </c>
      <c r="S43" s="179">
        <v>24</v>
      </c>
      <c r="T43" s="189">
        <f t="shared" si="31"/>
        <v>45684.401960784315</v>
      </c>
      <c r="U43" s="189"/>
      <c r="V43" s="184">
        <f t="shared" ca="1" si="3"/>
        <v>-155.59803921568528</v>
      </c>
      <c r="W43" s="189">
        <f t="shared" si="32"/>
        <v>45684.401960784315</v>
      </c>
      <c r="X43" s="189"/>
      <c r="Y43" s="184">
        <f t="shared" ca="1" si="4"/>
        <v>-155.59803921568528</v>
      </c>
      <c r="Z43" s="189"/>
      <c r="AA43" s="190"/>
      <c r="AB43" s="191" t="str">
        <f t="shared" si="5"/>
        <v>-</v>
      </c>
      <c r="AC43" s="190"/>
      <c r="AD43" s="191" t="str">
        <f t="shared" si="6"/>
        <v/>
      </c>
      <c r="AE43" s="190"/>
      <c r="AF43" s="191" t="str">
        <f t="shared" si="7"/>
        <v/>
      </c>
      <c r="AG43" s="190"/>
      <c r="AH43" s="191" t="str">
        <f t="shared" si="8"/>
        <v/>
      </c>
      <c r="AI43" s="190"/>
      <c r="AJ43" s="191" t="str">
        <f t="shared" si="9"/>
        <v/>
      </c>
      <c r="AK43" s="190"/>
      <c r="AL43" s="191" t="str">
        <f t="shared" si="10"/>
        <v/>
      </c>
      <c r="AM43" s="190"/>
      <c r="AN43" s="191" t="str">
        <f t="shared" si="11"/>
        <v/>
      </c>
      <c r="AO43" s="190"/>
      <c r="AP43" s="191" t="str">
        <f t="shared" si="12"/>
        <v/>
      </c>
      <c r="AQ43" s="190"/>
      <c r="AR43" s="191" t="str">
        <f t="shared" si="13"/>
        <v/>
      </c>
      <c r="AS43" s="190"/>
      <c r="AT43" s="191" t="str">
        <f t="shared" si="14"/>
        <v/>
      </c>
      <c r="AU43" s="190"/>
      <c r="AV43" s="191" t="str">
        <f t="shared" si="15"/>
        <v/>
      </c>
      <c r="AW43" s="190"/>
      <c r="AX43" s="191" t="str">
        <f t="shared" si="16"/>
        <v/>
      </c>
      <c r="AY43" s="190"/>
      <c r="AZ43" s="191" t="str">
        <f t="shared" si="17"/>
        <v/>
      </c>
      <c r="BA43" s="190"/>
      <c r="BB43" s="191" t="str">
        <f t="shared" si="18"/>
        <v/>
      </c>
      <c r="BC43" s="190"/>
      <c r="BD43" s="191" t="str">
        <f t="shared" si="19"/>
        <v/>
      </c>
      <c r="BE43" s="190"/>
      <c r="BF43" s="191" t="str">
        <f t="shared" si="20"/>
        <v/>
      </c>
      <c r="BG43" s="190"/>
      <c r="BH43" s="191">
        <f t="shared" si="21"/>
        <v>0</v>
      </c>
      <c r="BI43" s="190"/>
      <c r="BJ43" s="191" t="str">
        <f t="shared" si="22"/>
        <v/>
      </c>
      <c r="BK43" s="190"/>
      <c r="BL43" s="191" t="str">
        <f t="shared" si="23"/>
        <v/>
      </c>
      <c r="BM43" s="190"/>
      <c r="BN43" s="191" t="str">
        <f t="shared" si="24"/>
        <v/>
      </c>
      <c r="BO43" s="190"/>
      <c r="BP43" s="191" t="str">
        <f t="shared" si="25"/>
        <v/>
      </c>
      <c r="BQ43" s="190"/>
      <c r="BR43" s="191" t="str">
        <f t="shared" si="26"/>
        <v/>
      </c>
      <c r="BS43" s="190"/>
      <c r="BT43" s="191" t="str">
        <f t="shared" si="27"/>
        <v/>
      </c>
      <c r="BU43" s="190"/>
      <c r="BV43" s="191" t="str">
        <f t="shared" si="28"/>
        <v/>
      </c>
      <c r="BW43" s="190"/>
    </row>
    <row r="44" spans="2:75" s="196" customFormat="1" ht="13">
      <c r="B44" s="179" t="s">
        <v>604</v>
      </c>
      <c r="C44" s="172" t="s">
        <v>620</v>
      </c>
      <c r="D44" s="172" t="s">
        <v>134</v>
      </c>
      <c r="E44" s="180"/>
      <c r="F44" s="172" t="s">
        <v>609</v>
      </c>
      <c r="G44" s="172" t="s">
        <v>240</v>
      </c>
      <c r="H44" s="172" t="s">
        <v>162</v>
      </c>
      <c r="I44" s="172" t="s">
        <v>616</v>
      </c>
      <c r="J44" s="181"/>
      <c r="K44" s="182">
        <v>500</v>
      </c>
      <c r="L44" s="193"/>
      <c r="M44" s="193"/>
      <c r="N44" s="193">
        <f t="shared" si="1"/>
        <v>500</v>
      </c>
      <c r="O44" s="184">
        <f t="shared" si="2"/>
        <v>500</v>
      </c>
      <c r="P44" s="193" t="s">
        <v>178</v>
      </c>
      <c r="Q44" s="194">
        <f t="shared" si="29"/>
        <v>24.509803921568629</v>
      </c>
      <c r="R44" s="195">
        <f t="shared" si="30"/>
        <v>2.4509803921568629</v>
      </c>
      <c r="S44" s="179">
        <v>24</v>
      </c>
      <c r="T44" s="189">
        <f t="shared" si="31"/>
        <v>45684.401960784315</v>
      </c>
      <c r="U44" s="189"/>
      <c r="V44" s="184">
        <f t="shared" ca="1" si="3"/>
        <v>-155.59803921568528</v>
      </c>
      <c r="W44" s="189">
        <f t="shared" si="32"/>
        <v>45686.852941176468</v>
      </c>
      <c r="X44" s="189"/>
      <c r="Y44" s="184">
        <f t="shared" ca="1" si="4"/>
        <v>-153.14705882353155</v>
      </c>
      <c r="Z44" s="189"/>
      <c r="AA44" s="190"/>
      <c r="AB44" s="191" t="str">
        <f t="shared" si="5"/>
        <v>-</v>
      </c>
      <c r="AC44" s="190"/>
      <c r="AD44" s="191" t="str">
        <f t="shared" si="6"/>
        <v/>
      </c>
      <c r="AE44" s="190"/>
      <c r="AF44" s="191" t="str">
        <f t="shared" si="7"/>
        <v/>
      </c>
      <c r="AG44" s="190"/>
      <c r="AH44" s="191" t="str">
        <f t="shared" si="8"/>
        <v/>
      </c>
      <c r="AI44" s="190"/>
      <c r="AJ44" s="191" t="str">
        <f t="shared" si="9"/>
        <v/>
      </c>
      <c r="AK44" s="190"/>
      <c r="AL44" s="191" t="str">
        <f t="shared" si="10"/>
        <v/>
      </c>
      <c r="AM44" s="190"/>
      <c r="AN44" s="191" t="str">
        <f t="shared" si="11"/>
        <v/>
      </c>
      <c r="AO44" s="190"/>
      <c r="AP44" s="191" t="str">
        <f t="shared" si="12"/>
        <v/>
      </c>
      <c r="AQ44" s="190"/>
      <c r="AR44" s="191" t="str">
        <f t="shared" si="13"/>
        <v/>
      </c>
      <c r="AS44" s="190"/>
      <c r="AT44" s="191" t="str">
        <f t="shared" si="14"/>
        <v/>
      </c>
      <c r="AU44" s="190"/>
      <c r="AV44" s="191" t="str">
        <f t="shared" si="15"/>
        <v/>
      </c>
      <c r="AW44" s="190"/>
      <c r="AX44" s="191" t="str">
        <f t="shared" si="16"/>
        <v/>
      </c>
      <c r="AY44" s="190"/>
      <c r="AZ44" s="191" t="str">
        <f t="shared" si="17"/>
        <v/>
      </c>
      <c r="BA44" s="190"/>
      <c r="BB44" s="191" t="str">
        <f t="shared" si="18"/>
        <v/>
      </c>
      <c r="BC44" s="190"/>
      <c r="BD44" s="191" t="str">
        <f t="shared" si="19"/>
        <v/>
      </c>
      <c r="BE44" s="190"/>
      <c r="BF44" s="191" t="str">
        <f t="shared" si="20"/>
        <v/>
      </c>
      <c r="BG44" s="190"/>
      <c r="BH44" s="191">
        <f t="shared" si="21"/>
        <v>500</v>
      </c>
      <c r="BI44" s="190"/>
      <c r="BJ44" s="191" t="str">
        <f t="shared" si="22"/>
        <v/>
      </c>
      <c r="BK44" s="190"/>
      <c r="BL44" s="191" t="str">
        <f t="shared" si="23"/>
        <v/>
      </c>
      <c r="BM44" s="190"/>
      <c r="BN44" s="191" t="str">
        <f t="shared" si="24"/>
        <v/>
      </c>
      <c r="BO44" s="190"/>
      <c r="BP44" s="191" t="str">
        <f t="shared" si="25"/>
        <v/>
      </c>
      <c r="BQ44" s="190"/>
      <c r="BR44" s="191" t="str">
        <f t="shared" si="26"/>
        <v/>
      </c>
      <c r="BS44" s="190"/>
      <c r="BT44" s="191" t="str">
        <f t="shared" si="27"/>
        <v/>
      </c>
      <c r="BU44" s="190"/>
      <c r="BV44" s="191" t="str">
        <f t="shared" si="28"/>
        <v/>
      </c>
      <c r="BW44" s="190"/>
    </row>
    <row r="45" spans="2:75" s="196" customFormat="1" ht="13">
      <c r="B45" s="179" t="s">
        <v>604</v>
      </c>
      <c r="C45" s="172" t="s">
        <v>620</v>
      </c>
      <c r="D45" s="172" t="s">
        <v>134</v>
      </c>
      <c r="E45" s="180"/>
      <c r="F45" s="172" t="s">
        <v>610</v>
      </c>
      <c r="G45" s="172" t="s">
        <v>240</v>
      </c>
      <c r="H45" s="172" t="s">
        <v>155</v>
      </c>
      <c r="I45" s="172" t="s">
        <v>616</v>
      </c>
      <c r="J45" s="181"/>
      <c r="K45" s="182">
        <v>500</v>
      </c>
      <c r="L45" s="193"/>
      <c r="M45" s="193"/>
      <c r="N45" s="193">
        <f t="shared" si="1"/>
        <v>500</v>
      </c>
      <c r="O45" s="184">
        <f t="shared" si="2"/>
        <v>500</v>
      </c>
      <c r="P45" s="193" t="s">
        <v>178</v>
      </c>
      <c r="Q45" s="194">
        <f t="shared" si="29"/>
        <v>24.509803921568629</v>
      </c>
      <c r="R45" s="195">
        <f t="shared" si="30"/>
        <v>2.4509803921568629</v>
      </c>
      <c r="S45" s="179">
        <v>24</v>
      </c>
      <c r="T45" s="189">
        <f t="shared" si="31"/>
        <v>45686.852941176468</v>
      </c>
      <c r="U45" s="189"/>
      <c r="V45" s="184">
        <f t="shared" ca="1" si="3"/>
        <v>-153.14705882353155</v>
      </c>
      <c r="W45" s="189">
        <f t="shared" si="32"/>
        <v>45689.303921568622</v>
      </c>
      <c r="X45" s="189"/>
      <c r="Y45" s="184">
        <f t="shared" ca="1" si="4"/>
        <v>-150.69607843137783</v>
      </c>
      <c r="Z45" s="189"/>
      <c r="AA45" s="190"/>
      <c r="AB45" s="191" t="str">
        <f t="shared" si="5"/>
        <v>-</v>
      </c>
      <c r="AC45" s="190"/>
      <c r="AD45" s="191" t="str">
        <f t="shared" si="6"/>
        <v/>
      </c>
      <c r="AE45" s="190"/>
      <c r="AF45" s="191" t="str">
        <f t="shared" si="7"/>
        <v/>
      </c>
      <c r="AG45" s="190"/>
      <c r="AH45" s="191" t="str">
        <f t="shared" si="8"/>
        <v/>
      </c>
      <c r="AI45" s="190"/>
      <c r="AJ45" s="191" t="str">
        <f t="shared" si="9"/>
        <v/>
      </c>
      <c r="AK45" s="190"/>
      <c r="AL45" s="191" t="str">
        <f t="shared" si="10"/>
        <v/>
      </c>
      <c r="AM45" s="190"/>
      <c r="AN45" s="191" t="str">
        <f t="shared" si="11"/>
        <v/>
      </c>
      <c r="AO45" s="190"/>
      <c r="AP45" s="191" t="str">
        <f t="shared" si="12"/>
        <v/>
      </c>
      <c r="AQ45" s="190"/>
      <c r="AR45" s="191" t="str">
        <f t="shared" si="13"/>
        <v/>
      </c>
      <c r="AS45" s="190"/>
      <c r="AT45" s="191" t="str">
        <f t="shared" si="14"/>
        <v/>
      </c>
      <c r="AU45" s="190"/>
      <c r="AV45" s="191" t="str">
        <f t="shared" si="15"/>
        <v/>
      </c>
      <c r="AW45" s="190"/>
      <c r="AX45" s="191" t="str">
        <f t="shared" si="16"/>
        <v/>
      </c>
      <c r="AY45" s="190"/>
      <c r="AZ45" s="191" t="str">
        <f t="shared" si="17"/>
        <v/>
      </c>
      <c r="BA45" s="190"/>
      <c r="BB45" s="191" t="str">
        <f t="shared" si="18"/>
        <v/>
      </c>
      <c r="BC45" s="190"/>
      <c r="BD45" s="191" t="str">
        <f t="shared" si="19"/>
        <v/>
      </c>
      <c r="BE45" s="190"/>
      <c r="BF45" s="191" t="str">
        <f t="shared" si="20"/>
        <v/>
      </c>
      <c r="BG45" s="190"/>
      <c r="BH45" s="191">
        <f t="shared" si="21"/>
        <v>500</v>
      </c>
      <c r="BI45" s="190"/>
      <c r="BJ45" s="191" t="str">
        <f t="shared" si="22"/>
        <v/>
      </c>
      <c r="BK45" s="190"/>
      <c r="BL45" s="191" t="str">
        <f t="shared" si="23"/>
        <v/>
      </c>
      <c r="BM45" s="190"/>
      <c r="BN45" s="191" t="str">
        <f t="shared" si="24"/>
        <v/>
      </c>
      <c r="BO45" s="190"/>
      <c r="BP45" s="191" t="str">
        <f t="shared" si="25"/>
        <v/>
      </c>
      <c r="BQ45" s="190"/>
      <c r="BR45" s="191" t="str">
        <f t="shared" si="26"/>
        <v/>
      </c>
      <c r="BS45" s="190"/>
      <c r="BT45" s="191" t="str">
        <f t="shared" si="27"/>
        <v/>
      </c>
      <c r="BU45" s="190"/>
      <c r="BV45" s="191" t="str">
        <f t="shared" si="28"/>
        <v/>
      </c>
      <c r="BW45" s="190"/>
    </row>
    <row r="46" spans="2:75" s="196" customFormat="1" ht="13">
      <c r="B46" s="179" t="s">
        <v>604</v>
      </c>
      <c r="C46" s="172" t="s">
        <v>620</v>
      </c>
      <c r="D46" s="172" t="s">
        <v>134</v>
      </c>
      <c r="E46" s="180"/>
      <c r="F46" s="172" t="s">
        <v>606</v>
      </c>
      <c r="G46" s="172" t="s">
        <v>241</v>
      </c>
      <c r="H46" s="172" t="s">
        <v>239</v>
      </c>
      <c r="I46" s="172" t="s">
        <v>617</v>
      </c>
      <c r="J46" s="181"/>
      <c r="K46" s="182">
        <v>0</v>
      </c>
      <c r="L46" s="193"/>
      <c r="M46" s="193"/>
      <c r="N46" s="193">
        <f t="shared" si="1"/>
        <v>0</v>
      </c>
      <c r="O46" s="184">
        <f t="shared" si="2"/>
        <v>0</v>
      </c>
      <c r="P46" s="193" t="s">
        <v>178</v>
      </c>
      <c r="Q46" s="194">
        <f t="shared" si="29"/>
        <v>0</v>
      </c>
      <c r="R46" s="195">
        <f t="shared" si="30"/>
        <v>0</v>
      </c>
      <c r="S46" s="179">
        <v>32</v>
      </c>
      <c r="T46" s="189">
        <f t="shared" si="31"/>
        <v>45689.303921568622</v>
      </c>
      <c r="U46" s="189"/>
      <c r="V46" s="184">
        <f t="shared" ca="1" si="3"/>
        <v>-150.69607843137783</v>
      </c>
      <c r="W46" s="189">
        <f t="shared" si="32"/>
        <v>45689.303921568622</v>
      </c>
      <c r="X46" s="189"/>
      <c r="Y46" s="184">
        <f t="shared" ca="1" si="4"/>
        <v>-150.69607843137783</v>
      </c>
      <c r="Z46" s="189"/>
      <c r="AA46" s="190"/>
      <c r="AB46" s="191" t="str">
        <f t="shared" si="5"/>
        <v>-</v>
      </c>
      <c r="AC46" s="190"/>
      <c r="AD46" s="191" t="str">
        <f t="shared" si="6"/>
        <v/>
      </c>
      <c r="AE46" s="190"/>
      <c r="AF46" s="191" t="str">
        <f t="shared" si="7"/>
        <v/>
      </c>
      <c r="AG46" s="190"/>
      <c r="AH46" s="191" t="str">
        <f t="shared" si="8"/>
        <v/>
      </c>
      <c r="AI46" s="190"/>
      <c r="AJ46" s="191" t="str">
        <f t="shared" si="9"/>
        <v/>
      </c>
      <c r="AK46" s="190"/>
      <c r="AL46" s="191" t="str">
        <f t="shared" si="10"/>
        <v/>
      </c>
      <c r="AM46" s="190"/>
      <c r="AN46" s="191" t="str">
        <f t="shared" si="11"/>
        <v/>
      </c>
      <c r="AO46" s="190"/>
      <c r="AP46" s="191" t="str">
        <f t="shared" si="12"/>
        <v/>
      </c>
      <c r="AQ46" s="190"/>
      <c r="AR46" s="191" t="str">
        <f t="shared" si="13"/>
        <v/>
      </c>
      <c r="AS46" s="190"/>
      <c r="AT46" s="191" t="str">
        <f t="shared" si="14"/>
        <v/>
      </c>
      <c r="AU46" s="190"/>
      <c r="AV46" s="191" t="str">
        <f t="shared" si="15"/>
        <v/>
      </c>
      <c r="AW46" s="190"/>
      <c r="AX46" s="191" t="str">
        <f t="shared" si="16"/>
        <v/>
      </c>
      <c r="AY46" s="190"/>
      <c r="AZ46" s="191" t="str">
        <f t="shared" si="17"/>
        <v/>
      </c>
      <c r="BA46" s="190"/>
      <c r="BB46" s="191" t="str">
        <f t="shared" si="18"/>
        <v/>
      </c>
      <c r="BC46" s="190"/>
      <c r="BD46" s="191" t="str">
        <f t="shared" si="19"/>
        <v/>
      </c>
      <c r="BE46" s="190"/>
      <c r="BF46" s="191" t="str">
        <f t="shared" si="20"/>
        <v/>
      </c>
      <c r="BG46" s="190"/>
      <c r="BH46" s="191">
        <f t="shared" si="21"/>
        <v>0</v>
      </c>
      <c r="BI46" s="190"/>
      <c r="BJ46" s="191" t="str">
        <f t="shared" si="22"/>
        <v/>
      </c>
      <c r="BK46" s="190"/>
      <c r="BL46" s="191" t="str">
        <f t="shared" si="23"/>
        <v/>
      </c>
      <c r="BM46" s="190"/>
      <c r="BN46" s="191" t="str">
        <f t="shared" si="24"/>
        <v/>
      </c>
      <c r="BO46" s="190"/>
      <c r="BP46" s="191" t="str">
        <f t="shared" si="25"/>
        <v/>
      </c>
      <c r="BQ46" s="190"/>
      <c r="BR46" s="191" t="str">
        <f t="shared" si="26"/>
        <v/>
      </c>
      <c r="BS46" s="190"/>
      <c r="BT46" s="191" t="str">
        <f t="shared" si="27"/>
        <v/>
      </c>
      <c r="BU46" s="190"/>
      <c r="BV46" s="191" t="str">
        <f t="shared" si="28"/>
        <v/>
      </c>
      <c r="BW46" s="190"/>
    </row>
    <row r="47" spans="2:75" s="196" customFormat="1" ht="13">
      <c r="B47" s="179" t="s">
        <v>604</v>
      </c>
      <c r="C47" s="172" t="s">
        <v>620</v>
      </c>
      <c r="D47" s="172" t="s">
        <v>134</v>
      </c>
      <c r="E47" s="180"/>
      <c r="F47" s="172" t="s">
        <v>609</v>
      </c>
      <c r="G47" s="172" t="s">
        <v>241</v>
      </c>
      <c r="H47" s="172" t="s">
        <v>162</v>
      </c>
      <c r="I47" s="172" t="s">
        <v>617</v>
      </c>
      <c r="J47" s="181"/>
      <c r="K47" s="182">
        <v>300</v>
      </c>
      <c r="L47" s="193"/>
      <c r="M47" s="193"/>
      <c r="N47" s="193">
        <f t="shared" si="1"/>
        <v>300</v>
      </c>
      <c r="O47" s="184">
        <f t="shared" si="2"/>
        <v>300</v>
      </c>
      <c r="P47" s="193" t="s">
        <v>178</v>
      </c>
      <c r="Q47" s="194">
        <f t="shared" si="29"/>
        <v>11.029411764705882</v>
      </c>
      <c r="R47" s="195">
        <f t="shared" si="30"/>
        <v>1.1029411764705883</v>
      </c>
      <c r="S47" s="179">
        <v>32</v>
      </c>
      <c r="T47" s="189">
        <f t="shared" si="31"/>
        <v>45689.303921568622</v>
      </c>
      <c r="U47" s="189"/>
      <c r="V47" s="184">
        <f t="shared" ca="1" si="3"/>
        <v>-150.69607843137783</v>
      </c>
      <c r="W47" s="189">
        <f t="shared" si="32"/>
        <v>45690.406862745091</v>
      </c>
      <c r="X47" s="189"/>
      <c r="Y47" s="184">
        <f t="shared" ca="1" si="4"/>
        <v>-149.59313725490938</v>
      </c>
      <c r="Z47" s="189"/>
      <c r="AA47" s="190"/>
      <c r="AB47" s="191" t="str">
        <f t="shared" si="5"/>
        <v>-</v>
      </c>
      <c r="AC47" s="190"/>
      <c r="AD47" s="191" t="str">
        <f t="shared" si="6"/>
        <v/>
      </c>
      <c r="AE47" s="190"/>
      <c r="AF47" s="191" t="str">
        <f t="shared" si="7"/>
        <v/>
      </c>
      <c r="AG47" s="190"/>
      <c r="AH47" s="191" t="str">
        <f t="shared" si="8"/>
        <v/>
      </c>
      <c r="AI47" s="190"/>
      <c r="AJ47" s="191" t="str">
        <f t="shared" si="9"/>
        <v/>
      </c>
      <c r="AK47" s="190"/>
      <c r="AL47" s="191" t="str">
        <f t="shared" si="10"/>
        <v/>
      </c>
      <c r="AM47" s="190"/>
      <c r="AN47" s="191" t="str">
        <f t="shared" si="11"/>
        <v/>
      </c>
      <c r="AO47" s="190"/>
      <c r="AP47" s="191" t="str">
        <f t="shared" si="12"/>
        <v/>
      </c>
      <c r="AQ47" s="190"/>
      <c r="AR47" s="191" t="str">
        <f t="shared" si="13"/>
        <v/>
      </c>
      <c r="AS47" s="190"/>
      <c r="AT47" s="191" t="str">
        <f t="shared" si="14"/>
        <v/>
      </c>
      <c r="AU47" s="190"/>
      <c r="AV47" s="191" t="str">
        <f t="shared" si="15"/>
        <v/>
      </c>
      <c r="AW47" s="190"/>
      <c r="AX47" s="191" t="str">
        <f t="shared" si="16"/>
        <v/>
      </c>
      <c r="AY47" s="190"/>
      <c r="AZ47" s="191" t="str">
        <f t="shared" si="17"/>
        <v/>
      </c>
      <c r="BA47" s="190"/>
      <c r="BB47" s="191" t="str">
        <f t="shared" si="18"/>
        <v/>
      </c>
      <c r="BC47" s="190"/>
      <c r="BD47" s="191" t="str">
        <f t="shared" si="19"/>
        <v/>
      </c>
      <c r="BE47" s="190"/>
      <c r="BF47" s="191" t="str">
        <f t="shared" si="20"/>
        <v/>
      </c>
      <c r="BG47" s="190"/>
      <c r="BH47" s="191">
        <f t="shared" si="21"/>
        <v>300</v>
      </c>
      <c r="BI47" s="190"/>
      <c r="BJ47" s="191" t="str">
        <f t="shared" si="22"/>
        <v/>
      </c>
      <c r="BK47" s="190"/>
      <c r="BL47" s="191" t="str">
        <f t="shared" si="23"/>
        <v/>
      </c>
      <c r="BM47" s="190"/>
      <c r="BN47" s="191" t="str">
        <f t="shared" si="24"/>
        <v/>
      </c>
      <c r="BO47" s="190"/>
      <c r="BP47" s="191" t="str">
        <f t="shared" si="25"/>
        <v/>
      </c>
      <c r="BQ47" s="190"/>
      <c r="BR47" s="191" t="str">
        <f t="shared" si="26"/>
        <v/>
      </c>
      <c r="BS47" s="190"/>
      <c r="BT47" s="191" t="str">
        <f t="shared" si="27"/>
        <v/>
      </c>
      <c r="BU47" s="190"/>
      <c r="BV47" s="191" t="str">
        <f t="shared" si="28"/>
        <v/>
      </c>
      <c r="BW47" s="190"/>
    </row>
    <row r="48" spans="2:75" s="196" customFormat="1" ht="13">
      <c r="B48" s="179" t="s">
        <v>604</v>
      </c>
      <c r="C48" s="172" t="s">
        <v>620</v>
      </c>
      <c r="D48" s="172" t="s">
        <v>134</v>
      </c>
      <c r="E48" s="180"/>
      <c r="F48" s="172" t="s">
        <v>610</v>
      </c>
      <c r="G48" s="172" t="s">
        <v>241</v>
      </c>
      <c r="H48" s="172" t="s">
        <v>155</v>
      </c>
      <c r="I48" s="172" t="s">
        <v>617</v>
      </c>
      <c r="J48" s="181"/>
      <c r="K48" s="182">
        <v>300</v>
      </c>
      <c r="L48" s="193"/>
      <c r="M48" s="193"/>
      <c r="N48" s="193">
        <f t="shared" si="1"/>
        <v>300</v>
      </c>
      <c r="O48" s="184">
        <f t="shared" si="2"/>
        <v>300</v>
      </c>
      <c r="P48" s="193" t="s">
        <v>178</v>
      </c>
      <c r="Q48" s="194">
        <f t="shared" si="29"/>
        <v>11.029411764705882</v>
      </c>
      <c r="R48" s="195">
        <f t="shared" si="30"/>
        <v>1.1029411764705883</v>
      </c>
      <c r="S48" s="179">
        <v>32</v>
      </c>
      <c r="T48" s="189">
        <f t="shared" si="31"/>
        <v>45690.406862745091</v>
      </c>
      <c r="U48" s="189"/>
      <c r="V48" s="184">
        <f t="shared" ca="1" si="3"/>
        <v>-149.59313725490938</v>
      </c>
      <c r="W48" s="189">
        <f t="shared" si="32"/>
        <v>45691.509803921559</v>
      </c>
      <c r="X48" s="189"/>
      <c r="Y48" s="184">
        <f t="shared" ca="1" si="4"/>
        <v>-148.49019607844093</v>
      </c>
      <c r="Z48" s="189"/>
      <c r="AA48" s="190"/>
      <c r="AB48" s="191" t="str">
        <f t="shared" si="5"/>
        <v>-</v>
      </c>
      <c r="AC48" s="190"/>
      <c r="AD48" s="191" t="str">
        <f t="shared" si="6"/>
        <v/>
      </c>
      <c r="AE48" s="190"/>
      <c r="AF48" s="191" t="str">
        <f t="shared" si="7"/>
        <v/>
      </c>
      <c r="AG48" s="190"/>
      <c r="AH48" s="191" t="str">
        <f t="shared" si="8"/>
        <v/>
      </c>
      <c r="AI48" s="190"/>
      <c r="AJ48" s="191" t="str">
        <f t="shared" si="9"/>
        <v/>
      </c>
      <c r="AK48" s="190"/>
      <c r="AL48" s="191" t="str">
        <f t="shared" si="10"/>
        <v/>
      </c>
      <c r="AM48" s="190"/>
      <c r="AN48" s="191" t="str">
        <f t="shared" si="11"/>
        <v/>
      </c>
      <c r="AO48" s="190"/>
      <c r="AP48" s="191" t="str">
        <f t="shared" si="12"/>
        <v/>
      </c>
      <c r="AQ48" s="190"/>
      <c r="AR48" s="191" t="str">
        <f t="shared" si="13"/>
        <v/>
      </c>
      <c r="AS48" s="190"/>
      <c r="AT48" s="191" t="str">
        <f t="shared" si="14"/>
        <v/>
      </c>
      <c r="AU48" s="190"/>
      <c r="AV48" s="191" t="str">
        <f t="shared" si="15"/>
        <v/>
      </c>
      <c r="AW48" s="190"/>
      <c r="AX48" s="191" t="str">
        <f t="shared" si="16"/>
        <v/>
      </c>
      <c r="AY48" s="190"/>
      <c r="AZ48" s="191" t="str">
        <f t="shared" si="17"/>
        <v/>
      </c>
      <c r="BA48" s="190"/>
      <c r="BB48" s="191" t="str">
        <f t="shared" si="18"/>
        <v/>
      </c>
      <c r="BC48" s="190"/>
      <c r="BD48" s="191" t="str">
        <f t="shared" si="19"/>
        <v/>
      </c>
      <c r="BE48" s="190"/>
      <c r="BF48" s="191" t="str">
        <f t="shared" si="20"/>
        <v/>
      </c>
      <c r="BG48" s="190"/>
      <c r="BH48" s="191" t="str">
        <f t="shared" si="21"/>
        <v/>
      </c>
      <c r="BI48" s="190"/>
      <c r="BJ48" s="191">
        <f t="shared" si="22"/>
        <v>300</v>
      </c>
      <c r="BK48" s="190"/>
      <c r="BL48" s="191" t="str">
        <f t="shared" si="23"/>
        <v/>
      </c>
      <c r="BM48" s="190"/>
      <c r="BN48" s="191" t="str">
        <f t="shared" si="24"/>
        <v/>
      </c>
      <c r="BO48" s="190"/>
      <c r="BP48" s="191" t="str">
        <f t="shared" si="25"/>
        <v/>
      </c>
      <c r="BQ48" s="190"/>
      <c r="BR48" s="191" t="str">
        <f t="shared" si="26"/>
        <v/>
      </c>
      <c r="BS48" s="190"/>
      <c r="BT48" s="191" t="str">
        <f t="shared" si="27"/>
        <v/>
      </c>
      <c r="BU48" s="190"/>
      <c r="BV48" s="191" t="str">
        <f t="shared" si="28"/>
        <v/>
      </c>
      <c r="BW48" s="190"/>
    </row>
    <row r="49" spans="2:75" s="192" customFormat="1" ht="13">
      <c r="B49" s="179" t="s">
        <v>604</v>
      </c>
      <c r="C49" s="172" t="s">
        <v>621</v>
      </c>
      <c r="D49" s="172" t="s">
        <v>134</v>
      </c>
      <c r="E49" s="180"/>
      <c r="F49" s="172" t="s">
        <v>606</v>
      </c>
      <c r="G49" s="172" t="s">
        <v>607</v>
      </c>
      <c r="H49" s="172" t="s">
        <v>239</v>
      </c>
      <c r="I49" s="172" t="s">
        <v>608</v>
      </c>
      <c r="J49" s="181"/>
      <c r="K49" s="182">
        <v>1300</v>
      </c>
      <c r="L49" s="183"/>
      <c r="M49" s="183"/>
      <c r="N49" s="183">
        <f t="shared" ref="N49:N66" si="33">+K49-M49</f>
        <v>1300</v>
      </c>
      <c r="O49" s="184">
        <f t="shared" ref="O49:O66" si="34">+K49-L49</f>
        <v>1300</v>
      </c>
      <c r="P49" s="183" t="s">
        <v>178</v>
      </c>
      <c r="Q49" s="185">
        <f t="shared" ref="Q49:Q66" si="35">K49/(S49*85%)</f>
        <v>15.931372549019608</v>
      </c>
      <c r="R49" s="186">
        <f t="shared" ref="R49:R66" si="36">+Q49/10</f>
        <v>1.5931372549019609</v>
      </c>
      <c r="S49" s="187">
        <v>96</v>
      </c>
      <c r="T49" s="197">
        <f>+W48</f>
        <v>45691.509803921559</v>
      </c>
      <c r="U49" s="189"/>
      <c r="V49" s="184">
        <f t="shared" ref="V49:V66" ca="1" si="37">+IF(U49="",T49-TODAY(),T49-U49)</f>
        <v>-148.49019607844093</v>
      </c>
      <c r="W49" s="189">
        <f t="shared" ref="W49:W66" si="38">+T49+R49</f>
        <v>45693.102941176461</v>
      </c>
      <c r="X49" s="189"/>
      <c r="Y49" s="184">
        <f t="shared" ref="Y49:Y66" ca="1" si="39">+IF(X49="",W49-TODAY(),W49-X49)</f>
        <v>-146.89705882353883</v>
      </c>
      <c r="Z49" s="189"/>
      <c r="AA49" s="190"/>
      <c r="AB49" s="191" t="str">
        <f t="shared" ref="AB49:AB66" si="40">+IF($AB$7=WEEKNUM(T49),K49,"-")</f>
        <v>-</v>
      </c>
      <c r="AC49" s="190"/>
      <c r="AD49" s="191" t="str">
        <f t="shared" ref="AD49:AD66" si="41">+IF($AD$7=WEEKNUM(T49),K49,"")</f>
        <v/>
      </c>
      <c r="AE49" s="190"/>
      <c r="AF49" s="191" t="str">
        <f t="shared" ref="AF49:AF66" si="42">+IF($AF$7=WEEKNUM(T49),K49,"")</f>
        <v/>
      </c>
      <c r="AG49" s="190"/>
      <c r="AH49" s="191" t="str">
        <f t="shared" ref="AH49:AH66" si="43">+IF($AH$7=WEEKNUM(T49),K49,"")</f>
        <v/>
      </c>
      <c r="AI49" s="190"/>
      <c r="AJ49" s="191" t="str">
        <f t="shared" ref="AJ49:AJ66" si="44">+IF($AJ$7=WEEKNUM(T49),K49,"")</f>
        <v/>
      </c>
      <c r="AK49" s="190"/>
      <c r="AL49" s="191" t="str">
        <f t="shared" ref="AL49:AL66" si="45">+IF($AL$7=WEEKNUM(T49),K49,"")</f>
        <v/>
      </c>
      <c r="AM49" s="190"/>
      <c r="AN49" s="191" t="str">
        <f t="shared" ref="AN49:AN66" si="46">+IF($AN$7=WEEKNUM(T49),K49,"")</f>
        <v/>
      </c>
      <c r="AO49" s="190"/>
      <c r="AP49" s="191" t="str">
        <f t="shared" ref="AP49:AP66" si="47">+IF($AP$7=WEEKNUM(T49),K49,"")</f>
        <v/>
      </c>
      <c r="AQ49" s="190"/>
      <c r="AR49" s="191" t="str">
        <f t="shared" ref="AR49:AR66" si="48">+IF($AR$7=WEEKNUM(T49),K49,"")</f>
        <v/>
      </c>
      <c r="AS49" s="190"/>
      <c r="AT49" s="191" t="str">
        <f t="shared" ref="AT49:AT66" si="49">+IF($AT$7=WEEKNUM(T49),K49,"")</f>
        <v/>
      </c>
      <c r="AU49" s="190"/>
      <c r="AV49" s="191" t="str">
        <f t="shared" ref="AV49:AV66" si="50">+IF($AV$7=WEEKNUM(T49),K49,"")</f>
        <v/>
      </c>
      <c r="AW49" s="190"/>
      <c r="AX49" s="191" t="str">
        <f t="shared" ref="AX49:AX66" si="51">+IF($AX$7=WEEKNUM(T49),K49,"")</f>
        <v/>
      </c>
      <c r="AY49" s="190"/>
      <c r="AZ49" s="191" t="str">
        <f t="shared" ref="AZ49:AZ66" si="52">+IF($AZ$7=WEEKNUM(T49),K49,"")</f>
        <v/>
      </c>
      <c r="BA49" s="190"/>
      <c r="BB49" s="191" t="str">
        <f t="shared" ref="BB49:BB66" si="53">+IF($BB$7=WEEKNUM(T49),K49,"")</f>
        <v/>
      </c>
      <c r="BC49" s="190"/>
      <c r="BD49" s="191" t="str">
        <f t="shared" ref="BD49:BD66" si="54">+IF($BD$7=WEEKNUM(T49),K49,"")</f>
        <v/>
      </c>
      <c r="BE49" s="190"/>
      <c r="BF49" s="191" t="str">
        <f t="shared" ref="BF49:BF66" si="55">+IF($BF$7=WEEKNUM(T49),K49,"")</f>
        <v/>
      </c>
      <c r="BG49" s="190"/>
      <c r="BH49" s="191" t="str">
        <f t="shared" ref="BH49:BH66" si="56">+IF($BH$7=WEEKNUM(T49),K49,"")</f>
        <v/>
      </c>
      <c r="BI49" s="190"/>
      <c r="BJ49" s="191">
        <f t="shared" ref="BJ49:BJ66" si="57">+IF($BJ$7=WEEKNUM(T49),K49,"")</f>
        <v>1300</v>
      </c>
      <c r="BK49" s="190"/>
      <c r="BL49" s="191" t="str">
        <f t="shared" ref="BL49:BL66" si="58">+IF($BL$7=WEEKNUM(T49),K49,"")</f>
        <v/>
      </c>
      <c r="BM49" s="190"/>
      <c r="BN49" s="191" t="str">
        <f t="shared" ref="BN49:BN66" si="59">+IF($BN$7=WEEKNUM(T49),K49,"")</f>
        <v/>
      </c>
      <c r="BO49" s="190"/>
      <c r="BP49" s="191" t="str">
        <f t="shared" ref="BP49:BP66" si="60">+IF($BP$7=WEEKNUM(T49),K49,"")</f>
        <v/>
      </c>
      <c r="BQ49" s="190"/>
      <c r="BR49" s="191" t="str">
        <f t="shared" ref="BR49:BR66" si="61">+IF($BR$7=WEEKNUM(T49),K49,"")</f>
        <v/>
      </c>
      <c r="BS49" s="190"/>
      <c r="BT49" s="191" t="str">
        <f t="shared" ref="BT49:BT66" si="62">+IF($BT$7=WEEKNUM(T49),K49,"")</f>
        <v/>
      </c>
      <c r="BU49" s="190"/>
      <c r="BV49" s="191" t="str">
        <f t="shared" ref="BV49:BV66" si="63">+IF($BV$7=WEEKNUM(T49),K49,"")</f>
        <v/>
      </c>
      <c r="BW49" s="190"/>
    </row>
    <row r="50" spans="2:75" s="192" customFormat="1" ht="13">
      <c r="B50" s="179" t="s">
        <v>604</v>
      </c>
      <c r="C50" s="172" t="s">
        <v>621</v>
      </c>
      <c r="D50" s="172" t="s">
        <v>134</v>
      </c>
      <c r="E50" s="180"/>
      <c r="F50" s="172" t="s">
        <v>609</v>
      </c>
      <c r="G50" s="172" t="s">
        <v>607</v>
      </c>
      <c r="H50" s="172" t="s">
        <v>162</v>
      </c>
      <c r="I50" s="172" t="s">
        <v>608</v>
      </c>
      <c r="J50" s="181"/>
      <c r="K50" s="182">
        <v>200</v>
      </c>
      <c r="L50" s="183"/>
      <c r="M50" s="183"/>
      <c r="N50" s="183">
        <f t="shared" si="33"/>
        <v>200</v>
      </c>
      <c r="O50" s="184">
        <f t="shared" si="34"/>
        <v>200</v>
      </c>
      <c r="P50" s="183" t="s">
        <v>178</v>
      </c>
      <c r="Q50" s="185">
        <f t="shared" si="35"/>
        <v>2.4509803921568629</v>
      </c>
      <c r="R50" s="186">
        <f t="shared" si="36"/>
        <v>0.24509803921568629</v>
      </c>
      <c r="S50" s="187">
        <v>96</v>
      </c>
      <c r="T50" s="197">
        <f>+W49</f>
        <v>45693.102941176461</v>
      </c>
      <c r="U50" s="189"/>
      <c r="V50" s="184">
        <f t="shared" ca="1" si="37"/>
        <v>-146.89705882353883</v>
      </c>
      <c r="W50" s="189">
        <f t="shared" si="38"/>
        <v>45693.348039215678</v>
      </c>
      <c r="X50" s="189"/>
      <c r="Y50" s="184">
        <f t="shared" ca="1" si="39"/>
        <v>-146.651960784322</v>
      </c>
      <c r="Z50" s="189"/>
      <c r="AA50" s="190"/>
      <c r="AB50" s="191" t="str">
        <f t="shared" si="40"/>
        <v>-</v>
      </c>
      <c r="AC50" s="190"/>
      <c r="AD50" s="191" t="str">
        <f t="shared" si="41"/>
        <v/>
      </c>
      <c r="AE50" s="190"/>
      <c r="AF50" s="191" t="str">
        <f t="shared" si="42"/>
        <v/>
      </c>
      <c r="AG50" s="190"/>
      <c r="AH50" s="191" t="str">
        <f t="shared" si="43"/>
        <v/>
      </c>
      <c r="AI50" s="190"/>
      <c r="AJ50" s="191" t="str">
        <f t="shared" si="44"/>
        <v/>
      </c>
      <c r="AK50" s="190"/>
      <c r="AL50" s="191" t="str">
        <f t="shared" si="45"/>
        <v/>
      </c>
      <c r="AM50" s="190"/>
      <c r="AN50" s="191" t="str">
        <f t="shared" si="46"/>
        <v/>
      </c>
      <c r="AO50" s="190"/>
      <c r="AP50" s="191" t="str">
        <f t="shared" si="47"/>
        <v/>
      </c>
      <c r="AQ50" s="190"/>
      <c r="AR50" s="191" t="str">
        <f t="shared" si="48"/>
        <v/>
      </c>
      <c r="AS50" s="190"/>
      <c r="AT50" s="191" t="str">
        <f t="shared" si="49"/>
        <v/>
      </c>
      <c r="AU50" s="190"/>
      <c r="AV50" s="191" t="str">
        <f t="shared" si="50"/>
        <v/>
      </c>
      <c r="AW50" s="190"/>
      <c r="AX50" s="191" t="str">
        <f t="shared" si="51"/>
        <v/>
      </c>
      <c r="AY50" s="190"/>
      <c r="AZ50" s="191" t="str">
        <f t="shared" si="52"/>
        <v/>
      </c>
      <c r="BA50" s="190"/>
      <c r="BB50" s="191" t="str">
        <f t="shared" si="53"/>
        <v/>
      </c>
      <c r="BC50" s="190"/>
      <c r="BD50" s="191" t="str">
        <f t="shared" si="54"/>
        <v/>
      </c>
      <c r="BE50" s="190"/>
      <c r="BF50" s="191" t="str">
        <f t="shared" si="55"/>
        <v/>
      </c>
      <c r="BG50" s="190"/>
      <c r="BH50" s="191" t="str">
        <f t="shared" si="56"/>
        <v/>
      </c>
      <c r="BI50" s="190"/>
      <c r="BJ50" s="191">
        <f t="shared" si="57"/>
        <v>200</v>
      </c>
      <c r="BK50" s="190"/>
      <c r="BL50" s="191" t="str">
        <f t="shared" si="58"/>
        <v/>
      </c>
      <c r="BM50" s="190"/>
      <c r="BN50" s="191" t="str">
        <f t="shared" si="59"/>
        <v/>
      </c>
      <c r="BO50" s="190"/>
      <c r="BP50" s="191" t="str">
        <f t="shared" si="60"/>
        <v/>
      </c>
      <c r="BQ50" s="190"/>
      <c r="BR50" s="191" t="str">
        <f t="shared" si="61"/>
        <v/>
      </c>
      <c r="BS50" s="190"/>
      <c r="BT50" s="191" t="str">
        <f t="shared" si="62"/>
        <v/>
      </c>
      <c r="BU50" s="190"/>
      <c r="BV50" s="191" t="str">
        <f t="shared" si="63"/>
        <v/>
      </c>
      <c r="BW50" s="190"/>
    </row>
    <row r="51" spans="2:75" s="192" customFormat="1" ht="13">
      <c r="B51" s="179" t="s">
        <v>604</v>
      </c>
      <c r="C51" s="172" t="s">
        <v>621</v>
      </c>
      <c r="D51" s="172" t="s">
        <v>134</v>
      </c>
      <c r="E51" s="180"/>
      <c r="F51" s="172" t="s">
        <v>610</v>
      </c>
      <c r="G51" s="172" t="s">
        <v>607</v>
      </c>
      <c r="H51" s="172" t="s">
        <v>155</v>
      </c>
      <c r="I51" s="172" t="s">
        <v>608</v>
      </c>
      <c r="J51" s="181"/>
      <c r="K51" s="182">
        <v>1000</v>
      </c>
      <c r="L51" s="183"/>
      <c r="M51" s="183"/>
      <c r="N51" s="183">
        <f t="shared" si="33"/>
        <v>1000</v>
      </c>
      <c r="O51" s="184">
        <f t="shared" si="34"/>
        <v>1000</v>
      </c>
      <c r="P51" s="183" t="s">
        <v>178</v>
      </c>
      <c r="Q51" s="185">
        <f t="shared" si="35"/>
        <v>12.254901960784315</v>
      </c>
      <c r="R51" s="186">
        <f t="shared" si="36"/>
        <v>1.2254901960784315</v>
      </c>
      <c r="S51" s="187">
        <v>96</v>
      </c>
      <c r="T51" s="197">
        <f>+W50</f>
        <v>45693.348039215678</v>
      </c>
      <c r="U51" s="189"/>
      <c r="V51" s="184">
        <f t="shared" ca="1" si="37"/>
        <v>-146.651960784322</v>
      </c>
      <c r="W51" s="189">
        <f t="shared" si="38"/>
        <v>45694.573529411755</v>
      </c>
      <c r="X51" s="189"/>
      <c r="Y51" s="184">
        <f t="shared" ca="1" si="39"/>
        <v>-145.42647058824514</v>
      </c>
      <c r="Z51" s="189"/>
      <c r="AA51" s="190"/>
      <c r="AB51" s="191" t="str">
        <f t="shared" si="40"/>
        <v>-</v>
      </c>
      <c r="AC51" s="190"/>
      <c r="AD51" s="191" t="str">
        <f t="shared" si="41"/>
        <v/>
      </c>
      <c r="AE51" s="190"/>
      <c r="AF51" s="191" t="str">
        <f t="shared" si="42"/>
        <v/>
      </c>
      <c r="AG51" s="190"/>
      <c r="AH51" s="191" t="str">
        <f t="shared" si="43"/>
        <v/>
      </c>
      <c r="AI51" s="190"/>
      <c r="AJ51" s="191" t="str">
        <f t="shared" si="44"/>
        <v/>
      </c>
      <c r="AK51" s="190"/>
      <c r="AL51" s="191" t="str">
        <f t="shared" si="45"/>
        <v/>
      </c>
      <c r="AM51" s="190"/>
      <c r="AN51" s="191" t="str">
        <f t="shared" si="46"/>
        <v/>
      </c>
      <c r="AO51" s="190"/>
      <c r="AP51" s="191" t="str">
        <f t="shared" si="47"/>
        <v/>
      </c>
      <c r="AQ51" s="190"/>
      <c r="AR51" s="191" t="str">
        <f t="shared" si="48"/>
        <v/>
      </c>
      <c r="AS51" s="190"/>
      <c r="AT51" s="191" t="str">
        <f t="shared" si="49"/>
        <v/>
      </c>
      <c r="AU51" s="190"/>
      <c r="AV51" s="191" t="str">
        <f t="shared" si="50"/>
        <v/>
      </c>
      <c r="AW51" s="190"/>
      <c r="AX51" s="191" t="str">
        <f t="shared" si="51"/>
        <v/>
      </c>
      <c r="AY51" s="190"/>
      <c r="AZ51" s="191" t="str">
        <f t="shared" si="52"/>
        <v/>
      </c>
      <c r="BA51" s="190"/>
      <c r="BB51" s="191" t="str">
        <f t="shared" si="53"/>
        <v/>
      </c>
      <c r="BC51" s="190"/>
      <c r="BD51" s="191" t="str">
        <f t="shared" si="54"/>
        <v/>
      </c>
      <c r="BE51" s="190"/>
      <c r="BF51" s="191" t="str">
        <f t="shared" si="55"/>
        <v/>
      </c>
      <c r="BG51" s="190"/>
      <c r="BH51" s="191" t="str">
        <f t="shared" si="56"/>
        <v/>
      </c>
      <c r="BI51" s="190"/>
      <c r="BJ51" s="191">
        <f t="shared" si="57"/>
        <v>1000</v>
      </c>
      <c r="BK51" s="190"/>
      <c r="BL51" s="191" t="str">
        <f t="shared" si="58"/>
        <v/>
      </c>
      <c r="BM51" s="190"/>
      <c r="BN51" s="191" t="str">
        <f t="shared" si="59"/>
        <v/>
      </c>
      <c r="BO51" s="190"/>
      <c r="BP51" s="191" t="str">
        <f t="shared" si="60"/>
        <v/>
      </c>
      <c r="BQ51" s="190"/>
      <c r="BR51" s="191" t="str">
        <f t="shared" si="61"/>
        <v/>
      </c>
      <c r="BS51" s="190"/>
      <c r="BT51" s="191" t="str">
        <f t="shared" si="62"/>
        <v/>
      </c>
      <c r="BU51" s="190"/>
      <c r="BV51" s="191" t="str">
        <f t="shared" si="63"/>
        <v/>
      </c>
      <c r="BW51" s="190"/>
    </row>
    <row r="52" spans="2:75" s="196" customFormat="1" ht="13">
      <c r="B52" s="179" t="s">
        <v>604</v>
      </c>
      <c r="C52" s="172" t="s">
        <v>621</v>
      </c>
      <c r="D52" s="172" t="s">
        <v>134</v>
      </c>
      <c r="E52" s="180"/>
      <c r="F52" s="172" t="s">
        <v>606</v>
      </c>
      <c r="G52" s="172" t="s">
        <v>472</v>
      </c>
      <c r="H52" s="172" t="s">
        <v>239</v>
      </c>
      <c r="I52" s="172" t="s">
        <v>611</v>
      </c>
      <c r="J52" s="181"/>
      <c r="K52" s="182">
        <v>500</v>
      </c>
      <c r="L52" s="193"/>
      <c r="M52" s="193"/>
      <c r="N52" s="193">
        <f t="shared" si="33"/>
        <v>500</v>
      </c>
      <c r="O52" s="184">
        <f t="shared" si="34"/>
        <v>500</v>
      </c>
      <c r="P52" s="193" t="s">
        <v>178</v>
      </c>
      <c r="Q52" s="194">
        <f t="shared" si="35"/>
        <v>6.1274509803921573</v>
      </c>
      <c r="R52" s="195">
        <f t="shared" si="36"/>
        <v>0.61274509803921573</v>
      </c>
      <c r="S52" s="179">
        <v>96</v>
      </c>
      <c r="T52" s="189">
        <f t="shared" ref="T52:T66" si="64">+W51</f>
        <v>45694.573529411755</v>
      </c>
      <c r="U52" s="189"/>
      <c r="V52" s="184">
        <f t="shared" ca="1" si="37"/>
        <v>-145.42647058824514</v>
      </c>
      <c r="W52" s="189">
        <f t="shared" si="38"/>
        <v>45695.186274509797</v>
      </c>
      <c r="X52" s="189"/>
      <c r="Y52" s="184">
        <f t="shared" ca="1" si="39"/>
        <v>-144.81372549020307</v>
      </c>
      <c r="Z52" s="189"/>
      <c r="AA52" s="190"/>
      <c r="AB52" s="191" t="str">
        <f t="shared" si="40"/>
        <v>-</v>
      </c>
      <c r="AC52" s="190"/>
      <c r="AD52" s="191" t="str">
        <f t="shared" si="41"/>
        <v/>
      </c>
      <c r="AE52" s="190"/>
      <c r="AF52" s="191" t="str">
        <f t="shared" si="42"/>
        <v/>
      </c>
      <c r="AG52" s="190"/>
      <c r="AH52" s="191" t="str">
        <f t="shared" si="43"/>
        <v/>
      </c>
      <c r="AI52" s="190"/>
      <c r="AJ52" s="191" t="str">
        <f t="shared" si="44"/>
        <v/>
      </c>
      <c r="AK52" s="190"/>
      <c r="AL52" s="191" t="str">
        <f t="shared" si="45"/>
        <v/>
      </c>
      <c r="AM52" s="190"/>
      <c r="AN52" s="191" t="str">
        <f t="shared" si="46"/>
        <v/>
      </c>
      <c r="AO52" s="190"/>
      <c r="AP52" s="191" t="str">
        <f t="shared" si="47"/>
        <v/>
      </c>
      <c r="AQ52" s="190"/>
      <c r="AR52" s="191" t="str">
        <f t="shared" si="48"/>
        <v/>
      </c>
      <c r="AS52" s="190"/>
      <c r="AT52" s="191" t="str">
        <f t="shared" si="49"/>
        <v/>
      </c>
      <c r="AU52" s="190"/>
      <c r="AV52" s="191" t="str">
        <f t="shared" si="50"/>
        <v/>
      </c>
      <c r="AW52" s="190"/>
      <c r="AX52" s="191" t="str">
        <f t="shared" si="51"/>
        <v/>
      </c>
      <c r="AY52" s="190"/>
      <c r="AZ52" s="191" t="str">
        <f t="shared" si="52"/>
        <v/>
      </c>
      <c r="BA52" s="190"/>
      <c r="BB52" s="191" t="str">
        <f t="shared" si="53"/>
        <v/>
      </c>
      <c r="BC52" s="190"/>
      <c r="BD52" s="191" t="str">
        <f t="shared" si="54"/>
        <v/>
      </c>
      <c r="BE52" s="190"/>
      <c r="BF52" s="191" t="str">
        <f t="shared" si="55"/>
        <v/>
      </c>
      <c r="BG52" s="190"/>
      <c r="BH52" s="191" t="str">
        <f t="shared" si="56"/>
        <v/>
      </c>
      <c r="BI52" s="190"/>
      <c r="BJ52" s="191">
        <f t="shared" si="57"/>
        <v>500</v>
      </c>
      <c r="BK52" s="190"/>
      <c r="BL52" s="191" t="str">
        <f t="shared" si="58"/>
        <v/>
      </c>
      <c r="BM52" s="190"/>
      <c r="BN52" s="191" t="str">
        <f t="shared" si="59"/>
        <v/>
      </c>
      <c r="BO52" s="190"/>
      <c r="BP52" s="191" t="str">
        <f t="shared" si="60"/>
        <v/>
      </c>
      <c r="BQ52" s="190"/>
      <c r="BR52" s="191" t="str">
        <f t="shared" si="61"/>
        <v/>
      </c>
      <c r="BS52" s="190"/>
      <c r="BT52" s="191" t="str">
        <f t="shared" si="62"/>
        <v/>
      </c>
      <c r="BU52" s="190"/>
      <c r="BV52" s="191" t="str">
        <f t="shared" si="63"/>
        <v/>
      </c>
      <c r="BW52" s="190"/>
    </row>
    <row r="53" spans="2:75" s="192" customFormat="1" ht="13">
      <c r="B53" s="179" t="s">
        <v>604</v>
      </c>
      <c r="C53" s="172" t="s">
        <v>621</v>
      </c>
      <c r="D53" s="172" t="s">
        <v>134</v>
      </c>
      <c r="E53" s="180"/>
      <c r="F53" s="172" t="s">
        <v>609</v>
      </c>
      <c r="G53" s="172" t="s">
        <v>472</v>
      </c>
      <c r="H53" s="172" t="s">
        <v>162</v>
      </c>
      <c r="I53" s="172" t="s">
        <v>611</v>
      </c>
      <c r="J53" s="181"/>
      <c r="K53" s="182">
        <v>700</v>
      </c>
      <c r="L53" s="183"/>
      <c r="M53" s="183"/>
      <c r="N53" s="183">
        <f t="shared" si="33"/>
        <v>700</v>
      </c>
      <c r="O53" s="184">
        <f t="shared" si="34"/>
        <v>700</v>
      </c>
      <c r="P53" s="183" t="s">
        <v>178</v>
      </c>
      <c r="Q53" s="185">
        <f t="shared" si="35"/>
        <v>8.5784313725490193</v>
      </c>
      <c r="R53" s="186">
        <f t="shared" si="36"/>
        <v>0.85784313725490191</v>
      </c>
      <c r="S53" s="187">
        <v>96</v>
      </c>
      <c r="T53" s="197">
        <f>+W52</f>
        <v>45695.186274509797</v>
      </c>
      <c r="U53" s="189"/>
      <c r="V53" s="184">
        <f t="shared" ca="1" si="37"/>
        <v>-144.81372549020307</v>
      </c>
      <c r="W53" s="189">
        <f t="shared" si="38"/>
        <v>45696.044117647049</v>
      </c>
      <c r="X53" s="189"/>
      <c r="Y53" s="184">
        <f t="shared" ca="1" si="39"/>
        <v>-143.95588235295145</v>
      </c>
      <c r="Z53" s="189"/>
      <c r="AA53" s="190"/>
      <c r="AB53" s="191" t="str">
        <f t="shared" si="40"/>
        <v>-</v>
      </c>
      <c r="AC53" s="190"/>
      <c r="AD53" s="191" t="str">
        <f t="shared" si="41"/>
        <v/>
      </c>
      <c r="AE53" s="190"/>
      <c r="AF53" s="191" t="str">
        <f t="shared" si="42"/>
        <v/>
      </c>
      <c r="AG53" s="190"/>
      <c r="AH53" s="191" t="str">
        <f t="shared" si="43"/>
        <v/>
      </c>
      <c r="AI53" s="190"/>
      <c r="AJ53" s="191" t="str">
        <f t="shared" si="44"/>
        <v/>
      </c>
      <c r="AK53" s="190"/>
      <c r="AL53" s="191" t="str">
        <f t="shared" si="45"/>
        <v/>
      </c>
      <c r="AM53" s="190"/>
      <c r="AN53" s="191" t="str">
        <f t="shared" si="46"/>
        <v/>
      </c>
      <c r="AO53" s="190"/>
      <c r="AP53" s="191" t="str">
        <f t="shared" si="47"/>
        <v/>
      </c>
      <c r="AQ53" s="190"/>
      <c r="AR53" s="191" t="str">
        <f t="shared" si="48"/>
        <v/>
      </c>
      <c r="AS53" s="190"/>
      <c r="AT53" s="191" t="str">
        <f t="shared" si="49"/>
        <v/>
      </c>
      <c r="AU53" s="190"/>
      <c r="AV53" s="191" t="str">
        <f t="shared" si="50"/>
        <v/>
      </c>
      <c r="AW53" s="190"/>
      <c r="AX53" s="191" t="str">
        <f t="shared" si="51"/>
        <v/>
      </c>
      <c r="AY53" s="190"/>
      <c r="AZ53" s="191" t="str">
        <f t="shared" si="52"/>
        <v/>
      </c>
      <c r="BA53" s="190"/>
      <c r="BB53" s="191" t="str">
        <f t="shared" si="53"/>
        <v/>
      </c>
      <c r="BC53" s="190"/>
      <c r="BD53" s="191" t="str">
        <f t="shared" si="54"/>
        <v/>
      </c>
      <c r="BE53" s="190"/>
      <c r="BF53" s="191" t="str">
        <f t="shared" si="55"/>
        <v/>
      </c>
      <c r="BG53" s="190"/>
      <c r="BH53" s="191" t="str">
        <f t="shared" si="56"/>
        <v/>
      </c>
      <c r="BI53" s="190"/>
      <c r="BJ53" s="191">
        <f t="shared" si="57"/>
        <v>700</v>
      </c>
      <c r="BK53" s="190"/>
      <c r="BL53" s="191" t="str">
        <f t="shared" si="58"/>
        <v/>
      </c>
      <c r="BM53" s="190"/>
      <c r="BN53" s="191" t="str">
        <f t="shared" si="59"/>
        <v/>
      </c>
      <c r="BO53" s="190"/>
      <c r="BP53" s="191" t="str">
        <f t="shared" si="60"/>
        <v/>
      </c>
      <c r="BQ53" s="190"/>
      <c r="BR53" s="191" t="str">
        <f t="shared" si="61"/>
        <v/>
      </c>
      <c r="BS53" s="190"/>
      <c r="BT53" s="191" t="str">
        <f t="shared" si="62"/>
        <v/>
      </c>
      <c r="BU53" s="190"/>
      <c r="BV53" s="191" t="str">
        <f t="shared" si="63"/>
        <v/>
      </c>
      <c r="BW53" s="190"/>
    </row>
    <row r="54" spans="2:75" s="192" customFormat="1" ht="13">
      <c r="B54" s="179" t="s">
        <v>604</v>
      </c>
      <c r="C54" s="172" t="s">
        <v>621</v>
      </c>
      <c r="D54" s="172" t="s">
        <v>134</v>
      </c>
      <c r="E54" s="180"/>
      <c r="F54" s="172" t="s">
        <v>610</v>
      </c>
      <c r="G54" s="172" t="s">
        <v>472</v>
      </c>
      <c r="H54" s="172" t="s">
        <v>155</v>
      </c>
      <c r="I54" s="172" t="s">
        <v>611</v>
      </c>
      <c r="J54" s="181"/>
      <c r="K54" s="182">
        <v>900</v>
      </c>
      <c r="L54" s="183"/>
      <c r="M54" s="183"/>
      <c r="N54" s="183">
        <f t="shared" si="33"/>
        <v>900</v>
      </c>
      <c r="O54" s="184">
        <f t="shared" si="34"/>
        <v>900</v>
      </c>
      <c r="P54" s="183" t="s">
        <v>178</v>
      </c>
      <c r="Q54" s="185">
        <f t="shared" si="35"/>
        <v>11.029411764705882</v>
      </c>
      <c r="R54" s="186">
        <f t="shared" si="36"/>
        <v>1.1029411764705883</v>
      </c>
      <c r="S54" s="187">
        <v>96</v>
      </c>
      <c r="T54" s="197">
        <f t="shared" si="64"/>
        <v>45696.044117647049</v>
      </c>
      <c r="U54" s="189"/>
      <c r="V54" s="184">
        <f t="shared" ca="1" si="37"/>
        <v>-143.95588235295145</v>
      </c>
      <c r="W54" s="189">
        <f t="shared" si="38"/>
        <v>45697.147058823517</v>
      </c>
      <c r="X54" s="189"/>
      <c r="Y54" s="184">
        <f t="shared" ca="1" si="39"/>
        <v>-142.852941176483</v>
      </c>
      <c r="Z54" s="189"/>
      <c r="AA54" s="190"/>
      <c r="AB54" s="191" t="str">
        <f t="shared" si="40"/>
        <v>-</v>
      </c>
      <c r="AC54" s="190"/>
      <c r="AD54" s="191" t="str">
        <f t="shared" si="41"/>
        <v/>
      </c>
      <c r="AE54" s="190"/>
      <c r="AF54" s="191" t="str">
        <f t="shared" si="42"/>
        <v/>
      </c>
      <c r="AG54" s="190"/>
      <c r="AH54" s="191" t="str">
        <f t="shared" si="43"/>
        <v/>
      </c>
      <c r="AI54" s="190"/>
      <c r="AJ54" s="191" t="str">
        <f t="shared" si="44"/>
        <v/>
      </c>
      <c r="AK54" s="190"/>
      <c r="AL54" s="191" t="str">
        <f t="shared" si="45"/>
        <v/>
      </c>
      <c r="AM54" s="190"/>
      <c r="AN54" s="191" t="str">
        <f t="shared" si="46"/>
        <v/>
      </c>
      <c r="AO54" s="190"/>
      <c r="AP54" s="191" t="str">
        <f t="shared" si="47"/>
        <v/>
      </c>
      <c r="AQ54" s="190"/>
      <c r="AR54" s="191" t="str">
        <f t="shared" si="48"/>
        <v/>
      </c>
      <c r="AS54" s="190"/>
      <c r="AT54" s="191" t="str">
        <f t="shared" si="49"/>
        <v/>
      </c>
      <c r="AU54" s="190"/>
      <c r="AV54" s="191" t="str">
        <f t="shared" si="50"/>
        <v/>
      </c>
      <c r="AW54" s="190"/>
      <c r="AX54" s="191" t="str">
        <f t="shared" si="51"/>
        <v/>
      </c>
      <c r="AY54" s="190"/>
      <c r="AZ54" s="191" t="str">
        <f t="shared" si="52"/>
        <v/>
      </c>
      <c r="BA54" s="190"/>
      <c r="BB54" s="191" t="str">
        <f t="shared" si="53"/>
        <v/>
      </c>
      <c r="BC54" s="190"/>
      <c r="BD54" s="191" t="str">
        <f t="shared" si="54"/>
        <v/>
      </c>
      <c r="BE54" s="190"/>
      <c r="BF54" s="191" t="str">
        <f t="shared" si="55"/>
        <v/>
      </c>
      <c r="BG54" s="190"/>
      <c r="BH54" s="191" t="str">
        <f t="shared" si="56"/>
        <v/>
      </c>
      <c r="BI54" s="190"/>
      <c r="BJ54" s="191">
        <f t="shared" si="57"/>
        <v>900</v>
      </c>
      <c r="BK54" s="190"/>
      <c r="BL54" s="191" t="str">
        <f t="shared" si="58"/>
        <v/>
      </c>
      <c r="BM54" s="190"/>
      <c r="BN54" s="191" t="str">
        <f t="shared" si="59"/>
        <v/>
      </c>
      <c r="BO54" s="190"/>
      <c r="BP54" s="191" t="str">
        <f t="shared" si="60"/>
        <v/>
      </c>
      <c r="BQ54" s="190"/>
      <c r="BR54" s="191" t="str">
        <f t="shared" si="61"/>
        <v/>
      </c>
      <c r="BS54" s="190"/>
      <c r="BT54" s="191" t="str">
        <f t="shared" si="62"/>
        <v/>
      </c>
      <c r="BU54" s="190"/>
      <c r="BV54" s="191" t="str">
        <f t="shared" si="63"/>
        <v/>
      </c>
      <c r="BW54" s="190"/>
    </row>
    <row r="55" spans="2:75" s="192" customFormat="1" ht="13">
      <c r="B55" s="179" t="s">
        <v>604</v>
      </c>
      <c r="C55" s="172" t="s">
        <v>621</v>
      </c>
      <c r="D55" s="172" t="s">
        <v>134</v>
      </c>
      <c r="E55" s="180"/>
      <c r="F55" s="172" t="s">
        <v>606</v>
      </c>
      <c r="G55" s="172" t="s">
        <v>612</v>
      </c>
      <c r="H55" s="172" t="s">
        <v>239</v>
      </c>
      <c r="I55" s="172" t="s">
        <v>613</v>
      </c>
      <c r="J55" s="181"/>
      <c r="K55" s="182">
        <v>500</v>
      </c>
      <c r="L55" s="183"/>
      <c r="M55" s="183"/>
      <c r="N55" s="183">
        <f t="shared" si="33"/>
        <v>500</v>
      </c>
      <c r="O55" s="184">
        <f t="shared" si="34"/>
        <v>500</v>
      </c>
      <c r="P55" s="183" t="s">
        <v>178</v>
      </c>
      <c r="Q55" s="185">
        <f t="shared" si="35"/>
        <v>12.254901960784315</v>
      </c>
      <c r="R55" s="186">
        <f t="shared" si="36"/>
        <v>1.2254901960784315</v>
      </c>
      <c r="S55" s="187">
        <v>48</v>
      </c>
      <c r="T55" s="197">
        <f t="shared" si="64"/>
        <v>45697.147058823517</v>
      </c>
      <c r="U55" s="189"/>
      <c r="V55" s="184">
        <f t="shared" ca="1" si="37"/>
        <v>-142.852941176483</v>
      </c>
      <c r="W55" s="189">
        <f t="shared" si="38"/>
        <v>45698.372549019594</v>
      </c>
      <c r="X55" s="189"/>
      <c r="Y55" s="184">
        <f t="shared" ca="1" si="39"/>
        <v>-141.62745098040614</v>
      </c>
      <c r="Z55" s="189"/>
      <c r="AA55" s="190"/>
      <c r="AB55" s="191" t="str">
        <f t="shared" si="40"/>
        <v>-</v>
      </c>
      <c r="AC55" s="190"/>
      <c r="AD55" s="191" t="str">
        <f t="shared" si="41"/>
        <v/>
      </c>
      <c r="AE55" s="190"/>
      <c r="AF55" s="191" t="str">
        <f t="shared" si="42"/>
        <v/>
      </c>
      <c r="AG55" s="190"/>
      <c r="AH55" s="191" t="str">
        <f t="shared" si="43"/>
        <v/>
      </c>
      <c r="AI55" s="190"/>
      <c r="AJ55" s="191" t="str">
        <f t="shared" si="44"/>
        <v/>
      </c>
      <c r="AK55" s="190"/>
      <c r="AL55" s="191" t="str">
        <f t="shared" si="45"/>
        <v/>
      </c>
      <c r="AM55" s="190"/>
      <c r="AN55" s="191" t="str">
        <f t="shared" si="46"/>
        <v/>
      </c>
      <c r="AO55" s="190"/>
      <c r="AP55" s="191" t="str">
        <f t="shared" si="47"/>
        <v/>
      </c>
      <c r="AQ55" s="190"/>
      <c r="AR55" s="191" t="str">
        <f t="shared" si="48"/>
        <v/>
      </c>
      <c r="AS55" s="190"/>
      <c r="AT55" s="191" t="str">
        <f t="shared" si="49"/>
        <v/>
      </c>
      <c r="AU55" s="190"/>
      <c r="AV55" s="191" t="str">
        <f t="shared" si="50"/>
        <v/>
      </c>
      <c r="AW55" s="190"/>
      <c r="AX55" s="191" t="str">
        <f t="shared" si="51"/>
        <v/>
      </c>
      <c r="AY55" s="190"/>
      <c r="AZ55" s="191" t="str">
        <f t="shared" si="52"/>
        <v/>
      </c>
      <c r="BA55" s="190"/>
      <c r="BB55" s="191" t="str">
        <f t="shared" si="53"/>
        <v/>
      </c>
      <c r="BC55" s="190"/>
      <c r="BD55" s="191" t="str">
        <f t="shared" si="54"/>
        <v/>
      </c>
      <c r="BE55" s="190"/>
      <c r="BF55" s="191" t="str">
        <f t="shared" si="55"/>
        <v/>
      </c>
      <c r="BG55" s="190"/>
      <c r="BH55" s="191" t="str">
        <f t="shared" si="56"/>
        <v/>
      </c>
      <c r="BI55" s="190"/>
      <c r="BJ55" s="191" t="str">
        <f t="shared" si="57"/>
        <v/>
      </c>
      <c r="BK55" s="190"/>
      <c r="BL55" s="191">
        <f t="shared" si="58"/>
        <v>500</v>
      </c>
      <c r="BM55" s="190"/>
      <c r="BN55" s="191" t="str">
        <f t="shared" si="59"/>
        <v/>
      </c>
      <c r="BO55" s="190"/>
      <c r="BP55" s="191" t="str">
        <f t="shared" si="60"/>
        <v/>
      </c>
      <c r="BQ55" s="190"/>
      <c r="BR55" s="191" t="str">
        <f t="shared" si="61"/>
        <v/>
      </c>
      <c r="BS55" s="190"/>
      <c r="BT55" s="191" t="str">
        <f t="shared" si="62"/>
        <v/>
      </c>
      <c r="BU55" s="190"/>
      <c r="BV55" s="191" t="str">
        <f t="shared" si="63"/>
        <v/>
      </c>
      <c r="BW55" s="190"/>
    </row>
    <row r="56" spans="2:75" s="192" customFormat="1" ht="13">
      <c r="B56" s="179" t="s">
        <v>604</v>
      </c>
      <c r="C56" s="172" t="s">
        <v>621</v>
      </c>
      <c r="D56" s="172" t="s">
        <v>134</v>
      </c>
      <c r="E56" s="180"/>
      <c r="F56" s="172" t="s">
        <v>609</v>
      </c>
      <c r="G56" s="172" t="s">
        <v>612</v>
      </c>
      <c r="H56" s="172" t="s">
        <v>162</v>
      </c>
      <c r="I56" s="172" t="s">
        <v>613</v>
      </c>
      <c r="J56" s="181"/>
      <c r="K56" s="182">
        <v>700</v>
      </c>
      <c r="L56" s="183"/>
      <c r="M56" s="183"/>
      <c r="N56" s="183">
        <f t="shared" si="33"/>
        <v>700</v>
      </c>
      <c r="O56" s="184">
        <f t="shared" si="34"/>
        <v>700</v>
      </c>
      <c r="P56" s="183" t="s">
        <v>178</v>
      </c>
      <c r="Q56" s="185">
        <f t="shared" si="35"/>
        <v>17.156862745098039</v>
      </c>
      <c r="R56" s="186">
        <f t="shared" si="36"/>
        <v>1.7156862745098038</v>
      </c>
      <c r="S56" s="187">
        <v>48</v>
      </c>
      <c r="T56" s="197">
        <f t="shared" si="64"/>
        <v>45698.372549019594</v>
      </c>
      <c r="U56" s="189"/>
      <c r="V56" s="184">
        <f t="shared" ca="1" si="37"/>
        <v>-141.62745098040614</v>
      </c>
      <c r="W56" s="189">
        <f t="shared" si="38"/>
        <v>45700.088235294104</v>
      </c>
      <c r="X56" s="189"/>
      <c r="Y56" s="184">
        <f t="shared" ca="1" si="39"/>
        <v>-139.91176470589562</v>
      </c>
      <c r="Z56" s="189"/>
      <c r="AA56" s="190"/>
      <c r="AB56" s="191" t="str">
        <f t="shared" si="40"/>
        <v>-</v>
      </c>
      <c r="AC56" s="190"/>
      <c r="AD56" s="191" t="str">
        <f t="shared" si="41"/>
        <v/>
      </c>
      <c r="AE56" s="190"/>
      <c r="AF56" s="191" t="str">
        <f t="shared" si="42"/>
        <v/>
      </c>
      <c r="AG56" s="190"/>
      <c r="AH56" s="191" t="str">
        <f t="shared" si="43"/>
        <v/>
      </c>
      <c r="AI56" s="190"/>
      <c r="AJ56" s="191" t="str">
        <f t="shared" si="44"/>
        <v/>
      </c>
      <c r="AK56" s="190"/>
      <c r="AL56" s="191" t="str">
        <f t="shared" si="45"/>
        <v/>
      </c>
      <c r="AM56" s="190"/>
      <c r="AN56" s="191" t="str">
        <f t="shared" si="46"/>
        <v/>
      </c>
      <c r="AO56" s="190"/>
      <c r="AP56" s="191" t="str">
        <f t="shared" si="47"/>
        <v/>
      </c>
      <c r="AQ56" s="190"/>
      <c r="AR56" s="191" t="str">
        <f t="shared" si="48"/>
        <v/>
      </c>
      <c r="AS56" s="190"/>
      <c r="AT56" s="191" t="str">
        <f t="shared" si="49"/>
        <v/>
      </c>
      <c r="AU56" s="190"/>
      <c r="AV56" s="191" t="str">
        <f t="shared" si="50"/>
        <v/>
      </c>
      <c r="AW56" s="190"/>
      <c r="AX56" s="191" t="str">
        <f t="shared" si="51"/>
        <v/>
      </c>
      <c r="AY56" s="190"/>
      <c r="AZ56" s="191" t="str">
        <f t="shared" si="52"/>
        <v/>
      </c>
      <c r="BA56" s="190"/>
      <c r="BB56" s="191" t="str">
        <f t="shared" si="53"/>
        <v/>
      </c>
      <c r="BC56" s="190"/>
      <c r="BD56" s="191" t="str">
        <f t="shared" si="54"/>
        <v/>
      </c>
      <c r="BE56" s="190"/>
      <c r="BF56" s="191" t="str">
        <f t="shared" si="55"/>
        <v/>
      </c>
      <c r="BG56" s="190"/>
      <c r="BH56" s="191" t="str">
        <f t="shared" si="56"/>
        <v/>
      </c>
      <c r="BI56" s="190"/>
      <c r="BJ56" s="191" t="str">
        <f t="shared" si="57"/>
        <v/>
      </c>
      <c r="BK56" s="190"/>
      <c r="BL56" s="191">
        <f t="shared" si="58"/>
        <v>700</v>
      </c>
      <c r="BM56" s="190"/>
      <c r="BN56" s="191" t="str">
        <f t="shared" si="59"/>
        <v/>
      </c>
      <c r="BO56" s="190"/>
      <c r="BP56" s="191" t="str">
        <f t="shared" si="60"/>
        <v/>
      </c>
      <c r="BQ56" s="190"/>
      <c r="BR56" s="191" t="str">
        <f t="shared" si="61"/>
        <v/>
      </c>
      <c r="BS56" s="190"/>
      <c r="BT56" s="191" t="str">
        <f t="shared" si="62"/>
        <v/>
      </c>
      <c r="BU56" s="190"/>
      <c r="BV56" s="191" t="str">
        <f t="shared" si="63"/>
        <v/>
      </c>
      <c r="BW56" s="190"/>
    </row>
    <row r="57" spans="2:75" s="192" customFormat="1" ht="13">
      <c r="B57" s="179" t="s">
        <v>604</v>
      </c>
      <c r="C57" s="172" t="s">
        <v>621</v>
      </c>
      <c r="D57" s="172" t="s">
        <v>134</v>
      </c>
      <c r="E57" s="180"/>
      <c r="F57" s="172" t="s">
        <v>610</v>
      </c>
      <c r="G57" s="172" t="s">
        <v>612</v>
      </c>
      <c r="H57" s="172" t="s">
        <v>155</v>
      </c>
      <c r="I57" s="172" t="s">
        <v>613</v>
      </c>
      <c r="J57" s="181"/>
      <c r="K57" s="182">
        <v>900</v>
      </c>
      <c r="L57" s="183"/>
      <c r="M57" s="183"/>
      <c r="N57" s="183">
        <f t="shared" si="33"/>
        <v>900</v>
      </c>
      <c r="O57" s="184">
        <f t="shared" si="34"/>
        <v>900</v>
      </c>
      <c r="P57" s="183" t="s">
        <v>178</v>
      </c>
      <c r="Q57" s="185">
        <f t="shared" si="35"/>
        <v>22.058823529411764</v>
      </c>
      <c r="R57" s="186">
        <f t="shared" si="36"/>
        <v>2.2058823529411766</v>
      </c>
      <c r="S57" s="187">
        <v>48</v>
      </c>
      <c r="T57" s="197">
        <f>+W56</f>
        <v>45700.088235294104</v>
      </c>
      <c r="U57" s="189"/>
      <c r="V57" s="184">
        <f t="shared" ca="1" si="37"/>
        <v>-139.91176470589562</v>
      </c>
      <c r="W57" s="189">
        <f t="shared" si="38"/>
        <v>45702.294117647049</v>
      </c>
      <c r="X57" s="189"/>
      <c r="Y57" s="184">
        <f t="shared" ca="1" si="39"/>
        <v>-137.70588235295145</v>
      </c>
      <c r="Z57" s="189"/>
      <c r="AA57" s="190"/>
      <c r="AB57" s="191" t="str">
        <f t="shared" si="40"/>
        <v>-</v>
      </c>
      <c r="AC57" s="190"/>
      <c r="AD57" s="191" t="str">
        <f t="shared" si="41"/>
        <v/>
      </c>
      <c r="AE57" s="190"/>
      <c r="AF57" s="191" t="str">
        <f t="shared" si="42"/>
        <v/>
      </c>
      <c r="AG57" s="190"/>
      <c r="AH57" s="191" t="str">
        <f t="shared" si="43"/>
        <v/>
      </c>
      <c r="AI57" s="190"/>
      <c r="AJ57" s="191" t="str">
        <f t="shared" si="44"/>
        <v/>
      </c>
      <c r="AK57" s="190"/>
      <c r="AL57" s="191" t="str">
        <f t="shared" si="45"/>
        <v/>
      </c>
      <c r="AM57" s="190"/>
      <c r="AN57" s="191" t="str">
        <f t="shared" si="46"/>
        <v/>
      </c>
      <c r="AO57" s="190"/>
      <c r="AP57" s="191" t="str">
        <f t="shared" si="47"/>
        <v/>
      </c>
      <c r="AQ57" s="190"/>
      <c r="AR57" s="191" t="str">
        <f t="shared" si="48"/>
        <v/>
      </c>
      <c r="AS57" s="190"/>
      <c r="AT57" s="191" t="str">
        <f t="shared" si="49"/>
        <v/>
      </c>
      <c r="AU57" s="190"/>
      <c r="AV57" s="191" t="str">
        <f t="shared" si="50"/>
        <v/>
      </c>
      <c r="AW57" s="190"/>
      <c r="AX57" s="191" t="str">
        <f t="shared" si="51"/>
        <v/>
      </c>
      <c r="AY57" s="190"/>
      <c r="AZ57" s="191" t="str">
        <f t="shared" si="52"/>
        <v/>
      </c>
      <c r="BA57" s="190"/>
      <c r="BB57" s="191" t="str">
        <f t="shared" si="53"/>
        <v/>
      </c>
      <c r="BC57" s="190"/>
      <c r="BD57" s="191" t="str">
        <f t="shared" si="54"/>
        <v/>
      </c>
      <c r="BE57" s="190"/>
      <c r="BF57" s="191" t="str">
        <f t="shared" si="55"/>
        <v/>
      </c>
      <c r="BG57" s="190"/>
      <c r="BH57" s="191" t="str">
        <f t="shared" si="56"/>
        <v/>
      </c>
      <c r="BI57" s="190"/>
      <c r="BJ57" s="191" t="str">
        <f t="shared" si="57"/>
        <v/>
      </c>
      <c r="BK57" s="190"/>
      <c r="BL57" s="191">
        <f t="shared" si="58"/>
        <v>900</v>
      </c>
      <c r="BM57" s="190"/>
      <c r="BN57" s="191" t="str">
        <f t="shared" si="59"/>
        <v/>
      </c>
      <c r="BO57" s="190"/>
      <c r="BP57" s="191" t="str">
        <f t="shared" si="60"/>
        <v/>
      </c>
      <c r="BQ57" s="190"/>
      <c r="BR57" s="191" t="str">
        <f t="shared" si="61"/>
        <v/>
      </c>
      <c r="BS57" s="190"/>
      <c r="BT57" s="191" t="str">
        <f t="shared" si="62"/>
        <v/>
      </c>
      <c r="BU57" s="190"/>
      <c r="BV57" s="191" t="str">
        <f t="shared" si="63"/>
        <v/>
      </c>
      <c r="BW57" s="190"/>
    </row>
    <row r="58" spans="2:75" s="196" customFormat="1" ht="13">
      <c r="B58" s="179" t="s">
        <v>604</v>
      </c>
      <c r="C58" s="172" t="s">
        <v>621</v>
      </c>
      <c r="D58" s="172" t="s">
        <v>134</v>
      </c>
      <c r="E58" s="180"/>
      <c r="F58" s="172" t="s">
        <v>606</v>
      </c>
      <c r="G58" s="172" t="s">
        <v>614</v>
      </c>
      <c r="H58" s="172" t="s">
        <v>239</v>
      </c>
      <c r="I58" s="172" t="s">
        <v>615</v>
      </c>
      <c r="J58" s="181"/>
      <c r="K58" s="182"/>
      <c r="L58" s="193"/>
      <c r="M58" s="193"/>
      <c r="N58" s="193">
        <f t="shared" si="33"/>
        <v>0</v>
      </c>
      <c r="O58" s="184">
        <f t="shared" si="34"/>
        <v>0</v>
      </c>
      <c r="P58" s="193" t="s">
        <v>178</v>
      </c>
      <c r="Q58" s="194">
        <f t="shared" si="35"/>
        <v>0</v>
      </c>
      <c r="R58" s="195">
        <f t="shared" si="36"/>
        <v>0</v>
      </c>
      <c r="S58" s="179">
        <v>80</v>
      </c>
      <c r="T58" s="189">
        <f>+W57</f>
        <v>45702.294117647049</v>
      </c>
      <c r="U58" s="189"/>
      <c r="V58" s="184">
        <f t="shared" ca="1" si="37"/>
        <v>-137.70588235295145</v>
      </c>
      <c r="W58" s="189">
        <f t="shared" si="38"/>
        <v>45702.294117647049</v>
      </c>
      <c r="X58" s="189"/>
      <c r="Y58" s="184">
        <f t="shared" ca="1" si="39"/>
        <v>-137.70588235295145</v>
      </c>
      <c r="Z58" s="189"/>
      <c r="AA58" s="190"/>
      <c r="AB58" s="191" t="str">
        <f t="shared" si="40"/>
        <v>-</v>
      </c>
      <c r="AC58" s="190"/>
      <c r="AD58" s="191" t="str">
        <f t="shared" si="41"/>
        <v/>
      </c>
      <c r="AE58" s="190"/>
      <c r="AF58" s="191" t="str">
        <f t="shared" si="42"/>
        <v/>
      </c>
      <c r="AG58" s="190"/>
      <c r="AH58" s="191" t="str">
        <f t="shared" si="43"/>
        <v/>
      </c>
      <c r="AI58" s="190"/>
      <c r="AJ58" s="191" t="str">
        <f t="shared" si="44"/>
        <v/>
      </c>
      <c r="AK58" s="190"/>
      <c r="AL58" s="191" t="str">
        <f t="shared" si="45"/>
        <v/>
      </c>
      <c r="AM58" s="190"/>
      <c r="AN58" s="191" t="str">
        <f t="shared" si="46"/>
        <v/>
      </c>
      <c r="AO58" s="190"/>
      <c r="AP58" s="191" t="str">
        <f t="shared" si="47"/>
        <v/>
      </c>
      <c r="AQ58" s="190"/>
      <c r="AR58" s="191" t="str">
        <f t="shared" si="48"/>
        <v/>
      </c>
      <c r="AS58" s="190"/>
      <c r="AT58" s="191" t="str">
        <f t="shared" si="49"/>
        <v/>
      </c>
      <c r="AU58" s="190"/>
      <c r="AV58" s="191" t="str">
        <f t="shared" si="50"/>
        <v/>
      </c>
      <c r="AW58" s="190"/>
      <c r="AX58" s="191" t="str">
        <f t="shared" si="51"/>
        <v/>
      </c>
      <c r="AY58" s="190"/>
      <c r="AZ58" s="191" t="str">
        <f t="shared" si="52"/>
        <v/>
      </c>
      <c r="BA58" s="190"/>
      <c r="BB58" s="191" t="str">
        <f t="shared" si="53"/>
        <v/>
      </c>
      <c r="BC58" s="190"/>
      <c r="BD58" s="191" t="str">
        <f t="shared" si="54"/>
        <v/>
      </c>
      <c r="BE58" s="190"/>
      <c r="BF58" s="191" t="str">
        <f t="shared" si="55"/>
        <v/>
      </c>
      <c r="BG58" s="190"/>
      <c r="BH58" s="191" t="str">
        <f t="shared" si="56"/>
        <v/>
      </c>
      <c r="BI58" s="190"/>
      <c r="BJ58" s="191" t="str">
        <f t="shared" si="57"/>
        <v/>
      </c>
      <c r="BK58" s="190"/>
      <c r="BL58" s="191">
        <f t="shared" si="58"/>
        <v>0</v>
      </c>
      <c r="BM58" s="190"/>
      <c r="BN58" s="191" t="str">
        <f t="shared" si="59"/>
        <v/>
      </c>
      <c r="BO58" s="190"/>
      <c r="BP58" s="191" t="str">
        <f t="shared" si="60"/>
        <v/>
      </c>
      <c r="BQ58" s="190"/>
      <c r="BR58" s="191" t="str">
        <f t="shared" si="61"/>
        <v/>
      </c>
      <c r="BS58" s="190"/>
      <c r="BT58" s="191" t="str">
        <f t="shared" si="62"/>
        <v/>
      </c>
      <c r="BU58" s="190"/>
      <c r="BV58" s="191" t="str">
        <f t="shared" si="63"/>
        <v/>
      </c>
      <c r="BW58" s="190"/>
    </row>
    <row r="59" spans="2:75" s="192" customFormat="1" ht="13">
      <c r="B59" s="179" t="s">
        <v>604</v>
      </c>
      <c r="C59" s="172" t="s">
        <v>621</v>
      </c>
      <c r="D59" s="172" t="s">
        <v>134</v>
      </c>
      <c r="E59" s="180"/>
      <c r="F59" s="172" t="s">
        <v>609</v>
      </c>
      <c r="G59" s="172" t="s">
        <v>614</v>
      </c>
      <c r="H59" s="172" t="s">
        <v>162</v>
      </c>
      <c r="I59" s="172" t="s">
        <v>615</v>
      </c>
      <c r="J59" s="181"/>
      <c r="K59" s="182">
        <v>1300</v>
      </c>
      <c r="L59" s="183"/>
      <c r="M59" s="183"/>
      <c r="N59" s="183">
        <f t="shared" si="33"/>
        <v>1300</v>
      </c>
      <c r="O59" s="184">
        <f t="shared" si="34"/>
        <v>1300</v>
      </c>
      <c r="P59" s="183" t="s">
        <v>178</v>
      </c>
      <c r="Q59" s="185">
        <f t="shared" si="35"/>
        <v>19.117647058823529</v>
      </c>
      <c r="R59" s="186">
        <f t="shared" si="36"/>
        <v>1.9117647058823528</v>
      </c>
      <c r="S59" s="187">
        <v>80</v>
      </c>
      <c r="T59" s="197">
        <f t="shared" si="64"/>
        <v>45702.294117647049</v>
      </c>
      <c r="U59" s="189"/>
      <c r="V59" s="184">
        <f t="shared" ca="1" si="37"/>
        <v>-137.70588235295145</v>
      </c>
      <c r="W59" s="189">
        <f t="shared" si="38"/>
        <v>45704.20588235293</v>
      </c>
      <c r="X59" s="189"/>
      <c r="Y59" s="184">
        <f t="shared" ca="1" si="39"/>
        <v>-135.79411764707038</v>
      </c>
      <c r="Z59" s="189"/>
      <c r="AA59" s="190"/>
      <c r="AB59" s="191" t="str">
        <f t="shared" si="40"/>
        <v>-</v>
      </c>
      <c r="AC59" s="190"/>
      <c r="AD59" s="191" t="str">
        <f t="shared" si="41"/>
        <v/>
      </c>
      <c r="AE59" s="190"/>
      <c r="AF59" s="191" t="str">
        <f t="shared" si="42"/>
        <v/>
      </c>
      <c r="AG59" s="190"/>
      <c r="AH59" s="191" t="str">
        <f t="shared" si="43"/>
        <v/>
      </c>
      <c r="AI59" s="190"/>
      <c r="AJ59" s="191" t="str">
        <f t="shared" si="44"/>
        <v/>
      </c>
      <c r="AK59" s="190"/>
      <c r="AL59" s="191" t="str">
        <f t="shared" si="45"/>
        <v/>
      </c>
      <c r="AM59" s="190"/>
      <c r="AN59" s="191" t="str">
        <f t="shared" si="46"/>
        <v/>
      </c>
      <c r="AO59" s="190"/>
      <c r="AP59" s="191" t="str">
        <f t="shared" si="47"/>
        <v/>
      </c>
      <c r="AQ59" s="190"/>
      <c r="AR59" s="191" t="str">
        <f t="shared" si="48"/>
        <v/>
      </c>
      <c r="AS59" s="190"/>
      <c r="AT59" s="191" t="str">
        <f t="shared" si="49"/>
        <v/>
      </c>
      <c r="AU59" s="190"/>
      <c r="AV59" s="191" t="str">
        <f t="shared" si="50"/>
        <v/>
      </c>
      <c r="AW59" s="190"/>
      <c r="AX59" s="191" t="str">
        <f t="shared" si="51"/>
        <v/>
      </c>
      <c r="AY59" s="190"/>
      <c r="AZ59" s="191" t="str">
        <f t="shared" si="52"/>
        <v/>
      </c>
      <c r="BA59" s="190"/>
      <c r="BB59" s="191" t="str">
        <f t="shared" si="53"/>
        <v/>
      </c>
      <c r="BC59" s="190"/>
      <c r="BD59" s="191" t="str">
        <f t="shared" si="54"/>
        <v/>
      </c>
      <c r="BE59" s="190"/>
      <c r="BF59" s="191" t="str">
        <f t="shared" si="55"/>
        <v/>
      </c>
      <c r="BG59" s="190"/>
      <c r="BH59" s="191" t="str">
        <f t="shared" si="56"/>
        <v/>
      </c>
      <c r="BI59" s="190"/>
      <c r="BJ59" s="191" t="str">
        <f t="shared" si="57"/>
        <v/>
      </c>
      <c r="BK59" s="190"/>
      <c r="BL59" s="191">
        <f t="shared" si="58"/>
        <v>1300</v>
      </c>
      <c r="BM59" s="190"/>
      <c r="BN59" s="191" t="str">
        <f t="shared" si="59"/>
        <v/>
      </c>
      <c r="BO59" s="190"/>
      <c r="BP59" s="191" t="str">
        <f t="shared" si="60"/>
        <v/>
      </c>
      <c r="BQ59" s="190"/>
      <c r="BR59" s="191" t="str">
        <f t="shared" si="61"/>
        <v/>
      </c>
      <c r="BS59" s="190"/>
      <c r="BT59" s="191" t="str">
        <f t="shared" si="62"/>
        <v/>
      </c>
      <c r="BU59" s="190"/>
      <c r="BV59" s="191" t="str">
        <f t="shared" si="63"/>
        <v/>
      </c>
      <c r="BW59" s="190"/>
    </row>
    <row r="60" spans="2:75" s="192" customFormat="1" ht="13">
      <c r="B60" s="179" t="s">
        <v>604</v>
      </c>
      <c r="C60" s="172" t="s">
        <v>621</v>
      </c>
      <c r="D60" s="172" t="s">
        <v>134</v>
      </c>
      <c r="E60" s="180"/>
      <c r="F60" s="172" t="s">
        <v>610</v>
      </c>
      <c r="G60" s="172" t="s">
        <v>614</v>
      </c>
      <c r="H60" s="172" t="s">
        <v>155</v>
      </c>
      <c r="I60" s="172" t="s">
        <v>615</v>
      </c>
      <c r="J60" s="181"/>
      <c r="K60" s="182">
        <v>200</v>
      </c>
      <c r="L60" s="183"/>
      <c r="M60" s="183"/>
      <c r="N60" s="183">
        <f t="shared" si="33"/>
        <v>200</v>
      </c>
      <c r="O60" s="184">
        <f t="shared" si="34"/>
        <v>200</v>
      </c>
      <c r="P60" s="183" t="s">
        <v>178</v>
      </c>
      <c r="Q60" s="185">
        <f t="shared" si="35"/>
        <v>2.9411764705882355</v>
      </c>
      <c r="R60" s="186">
        <f t="shared" si="36"/>
        <v>0.29411764705882354</v>
      </c>
      <c r="S60" s="187">
        <v>80</v>
      </c>
      <c r="T60" s="197">
        <f t="shared" si="64"/>
        <v>45704.20588235293</v>
      </c>
      <c r="U60" s="189"/>
      <c r="V60" s="184">
        <f t="shared" ca="1" si="37"/>
        <v>-135.79411764707038</v>
      </c>
      <c r="W60" s="189">
        <f t="shared" si="38"/>
        <v>45704.499999999985</v>
      </c>
      <c r="X60" s="189"/>
      <c r="Y60" s="184">
        <f t="shared" ca="1" si="39"/>
        <v>-135.50000000001455</v>
      </c>
      <c r="Z60" s="189"/>
      <c r="AA60" s="190"/>
      <c r="AB60" s="191" t="str">
        <f t="shared" si="40"/>
        <v>-</v>
      </c>
      <c r="AC60" s="190"/>
      <c r="AD60" s="191" t="str">
        <f t="shared" si="41"/>
        <v/>
      </c>
      <c r="AE60" s="190"/>
      <c r="AF60" s="191" t="str">
        <f t="shared" si="42"/>
        <v/>
      </c>
      <c r="AG60" s="190"/>
      <c r="AH60" s="191" t="str">
        <f t="shared" si="43"/>
        <v/>
      </c>
      <c r="AI60" s="190"/>
      <c r="AJ60" s="191" t="str">
        <f t="shared" si="44"/>
        <v/>
      </c>
      <c r="AK60" s="190"/>
      <c r="AL60" s="191" t="str">
        <f t="shared" si="45"/>
        <v/>
      </c>
      <c r="AM60" s="190"/>
      <c r="AN60" s="191" t="str">
        <f t="shared" si="46"/>
        <v/>
      </c>
      <c r="AO60" s="190"/>
      <c r="AP60" s="191" t="str">
        <f t="shared" si="47"/>
        <v/>
      </c>
      <c r="AQ60" s="190"/>
      <c r="AR60" s="191" t="str">
        <f t="shared" si="48"/>
        <v/>
      </c>
      <c r="AS60" s="190"/>
      <c r="AT60" s="191" t="str">
        <f t="shared" si="49"/>
        <v/>
      </c>
      <c r="AU60" s="190"/>
      <c r="AV60" s="191" t="str">
        <f t="shared" si="50"/>
        <v/>
      </c>
      <c r="AW60" s="190"/>
      <c r="AX60" s="191" t="str">
        <f t="shared" si="51"/>
        <v/>
      </c>
      <c r="AY60" s="190"/>
      <c r="AZ60" s="191" t="str">
        <f t="shared" si="52"/>
        <v/>
      </c>
      <c r="BA60" s="190"/>
      <c r="BB60" s="191" t="str">
        <f t="shared" si="53"/>
        <v/>
      </c>
      <c r="BC60" s="190"/>
      <c r="BD60" s="191" t="str">
        <f t="shared" si="54"/>
        <v/>
      </c>
      <c r="BE60" s="190"/>
      <c r="BF60" s="191" t="str">
        <f t="shared" si="55"/>
        <v/>
      </c>
      <c r="BG60" s="190"/>
      <c r="BH60" s="191" t="str">
        <f t="shared" si="56"/>
        <v/>
      </c>
      <c r="BI60" s="190"/>
      <c r="BJ60" s="191" t="str">
        <f t="shared" si="57"/>
        <v/>
      </c>
      <c r="BK60" s="190"/>
      <c r="BL60" s="191" t="str">
        <f t="shared" si="58"/>
        <v/>
      </c>
      <c r="BM60" s="190"/>
      <c r="BN60" s="191">
        <f t="shared" si="59"/>
        <v>200</v>
      </c>
      <c r="BO60" s="190"/>
      <c r="BP60" s="191" t="str">
        <f t="shared" si="60"/>
        <v/>
      </c>
      <c r="BQ60" s="190"/>
      <c r="BR60" s="191" t="str">
        <f t="shared" si="61"/>
        <v/>
      </c>
      <c r="BS60" s="190"/>
      <c r="BT60" s="191" t="str">
        <f t="shared" si="62"/>
        <v/>
      </c>
      <c r="BU60" s="190"/>
      <c r="BV60" s="191" t="str">
        <f t="shared" si="63"/>
        <v/>
      </c>
      <c r="BW60" s="190"/>
    </row>
    <row r="61" spans="2:75" s="196" customFormat="1" ht="13">
      <c r="B61" s="179" t="s">
        <v>604</v>
      </c>
      <c r="C61" s="172" t="s">
        <v>621</v>
      </c>
      <c r="D61" s="172" t="s">
        <v>134</v>
      </c>
      <c r="E61" s="180"/>
      <c r="F61" s="172" t="s">
        <v>606</v>
      </c>
      <c r="G61" s="172" t="s">
        <v>240</v>
      </c>
      <c r="H61" s="172" t="s">
        <v>239</v>
      </c>
      <c r="I61" s="172" t="s">
        <v>616</v>
      </c>
      <c r="J61" s="181"/>
      <c r="K61" s="182"/>
      <c r="L61" s="193"/>
      <c r="M61" s="193"/>
      <c r="N61" s="193">
        <f t="shared" si="33"/>
        <v>0</v>
      </c>
      <c r="O61" s="184">
        <f t="shared" si="34"/>
        <v>0</v>
      </c>
      <c r="P61" s="193" t="s">
        <v>178</v>
      </c>
      <c r="Q61" s="194">
        <f t="shared" si="35"/>
        <v>0</v>
      </c>
      <c r="R61" s="195">
        <f t="shared" si="36"/>
        <v>0</v>
      </c>
      <c r="S61" s="179">
        <v>24</v>
      </c>
      <c r="T61" s="189">
        <f t="shared" si="64"/>
        <v>45704.499999999985</v>
      </c>
      <c r="U61" s="189"/>
      <c r="V61" s="184">
        <f t="shared" ca="1" si="37"/>
        <v>-135.50000000001455</v>
      </c>
      <c r="W61" s="189">
        <f t="shared" si="38"/>
        <v>45704.499999999985</v>
      </c>
      <c r="X61" s="189"/>
      <c r="Y61" s="184">
        <f t="shared" ca="1" si="39"/>
        <v>-135.50000000001455</v>
      </c>
      <c r="Z61" s="189"/>
      <c r="AA61" s="190"/>
      <c r="AB61" s="191" t="str">
        <f t="shared" si="40"/>
        <v>-</v>
      </c>
      <c r="AC61" s="190"/>
      <c r="AD61" s="191" t="str">
        <f t="shared" si="41"/>
        <v/>
      </c>
      <c r="AE61" s="190"/>
      <c r="AF61" s="191" t="str">
        <f t="shared" si="42"/>
        <v/>
      </c>
      <c r="AG61" s="190"/>
      <c r="AH61" s="191" t="str">
        <f t="shared" si="43"/>
        <v/>
      </c>
      <c r="AI61" s="190"/>
      <c r="AJ61" s="191" t="str">
        <f t="shared" si="44"/>
        <v/>
      </c>
      <c r="AK61" s="190"/>
      <c r="AL61" s="191" t="str">
        <f t="shared" si="45"/>
        <v/>
      </c>
      <c r="AM61" s="190"/>
      <c r="AN61" s="191" t="str">
        <f t="shared" si="46"/>
        <v/>
      </c>
      <c r="AO61" s="190"/>
      <c r="AP61" s="191" t="str">
        <f t="shared" si="47"/>
        <v/>
      </c>
      <c r="AQ61" s="190"/>
      <c r="AR61" s="191" t="str">
        <f t="shared" si="48"/>
        <v/>
      </c>
      <c r="AS61" s="190"/>
      <c r="AT61" s="191" t="str">
        <f t="shared" si="49"/>
        <v/>
      </c>
      <c r="AU61" s="190"/>
      <c r="AV61" s="191" t="str">
        <f t="shared" si="50"/>
        <v/>
      </c>
      <c r="AW61" s="190"/>
      <c r="AX61" s="191" t="str">
        <f t="shared" si="51"/>
        <v/>
      </c>
      <c r="AY61" s="190"/>
      <c r="AZ61" s="191" t="str">
        <f t="shared" si="52"/>
        <v/>
      </c>
      <c r="BA61" s="190"/>
      <c r="BB61" s="191" t="str">
        <f t="shared" si="53"/>
        <v/>
      </c>
      <c r="BC61" s="190"/>
      <c r="BD61" s="191" t="str">
        <f t="shared" si="54"/>
        <v/>
      </c>
      <c r="BE61" s="190"/>
      <c r="BF61" s="191" t="str">
        <f t="shared" si="55"/>
        <v/>
      </c>
      <c r="BG61" s="190"/>
      <c r="BH61" s="191" t="str">
        <f t="shared" si="56"/>
        <v/>
      </c>
      <c r="BI61" s="190"/>
      <c r="BJ61" s="191" t="str">
        <f t="shared" si="57"/>
        <v/>
      </c>
      <c r="BK61" s="190"/>
      <c r="BL61" s="191" t="str">
        <f t="shared" si="58"/>
        <v/>
      </c>
      <c r="BM61" s="190"/>
      <c r="BN61" s="191">
        <f t="shared" si="59"/>
        <v>0</v>
      </c>
      <c r="BO61" s="190"/>
      <c r="BP61" s="191" t="str">
        <f t="shared" si="60"/>
        <v/>
      </c>
      <c r="BQ61" s="190"/>
      <c r="BR61" s="191" t="str">
        <f t="shared" si="61"/>
        <v/>
      </c>
      <c r="BS61" s="190"/>
      <c r="BT61" s="191" t="str">
        <f t="shared" si="62"/>
        <v/>
      </c>
      <c r="BU61" s="190"/>
      <c r="BV61" s="191" t="str">
        <f t="shared" si="63"/>
        <v/>
      </c>
      <c r="BW61" s="190"/>
    </row>
    <row r="62" spans="2:75" s="196" customFormat="1" ht="13">
      <c r="B62" s="179" t="s">
        <v>604</v>
      </c>
      <c r="C62" s="172" t="s">
        <v>621</v>
      </c>
      <c r="D62" s="172" t="s">
        <v>134</v>
      </c>
      <c r="E62" s="180"/>
      <c r="F62" s="172" t="s">
        <v>609</v>
      </c>
      <c r="G62" s="172" t="s">
        <v>240</v>
      </c>
      <c r="H62" s="172" t="s">
        <v>162</v>
      </c>
      <c r="I62" s="172" t="s">
        <v>616</v>
      </c>
      <c r="J62" s="181"/>
      <c r="K62" s="182"/>
      <c r="L62" s="193"/>
      <c r="M62" s="193"/>
      <c r="N62" s="193">
        <f t="shared" si="33"/>
        <v>0</v>
      </c>
      <c r="O62" s="184">
        <f t="shared" si="34"/>
        <v>0</v>
      </c>
      <c r="P62" s="193" t="s">
        <v>178</v>
      </c>
      <c r="Q62" s="194">
        <f t="shared" si="35"/>
        <v>0</v>
      </c>
      <c r="R62" s="195">
        <f t="shared" si="36"/>
        <v>0</v>
      </c>
      <c r="S62" s="179">
        <v>24</v>
      </c>
      <c r="T62" s="189">
        <f t="shared" si="64"/>
        <v>45704.499999999985</v>
      </c>
      <c r="U62" s="189"/>
      <c r="V62" s="184">
        <f t="shared" ca="1" si="37"/>
        <v>-135.50000000001455</v>
      </c>
      <c r="W62" s="189">
        <f t="shared" si="38"/>
        <v>45704.499999999985</v>
      </c>
      <c r="X62" s="189"/>
      <c r="Y62" s="184">
        <f t="shared" ca="1" si="39"/>
        <v>-135.50000000001455</v>
      </c>
      <c r="Z62" s="189"/>
      <c r="AA62" s="190"/>
      <c r="AB62" s="191" t="str">
        <f t="shared" si="40"/>
        <v>-</v>
      </c>
      <c r="AC62" s="190"/>
      <c r="AD62" s="191" t="str">
        <f t="shared" si="41"/>
        <v/>
      </c>
      <c r="AE62" s="190"/>
      <c r="AF62" s="191" t="str">
        <f t="shared" si="42"/>
        <v/>
      </c>
      <c r="AG62" s="190"/>
      <c r="AH62" s="191" t="str">
        <f t="shared" si="43"/>
        <v/>
      </c>
      <c r="AI62" s="190"/>
      <c r="AJ62" s="191" t="str">
        <f t="shared" si="44"/>
        <v/>
      </c>
      <c r="AK62" s="190"/>
      <c r="AL62" s="191" t="str">
        <f t="shared" si="45"/>
        <v/>
      </c>
      <c r="AM62" s="190"/>
      <c r="AN62" s="191" t="str">
        <f t="shared" si="46"/>
        <v/>
      </c>
      <c r="AO62" s="190"/>
      <c r="AP62" s="191" t="str">
        <f t="shared" si="47"/>
        <v/>
      </c>
      <c r="AQ62" s="190"/>
      <c r="AR62" s="191" t="str">
        <f t="shared" si="48"/>
        <v/>
      </c>
      <c r="AS62" s="190"/>
      <c r="AT62" s="191" t="str">
        <f t="shared" si="49"/>
        <v/>
      </c>
      <c r="AU62" s="190"/>
      <c r="AV62" s="191" t="str">
        <f t="shared" si="50"/>
        <v/>
      </c>
      <c r="AW62" s="190"/>
      <c r="AX62" s="191" t="str">
        <f t="shared" si="51"/>
        <v/>
      </c>
      <c r="AY62" s="190"/>
      <c r="AZ62" s="191" t="str">
        <f t="shared" si="52"/>
        <v/>
      </c>
      <c r="BA62" s="190"/>
      <c r="BB62" s="191" t="str">
        <f t="shared" si="53"/>
        <v/>
      </c>
      <c r="BC62" s="190"/>
      <c r="BD62" s="191" t="str">
        <f t="shared" si="54"/>
        <v/>
      </c>
      <c r="BE62" s="190"/>
      <c r="BF62" s="191" t="str">
        <f t="shared" si="55"/>
        <v/>
      </c>
      <c r="BG62" s="190"/>
      <c r="BH62" s="191" t="str">
        <f t="shared" si="56"/>
        <v/>
      </c>
      <c r="BI62" s="190"/>
      <c r="BJ62" s="191" t="str">
        <f t="shared" si="57"/>
        <v/>
      </c>
      <c r="BK62" s="190"/>
      <c r="BL62" s="191" t="str">
        <f t="shared" si="58"/>
        <v/>
      </c>
      <c r="BM62" s="190"/>
      <c r="BN62" s="191">
        <f t="shared" si="59"/>
        <v>0</v>
      </c>
      <c r="BO62" s="190"/>
      <c r="BP62" s="191" t="str">
        <f t="shared" si="60"/>
        <v/>
      </c>
      <c r="BQ62" s="190"/>
      <c r="BR62" s="191" t="str">
        <f t="shared" si="61"/>
        <v/>
      </c>
      <c r="BS62" s="190"/>
      <c r="BT62" s="191" t="str">
        <f t="shared" si="62"/>
        <v/>
      </c>
      <c r="BU62" s="190"/>
      <c r="BV62" s="191" t="str">
        <f t="shared" si="63"/>
        <v/>
      </c>
      <c r="BW62" s="190"/>
    </row>
    <row r="63" spans="2:75" s="196" customFormat="1" ht="13">
      <c r="B63" s="179" t="s">
        <v>604</v>
      </c>
      <c r="C63" s="172" t="s">
        <v>621</v>
      </c>
      <c r="D63" s="172" t="s">
        <v>134</v>
      </c>
      <c r="E63" s="180"/>
      <c r="F63" s="172" t="s">
        <v>610</v>
      </c>
      <c r="G63" s="172" t="s">
        <v>240</v>
      </c>
      <c r="H63" s="172" t="s">
        <v>155</v>
      </c>
      <c r="I63" s="172" t="s">
        <v>616</v>
      </c>
      <c r="J63" s="181"/>
      <c r="K63" s="182"/>
      <c r="L63" s="193"/>
      <c r="M63" s="193"/>
      <c r="N63" s="193">
        <f t="shared" si="33"/>
        <v>0</v>
      </c>
      <c r="O63" s="184">
        <f t="shared" si="34"/>
        <v>0</v>
      </c>
      <c r="P63" s="193" t="s">
        <v>178</v>
      </c>
      <c r="Q63" s="194">
        <f t="shared" si="35"/>
        <v>0</v>
      </c>
      <c r="R63" s="195">
        <f t="shared" si="36"/>
        <v>0</v>
      </c>
      <c r="S63" s="179">
        <v>24</v>
      </c>
      <c r="T63" s="189">
        <f t="shared" si="64"/>
        <v>45704.499999999985</v>
      </c>
      <c r="U63" s="189"/>
      <c r="V63" s="184">
        <f t="shared" ca="1" si="37"/>
        <v>-135.50000000001455</v>
      </c>
      <c r="W63" s="189">
        <f t="shared" si="38"/>
        <v>45704.499999999985</v>
      </c>
      <c r="X63" s="189"/>
      <c r="Y63" s="184">
        <f t="shared" ca="1" si="39"/>
        <v>-135.50000000001455</v>
      </c>
      <c r="Z63" s="189"/>
      <c r="AA63" s="190"/>
      <c r="AB63" s="191" t="str">
        <f t="shared" si="40"/>
        <v>-</v>
      </c>
      <c r="AC63" s="190"/>
      <c r="AD63" s="191" t="str">
        <f t="shared" si="41"/>
        <v/>
      </c>
      <c r="AE63" s="190"/>
      <c r="AF63" s="191" t="str">
        <f t="shared" si="42"/>
        <v/>
      </c>
      <c r="AG63" s="190"/>
      <c r="AH63" s="191" t="str">
        <f t="shared" si="43"/>
        <v/>
      </c>
      <c r="AI63" s="190"/>
      <c r="AJ63" s="191" t="str">
        <f t="shared" si="44"/>
        <v/>
      </c>
      <c r="AK63" s="190"/>
      <c r="AL63" s="191" t="str">
        <f t="shared" si="45"/>
        <v/>
      </c>
      <c r="AM63" s="190"/>
      <c r="AN63" s="191" t="str">
        <f t="shared" si="46"/>
        <v/>
      </c>
      <c r="AO63" s="190"/>
      <c r="AP63" s="191" t="str">
        <f t="shared" si="47"/>
        <v/>
      </c>
      <c r="AQ63" s="190"/>
      <c r="AR63" s="191" t="str">
        <f t="shared" si="48"/>
        <v/>
      </c>
      <c r="AS63" s="190"/>
      <c r="AT63" s="191" t="str">
        <f t="shared" si="49"/>
        <v/>
      </c>
      <c r="AU63" s="190"/>
      <c r="AV63" s="191" t="str">
        <f t="shared" si="50"/>
        <v/>
      </c>
      <c r="AW63" s="190"/>
      <c r="AX63" s="191" t="str">
        <f t="shared" si="51"/>
        <v/>
      </c>
      <c r="AY63" s="190"/>
      <c r="AZ63" s="191" t="str">
        <f t="shared" si="52"/>
        <v/>
      </c>
      <c r="BA63" s="190"/>
      <c r="BB63" s="191" t="str">
        <f t="shared" si="53"/>
        <v/>
      </c>
      <c r="BC63" s="190"/>
      <c r="BD63" s="191" t="str">
        <f t="shared" si="54"/>
        <v/>
      </c>
      <c r="BE63" s="190"/>
      <c r="BF63" s="191" t="str">
        <f t="shared" si="55"/>
        <v/>
      </c>
      <c r="BG63" s="190"/>
      <c r="BH63" s="191" t="str">
        <f t="shared" si="56"/>
        <v/>
      </c>
      <c r="BI63" s="190"/>
      <c r="BJ63" s="191" t="str">
        <f t="shared" si="57"/>
        <v/>
      </c>
      <c r="BK63" s="190"/>
      <c r="BL63" s="191" t="str">
        <f t="shared" si="58"/>
        <v/>
      </c>
      <c r="BM63" s="190"/>
      <c r="BN63" s="191">
        <f t="shared" si="59"/>
        <v>0</v>
      </c>
      <c r="BO63" s="190"/>
      <c r="BP63" s="191" t="str">
        <f t="shared" si="60"/>
        <v/>
      </c>
      <c r="BQ63" s="190"/>
      <c r="BR63" s="191" t="str">
        <f t="shared" si="61"/>
        <v/>
      </c>
      <c r="BS63" s="190"/>
      <c r="BT63" s="191" t="str">
        <f t="shared" si="62"/>
        <v/>
      </c>
      <c r="BU63" s="190"/>
      <c r="BV63" s="191" t="str">
        <f t="shared" si="63"/>
        <v/>
      </c>
      <c r="BW63" s="190"/>
    </row>
    <row r="64" spans="2:75" s="196" customFormat="1" ht="13">
      <c r="B64" s="179" t="s">
        <v>604</v>
      </c>
      <c r="C64" s="172" t="s">
        <v>621</v>
      </c>
      <c r="D64" s="172" t="s">
        <v>134</v>
      </c>
      <c r="E64" s="180"/>
      <c r="F64" s="172" t="s">
        <v>606</v>
      </c>
      <c r="G64" s="172" t="s">
        <v>241</v>
      </c>
      <c r="H64" s="172" t="s">
        <v>239</v>
      </c>
      <c r="I64" s="172" t="s">
        <v>617</v>
      </c>
      <c r="J64" s="181"/>
      <c r="K64" s="182"/>
      <c r="L64" s="193"/>
      <c r="M64" s="193"/>
      <c r="N64" s="193">
        <f t="shared" si="33"/>
        <v>0</v>
      </c>
      <c r="O64" s="184">
        <f t="shared" si="34"/>
        <v>0</v>
      </c>
      <c r="P64" s="193" t="s">
        <v>178</v>
      </c>
      <c r="Q64" s="194">
        <f t="shared" si="35"/>
        <v>0</v>
      </c>
      <c r="R64" s="195">
        <f t="shared" si="36"/>
        <v>0</v>
      </c>
      <c r="S64" s="179">
        <v>32</v>
      </c>
      <c r="T64" s="189">
        <f t="shared" si="64"/>
        <v>45704.499999999985</v>
      </c>
      <c r="U64" s="189"/>
      <c r="V64" s="184">
        <f t="shared" ca="1" si="37"/>
        <v>-135.50000000001455</v>
      </c>
      <c r="W64" s="189">
        <f t="shared" si="38"/>
        <v>45704.499999999985</v>
      </c>
      <c r="X64" s="189"/>
      <c r="Y64" s="184">
        <f t="shared" ca="1" si="39"/>
        <v>-135.50000000001455</v>
      </c>
      <c r="Z64" s="189"/>
      <c r="AA64" s="190"/>
      <c r="AB64" s="191" t="str">
        <f t="shared" si="40"/>
        <v>-</v>
      </c>
      <c r="AC64" s="190"/>
      <c r="AD64" s="191" t="str">
        <f t="shared" si="41"/>
        <v/>
      </c>
      <c r="AE64" s="190"/>
      <c r="AF64" s="191" t="str">
        <f t="shared" si="42"/>
        <v/>
      </c>
      <c r="AG64" s="190"/>
      <c r="AH64" s="191" t="str">
        <f t="shared" si="43"/>
        <v/>
      </c>
      <c r="AI64" s="190"/>
      <c r="AJ64" s="191" t="str">
        <f t="shared" si="44"/>
        <v/>
      </c>
      <c r="AK64" s="190"/>
      <c r="AL64" s="191" t="str">
        <f t="shared" si="45"/>
        <v/>
      </c>
      <c r="AM64" s="190"/>
      <c r="AN64" s="191" t="str">
        <f t="shared" si="46"/>
        <v/>
      </c>
      <c r="AO64" s="190"/>
      <c r="AP64" s="191" t="str">
        <f t="shared" si="47"/>
        <v/>
      </c>
      <c r="AQ64" s="190"/>
      <c r="AR64" s="191" t="str">
        <f t="shared" si="48"/>
        <v/>
      </c>
      <c r="AS64" s="190"/>
      <c r="AT64" s="191" t="str">
        <f t="shared" si="49"/>
        <v/>
      </c>
      <c r="AU64" s="190"/>
      <c r="AV64" s="191" t="str">
        <f t="shared" si="50"/>
        <v/>
      </c>
      <c r="AW64" s="190"/>
      <c r="AX64" s="191" t="str">
        <f t="shared" si="51"/>
        <v/>
      </c>
      <c r="AY64" s="190"/>
      <c r="AZ64" s="191" t="str">
        <f t="shared" si="52"/>
        <v/>
      </c>
      <c r="BA64" s="190"/>
      <c r="BB64" s="191" t="str">
        <f t="shared" si="53"/>
        <v/>
      </c>
      <c r="BC64" s="190"/>
      <c r="BD64" s="191" t="str">
        <f t="shared" si="54"/>
        <v/>
      </c>
      <c r="BE64" s="190"/>
      <c r="BF64" s="191" t="str">
        <f t="shared" si="55"/>
        <v/>
      </c>
      <c r="BG64" s="190"/>
      <c r="BH64" s="191" t="str">
        <f t="shared" si="56"/>
        <v/>
      </c>
      <c r="BI64" s="190"/>
      <c r="BJ64" s="191" t="str">
        <f t="shared" si="57"/>
        <v/>
      </c>
      <c r="BK64" s="190"/>
      <c r="BL64" s="191" t="str">
        <f t="shared" si="58"/>
        <v/>
      </c>
      <c r="BM64" s="190"/>
      <c r="BN64" s="191">
        <f t="shared" si="59"/>
        <v>0</v>
      </c>
      <c r="BO64" s="190"/>
      <c r="BP64" s="191" t="str">
        <f t="shared" si="60"/>
        <v/>
      </c>
      <c r="BQ64" s="190"/>
      <c r="BR64" s="191" t="str">
        <f t="shared" si="61"/>
        <v/>
      </c>
      <c r="BS64" s="190"/>
      <c r="BT64" s="191" t="str">
        <f t="shared" si="62"/>
        <v/>
      </c>
      <c r="BU64" s="190"/>
      <c r="BV64" s="191" t="str">
        <f t="shared" si="63"/>
        <v/>
      </c>
      <c r="BW64" s="190"/>
    </row>
    <row r="65" spans="2:75" s="196" customFormat="1" ht="13">
      <c r="B65" s="179" t="s">
        <v>604</v>
      </c>
      <c r="C65" s="172" t="s">
        <v>621</v>
      </c>
      <c r="D65" s="172" t="s">
        <v>134</v>
      </c>
      <c r="E65" s="180"/>
      <c r="F65" s="172" t="s">
        <v>609</v>
      </c>
      <c r="G65" s="172" t="s">
        <v>241</v>
      </c>
      <c r="H65" s="172" t="s">
        <v>162</v>
      </c>
      <c r="I65" s="172" t="s">
        <v>617</v>
      </c>
      <c r="J65" s="181"/>
      <c r="K65" s="182"/>
      <c r="L65" s="193"/>
      <c r="M65" s="193"/>
      <c r="N65" s="193">
        <f t="shared" si="33"/>
        <v>0</v>
      </c>
      <c r="O65" s="184">
        <f t="shared" si="34"/>
        <v>0</v>
      </c>
      <c r="P65" s="193" t="s">
        <v>178</v>
      </c>
      <c r="Q65" s="194">
        <f t="shared" si="35"/>
        <v>0</v>
      </c>
      <c r="R65" s="195">
        <f t="shared" si="36"/>
        <v>0</v>
      </c>
      <c r="S65" s="179">
        <v>32</v>
      </c>
      <c r="T65" s="189">
        <f t="shared" si="64"/>
        <v>45704.499999999985</v>
      </c>
      <c r="U65" s="189"/>
      <c r="V65" s="184">
        <f t="shared" ca="1" si="37"/>
        <v>-135.50000000001455</v>
      </c>
      <c r="W65" s="189">
        <f t="shared" si="38"/>
        <v>45704.499999999985</v>
      </c>
      <c r="X65" s="189"/>
      <c r="Y65" s="184">
        <f t="shared" ca="1" si="39"/>
        <v>-135.50000000001455</v>
      </c>
      <c r="Z65" s="189"/>
      <c r="AA65" s="190"/>
      <c r="AB65" s="191" t="str">
        <f t="shared" si="40"/>
        <v>-</v>
      </c>
      <c r="AC65" s="190"/>
      <c r="AD65" s="191" t="str">
        <f t="shared" si="41"/>
        <v/>
      </c>
      <c r="AE65" s="190"/>
      <c r="AF65" s="191" t="str">
        <f t="shared" si="42"/>
        <v/>
      </c>
      <c r="AG65" s="190"/>
      <c r="AH65" s="191" t="str">
        <f t="shared" si="43"/>
        <v/>
      </c>
      <c r="AI65" s="190"/>
      <c r="AJ65" s="191" t="str">
        <f t="shared" si="44"/>
        <v/>
      </c>
      <c r="AK65" s="190"/>
      <c r="AL65" s="191" t="str">
        <f t="shared" si="45"/>
        <v/>
      </c>
      <c r="AM65" s="190"/>
      <c r="AN65" s="191" t="str">
        <f t="shared" si="46"/>
        <v/>
      </c>
      <c r="AO65" s="190"/>
      <c r="AP65" s="191" t="str">
        <f t="shared" si="47"/>
        <v/>
      </c>
      <c r="AQ65" s="190"/>
      <c r="AR65" s="191" t="str">
        <f t="shared" si="48"/>
        <v/>
      </c>
      <c r="AS65" s="190"/>
      <c r="AT65" s="191" t="str">
        <f t="shared" si="49"/>
        <v/>
      </c>
      <c r="AU65" s="190"/>
      <c r="AV65" s="191" t="str">
        <f t="shared" si="50"/>
        <v/>
      </c>
      <c r="AW65" s="190"/>
      <c r="AX65" s="191" t="str">
        <f t="shared" si="51"/>
        <v/>
      </c>
      <c r="AY65" s="190"/>
      <c r="AZ65" s="191" t="str">
        <f t="shared" si="52"/>
        <v/>
      </c>
      <c r="BA65" s="190"/>
      <c r="BB65" s="191" t="str">
        <f t="shared" si="53"/>
        <v/>
      </c>
      <c r="BC65" s="190"/>
      <c r="BD65" s="191" t="str">
        <f t="shared" si="54"/>
        <v/>
      </c>
      <c r="BE65" s="190"/>
      <c r="BF65" s="191" t="str">
        <f t="shared" si="55"/>
        <v/>
      </c>
      <c r="BG65" s="190"/>
      <c r="BH65" s="191" t="str">
        <f t="shared" si="56"/>
        <v/>
      </c>
      <c r="BI65" s="190"/>
      <c r="BJ65" s="191" t="str">
        <f t="shared" si="57"/>
        <v/>
      </c>
      <c r="BK65" s="190"/>
      <c r="BL65" s="191" t="str">
        <f t="shared" si="58"/>
        <v/>
      </c>
      <c r="BM65" s="190"/>
      <c r="BN65" s="191">
        <f t="shared" si="59"/>
        <v>0</v>
      </c>
      <c r="BO65" s="190"/>
      <c r="BP65" s="191" t="str">
        <f t="shared" si="60"/>
        <v/>
      </c>
      <c r="BQ65" s="190"/>
      <c r="BR65" s="191" t="str">
        <f t="shared" si="61"/>
        <v/>
      </c>
      <c r="BS65" s="190"/>
      <c r="BT65" s="191" t="str">
        <f t="shared" si="62"/>
        <v/>
      </c>
      <c r="BU65" s="190"/>
      <c r="BV65" s="191" t="str">
        <f t="shared" si="63"/>
        <v/>
      </c>
      <c r="BW65" s="190"/>
    </row>
    <row r="66" spans="2:75" s="196" customFormat="1" ht="13">
      <c r="B66" s="179" t="s">
        <v>604</v>
      </c>
      <c r="C66" s="172" t="s">
        <v>621</v>
      </c>
      <c r="D66" s="172" t="s">
        <v>134</v>
      </c>
      <c r="E66" s="180"/>
      <c r="F66" s="172" t="s">
        <v>610</v>
      </c>
      <c r="G66" s="172" t="s">
        <v>241</v>
      </c>
      <c r="H66" s="172" t="s">
        <v>155</v>
      </c>
      <c r="I66" s="172" t="s">
        <v>617</v>
      </c>
      <c r="J66" s="181"/>
      <c r="K66" s="182"/>
      <c r="L66" s="193"/>
      <c r="M66" s="193"/>
      <c r="N66" s="193">
        <f t="shared" si="33"/>
        <v>0</v>
      </c>
      <c r="O66" s="184">
        <f t="shared" si="34"/>
        <v>0</v>
      </c>
      <c r="P66" s="193" t="s">
        <v>178</v>
      </c>
      <c r="Q66" s="194">
        <f t="shared" si="35"/>
        <v>0</v>
      </c>
      <c r="R66" s="195">
        <f t="shared" si="36"/>
        <v>0</v>
      </c>
      <c r="S66" s="179">
        <v>32</v>
      </c>
      <c r="T66" s="189">
        <f t="shared" si="64"/>
        <v>45704.499999999985</v>
      </c>
      <c r="U66" s="189"/>
      <c r="V66" s="184">
        <f t="shared" ca="1" si="37"/>
        <v>-135.50000000001455</v>
      </c>
      <c r="W66" s="189">
        <f t="shared" si="38"/>
        <v>45704.499999999985</v>
      </c>
      <c r="X66" s="189"/>
      <c r="Y66" s="184">
        <f t="shared" ca="1" si="39"/>
        <v>-135.50000000001455</v>
      </c>
      <c r="Z66" s="189"/>
      <c r="AA66" s="190"/>
      <c r="AB66" s="191" t="str">
        <f t="shared" si="40"/>
        <v>-</v>
      </c>
      <c r="AC66" s="190"/>
      <c r="AD66" s="191" t="str">
        <f t="shared" si="41"/>
        <v/>
      </c>
      <c r="AE66" s="190"/>
      <c r="AF66" s="191" t="str">
        <f t="shared" si="42"/>
        <v/>
      </c>
      <c r="AG66" s="190"/>
      <c r="AH66" s="191" t="str">
        <f t="shared" si="43"/>
        <v/>
      </c>
      <c r="AI66" s="190"/>
      <c r="AJ66" s="191" t="str">
        <f t="shared" si="44"/>
        <v/>
      </c>
      <c r="AK66" s="190"/>
      <c r="AL66" s="191" t="str">
        <f t="shared" si="45"/>
        <v/>
      </c>
      <c r="AM66" s="190"/>
      <c r="AN66" s="191" t="str">
        <f t="shared" si="46"/>
        <v/>
      </c>
      <c r="AO66" s="190"/>
      <c r="AP66" s="191" t="str">
        <f t="shared" si="47"/>
        <v/>
      </c>
      <c r="AQ66" s="190"/>
      <c r="AR66" s="191" t="str">
        <f t="shared" si="48"/>
        <v/>
      </c>
      <c r="AS66" s="190"/>
      <c r="AT66" s="191" t="str">
        <f t="shared" si="49"/>
        <v/>
      </c>
      <c r="AU66" s="190"/>
      <c r="AV66" s="191" t="str">
        <f t="shared" si="50"/>
        <v/>
      </c>
      <c r="AW66" s="190"/>
      <c r="AX66" s="191" t="str">
        <f t="shared" si="51"/>
        <v/>
      </c>
      <c r="AY66" s="190"/>
      <c r="AZ66" s="191" t="str">
        <f t="shared" si="52"/>
        <v/>
      </c>
      <c r="BA66" s="190"/>
      <c r="BB66" s="191" t="str">
        <f t="shared" si="53"/>
        <v/>
      </c>
      <c r="BC66" s="190"/>
      <c r="BD66" s="191" t="str">
        <f t="shared" si="54"/>
        <v/>
      </c>
      <c r="BE66" s="190"/>
      <c r="BF66" s="191" t="str">
        <f t="shared" si="55"/>
        <v/>
      </c>
      <c r="BG66" s="190"/>
      <c r="BH66" s="191" t="str">
        <f t="shared" si="56"/>
        <v/>
      </c>
      <c r="BI66" s="190"/>
      <c r="BJ66" s="191" t="str">
        <f t="shared" si="57"/>
        <v/>
      </c>
      <c r="BK66" s="190"/>
      <c r="BL66" s="191" t="str">
        <f t="shared" si="58"/>
        <v/>
      </c>
      <c r="BM66" s="190"/>
      <c r="BN66" s="191">
        <f t="shared" si="59"/>
        <v>0</v>
      </c>
      <c r="BO66" s="190"/>
      <c r="BP66" s="191" t="str">
        <f t="shared" si="60"/>
        <v/>
      </c>
      <c r="BQ66" s="190"/>
      <c r="BR66" s="191" t="str">
        <f t="shared" si="61"/>
        <v/>
      </c>
      <c r="BS66" s="190"/>
      <c r="BT66" s="191" t="str">
        <f t="shared" si="62"/>
        <v/>
      </c>
      <c r="BU66" s="190"/>
      <c r="BV66" s="191" t="str">
        <f t="shared" si="63"/>
        <v/>
      </c>
      <c r="BW66" s="190"/>
    </row>
    <row r="67" spans="2:75" s="192" customFormat="1" ht="13">
      <c r="B67" s="179" t="s">
        <v>604</v>
      </c>
      <c r="C67" s="172" t="s">
        <v>621</v>
      </c>
      <c r="D67" s="172" t="s">
        <v>134</v>
      </c>
      <c r="E67" s="180"/>
      <c r="F67" s="172" t="s">
        <v>606</v>
      </c>
      <c r="G67" s="172" t="s">
        <v>618</v>
      </c>
      <c r="H67" s="172" t="s">
        <v>239</v>
      </c>
      <c r="I67" s="172" t="s">
        <v>619</v>
      </c>
      <c r="J67" s="181"/>
      <c r="K67" s="182">
        <v>1000</v>
      </c>
      <c r="L67" s="183"/>
      <c r="M67" s="183"/>
      <c r="N67" s="183">
        <f t="shared" si="1"/>
        <v>1000</v>
      </c>
      <c r="O67" s="184">
        <f t="shared" si="2"/>
        <v>1000</v>
      </c>
      <c r="P67" s="183" t="s">
        <v>178</v>
      </c>
      <c r="Q67" s="185">
        <f t="shared" si="29"/>
        <v>18.382352941176471</v>
      </c>
      <c r="R67" s="186">
        <f>+Q67/10</f>
        <v>1.8382352941176472</v>
      </c>
      <c r="S67" s="187">
        <v>64</v>
      </c>
      <c r="T67" s="197">
        <f>+W60</f>
        <v>45704.499999999985</v>
      </c>
      <c r="U67" s="189"/>
      <c r="V67" s="184">
        <f t="shared" ca="1" si="3"/>
        <v>-135.50000000001455</v>
      </c>
      <c r="W67" s="189">
        <f t="shared" si="32"/>
        <v>45706.338235294104</v>
      </c>
      <c r="X67" s="189"/>
      <c r="Y67" s="184">
        <f t="shared" ca="1" si="4"/>
        <v>-133.66176470589562</v>
      </c>
      <c r="Z67" s="189"/>
      <c r="AA67" s="190"/>
      <c r="AB67" s="191" t="str">
        <f t="shared" si="5"/>
        <v>-</v>
      </c>
      <c r="AC67" s="190"/>
      <c r="AD67" s="191" t="str">
        <f t="shared" si="6"/>
        <v/>
      </c>
      <c r="AE67" s="190"/>
      <c r="AF67" s="191" t="str">
        <f t="shared" si="7"/>
        <v/>
      </c>
      <c r="AG67" s="190"/>
      <c r="AH67" s="191" t="str">
        <f t="shared" si="8"/>
        <v/>
      </c>
      <c r="AI67" s="190"/>
      <c r="AJ67" s="191" t="str">
        <f t="shared" si="9"/>
        <v/>
      </c>
      <c r="AK67" s="190"/>
      <c r="AL67" s="191" t="str">
        <f t="shared" si="10"/>
        <v/>
      </c>
      <c r="AM67" s="190"/>
      <c r="AN67" s="191" t="str">
        <f t="shared" si="11"/>
        <v/>
      </c>
      <c r="AO67" s="190"/>
      <c r="AP67" s="191" t="str">
        <f t="shared" si="12"/>
        <v/>
      </c>
      <c r="AQ67" s="190"/>
      <c r="AR67" s="191" t="str">
        <f t="shared" si="13"/>
        <v/>
      </c>
      <c r="AS67" s="190"/>
      <c r="AT67" s="191" t="str">
        <f t="shared" si="14"/>
        <v/>
      </c>
      <c r="AU67" s="190"/>
      <c r="AV67" s="191" t="str">
        <f t="shared" si="15"/>
        <v/>
      </c>
      <c r="AW67" s="190"/>
      <c r="AX67" s="191" t="str">
        <f t="shared" si="16"/>
        <v/>
      </c>
      <c r="AY67" s="190"/>
      <c r="AZ67" s="191" t="str">
        <f t="shared" si="17"/>
        <v/>
      </c>
      <c r="BA67" s="190"/>
      <c r="BB67" s="191" t="str">
        <f t="shared" si="18"/>
        <v/>
      </c>
      <c r="BC67" s="190"/>
      <c r="BD67" s="191" t="str">
        <f t="shared" si="19"/>
        <v/>
      </c>
      <c r="BE67" s="190"/>
      <c r="BF67" s="191" t="str">
        <f t="shared" si="20"/>
        <v/>
      </c>
      <c r="BG67" s="190"/>
      <c r="BH67" s="191" t="str">
        <f t="shared" si="21"/>
        <v/>
      </c>
      <c r="BI67" s="190"/>
      <c r="BJ67" s="191" t="str">
        <f t="shared" si="22"/>
        <v/>
      </c>
      <c r="BK67" s="190"/>
      <c r="BL67" s="191" t="str">
        <f t="shared" si="23"/>
        <v/>
      </c>
      <c r="BM67" s="190"/>
      <c r="BN67" s="191">
        <f t="shared" si="24"/>
        <v>1000</v>
      </c>
      <c r="BO67" s="190"/>
      <c r="BP67" s="191" t="str">
        <f t="shared" si="25"/>
        <v/>
      </c>
      <c r="BQ67" s="190"/>
      <c r="BR67" s="191" t="str">
        <f t="shared" si="26"/>
        <v/>
      </c>
      <c r="BS67" s="190"/>
      <c r="BT67" s="191" t="str">
        <f t="shared" si="27"/>
        <v/>
      </c>
      <c r="BU67" s="190"/>
      <c r="BV67" s="191" t="str">
        <f t="shared" si="28"/>
        <v/>
      </c>
      <c r="BW67" s="190"/>
    </row>
    <row r="68" spans="2:75" s="192" customFormat="1" ht="13">
      <c r="B68" s="179" t="s">
        <v>604</v>
      </c>
      <c r="C68" s="172" t="s">
        <v>621</v>
      </c>
      <c r="D68" s="172" t="s">
        <v>134</v>
      </c>
      <c r="E68" s="180"/>
      <c r="F68" s="172" t="s">
        <v>609</v>
      </c>
      <c r="G68" s="172" t="s">
        <v>618</v>
      </c>
      <c r="H68" s="172" t="s">
        <v>162</v>
      </c>
      <c r="I68" s="172" t="s">
        <v>619</v>
      </c>
      <c r="J68" s="181"/>
      <c r="K68" s="182">
        <v>1000</v>
      </c>
      <c r="L68" s="183"/>
      <c r="M68" s="183"/>
      <c r="N68" s="183">
        <f t="shared" si="1"/>
        <v>1000</v>
      </c>
      <c r="O68" s="184">
        <f t="shared" si="2"/>
        <v>1000</v>
      </c>
      <c r="P68" s="183" t="s">
        <v>178</v>
      </c>
      <c r="Q68" s="185">
        <f t="shared" si="29"/>
        <v>18.382352941176471</v>
      </c>
      <c r="R68" s="186">
        <f t="shared" si="30"/>
        <v>1.8382352941176472</v>
      </c>
      <c r="S68" s="187">
        <v>64</v>
      </c>
      <c r="T68" s="197">
        <f t="shared" si="31"/>
        <v>45706.338235294104</v>
      </c>
      <c r="U68" s="189"/>
      <c r="V68" s="184">
        <f t="shared" ca="1" si="3"/>
        <v>-133.66176470589562</v>
      </c>
      <c r="W68" s="189">
        <f t="shared" si="32"/>
        <v>45708.176470588223</v>
      </c>
      <c r="X68" s="189"/>
      <c r="Y68" s="184">
        <f t="shared" ca="1" si="4"/>
        <v>-131.82352941177669</v>
      </c>
      <c r="Z68" s="189"/>
      <c r="AA68" s="190"/>
      <c r="AB68" s="191" t="str">
        <f t="shared" si="5"/>
        <v>-</v>
      </c>
      <c r="AC68" s="190"/>
      <c r="AD68" s="191" t="str">
        <f t="shared" si="6"/>
        <v/>
      </c>
      <c r="AE68" s="190"/>
      <c r="AF68" s="191" t="str">
        <f t="shared" si="7"/>
        <v/>
      </c>
      <c r="AG68" s="190"/>
      <c r="AH68" s="191" t="str">
        <f t="shared" si="8"/>
        <v/>
      </c>
      <c r="AI68" s="190"/>
      <c r="AJ68" s="191" t="str">
        <f t="shared" si="9"/>
        <v/>
      </c>
      <c r="AK68" s="190"/>
      <c r="AL68" s="191" t="str">
        <f t="shared" si="10"/>
        <v/>
      </c>
      <c r="AM68" s="190"/>
      <c r="AN68" s="191" t="str">
        <f t="shared" si="11"/>
        <v/>
      </c>
      <c r="AO68" s="190"/>
      <c r="AP68" s="191" t="str">
        <f t="shared" si="12"/>
        <v/>
      </c>
      <c r="AQ68" s="190"/>
      <c r="AR68" s="191" t="str">
        <f t="shared" si="13"/>
        <v/>
      </c>
      <c r="AS68" s="190"/>
      <c r="AT68" s="191" t="str">
        <f t="shared" si="14"/>
        <v/>
      </c>
      <c r="AU68" s="190"/>
      <c r="AV68" s="191" t="str">
        <f t="shared" si="15"/>
        <v/>
      </c>
      <c r="AW68" s="190"/>
      <c r="AX68" s="191" t="str">
        <f t="shared" si="16"/>
        <v/>
      </c>
      <c r="AY68" s="190"/>
      <c r="AZ68" s="191" t="str">
        <f t="shared" si="17"/>
        <v/>
      </c>
      <c r="BA68" s="190"/>
      <c r="BB68" s="191" t="str">
        <f t="shared" si="18"/>
        <v/>
      </c>
      <c r="BC68" s="190"/>
      <c r="BD68" s="191" t="str">
        <f t="shared" si="19"/>
        <v/>
      </c>
      <c r="BE68" s="190"/>
      <c r="BF68" s="191" t="str">
        <f t="shared" si="20"/>
        <v/>
      </c>
      <c r="BG68" s="190"/>
      <c r="BH68" s="191" t="str">
        <f t="shared" si="21"/>
        <v/>
      </c>
      <c r="BI68" s="190"/>
      <c r="BJ68" s="191" t="str">
        <f t="shared" si="22"/>
        <v/>
      </c>
      <c r="BK68" s="190"/>
      <c r="BL68" s="191" t="str">
        <f t="shared" si="23"/>
        <v/>
      </c>
      <c r="BM68" s="190"/>
      <c r="BN68" s="191">
        <f t="shared" si="24"/>
        <v>1000</v>
      </c>
      <c r="BO68" s="190"/>
      <c r="BP68" s="191" t="str">
        <f t="shared" si="25"/>
        <v/>
      </c>
      <c r="BQ68" s="190"/>
      <c r="BR68" s="191" t="str">
        <f t="shared" si="26"/>
        <v/>
      </c>
      <c r="BS68" s="190"/>
      <c r="BT68" s="191" t="str">
        <f t="shared" si="27"/>
        <v/>
      </c>
      <c r="BU68" s="190"/>
      <c r="BV68" s="191" t="str">
        <f t="shared" si="28"/>
        <v/>
      </c>
      <c r="BW68" s="190"/>
    </row>
    <row r="69" spans="2:75" s="192" customFormat="1" ht="13">
      <c r="B69" s="179" t="s">
        <v>604</v>
      </c>
      <c r="C69" s="172" t="s">
        <v>621</v>
      </c>
      <c r="D69" s="172" t="s">
        <v>134</v>
      </c>
      <c r="E69" s="180"/>
      <c r="F69" s="172" t="s">
        <v>610</v>
      </c>
      <c r="G69" s="172" t="s">
        <v>618</v>
      </c>
      <c r="H69" s="172" t="s">
        <v>155</v>
      </c>
      <c r="I69" s="172" t="s">
        <v>619</v>
      </c>
      <c r="J69" s="181"/>
      <c r="K69" s="182">
        <v>1100</v>
      </c>
      <c r="L69" s="183"/>
      <c r="M69" s="183"/>
      <c r="N69" s="183">
        <f t="shared" si="1"/>
        <v>1100</v>
      </c>
      <c r="O69" s="184">
        <f t="shared" si="2"/>
        <v>1100</v>
      </c>
      <c r="P69" s="183" t="s">
        <v>178</v>
      </c>
      <c r="Q69" s="185">
        <f t="shared" si="29"/>
        <v>20.22058823529412</v>
      </c>
      <c r="R69" s="186">
        <f t="shared" si="30"/>
        <v>2.0220588235294121</v>
      </c>
      <c r="S69" s="187">
        <v>64</v>
      </c>
      <c r="T69" s="197">
        <f t="shared" si="31"/>
        <v>45708.176470588223</v>
      </c>
      <c r="U69" s="189"/>
      <c r="V69" s="184">
        <f t="shared" ca="1" si="3"/>
        <v>-131.82352941177669</v>
      </c>
      <c r="W69" s="189">
        <f t="shared" si="32"/>
        <v>45710.198529411755</v>
      </c>
      <c r="X69" s="189"/>
      <c r="Y69" s="184">
        <f t="shared" ca="1" si="4"/>
        <v>-129.80147058824514</v>
      </c>
      <c r="Z69" s="189"/>
      <c r="AA69" s="190"/>
      <c r="AB69" s="191" t="str">
        <f t="shared" si="5"/>
        <v>-</v>
      </c>
      <c r="AC69" s="190"/>
      <c r="AD69" s="191" t="str">
        <f t="shared" si="6"/>
        <v/>
      </c>
      <c r="AE69" s="190"/>
      <c r="AF69" s="191" t="str">
        <f t="shared" si="7"/>
        <v/>
      </c>
      <c r="AG69" s="190"/>
      <c r="AH69" s="191" t="str">
        <f t="shared" si="8"/>
        <v/>
      </c>
      <c r="AI69" s="190"/>
      <c r="AJ69" s="191" t="str">
        <f t="shared" si="9"/>
        <v/>
      </c>
      <c r="AK69" s="190"/>
      <c r="AL69" s="191" t="str">
        <f t="shared" si="10"/>
        <v/>
      </c>
      <c r="AM69" s="190"/>
      <c r="AN69" s="191" t="str">
        <f t="shared" si="11"/>
        <v/>
      </c>
      <c r="AO69" s="190"/>
      <c r="AP69" s="191" t="str">
        <f t="shared" si="12"/>
        <v/>
      </c>
      <c r="AQ69" s="190"/>
      <c r="AR69" s="191" t="str">
        <f t="shared" si="13"/>
        <v/>
      </c>
      <c r="AS69" s="190"/>
      <c r="AT69" s="191" t="str">
        <f t="shared" si="14"/>
        <v/>
      </c>
      <c r="AU69" s="190"/>
      <c r="AV69" s="191" t="str">
        <f t="shared" si="15"/>
        <v/>
      </c>
      <c r="AW69" s="190"/>
      <c r="AX69" s="191" t="str">
        <f t="shared" si="16"/>
        <v/>
      </c>
      <c r="AY69" s="190"/>
      <c r="AZ69" s="191" t="str">
        <f t="shared" si="17"/>
        <v/>
      </c>
      <c r="BA69" s="190"/>
      <c r="BB69" s="191" t="str">
        <f t="shared" si="18"/>
        <v/>
      </c>
      <c r="BC69" s="190"/>
      <c r="BD69" s="191" t="str">
        <f t="shared" si="19"/>
        <v/>
      </c>
      <c r="BE69" s="190"/>
      <c r="BF69" s="191" t="str">
        <f t="shared" si="20"/>
        <v/>
      </c>
      <c r="BG69" s="190"/>
      <c r="BH69" s="191" t="str">
        <f t="shared" si="21"/>
        <v/>
      </c>
      <c r="BI69" s="190"/>
      <c r="BJ69" s="191" t="str">
        <f t="shared" si="22"/>
        <v/>
      </c>
      <c r="BK69" s="190"/>
      <c r="BL69" s="191" t="str">
        <f t="shared" si="23"/>
        <v/>
      </c>
      <c r="BM69" s="190"/>
      <c r="BN69" s="191">
        <f t="shared" si="24"/>
        <v>1100</v>
      </c>
      <c r="BO69" s="190"/>
      <c r="BP69" s="191" t="str">
        <f t="shared" si="25"/>
        <v/>
      </c>
      <c r="BQ69" s="190"/>
      <c r="BR69" s="191" t="str">
        <f t="shared" si="26"/>
        <v/>
      </c>
      <c r="BS69" s="190"/>
      <c r="BT69" s="191" t="str">
        <f t="shared" si="27"/>
        <v/>
      </c>
      <c r="BU69" s="190"/>
      <c r="BV69" s="191" t="str">
        <f t="shared" si="28"/>
        <v/>
      </c>
      <c r="BW69" s="190"/>
    </row>
    <row r="83" spans="7:10">
      <c r="G83" s="92" t="s">
        <v>622</v>
      </c>
      <c r="H83" s="92">
        <v>3</v>
      </c>
      <c r="I83" s="92">
        <f>+H83*8</f>
        <v>24</v>
      </c>
      <c r="J83">
        <f>+I83*8</f>
        <v>192</v>
      </c>
    </row>
    <row r="84" spans="7:10">
      <c r="G84" s="92" t="s">
        <v>623</v>
      </c>
      <c r="H84" s="92">
        <v>4</v>
      </c>
      <c r="I84" s="92">
        <f>+H84*8</f>
        <v>32</v>
      </c>
    </row>
    <row r="85" spans="7:10">
      <c r="G85" s="92" t="s">
        <v>624</v>
      </c>
      <c r="H85" s="92">
        <v>8</v>
      </c>
      <c r="I85" s="92">
        <f>+H85*8</f>
        <v>64</v>
      </c>
    </row>
    <row r="86" spans="7:10">
      <c r="G86" s="92" t="s">
        <v>194</v>
      </c>
      <c r="H86" s="92">
        <v>10</v>
      </c>
      <c r="I86" s="92">
        <f>+H86*8</f>
        <v>80</v>
      </c>
    </row>
    <row r="87" spans="7:10">
      <c r="G87" s="92" t="s">
        <v>625</v>
      </c>
      <c r="H87" s="92">
        <v>12</v>
      </c>
      <c r="I87" s="92">
        <f>+H87*8</f>
        <v>96</v>
      </c>
    </row>
    <row r="88" spans="7:10">
      <c r="G88" s="92" t="s">
        <v>626</v>
      </c>
      <c r="H88" s="92">
        <v>6</v>
      </c>
      <c r="I88" s="92">
        <f>+H88*8</f>
        <v>48</v>
      </c>
    </row>
  </sheetData>
  <sheetProtection selectLockedCells="1" autoFilter="0"/>
  <autoFilter ref="B9:BW69"/>
  <mergeCells count="68">
    <mergeCell ref="G7:G9"/>
    <mergeCell ref="N7:N9"/>
    <mergeCell ref="L7:L9"/>
    <mergeCell ref="Z7:AA8"/>
    <mergeCell ref="T7:V8"/>
    <mergeCell ref="W7:Y8"/>
    <mergeCell ref="O7:O9"/>
    <mergeCell ref="P7:P9"/>
    <mergeCell ref="Q7:Q9"/>
    <mergeCell ref="S7:S9"/>
    <mergeCell ref="M7:M9"/>
    <mergeCell ref="H7:H9"/>
    <mergeCell ref="I7:I9"/>
    <mergeCell ref="J7:J9"/>
    <mergeCell ref="K7:K9"/>
    <mergeCell ref="B7:B9"/>
    <mergeCell ref="C7:C9"/>
    <mergeCell ref="D7:D9"/>
    <mergeCell ref="E7:E9"/>
    <mergeCell ref="F7:F9"/>
    <mergeCell ref="AB8:AC8"/>
    <mergeCell ref="AD7:AE7"/>
    <mergeCell ref="AF7:AG7"/>
    <mergeCell ref="AH7:AI7"/>
    <mergeCell ref="AP7:AQ7"/>
    <mergeCell ref="AB7:AC7"/>
    <mergeCell ref="AJ7:AK7"/>
    <mergeCell ref="AD8:AE8"/>
    <mergeCell ref="AF8:AG8"/>
    <mergeCell ref="AH8:AI8"/>
    <mergeCell ref="AJ8:AK8"/>
    <mergeCell ref="AL7:AM7"/>
    <mergeCell ref="AV7:AW7"/>
    <mergeCell ref="AV8:AW8"/>
    <mergeCell ref="AL8:AM8"/>
    <mergeCell ref="AN8:AO8"/>
    <mergeCell ref="AP8:AQ8"/>
    <mergeCell ref="AN7:AO7"/>
    <mergeCell ref="AT8:AU8"/>
    <mergeCell ref="AT7:AU7"/>
    <mergeCell ref="AR7:AS7"/>
    <mergeCell ref="AR8:AS8"/>
    <mergeCell ref="BF7:BG7"/>
    <mergeCell ref="BJ7:BK7"/>
    <mergeCell ref="BB8:BC8"/>
    <mergeCell ref="AX7:AY7"/>
    <mergeCell ref="BB7:BC7"/>
    <mergeCell ref="BD7:BE7"/>
    <mergeCell ref="AZ7:BA7"/>
    <mergeCell ref="BD8:BE8"/>
    <mergeCell ref="BF8:BG8"/>
    <mergeCell ref="BH8:BI8"/>
    <mergeCell ref="AX8:AY8"/>
    <mergeCell ref="AZ8:BA8"/>
    <mergeCell ref="BN8:BO8"/>
    <mergeCell ref="BL8:BM8"/>
    <mergeCell ref="BN7:BO7"/>
    <mergeCell ref="BH7:BI7"/>
    <mergeCell ref="BL7:BM7"/>
    <mergeCell ref="BJ8:BK8"/>
    <mergeCell ref="BV7:BW7"/>
    <mergeCell ref="BT8:BU8"/>
    <mergeCell ref="BV8:BW8"/>
    <mergeCell ref="BR8:BS8"/>
    <mergeCell ref="BP7:BQ7"/>
    <mergeCell ref="BT7:BU7"/>
    <mergeCell ref="BR7:BS7"/>
    <mergeCell ref="BP8:BQ8"/>
  </mergeCells>
  <conditionalFormatting sqref="O10:O69">
    <cfRule type="cellIs" dxfId="15" priority="1" operator="lessThanOrEqual">
      <formula>0</formula>
    </cfRule>
  </conditionalFormatting>
  <conditionalFormatting sqref="V10:V69 Y10:Y69">
    <cfRule type="cellIs" dxfId="14" priority="4" operator="greaterThanOrEqual">
      <formula>0</formula>
    </cfRule>
    <cfRule type="cellIs" dxfId="13" priority="5" operator="lessThan">
      <formula>0</formula>
    </cfRule>
  </conditionalFormatting>
  <conditionalFormatting sqref="AB10:BW69">
    <cfRule type="containsErrors" dxfId="12" priority="2">
      <formula>ISERROR(AB10)</formula>
    </cfRule>
    <cfRule type="containsBlanks" dxfId="11" priority="3">
      <formula>LEN(TRIM(AB10))=0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filterMode="1"/>
  <dimension ref="A2:BZ539"/>
  <sheetViews>
    <sheetView zoomScaleNormal="100" workbookViewId="0">
      <pane xSplit="12" ySplit="6" topLeftCell="M183" activePane="bottomRight" state="frozen"/>
      <selection pane="topRight" activeCell="B6" sqref="B6"/>
      <selection pane="bottomLeft" activeCell="B6" sqref="B6"/>
      <selection pane="bottomRight" activeCell="H300" sqref="H300"/>
    </sheetView>
  </sheetViews>
  <sheetFormatPr defaultColWidth="11.83203125" defaultRowHeight="14" outlineLevelCol="1"/>
  <cols>
    <col min="1" max="1" width="6.58203125" style="92" customWidth="1"/>
    <col min="2" max="3" width="4.83203125" style="92" customWidth="1"/>
    <col min="4" max="4" width="3.58203125" style="92" customWidth="1"/>
    <col min="5" max="5" width="6.83203125" style="173" customWidth="1"/>
    <col min="6" max="6" width="4.4140625" style="92" customWidth="1"/>
    <col min="7" max="7" width="9.4140625" style="92" customWidth="1"/>
    <col min="8" max="8" width="10.4140625" style="92" customWidth="1" outlineLevel="1"/>
    <col min="9" max="9" width="9" style="92" customWidth="1" outlineLevel="1"/>
    <col min="10" max="10" width="7.4140625" style="92" customWidth="1" outlineLevel="1"/>
    <col min="11" max="11" width="8.4140625" style="92" customWidth="1" outlineLevel="1"/>
    <col min="12" max="12" width="8.4140625" style="92" customWidth="1"/>
    <col min="13" max="13" width="7.58203125" style="92" customWidth="1"/>
    <col min="14" max="14" width="7.4140625" style="92" customWidth="1"/>
    <col min="15" max="15" width="8.4140625" style="92" customWidth="1"/>
    <col min="16" max="16" width="8" style="92" customWidth="1"/>
    <col min="17" max="17" width="15.58203125" style="92" customWidth="1"/>
    <col min="18" max="18" width="8.1640625" style="92" customWidth="1"/>
    <col min="19" max="19" width="12.4140625" style="92" customWidth="1"/>
    <col min="20" max="20" width="5.83203125" style="92" customWidth="1"/>
    <col min="21" max="21" width="4.83203125" style="92" customWidth="1"/>
    <col min="22" max="22" width="7.58203125" style="92" customWidth="1"/>
    <col min="23" max="23" width="11.83203125" style="92"/>
    <col min="24" max="25" width="0" style="92" hidden="1" customWidth="1"/>
    <col min="26" max="26" width="11.83203125" style="92"/>
    <col min="27" max="28" width="0" style="92" hidden="1" customWidth="1"/>
    <col min="29" max="29" width="8.4140625" style="92" customWidth="1"/>
    <col min="30" max="30" width="11.83203125" style="92"/>
    <col min="31" max="38" width="11.83203125" style="92" hidden="1" customWidth="1"/>
    <col min="39" max="52" width="11.83203125" style="92" customWidth="1"/>
    <col min="53" max="16384" width="11.83203125" style="92"/>
  </cols>
  <sheetData>
    <row r="2" spans="1:78" ht="16.5" customHeight="1">
      <c r="I2" s="93" t="s">
        <v>419</v>
      </c>
      <c r="L2" s="163">
        <f>+L3/26</f>
        <v>6892.6153846153848</v>
      </c>
      <c r="M2" s="164">
        <f>+M3/L3</f>
        <v>0.63640016070711125</v>
      </c>
      <c r="N2" s="164">
        <f>+N3/L3</f>
        <v>0.41449042453461898</v>
      </c>
      <c r="O2" s="164">
        <f>+O3/L3</f>
        <v>0.58550957546538096</v>
      </c>
      <c r="P2" s="164">
        <f>+P3/L3</f>
        <v>0.36359983929288869</v>
      </c>
      <c r="T2" s="165">
        <f>+T3/26</f>
        <v>3.8587252747252734</v>
      </c>
    </row>
    <row r="3" spans="1:78" ht="14.5">
      <c r="A3" s="93"/>
      <c r="B3" s="93"/>
      <c r="C3" s="93"/>
      <c r="D3" s="93"/>
      <c r="E3" s="174"/>
      <c r="F3" s="93"/>
      <c r="G3" s="93"/>
      <c r="H3" s="93"/>
      <c r="I3" s="93" t="s">
        <v>222</v>
      </c>
      <c r="J3" s="93"/>
      <c r="K3" s="93"/>
      <c r="L3" s="96">
        <f>SUBTOTAL(9,L7:L530)</f>
        <v>179208</v>
      </c>
      <c r="M3" s="96">
        <f>SUBTOTAL(9,M7:M526)</f>
        <v>114048</v>
      </c>
      <c r="N3" s="96">
        <f>SUBTOTAL(9,N7:N526)</f>
        <v>74280</v>
      </c>
      <c r="O3" s="96">
        <f>SUBTOTAL(9,O7:O530)</f>
        <v>104928</v>
      </c>
      <c r="P3" s="96">
        <f>SUBTOTAL(9,P7:P530)</f>
        <v>65160</v>
      </c>
      <c r="Q3" s="93"/>
      <c r="R3" s="93"/>
      <c r="S3" s="93"/>
      <c r="T3" s="96">
        <f>SUBTOTAL(9,T7:T526)</f>
        <v>100.32685714285711</v>
      </c>
      <c r="U3" s="96">
        <f>SUBTOTAL(1,U7:U526)</f>
        <v>5.1538461538461542</v>
      </c>
      <c r="V3" s="93"/>
      <c r="W3" s="97"/>
      <c r="X3" s="97"/>
      <c r="Y3" s="97"/>
      <c r="Z3" s="97"/>
      <c r="AA3" s="97"/>
      <c r="AB3" s="98"/>
      <c r="AC3" s="98"/>
      <c r="AD3" s="98"/>
      <c r="AE3" s="96">
        <f t="shared" ref="AE3:BZ3" si="0">SUBTOTAL(9,AE7:AE487)</f>
        <v>0</v>
      </c>
      <c r="AF3" s="96">
        <f t="shared" si="0"/>
        <v>0</v>
      </c>
      <c r="AG3" s="96">
        <f t="shared" si="0"/>
        <v>0</v>
      </c>
      <c r="AH3" s="96">
        <f t="shared" si="0"/>
        <v>0</v>
      </c>
      <c r="AI3" s="96">
        <f t="shared" si="0"/>
        <v>0</v>
      </c>
      <c r="AJ3" s="96">
        <f t="shared" si="0"/>
        <v>0</v>
      </c>
      <c r="AK3" s="96">
        <f t="shared" si="0"/>
        <v>0</v>
      </c>
      <c r="AL3" s="96">
        <f t="shared" si="0"/>
        <v>0</v>
      </c>
      <c r="AM3" s="96">
        <f t="shared" si="0"/>
        <v>0</v>
      </c>
      <c r="AN3" s="96">
        <f t="shared" si="0"/>
        <v>0</v>
      </c>
      <c r="AO3" s="96">
        <f t="shared" si="0"/>
        <v>0</v>
      </c>
      <c r="AP3" s="96">
        <f t="shared" si="0"/>
        <v>0</v>
      </c>
      <c r="AQ3" s="96">
        <f t="shared" si="0"/>
        <v>0</v>
      </c>
      <c r="AR3" s="96">
        <f t="shared" si="0"/>
        <v>0</v>
      </c>
      <c r="AS3" s="96">
        <f t="shared" si="0"/>
        <v>0</v>
      </c>
      <c r="AT3" s="96">
        <f t="shared" si="0"/>
        <v>0</v>
      </c>
      <c r="AU3" s="96">
        <f t="shared" si="0"/>
        <v>0</v>
      </c>
      <c r="AV3" s="96">
        <f t="shared" si="0"/>
        <v>0</v>
      </c>
      <c r="AW3" s="96">
        <f t="shared" si="0"/>
        <v>0</v>
      </c>
      <c r="AX3" s="96">
        <f t="shared" si="0"/>
        <v>0</v>
      </c>
      <c r="AY3" s="96">
        <f t="shared" si="0"/>
        <v>0</v>
      </c>
      <c r="AZ3" s="96">
        <f t="shared" si="0"/>
        <v>0</v>
      </c>
      <c r="BA3" s="96">
        <f t="shared" si="0"/>
        <v>28512</v>
      </c>
      <c r="BB3" s="96">
        <f t="shared" si="0"/>
        <v>0</v>
      </c>
      <c r="BC3" s="96">
        <f t="shared" si="0"/>
        <v>14256</v>
      </c>
      <c r="BD3" s="96">
        <f t="shared" si="0"/>
        <v>0</v>
      </c>
      <c r="BE3" s="96">
        <f t="shared" si="0"/>
        <v>42768</v>
      </c>
      <c r="BF3" s="96">
        <f t="shared" si="0"/>
        <v>0</v>
      </c>
      <c r="BG3" s="96">
        <f t="shared" si="0"/>
        <v>42768</v>
      </c>
      <c r="BH3" s="96">
        <f t="shared" si="0"/>
        <v>0</v>
      </c>
      <c r="BI3" s="96">
        <f t="shared" si="0"/>
        <v>29088</v>
      </c>
      <c r="BJ3" s="96">
        <f t="shared" si="0"/>
        <v>0</v>
      </c>
      <c r="BK3" s="96">
        <f t="shared" si="0"/>
        <v>0</v>
      </c>
      <c r="BL3" s="96">
        <f t="shared" si="0"/>
        <v>0</v>
      </c>
      <c r="BM3" s="96">
        <f t="shared" si="0"/>
        <v>0</v>
      </c>
      <c r="BN3" s="96">
        <f t="shared" si="0"/>
        <v>0</v>
      </c>
      <c r="BO3" s="96">
        <f t="shared" si="0"/>
        <v>7560</v>
      </c>
      <c r="BP3" s="96">
        <f t="shared" si="0"/>
        <v>0</v>
      </c>
      <c r="BQ3" s="96">
        <f t="shared" si="0"/>
        <v>0</v>
      </c>
      <c r="BR3" s="96">
        <f t="shared" si="0"/>
        <v>0</v>
      </c>
      <c r="BS3" s="96">
        <f t="shared" si="0"/>
        <v>0</v>
      </c>
      <c r="BT3" s="96">
        <f t="shared" si="0"/>
        <v>0</v>
      </c>
      <c r="BU3" s="96">
        <f t="shared" si="0"/>
        <v>0</v>
      </c>
      <c r="BV3" s="96">
        <f t="shared" si="0"/>
        <v>0</v>
      </c>
      <c r="BW3" s="96">
        <f t="shared" si="0"/>
        <v>0</v>
      </c>
      <c r="BX3" s="96">
        <f t="shared" si="0"/>
        <v>0</v>
      </c>
      <c r="BY3" s="96">
        <f t="shared" si="0"/>
        <v>0</v>
      </c>
      <c r="BZ3" s="96">
        <f t="shared" si="0"/>
        <v>0</v>
      </c>
    </row>
    <row r="4" spans="1:78" ht="14.5">
      <c r="A4" s="380" t="s">
        <v>627</v>
      </c>
      <c r="B4" s="378" t="s">
        <v>223</v>
      </c>
      <c r="C4" s="394" t="s">
        <v>20</v>
      </c>
      <c r="D4" s="395" t="s">
        <v>420</v>
      </c>
      <c r="E4" s="396" t="s">
        <v>387</v>
      </c>
      <c r="F4" s="391" t="s">
        <v>628</v>
      </c>
      <c r="G4" s="378" t="s">
        <v>22</v>
      </c>
      <c r="H4" s="378" t="s">
        <v>224</v>
      </c>
      <c r="I4" s="376" t="s">
        <v>225</v>
      </c>
      <c r="J4" s="376" t="s">
        <v>421</v>
      </c>
      <c r="K4" s="376" t="s">
        <v>24</v>
      </c>
      <c r="L4" s="379" t="s">
        <v>422</v>
      </c>
      <c r="M4" s="377" t="s">
        <v>423</v>
      </c>
      <c r="N4" s="371" t="s">
        <v>228</v>
      </c>
      <c r="O4" s="371" t="s">
        <v>229</v>
      </c>
      <c r="P4" s="387" t="s">
        <v>230</v>
      </c>
      <c r="Q4" s="377" t="s">
        <v>28</v>
      </c>
      <c r="R4" s="388" t="s">
        <v>629</v>
      </c>
      <c r="S4" s="388" t="s">
        <v>54</v>
      </c>
      <c r="T4" s="371" t="s">
        <v>424</v>
      </c>
      <c r="U4" s="373" t="s">
        <v>425</v>
      </c>
      <c r="V4" s="371" t="s">
        <v>426</v>
      </c>
      <c r="W4" s="372" t="s">
        <v>104</v>
      </c>
      <c r="X4" s="372"/>
      <c r="Y4" s="372"/>
      <c r="Z4" s="372" t="s">
        <v>30</v>
      </c>
      <c r="AA4" s="372"/>
      <c r="AB4" s="372"/>
      <c r="AC4" s="372" t="s">
        <v>31</v>
      </c>
      <c r="AD4" s="372"/>
      <c r="AE4" s="370">
        <v>41</v>
      </c>
      <c r="AF4" s="370"/>
      <c r="AG4" s="370">
        <v>42</v>
      </c>
      <c r="AH4" s="370"/>
      <c r="AI4" s="370">
        <v>43</v>
      </c>
      <c r="AJ4" s="370"/>
      <c r="AK4" s="370">
        <v>44</v>
      </c>
      <c r="AL4" s="370"/>
      <c r="AM4" s="370">
        <v>45</v>
      </c>
      <c r="AN4" s="370"/>
      <c r="AO4" s="370">
        <v>46</v>
      </c>
      <c r="AP4" s="370"/>
      <c r="AQ4" s="370">
        <v>47</v>
      </c>
      <c r="AR4" s="370"/>
      <c r="AS4" s="370">
        <f>AQ4+1</f>
        <v>48</v>
      </c>
      <c r="AT4" s="370"/>
      <c r="AU4" s="370">
        <f>+AS4+1</f>
        <v>49</v>
      </c>
      <c r="AV4" s="370"/>
      <c r="AW4" s="370">
        <f>+AU4+1</f>
        <v>50</v>
      </c>
      <c r="AX4" s="370"/>
      <c r="AY4" s="370">
        <f>+AW4+1</f>
        <v>51</v>
      </c>
      <c r="AZ4" s="370"/>
      <c r="BA4" s="370">
        <f>+AY4+1</f>
        <v>52</v>
      </c>
      <c r="BB4" s="370"/>
      <c r="BC4" s="370">
        <v>1</v>
      </c>
      <c r="BD4" s="370"/>
      <c r="BE4" s="370">
        <f>+BC4+1</f>
        <v>2</v>
      </c>
      <c r="BF4" s="370"/>
      <c r="BG4" s="370">
        <f>+BE4+1</f>
        <v>3</v>
      </c>
      <c r="BH4" s="370"/>
      <c r="BI4" s="370">
        <f>+BG4+1</f>
        <v>4</v>
      </c>
      <c r="BJ4" s="370"/>
      <c r="BK4" s="370">
        <f>+BI4+1</f>
        <v>5</v>
      </c>
      <c r="BL4" s="370"/>
      <c r="BM4" s="370">
        <f>+BK4+1</f>
        <v>6</v>
      </c>
      <c r="BN4" s="370"/>
      <c r="BO4" s="370">
        <f>+BM4+1</f>
        <v>7</v>
      </c>
      <c r="BP4" s="370"/>
      <c r="BQ4" s="370">
        <f>+BO4+1</f>
        <v>8</v>
      </c>
      <c r="BR4" s="370"/>
      <c r="BS4" s="370">
        <f>+BQ4+1</f>
        <v>9</v>
      </c>
      <c r="BT4" s="370"/>
      <c r="BU4" s="370">
        <f>+BS4+1</f>
        <v>10</v>
      </c>
      <c r="BV4" s="370"/>
      <c r="BW4" s="370">
        <f>+BU4+1</f>
        <v>11</v>
      </c>
      <c r="BX4" s="370"/>
      <c r="BY4" s="370">
        <f>+BW4+1</f>
        <v>12</v>
      </c>
      <c r="BZ4" s="370"/>
    </row>
    <row r="5" spans="1:78" ht="14.5">
      <c r="A5" s="380"/>
      <c r="B5" s="378"/>
      <c r="C5" s="394"/>
      <c r="D5" s="395"/>
      <c r="E5" s="397"/>
      <c r="F5" s="392"/>
      <c r="G5" s="378"/>
      <c r="H5" s="378"/>
      <c r="I5" s="376"/>
      <c r="J5" s="376"/>
      <c r="K5" s="376"/>
      <c r="L5" s="379"/>
      <c r="M5" s="377"/>
      <c r="N5" s="371"/>
      <c r="O5" s="371"/>
      <c r="P5" s="387"/>
      <c r="Q5" s="377"/>
      <c r="R5" s="389"/>
      <c r="S5" s="389"/>
      <c r="T5" s="371"/>
      <c r="U5" s="374"/>
      <c r="V5" s="371"/>
      <c r="W5" s="372"/>
      <c r="X5" s="372"/>
      <c r="Y5" s="372"/>
      <c r="Z5" s="372"/>
      <c r="AA5" s="372"/>
      <c r="AB5" s="372"/>
      <c r="AC5" s="372"/>
      <c r="AD5" s="372"/>
      <c r="AE5" s="370" t="s">
        <v>33</v>
      </c>
      <c r="AF5" s="370"/>
      <c r="AG5" s="370" t="s">
        <v>34</v>
      </c>
      <c r="AH5" s="370"/>
      <c r="AI5" s="370" t="s">
        <v>35</v>
      </c>
      <c r="AJ5" s="370"/>
      <c r="AK5" s="370" t="s">
        <v>36</v>
      </c>
      <c r="AL5" s="370"/>
      <c r="AM5" s="370" t="s">
        <v>37</v>
      </c>
      <c r="AN5" s="370"/>
      <c r="AO5" s="370" t="s">
        <v>38</v>
      </c>
      <c r="AP5" s="370"/>
      <c r="AQ5" s="370" t="s">
        <v>39</v>
      </c>
      <c r="AR5" s="370"/>
      <c r="AS5" s="370" t="s">
        <v>40</v>
      </c>
      <c r="AT5" s="370"/>
      <c r="AU5" s="370" t="s">
        <v>41</v>
      </c>
      <c r="AV5" s="370"/>
      <c r="AW5" s="370" t="s">
        <v>42</v>
      </c>
      <c r="AX5" s="370"/>
      <c r="AY5" s="370" t="s">
        <v>43</v>
      </c>
      <c r="AZ5" s="370"/>
      <c r="BA5" s="370" t="s">
        <v>44</v>
      </c>
      <c r="BB5" s="370"/>
      <c r="BC5" s="370" t="s">
        <v>45</v>
      </c>
      <c r="BD5" s="370"/>
      <c r="BE5" s="370" t="s">
        <v>46</v>
      </c>
      <c r="BF5" s="370"/>
      <c r="BG5" s="370" t="s">
        <v>47</v>
      </c>
      <c r="BH5" s="370"/>
      <c r="BI5" s="370" t="s">
        <v>48</v>
      </c>
      <c r="BJ5" s="370"/>
      <c r="BK5" s="370" t="s">
        <v>49</v>
      </c>
      <c r="BL5" s="370"/>
      <c r="BM5" s="370" t="s">
        <v>231</v>
      </c>
      <c r="BN5" s="370"/>
      <c r="BO5" s="370" t="s">
        <v>232</v>
      </c>
      <c r="BP5" s="370"/>
      <c r="BQ5" s="370" t="s">
        <v>233</v>
      </c>
      <c r="BR5" s="370"/>
      <c r="BS5" s="370" t="s">
        <v>234</v>
      </c>
      <c r="BT5" s="370"/>
      <c r="BU5" s="370" t="s">
        <v>235</v>
      </c>
      <c r="BV5" s="370"/>
      <c r="BW5" s="370" t="s">
        <v>236</v>
      </c>
      <c r="BX5" s="370"/>
      <c r="BY5" s="370" t="s">
        <v>427</v>
      </c>
      <c r="BZ5" s="370"/>
    </row>
    <row r="6" spans="1:78" ht="24" customHeight="1">
      <c r="A6" s="380"/>
      <c r="B6" s="378"/>
      <c r="C6" s="394"/>
      <c r="D6" s="395"/>
      <c r="E6" s="398"/>
      <c r="F6" s="393"/>
      <c r="G6" s="378"/>
      <c r="H6" s="378"/>
      <c r="I6" s="376"/>
      <c r="J6" s="376"/>
      <c r="K6" s="376"/>
      <c r="L6" s="379"/>
      <c r="M6" s="377"/>
      <c r="N6" s="371"/>
      <c r="O6" s="371"/>
      <c r="P6" s="387"/>
      <c r="Q6" s="377"/>
      <c r="R6" s="390"/>
      <c r="S6" s="390"/>
      <c r="T6" s="371"/>
      <c r="U6" s="375"/>
      <c r="V6" s="371"/>
      <c r="W6" s="47" t="s">
        <v>50</v>
      </c>
      <c r="X6" s="48" t="s">
        <v>32</v>
      </c>
      <c r="Y6" s="48" t="s">
        <v>52</v>
      </c>
      <c r="Z6" s="47" t="s">
        <v>50</v>
      </c>
      <c r="AA6" s="48" t="s">
        <v>32</v>
      </c>
      <c r="AB6" s="48" t="s">
        <v>52</v>
      </c>
      <c r="AC6" s="47" t="s">
        <v>53</v>
      </c>
      <c r="AD6" s="47" t="s">
        <v>54</v>
      </c>
      <c r="AE6" s="49" t="s">
        <v>50</v>
      </c>
      <c r="AF6" s="50" t="s">
        <v>32</v>
      </c>
      <c r="AG6" s="49" t="s">
        <v>50</v>
      </c>
      <c r="AH6" s="50" t="s">
        <v>32</v>
      </c>
      <c r="AI6" s="49" t="s">
        <v>50</v>
      </c>
      <c r="AJ6" s="50" t="s">
        <v>32</v>
      </c>
      <c r="AK6" s="49" t="s">
        <v>50</v>
      </c>
      <c r="AL6" s="50" t="s">
        <v>32</v>
      </c>
      <c r="AM6" s="49" t="s">
        <v>50</v>
      </c>
      <c r="AN6" s="50" t="s">
        <v>32</v>
      </c>
      <c r="AO6" s="49" t="s">
        <v>50</v>
      </c>
      <c r="AP6" s="50" t="s">
        <v>32</v>
      </c>
      <c r="AQ6" s="49" t="s">
        <v>50</v>
      </c>
      <c r="AR6" s="50" t="s">
        <v>32</v>
      </c>
      <c r="AS6" s="49" t="s">
        <v>50</v>
      </c>
      <c r="AT6" s="50" t="s">
        <v>32</v>
      </c>
      <c r="AU6" s="49" t="s">
        <v>50</v>
      </c>
      <c r="AV6" s="50" t="s">
        <v>32</v>
      </c>
      <c r="AW6" s="49" t="s">
        <v>50</v>
      </c>
      <c r="AX6" s="50" t="s">
        <v>32</v>
      </c>
      <c r="AY6" s="49" t="s">
        <v>50</v>
      </c>
      <c r="AZ6" s="50" t="s">
        <v>32</v>
      </c>
      <c r="BA6" s="49" t="s">
        <v>50</v>
      </c>
      <c r="BB6" s="50" t="s">
        <v>32</v>
      </c>
      <c r="BC6" s="49" t="s">
        <v>50</v>
      </c>
      <c r="BD6" s="50" t="s">
        <v>32</v>
      </c>
      <c r="BE6" s="49" t="s">
        <v>50</v>
      </c>
      <c r="BF6" s="50" t="s">
        <v>32</v>
      </c>
      <c r="BG6" s="49" t="s">
        <v>50</v>
      </c>
      <c r="BH6" s="50" t="s">
        <v>32</v>
      </c>
      <c r="BI6" s="49" t="s">
        <v>50</v>
      </c>
      <c r="BJ6" s="50" t="s">
        <v>32</v>
      </c>
      <c r="BK6" s="49" t="s">
        <v>50</v>
      </c>
      <c r="BL6" s="50" t="s">
        <v>32</v>
      </c>
      <c r="BM6" s="49" t="s">
        <v>50</v>
      </c>
      <c r="BN6" s="50" t="s">
        <v>32</v>
      </c>
      <c r="BO6" s="49" t="s">
        <v>50</v>
      </c>
      <c r="BP6" s="50" t="s">
        <v>32</v>
      </c>
      <c r="BQ6" s="49" t="s">
        <v>50</v>
      </c>
      <c r="BR6" s="50" t="s">
        <v>32</v>
      </c>
      <c r="BS6" s="49" t="s">
        <v>50</v>
      </c>
      <c r="BT6" s="50" t="s">
        <v>32</v>
      </c>
      <c r="BU6" s="49" t="s">
        <v>50</v>
      </c>
      <c r="BV6" s="50" t="s">
        <v>32</v>
      </c>
      <c r="BW6" s="49" t="s">
        <v>50</v>
      </c>
      <c r="BX6" s="50" t="s">
        <v>32</v>
      </c>
      <c r="BY6" s="49" t="s">
        <v>50</v>
      </c>
      <c r="BZ6" s="50" t="s">
        <v>32</v>
      </c>
    </row>
    <row r="7" spans="1:78" ht="14.5" hidden="1">
      <c r="A7" s="51" t="s">
        <v>446</v>
      </c>
      <c r="B7" s="52" t="s">
        <v>447</v>
      </c>
      <c r="C7" s="52" t="s">
        <v>60</v>
      </c>
      <c r="D7" s="41">
        <f t="shared" ref="D7:D70" si="1">+WEEKNUM(K7)</f>
        <v>5</v>
      </c>
      <c r="E7" s="41"/>
      <c r="F7" s="41"/>
      <c r="G7" s="52" t="s">
        <v>187</v>
      </c>
      <c r="H7" s="52" t="s">
        <v>448</v>
      </c>
      <c r="I7" s="52" t="s">
        <v>164</v>
      </c>
      <c r="J7" s="52" t="s">
        <v>449</v>
      </c>
      <c r="K7" s="53">
        <v>45687</v>
      </c>
      <c r="L7" s="108">
        <v>9000</v>
      </c>
      <c r="M7" s="101">
        <v>9000</v>
      </c>
      <c r="N7" s="101">
        <v>3000</v>
      </c>
      <c r="O7" s="101">
        <f t="shared" ref="O7:O19" si="2">+L7-N7</f>
        <v>6000</v>
      </c>
      <c r="P7" s="54">
        <f t="shared" ref="P7:P19" si="3">+L7-M7</f>
        <v>0</v>
      </c>
      <c r="Q7" s="101" t="s">
        <v>439</v>
      </c>
      <c r="R7" s="101"/>
      <c r="S7" s="101"/>
      <c r="T7" s="102">
        <f t="shared" ref="T7:T70" si="4">L7/(V7*U7)</f>
        <v>1.3636363636363635</v>
      </c>
      <c r="U7" s="102">
        <v>6</v>
      </c>
      <c r="V7" s="99">
        <v>1100</v>
      </c>
      <c r="W7" s="55">
        <f>+K7-(28)</f>
        <v>45659</v>
      </c>
      <c r="X7" s="55">
        <v>45634</v>
      </c>
      <c r="Y7" s="56">
        <f t="shared" ref="Y7:Y70" ca="1" si="5">+IF(X7="",W7-TODAY(),W7-X7)</f>
        <v>25</v>
      </c>
      <c r="Z7" s="55">
        <f t="shared" ref="Z7:Z70" si="6">+W7+16</f>
        <v>45675</v>
      </c>
      <c r="AA7" s="55"/>
      <c r="AB7" s="56">
        <f t="shared" ref="AB7:AB70" ca="1" si="7">+IF(AA7="",Z7-TODAY(),Z7-AA7)</f>
        <v>-165</v>
      </c>
      <c r="AC7" s="55"/>
      <c r="AD7" s="57"/>
      <c r="AE7" s="58" t="str">
        <f t="shared" ref="AE7:AE70" si="8">+IF($AE$4=WEEKNUM(W7),L7,"-")</f>
        <v>-</v>
      </c>
      <c r="AF7" s="59"/>
      <c r="AG7" s="58" t="str">
        <f t="shared" ref="AG7:AG70" si="9">+IF($AG$4=WEEKNUM(W7),L7,"")</f>
        <v/>
      </c>
      <c r="AH7" s="59"/>
      <c r="AI7" s="58" t="str">
        <f t="shared" ref="AI7:AI70" si="10">+IF($AI$4=WEEKNUM(W7),L7,"")</f>
        <v/>
      </c>
      <c r="AJ7" s="59"/>
      <c r="AK7" s="58" t="str">
        <f t="shared" ref="AK7:AK70" si="11">+IF($AK$4=WEEKNUM(W7),L7,"")</f>
        <v/>
      </c>
      <c r="AL7" s="59"/>
      <c r="AM7" s="58" t="str">
        <f t="shared" ref="AM7:AM70" si="12">+IF($AM$4=WEEKNUM(W7),L7,"")</f>
        <v/>
      </c>
      <c r="AN7" s="59"/>
      <c r="AO7" s="58" t="str">
        <f t="shared" ref="AO7:AO70" si="13">+IF($AO$4=WEEKNUM(W7),L7,"")</f>
        <v/>
      </c>
      <c r="AP7" s="59"/>
      <c r="AQ7" s="58" t="str">
        <f t="shared" ref="AQ7:AQ70" si="14">+IF($AQ$4=WEEKNUM(W7),L7,"")</f>
        <v/>
      </c>
      <c r="AR7" s="59"/>
      <c r="AS7" s="58" t="str">
        <f t="shared" ref="AS7:AS70" si="15">+IF($AS$4=WEEKNUM(W7),L7,"")</f>
        <v/>
      </c>
      <c r="AT7" s="59"/>
      <c r="AU7" s="58" t="str">
        <f t="shared" ref="AU7:AU70" si="16">+IF($AU$4=WEEKNUM(W7),L7,"")</f>
        <v/>
      </c>
      <c r="AV7" s="59"/>
      <c r="AW7" s="58" t="str">
        <f t="shared" ref="AW7:AW70" si="17">+IF($AW$4=WEEKNUM(W7),L7,"")</f>
        <v/>
      </c>
      <c r="AX7" s="59"/>
      <c r="AY7" s="58" t="str">
        <f t="shared" ref="AY7:AY70" si="18">+IF($AY$4=WEEKNUM(W7),L7,"")</f>
        <v/>
      </c>
      <c r="AZ7" s="59"/>
      <c r="BA7" s="58" t="str">
        <f t="shared" ref="BA7:BA70" si="19">+IF($BA$4=WEEKNUM(W7),L7,"")</f>
        <v/>
      </c>
      <c r="BB7" s="59"/>
      <c r="BC7" s="58">
        <f t="shared" ref="BC7:BC70" si="20">+IF($BC$4=WEEKNUM(W7),L7,"")</f>
        <v>9000</v>
      </c>
      <c r="BD7" s="59"/>
      <c r="BE7" s="58" t="str">
        <f t="shared" ref="BE7:BE70" si="21">+IF($BE$4=WEEKNUM(W7),L7,"")</f>
        <v/>
      </c>
      <c r="BF7" s="59"/>
      <c r="BG7" s="58" t="str">
        <f t="shared" ref="BG7:BG70" si="22">+IF($BG$4=WEEKNUM(W7),L7,"")</f>
        <v/>
      </c>
      <c r="BH7" s="59"/>
      <c r="BI7" s="58" t="str">
        <f t="shared" ref="BI7:BI70" si="23">+IF($BI$4=WEEKNUM(W7),L7,"")</f>
        <v/>
      </c>
      <c r="BJ7" s="59"/>
      <c r="BK7" s="58" t="str">
        <f t="shared" ref="BK7:BK70" si="24">+IF($BK$4=WEEKNUM(W7),L7,"")</f>
        <v/>
      </c>
      <c r="BL7" s="59"/>
      <c r="BM7" s="58" t="str">
        <f t="shared" ref="BM7:BM70" si="25">+IF($BM$4=WEEKNUM(W7),L7,"")</f>
        <v/>
      </c>
      <c r="BN7" s="59"/>
      <c r="BO7" s="58" t="str">
        <f t="shared" ref="BO7:BO70" si="26">+IF($BO$4=WEEKNUM(W7),L7,"")</f>
        <v/>
      </c>
      <c r="BP7" s="59"/>
      <c r="BQ7" s="58" t="str">
        <f t="shared" ref="BQ7:BQ70" si="27">+IF($BQ$4=WEEKNUM(W7),L7,"")</f>
        <v/>
      </c>
      <c r="BR7" s="59"/>
      <c r="BS7" s="58" t="str">
        <f t="shared" ref="BS7:BS70" si="28">+IF($BS$4=WEEKNUM(W7),L7,"")</f>
        <v/>
      </c>
      <c r="BT7" s="59"/>
      <c r="BU7" s="58" t="str">
        <f t="shared" ref="BU7:BU70" si="29">+IF($BU$4=WEEKNUM(W7),L7,"")</f>
        <v/>
      </c>
      <c r="BV7" s="59"/>
      <c r="BW7" s="58" t="str">
        <f t="shared" ref="BW7:BW70" si="30">+IF($BW$4=WEEKNUM(W7),L7,"")</f>
        <v/>
      </c>
      <c r="BX7" s="59"/>
      <c r="BY7" s="58" t="str">
        <f t="shared" ref="BY7:BY70" si="31">+IF($BY$4=WEEKNUM(W7),L7,"")</f>
        <v/>
      </c>
      <c r="BZ7" s="59"/>
    </row>
    <row r="8" spans="1:78" ht="14.5" hidden="1">
      <c r="A8" s="51" t="s">
        <v>446</v>
      </c>
      <c r="B8" s="52" t="s">
        <v>447</v>
      </c>
      <c r="C8" s="52" t="s">
        <v>60</v>
      </c>
      <c r="D8" s="41">
        <f t="shared" si="1"/>
        <v>5</v>
      </c>
      <c r="E8" s="41"/>
      <c r="F8" s="41"/>
      <c r="G8" s="52" t="s">
        <v>187</v>
      </c>
      <c r="H8" s="52" t="s">
        <v>448</v>
      </c>
      <c r="I8" s="52" t="s">
        <v>155</v>
      </c>
      <c r="J8" s="52" t="s">
        <v>449</v>
      </c>
      <c r="K8" s="53">
        <v>45687</v>
      </c>
      <c r="L8" s="108">
        <v>9000</v>
      </c>
      <c r="M8" s="101">
        <v>9000</v>
      </c>
      <c r="N8" s="101">
        <v>2000</v>
      </c>
      <c r="O8" s="101">
        <f t="shared" si="2"/>
        <v>7000</v>
      </c>
      <c r="P8" s="54">
        <f t="shared" si="3"/>
        <v>0</v>
      </c>
      <c r="Q8" s="101" t="s">
        <v>504</v>
      </c>
      <c r="R8" s="101"/>
      <c r="S8" s="101"/>
      <c r="T8" s="102">
        <f t="shared" si="4"/>
        <v>1.3636363636363635</v>
      </c>
      <c r="U8" s="102">
        <v>6</v>
      </c>
      <c r="V8" s="99">
        <v>1100</v>
      </c>
      <c r="W8" s="55">
        <f>+K8-(28)</f>
        <v>45659</v>
      </c>
      <c r="X8" s="55">
        <v>45634</v>
      </c>
      <c r="Y8" s="56">
        <f t="shared" ca="1" si="5"/>
        <v>25</v>
      </c>
      <c r="Z8" s="55">
        <f t="shared" si="6"/>
        <v>45675</v>
      </c>
      <c r="AA8" s="55"/>
      <c r="AB8" s="56">
        <f t="shared" ca="1" si="7"/>
        <v>-165</v>
      </c>
      <c r="AC8" s="55"/>
      <c r="AD8" s="57"/>
      <c r="AE8" s="58" t="str">
        <f t="shared" si="8"/>
        <v>-</v>
      </c>
      <c r="AF8" s="59"/>
      <c r="AG8" s="58" t="str">
        <f t="shared" si="9"/>
        <v/>
      </c>
      <c r="AH8" s="59"/>
      <c r="AI8" s="58" t="str">
        <f t="shared" si="10"/>
        <v/>
      </c>
      <c r="AJ8" s="59"/>
      <c r="AK8" s="58" t="str">
        <f t="shared" si="11"/>
        <v/>
      </c>
      <c r="AL8" s="59"/>
      <c r="AM8" s="58" t="str">
        <f t="shared" si="12"/>
        <v/>
      </c>
      <c r="AN8" s="59"/>
      <c r="AO8" s="58" t="str">
        <f t="shared" si="13"/>
        <v/>
      </c>
      <c r="AP8" s="59"/>
      <c r="AQ8" s="58" t="str">
        <f t="shared" si="14"/>
        <v/>
      </c>
      <c r="AR8" s="59"/>
      <c r="AS8" s="58" t="str">
        <f t="shared" si="15"/>
        <v/>
      </c>
      <c r="AT8" s="59"/>
      <c r="AU8" s="58" t="str">
        <f t="shared" si="16"/>
        <v/>
      </c>
      <c r="AV8" s="59"/>
      <c r="AW8" s="58" t="str">
        <f t="shared" si="17"/>
        <v/>
      </c>
      <c r="AX8" s="59"/>
      <c r="AY8" s="58" t="str">
        <f t="shared" si="18"/>
        <v/>
      </c>
      <c r="AZ8" s="59"/>
      <c r="BA8" s="58" t="str">
        <f t="shared" si="19"/>
        <v/>
      </c>
      <c r="BB8" s="59"/>
      <c r="BC8" s="58">
        <f t="shared" si="20"/>
        <v>9000</v>
      </c>
      <c r="BD8" s="59"/>
      <c r="BE8" s="58" t="str">
        <f t="shared" si="21"/>
        <v/>
      </c>
      <c r="BF8" s="59"/>
      <c r="BG8" s="58" t="str">
        <f t="shared" si="22"/>
        <v/>
      </c>
      <c r="BH8" s="59"/>
      <c r="BI8" s="58" t="str">
        <f t="shared" si="23"/>
        <v/>
      </c>
      <c r="BJ8" s="59"/>
      <c r="BK8" s="58" t="str">
        <f t="shared" si="24"/>
        <v/>
      </c>
      <c r="BL8" s="59"/>
      <c r="BM8" s="58" t="str">
        <f t="shared" si="25"/>
        <v/>
      </c>
      <c r="BN8" s="59"/>
      <c r="BO8" s="58" t="str">
        <f t="shared" si="26"/>
        <v/>
      </c>
      <c r="BP8" s="59"/>
      <c r="BQ8" s="58" t="str">
        <f t="shared" si="27"/>
        <v/>
      </c>
      <c r="BR8" s="59"/>
      <c r="BS8" s="58" t="str">
        <f t="shared" si="28"/>
        <v/>
      </c>
      <c r="BT8" s="59"/>
      <c r="BU8" s="58" t="str">
        <f t="shared" si="29"/>
        <v/>
      </c>
      <c r="BV8" s="59"/>
      <c r="BW8" s="58" t="str">
        <f t="shared" si="30"/>
        <v/>
      </c>
      <c r="BX8" s="59"/>
      <c r="BY8" s="58" t="str">
        <f t="shared" si="31"/>
        <v/>
      </c>
      <c r="BZ8" s="59"/>
    </row>
    <row r="9" spans="1:78" ht="14.5" hidden="1">
      <c r="A9" s="51" t="s">
        <v>446</v>
      </c>
      <c r="B9" s="52" t="s">
        <v>447</v>
      </c>
      <c r="C9" s="52" t="s">
        <v>60</v>
      </c>
      <c r="D9" s="41">
        <f t="shared" si="1"/>
        <v>5</v>
      </c>
      <c r="E9" s="41"/>
      <c r="F9" s="41"/>
      <c r="G9" s="52" t="s">
        <v>187</v>
      </c>
      <c r="H9" s="52" t="s">
        <v>448</v>
      </c>
      <c r="I9" s="52" t="s">
        <v>450</v>
      </c>
      <c r="J9" s="52" t="s">
        <v>449</v>
      </c>
      <c r="K9" s="53">
        <v>45687</v>
      </c>
      <c r="L9" s="108">
        <v>6000</v>
      </c>
      <c r="M9" s="101">
        <v>6000</v>
      </c>
      <c r="N9" s="101"/>
      <c r="O9" s="101">
        <f t="shared" si="2"/>
        <v>6000</v>
      </c>
      <c r="P9" s="54">
        <f t="shared" si="3"/>
        <v>0</v>
      </c>
      <c r="Q9" s="101" t="s">
        <v>630</v>
      </c>
      <c r="R9" s="101"/>
      <c r="S9" s="101"/>
      <c r="T9" s="102">
        <f t="shared" si="4"/>
        <v>0.90909090909090906</v>
      </c>
      <c r="U9" s="102">
        <v>6</v>
      </c>
      <c r="V9" s="99">
        <v>1100</v>
      </c>
      <c r="W9" s="55">
        <f>+K9-(28)</f>
        <v>45659</v>
      </c>
      <c r="X9" s="55">
        <v>45634</v>
      </c>
      <c r="Y9" s="56">
        <f t="shared" ca="1" si="5"/>
        <v>25</v>
      </c>
      <c r="Z9" s="55">
        <f t="shared" si="6"/>
        <v>45675</v>
      </c>
      <c r="AA9" s="55"/>
      <c r="AB9" s="56">
        <f t="shared" ca="1" si="7"/>
        <v>-165</v>
      </c>
      <c r="AC9" s="55"/>
      <c r="AD9" s="57"/>
      <c r="AE9" s="58" t="str">
        <f t="shared" si="8"/>
        <v>-</v>
      </c>
      <c r="AF9" s="59"/>
      <c r="AG9" s="58" t="str">
        <f t="shared" si="9"/>
        <v/>
      </c>
      <c r="AH9" s="59"/>
      <c r="AI9" s="58" t="str">
        <f t="shared" si="10"/>
        <v/>
      </c>
      <c r="AJ9" s="59"/>
      <c r="AK9" s="58" t="str">
        <f t="shared" si="11"/>
        <v/>
      </c>
      <c r="AL9" s="59"/>
      <c r="AM9" s="58" t="str">
        <f t="shared" si="12"/>
        <v/>
      </c>
      <c r="AN9" s="59"/>
      <c r="AO9" s="58" t="str">
        <f t="shared" si="13"/>
        <v/>
      </c>
      <c r="AP9" s="59"/>
      <c r="AQ9" s="58" t="str">
        <f t="shared" si="14"/>
        <v/>
      </c>
      <c r="AR9" s="59"/>
      <c r="AS9" s="58" t="str">
        <f t="shared" si="15"/>
        <v/>
      </c>
      <c r="AT9" s="59"/>
      <c r="AU9" s="58" t="str">
        <f t="shared" si="16"/>
        <v/>
      </c>
      <c r="AV9" s="59"/>
      <c r="AW9" s="58" t="str">
        <f t="shared" si="17"/>
        <v/>
      </c>
      <c r="AX9" s="59"/>
      <c r="AY9" s="58" t="str">
        <f t="shared" si="18"/>
        <v/>
      </c>
      <c r="AZ9" s="59"/>
      <c r="BA9" s="58" t="str">
        <f t="shared" si="19"/>
        <v/>
      </c>
      <c r="BB9" s="59"/>
      <c r="BC9" s="58">
        <f t="shared" si="20"/>
        <v>6000</v>
      </c>
      <c r="BD9" s="59"/>
      <c r="BE9" s="58" t="str">
        <f t="shared" si="21"/>
        <v/>
      </c>
      <c r="BF9" s="59"/>
      <c r="BG9" s="58" t="str">
        <f t="shared" si="22"/>
        <v/>
      </c>
      <c r="BH9" s="59"/>
      <c r="BI9" s="58" t="str">
        <f t="shared" si="23"/>
        <v/>
      </c>
      <c r="BJ9" s="59"/>
      <c r="BK9" s="58" t="str">
        <f t="shared" si="24"/>
        <v/>
      </c>
      <c r="BL9" s="59"/>
      <c r="BM9" s="58" t="str">
        <f t="shared" si="25"/>
        <v/>
      </c>
      <c r="BN9" s="59"/>
      <c r="BO9" s="58" t="str">
        <f t="shared" si="26"/>
        <v/>
      </c>
      <c r="BP9" s="59"/>
      <c r="BQ9" s="58" t="str">
        <f t="shared" si="27"/>
        <v/>
      </c>
      <c r="BR9" s="59"/>
      <c r="BS9" s="58" t="str">
        <f t="shared" si="28"/>
        <v/>
      </c>
      <c r="BT9" s="59"/>
      <c r="BU9" s="58" t="str">
        <f t="shared" si="29"/>
        <v/>
      </c>
      <c r="BV9" s="59"/>
      <c r="BW9" s="58" t="str">
        <f t="shared" si="30"/>
        <v/>
      </c>
      <c r="BX9" s="59"/>
      <c r="BY9" s="58" t="str">
        <f t="shared" si="31"/>
        <v/>
      </c>
      <c r="BZ9" s="59"/>
    </row>
    <row r="10" spans="1:78" ht="14.5" hidden="1">
      <c r="A10" s="51" t="s">
        <v>58</v>
      </c>
      <c r="B10" s="52">
        <v>316</v>
      </c>
      <c r="C10" s="52" t="s">
        <v>188</v>
      </c>
      <c r="D10" s="41">
        <f t="shared" si="1"/>
        <v>2</v>
      </c>
      <c r="E10" s="41" t="s">
        <v>631</v>
      </c>
      <c r="F10" s="41" t="s">
        <v>631</v>
      </c>
      <c r="G10" s="52" t="s">
        <v>502</v>
      </c>
      <c r="H10" s="52" t="s">
        <v>289</v>
      </c>
      <c r="I10" s="52" t="s">
        <v>155</v>
      </c>
      <c r="J10" s="52" t="s">
        <v>503</v>
      </c>
      <c r="K10" s="53">
        <v>45668</v>
      </c>
      <c r="L10" s="108">
        <v>2304</v>
      </c>
      <c r="M10" s="101">
        <v>2304</v>
      </c>
      <c r="N10" s="101"/>
      <c r="O10" s="107">
        <f t="shared" si="2"/>
        <v>2304</v>
      </c>
      <c r="P10" s="54">
        <f t="shared" si="3"/>
        <v>0</v>
      </c>
      <c r="Q10" s="101" t="s">
        <v>505</v>
      </c>
      <c r="R10" s="166">
        <v>45665</v>
      </c>
      <c r="S10" s="101"/>
      <c r="T10" s="102">
        <f t="shared" si="4"/>
        <v>12</v>
      </c>
      <c r="U10" s="102">
        <v>6</v>
      </c>
      <c r="V10" s="99">
        <f>480/15</f>
        <v>32</v>
      </c>
      <c r="W10" s="55">
        <f>+K10-(20)</f>
        <v>45648</v>
      </c>
      <c r="X10" s="55"/>
      <c r="Y10" s="56">
        <f t="shared" ca="1" si="5"/>
        <v>-192</v>
      </c>
      <c r="Z10" s="55">
        <f t="shared" si="6"/>
        <v>45664</v>
      </c>
      <c r="AA10" s="55"/>
      <c r="AB10" s="56">
        <f t="shared" ca="1" si="7"/>
        <v>-176</v>
      </c>
      <c r="AC10" s="55"/>
      <c r="AD10" s="57"/>
      <c r="AE10" s="58" t="str">
        <f t="shared" si="8"/>
        <v>-</v>
      </c>
      <c r="AF10" s="59"/>
      <c r="AG10" s="58" t="str">
        <f t="shared" si="9"/>
        <v/>
      </c>
      <c r="AH10" s="59"/>
      <c r="AI10" s="58" t="str">
        <f t="shared" si="10"/>
        <v/>
      </c>
      <c r="AJ10" s="59"/>
      <c r="AK10" s="58" t="str">
        <f t="shared" si="11"/>
        <v/>
      </c>
      <c r="AL10" s="59"/>
      <c r="AM10" s="58" t="str">
        <f t="shared" si="12"/>
        <v/>
      </c>
      <c r="AN10" s="59"/>
      <c r="AO10" s="58" t="str">
        <f t="shared" si="13"/>
        <v/>
      </c>
      <c r="AP10" s="59"/>
      <c r="AQ10" s="58" t="str">
        <f t="shared" si="14"/>
        <v/>
      </c>
      <c r="AR10" s="59"/>
      <c r="AS10" s="58" t="str">
        <f t="shared" si="15"/>
        <v/>
      </c>
      <c r="AT10" s="59"/>
      <c r="AU10" s="58" t="str">
        <f t="shared" si="16"/>
        <v/>
      </c>
      <c r="AV10" s="59"/>
      <c r="AW10" s="58" t="str">
        <f t="shared" si="17"/>
        <v/>
      </c>
      <c r="AX10" s="59"/>
      <c r="AY10" s="58" t="str">
        <f t="shared" si="18"/>
        <v/>
      </c>
      <c r="AZ10" s="59"/>
      <c r="BA10" s="58">
        <f t="shared" si="19"/>
        <v>2304</v>
      </c>
      <c r="BB10" s="59"/>
      <c r="BC10" s="58" t="str">
        <f t="shared" si="20"/>
        <v/>
      </c>
      <c r="BD10" s="59"/>
      <c r="BE10" s="58" t="str">
        <f t="shared" si="21"/>
        <v/>
      </c>
      <c r="BF10" s="59"/>
      <c r="BG10" s="58" t="str">
        <f t="shared" si="22"/>
        <v/>
      </c>
      <c r="BH10" s="59"/>
      <c r="BI10" s="58" t="str">
        <f t="shared" si="23"/>
        <v/>
      </c>
      <c r="BJ10" s="59"/>
      <c r="BK10" s="58" t="str">
        <f t="shared" si="24"/>
        <v/>
      </c>
      <c r="BL10" s="59"/>
      <c r="BM10" s="58" t="str">
        <f t="shared" si="25"/>
        <v/>
      </c>
      <c r="BN10" s="59"/>
      <c r="BO10" s="58" t="str">
        <f t="shared" si="26"/>
        <v/>
      </c>
      <c r="BP10" s="59"/>
      <c r="BQ10" s="58" t="str">
        <f t="shared" si="27"/>
        <v/>
      </c>
      <c r="BR10" s="59"/>
      <c r="BS10" s="58" t="str">
        <f t="shared" si="28"/>
        <v/>
      </c>
      <c r="BT10" s="59"/>
      <c r="BU10" s="58" t="str">
        <f t="shared" si="29"/>
        <v/>
      </c>
      <c r="BV10" s="59"/>
      <c r="BW10" s="58" t="str">
        <f t="shared" si="30"/>
        <v/>
      </c>
      <c r="BX10" s="59"/>
      <c r="BY10" s="58" t="str">
        <f t="shared" si="31"/>
        <v/>
      </c>
      <c r="BZ10" s="59"/>
    </row>
    <row r="11" spans="1:78" ht="14.5" hidden="1">
      <c r="A11" s="51" t="s">
        <v>58</v>
      </c>
      <c r="B11" s="52">
        <v>316</v>
      </c>
      <c r="C11" s="52" t="s">
        <v>188</v>
      </c>
      <c r="D11" s="41">
        <f t="shared" si="1"/>
        <v>2</v>
      </c>
      <c r="E11" s="41" t="s">
        <v>631</v>
      </c>
      <c r="F11" s="41" t="s">
        <v>631</v>
      </c>
      <c r="G11" s="52" t="s">
        <v>502</v>
      </c>
      <c r="H11" s="52" t="s">
        <v>289</v>
      </c>
      <c r="I11" s="52" t="s">
        <v>154</v>
      </c>
      <c r="J11" s="52" t="s">
        <v>503</v>
      </c>
      <c r="K11" s="53">
        <v>45668</v>
      </c>
      <c r="L11" s="108">
        <v>1920</v>
      </c>
      <c r="M11" s="101">
        <v>1920</v>
      </c>
      <c r="N11" s="101">
        <v>1920</v>
      </c>
      <c r="O11" s="107">
        <f t="shared" si="2"/>
        <v>0</v>
      </c>
      <c r="P11" s="54">
        <f t="shared" si="3"/>
        <v>0</v>
      </c>
      <c r="Q11" s="101" t="s">
        <v>505</v>
      </c>
      <c r="R11" s="166">
        <v>45665</v>
      </c>
      <c r="S11" s="101"/>
      <c r="T11" s="102">
        <f t="shared" si="4"/>
        <v>10</v>
      </c>
      <c r="U11" s="102">
        <v>6</v>
      </c>
      <c r="V11" s="99">
        <f>480/15</f>
        <v>32</v>
      </c>
      <c r="W11" s="55">
        <f>+K11-(20)</f>
        <v>45648</v>
      </c>
      <c r="X11" s="55"/>
      <c r="Y11" s="56">
        <f t="shared" ca="1" si="5"/>
        <v>-192</v>
      </c>
      <c r="Z11" s="55">
        <f t="shared" si="6"/>
        <v>45664</v>
      </c>
      <c r="AA11" s="55"/>
      <c r="AB11" s="56">
        <f t="shared" ca="1" si="7"/>
        <v>-176</v>
      </c>
      <c r="AC11" s="55"/>
      <c r="AD11" s="57"/>
      <c r="AE11" s="58" t="str">
        <f t="shared" si="8"/>
        <v>-</v>
      </c>
      <c r="AF11" s="59"/>
      <c r="AG11" s="58" t="str">
        <f t="shared" si="9"/>
        <v/>
      </c>
      <c r="AH11" s="59"/>
      <c r="AI11" s="58" t="str">
        <f t="shared" si="10"/>
        <v/>
      </c>
      <c r="AJ11" s="59"/>
      <c r="AK11" s="58" t="str">
        <f t="shared" si="11"/>
        <v/>
      </c>
      <c r="AL11" s="59"/>
      <c r="AM11" s="58" t="str">
        <f t="shared" si="12"/>
        <v/>
      </c>
      <c r="AN11" s="59"/>
      <c r="AO11" s="58" t="str">
        <f t="shared" si="13"/>
        <v/>
      </c>
      <c r="AP11" s="59"/>
      <c r="AQ11" s="58" t="str">
        <f t="shared" si="14"/>
        <v/>
      </c>
      <c r="AR11" s="59"/>
      <c r="AS11" s="58" t="str">
        <f t="shared" si="15"/>
        <v/>
      </c>
      <c r="AT11" s="59"/>
      <c r="AU11" s="58" t="str">
        <f t="shared" si="16"/>
        <v/>
      </c>
      <c r="AV11" s="59"/>
      <c r="AW11" s="58" t="str">
        <f t="shared" si="17"/>
        <v/>
      </c>
      <c r="AX11" s="59"/>
      <c r="AY11" s="58" t="str">
        <f t="shared" si="18"/>
        <v/>
      </c>
      <c r="AZ11" s="59"/>
      <c r="BA11" s="58">
        <f t="shared" si="19"/>
        <v>1920</v>
      </c>
      <c r="BB11" s="59"/>
      <c r="BC11" s="58" t="str">
        <f t="shared" si="20"/>
        <v/>
      </c>
      <c r="BD11" s="59"/>
      <c r="BE11" s="58" t="str">
        <f t="shared" si="21"/>
        <v/>
      </c>
      <c r="BF11" s="59"/>
      <c r="BG11" s="58" t="str">
        <f t="shared" si="22"/>
        <v/>
      </c>
      <c r="BH11" s="59"/>
      <c r="BI11" s="58" t="str">
        <f t="shared" si="23"/>
        <v/>
      </c>
      <c r="BJ11" s="59"/>
      <c r="BK11" s="58" t="str">
        <f t="shared" si="24"/>
        <v/>
      </c>
      <c r="BL11" s="59"/>
      <c r="BM11" s="58" t="str">
        <f t="shared" si="25"/>
        <v/>
      </c>
      <c r="BN11" s="59"/>
      <c r="BO11" s="58" t="str">
        <f t="shared" si="26"/>
        <v/>
      </c>
      <c r="BP11" s="59"/>
      <c r="BQ11" s="58" t="str">
        <f t="shared" si="27"/>
        <v/>
      </c>
      <c r="BR11" s="59"/>
      <c r="BS11" s="58" t="str">
        <f t="shared" si="28"/>
        <v/>
      </c>
      <c r="BT11" s="59"/>
      <c r="BU11" s="58" t="str">
        <f t="shared" si="29"/>
        <v/>
      </c>
      <c r="BV11" s="59"/>
      <c r="BW11" s="58" t="str">
        <f t="shared" si="30"/>
        <v/>
      </c>
      <c r="BX11" s="59"/>
      <c r="BY11" s="58" t="str">
        <f t="shared" si="31"/>
        <v/>
      </c>
      <c r="BZ11" s="59"/>
    </row>
    <row r="12" spans="1:78" ht="14.5" hidden="1">
      <c r="A12" s="51" t="s">
        <v>58</v>
      </c>
      <c r="B12" s="52">
        <v>316</v>
      </c>
      <c r="C12" s="52" t="s">
        <v>188</v>
      </c>
      <c r="D12" s="41">
        <f t="shared" si="1"/>
        <v>2</v>
      </c>
      <c r="E12" s="41" t="s">
        <v>631</v>
      </c>
      <c r="F12" s="41" t="s">
        <v>631</v>
      </c>
      <c r="G12" s="52" t="s">
        <v>502</v>
      </c>
      <c r="H12" s="52" t="s">
        <v>289</v>
      </c>
      <c r="I12" s="52" t="s">
        <v>156</v>
      </c>
      <c r="J12" s="52" t="s">
        <v>503</v>
      </c>
      <c r="K12" s="53">
        <v>45668</v>
      </c>
      <c r="L12" s="108">
        <v>1536</v>
      </c>
      <c r="M12" s="101">
        <v>1536</v>
      </c>
      <c r="N12" s="101">
        <v>1536</v>
      </c>
      <c r="O12" s="107">
        <f t="shared" si="2"/>
        <v>0</v>
      </c>
      <c r="P12" s="54">
        <f t="shared" si="3"/>
        <v>0</v>
      </c>
      <c r="Q12" s="101" t="s">
        <v>505</v>
      </c>
      <c r="R12" s="166">
        <v>45665</v>
      </c>
      <c r="S12" s="101"/>
      <c r="T12" s="102">
        <f t="shared" si="4"/>
        <v>8</v>
      </c>
      <c r="U12" s="102">
        <v>6</v>
      </c>
      <c r="V12" s="99">
        <f>480/15</f>
        <v>32</v>
      </c>
      <c r="W12" s="55">
        <f>+K12-(20)</f>
        <v>45648</v>
      </c>
      <c r="X12" s="55"/>
      <c r="Y12" s="56">
        <f t="shared" ca="1" si="5"/>
        <v>-192</v>
      </c>
      <c r="Z12" s="55">
        <f t="shared" si="6"/>
        <v>45664</v>
      </c>
      <c r="AA12" s="55"/>
      <c r="AB12" s="56">
        <f t="shared" ca="1" si="7"/>
        <v>-176</v>
      </c>
      <c r="AC12" s="55"/>
      <c r="AD12" s="57"/>
      <c r="AE12" s="58" t="str">
        <f t="shared" si="8"/>
        <v>-</v>
      </c>
      <c r="AF12" s="59"/>
      <c r="AG12" s="58" t="str">
        <f t="shared" si="9"/>
        <v/>
      </c>
      <c r="AH12" s="59"/>
      <c r="AI12" s="58" t="str">
        <f t="shared" si="10"/>
        <v/>
      </c>
      <c r="AJ12" s="59"/>
      <c r="AK12" s="58" t="str">
        <f t="shared" si="11"/>
        <v/>
      </c>
      <c r="AL12" s="59"/>
      <c r="AM12" s="58" t="str">
        <f t="shared" si="12"/>
        <v/>
      </c>
      <c r="AN12" s="59"/>
      <c r="AO12" s="58" t="str">
        <f t="shared" si="13"/>
        <v/>
      </c>
      <c r="AP12" s="59"/>
      <c r="AQ12" s="58" t="str">
        <f t="shared" si="14"/>
        <v/>
      </c>
      <c r="AR12" s="59"/>
      <c r="AS12" s="58" t="str">
        <f t="shared" si="15"/>
        <v/>
      </c>
      <c r="AT12" s="59"/>
      <c r="AU12" s="58" t="str">
        <f t="shared" si="16"/>
        <v/>
      </c>
      <c r="AV12" s="59"/>
      <c r="AW12" s="58" t="str">
        <f t="shared" si="17"/>
        <v/>
      </c>
      <c r="AX12" s="59"/>
      <c r="AY12" s="58" t="str">
        <f t="shared" si="18"/>
        <v/>
      </c>
      <c r="AZ12" s="59"/>
      <c r="BA12" s="58">
        <f t="shared" si="19"/>
        <v>1536</v>
      </c>
      <c r="BB12" s="59"/>
      <c r="BC12" s="58" t="str">
        <f t="shared" si="20"/>
        <v/>
      </c>
      <c r="BD12" s="59"/>
      <c r="BE12" s="58" t="str">
        <f t="shared" si="21"/>
        <v/>
      </c>
      <c r="BF12" s="59"/>
      <c r="BG12" s="58" t="str">
        <f t="shared" si="22"/>
        <v/>
      </c>
      <c r="BH12" s="59"/>
      <c r="BI12" s="58" t="str">
        <f t="shared" si="23"/>
        <v/>
      </c>
      <c r="BJ12" s="59"/>
      <c r="BK12" s="58" t="str">
        <f t="shared" si="24"/>
        <v/>
      </c>
      <c r="BL12" s="59"/>
      <c r="BM12" s="58" t="str">
        <f t="shared" si="25"/>
        <v/>
      </c>
      <c r="BN12" s="59"/>
      <c r="BO12" s="58" t="str">
        <f t="shared" si="26"/>
        <v/>
      </c>
      <c r="BP12" s="59"/>
      <c r="BQ12" s="58" t="str">
        <f t="shared" si="27"/>
        <v/>
      </c>
      <c r="BR12" s="59"/>
      <c r="BS12" s="58" t="str">
        <f t="shared" si="28"/>
        <v/>
      </c>
      <c r="BT12" s="59"/>
      <c r="BU12" s="58" t="str">
        <f t="shared" si="29"/>
        <v/>
      </c>
      <c r="BV12" s="59"/>
      <c r="BW12" s="58" t="str">
        <f t="shared" si="30"/>
        <v/>
      </c>
      <c r="BX12" s="59"/>
      <c r="BY12" s="58" t="str">
        <f t="shared" si="31"/>
        <v/>
      </c>
      <c r="BZ12" s="59"/>
    </row>
    <row r="13" spans="1:78" ht="14.5" hidden="1">
      <c r="A13" s="51" t="s">
        <v>58</v>
      </c>
      <c r="B13" s="52">
        <v>316</v>
      </c>
      <c r="C13" s="52" t="s">
        <v>188</v>
      </c>
      <c r="D13" s="41">
        <f t="shared" si="1"/>
        <v>2</v>
      </c>
      <c r="E13" s="41" t="s">
        <v>631</v>
      </c>
      <c r="F13" s="41" t="s">
        <v>631</v>
      </c>
      <c r="G13" s="52" t="s">
        <v>157</v>
      </c>
      <c r="H13" s="52" t="s">
        <v>243</v>
      </c>
      <c r="I13" s="52" t="s">
        <v>162</v>
      </c>
      <c r="J13" s="52" t="s">
        <v>428</v>
      </c>
      <c r="K13" s="53">
        <v>45668</v>
      </c>
      <c r="L13" s="108">
        <v>3708</v>
      </c>
      <c r="M13" s="101">
        <v>3708</v>
      </c>
      <c r="N13" s="101">
        <v>3708</v>
      </c>
      <c r="O13" s="107">
        <f t="shared" si="2"/>
        <v>0</v>
      </c>
      <c r="P13" s="54">
        <f t="shared" si="3"/>
        <v>0</v>
      </c>
      <c r="Q13" s="101" t="s">
        <v>429</v>
      </c>
      <c r="R13" s="101" t="s">
        <v>632</v>
      </c>
      <c r="S13" s="101" t="s">
        <v>633</v>
      </c>
      <c r="T13" s="102">
        <f t="shared" si="4"/>
        <v>0.61799999999999999</v>
      </c>
      <c r="U13" s="102">
        <v>6</v>
      </c>
      <c r="V13" s="99">
        <v>1000</v>
      </c>
      <c r="W13" s="55">
        <f>+K13-(20)</f>
        <v>45648</v>
      </c>
      <c r="X13" s="55">
        <v>45606</v>
      </c>
      <c r="Y13" s="56">
        <f t="shared" ca="1" si="5"/>
        <v>42</v>
      </c>
      <c r="Z13" s="55">
        <f t="shared" si="6"/>
        <v>45664</v>
      </c>
      <c r="AA13" s="55"/>
      <c r="AB13" s="56">
        <f t="shared" ca="1" si="7"/>
        <v>-176</v>
      </c>
      <c r="AC13" s="55"/>
      <c r="AD13" s="57"/>
      <c r="AE13" s="58" t="str">
        <f t="shared" si="8"/>
        <v>-</v>
      </c>
      <c r="AF13" s="59"/>
      <c r="AG13" s="58" t="str">
        <f t="shared" si="9"/>
        <v/>
      </c>
      <c r="AH13" s="59"/>
      <c r="AI13" s="58" t="str">
        <f t="shared" si="10"/>
        <v/>
      </c>
      <c r="AJ13" s="59"/>
      <c r="AK13" s="58" t="str">
        <f t="shared" si="11"/>
        <v/>
      </c>
      <c r="AL13" s="59"/>
      <c r="AM13" s="58" t="str">
        <f t="shared" si="12"/>
        <v/>
      </c>
      <c r="AN13" s="59"/>
      <c r="AO13" s="58" t="str">
        <f t="shared" si="13"/>
        <v/>
      </c>
      <c r="AP13" s="59"/>
      <c r="AQ13" s="58" t="str">
        <f t="shared" si="14"/>
        <v/>
      </c>
      <c r="AR13" s="59"/>
      <c r="AS13" s="58" t="str">
        <f t="shared" si="15"/>
        <v/>
      </c>
      <c r="AT13" s="59"/>
      <c r="AU13" s="58" t="str">
        <f t="shared" si="16"/>
        <v/>
      </c>
      <c r="AV13" s="59"/>
      <c r="AW13" s="58" t="str">
        <f t="shared" si="17"/>
        <v/>
      </c>
      <c r="AX13" s="59"/>
      <c r="AY13" s="58" t="str">
        <f t="shared" si="18"/>
        <v/>
      </c>
      <c r="AZ13" s="59"/>
      <c r="BA13" s="58">
        <f t="shared" si="19"/>
        <v>3708</v>
      </c>
      <c r="BB13" s="59"/>
      <c r="BC13" s="58" t="str">
        <f t="shared" si="20"/>
        <v/>
      </c>
      <c r="BD13" s="59"/>
      <c r="BE13" s="58" t="str">
        <f t="shared" si="21"/>
        <v/>
      </c>
      <c r="BF13" s="59"/>
      <c r="BG13" s="58" t="str">
        <f t="shared" si="22"/>
        <v/>
      </c>
      <c r="BH13" s="59"/>
      <c r="BI13" s="58" t="str">
        <f t="shared" si="23"/>
        <v/>
      </c>
      <c r="BJ13" s="59"/>
      <c r="BK13" s="58" t="str">
        <f t="shared" si="24"/>
        <v/>
      </c>
      <c r="BL13" s="59"/>
      <c r="BM13" s="58" t="str">
        <f t="shared" si="25"/>
        <v/>
      </c>
      <c r="BN13" s="59"/>
      <c r="BO13" s="58" t="str">
        <f t="shared" si="26"/>
        <v/>
      </c>
      <c r="BP13" s="59"/>
      <c r="BQ13" s="58" t="str">
        <f t="shared" si="27"/>
        <v/>
      </c>
      <c r="BR13" s="59"/>
      <c r="BS13" s="58" t="str">
        <f t="shared" si="28"/>
        <v/>
      </c>
      <c r="BT13" s="59"/>
      <c r="BU13" s="58" t="str">
        <f t="shared" si="29"/>
        <v/>
      </c>
      <c r="BV13" s="59"/>
      <c r="BW13" s="58" t="str">
        <f t="shared" si="30"/>
        <v/>
      </c>
      <c r="BX13" s="59"/>
      <c r="BY13" s="58" t="str">
        <f t="shared" si="31"/>
        <v/>
      </c>
      <c r="BZ13" s="59"/>
    </row>
    <row r="14" spans="1:78" ht="14.5" hidden="1">
      <c r="A14" s="51" t="s">
        <v>58</v>
      </c>
      <c r="B14" s="52">
        <v>316</v>
      </c>
      <c r="C14" s="52" t="s">
        <v>188</v>
      </c>
      <c r="D14" s="41">
        <f t="shared" si="1"/>
        <v>2</v>
      </c>
      <c r="E14" s="41" t="s">
        <v>631</v>
      </c>
      <c r="F14" s="41" t="s">
        <v>631</v>
      </c>
      <c r="G14" s="52" t="s">
        <v>157</v>
      </c>
      <c r="H14" s="52" t="s">
        <v>243</v>
      </c>
      <c r="I14" s="52" t="s">
        <v>155</v>
      </c>
      <c r="J14" s="52" t="s">
        <v>428</v>
      </c>
      <c r="K14" s="53">
        <v>45668</v>
      </c>
      <c r="L14" s="108">
        <v>3732</v>
      </c>
      <c r="M14" s="101">
        <v>3732</v>
      </c>
      <c r="N14" s="101">
        <v>3732</v>
      </c>
      <c r="O14" s="107">
        <f t="shared" si="2"/>
        <v>0</v>
      </c>
      <c r="P14" s="54">
        <f t="shared" si="3"/>
        <v>0</v>
      </c>
      <c r="Q14" s="101" t="s">
        <v>429</v>
      </c>
      <c r="R14" s="101" t="s">
        <v>632</v>
      </c>
      <c r="S14" s="101" t="s">
        <v>634</v>
      </c>
      <c r="T14" s="102">
        <f t="shared" si="4"/>
        <v>0.622</v>
      </c>
      <c r="U14" s="102">
        <v>6</v>
      </c>
      <c r="V14" s="99">
        <v>1000</v>
      </c>
      <c r="W14" s="55">
        <f>+K14-(20)</f>
        <v>45648</v>
      </c>
      <c r="X14" s="55">
        <v>45606</v>
      </c>
      <c r="Y14" s="56">
        <f t="shared" ca="1" si="5"/>
        <v>42</v>
      </c>
      <c r="Z14" s="55">
        <f t="shared" si="6"/>
        <v>45664</v>
      </c>
      <c r="AA14" s="55"/>
      <c r="AB14" s="56">
        <f t="shared" ca="1" si="7"/>
        <v>-176</v>
      </c>
      <c r="AC14" s="55"/>
      <c r="AD14" s="57"/>
      <c r="AE14" s="58" t="str">
        <f t="shared" si="8"/>
        <v>-</v>
      </c>
      <c r="AF14" s="59"/>
      <c r="AG14" s="58" t="str">
        <f t="shared" si="9"/>
        <v/>
      </c>
      <c r="AH14" s="59"/>
      <c r="AI14" s="58" t="str">
        <f t="shared" si="10"/>
        <v/>
      </c>
      <c r="AJ14" s="59"/>
      <c r="AK14" s="58" t="str">
        <f t="shared" si="11"/>
        <v/>
      </c>
      <c r="AL14" s="59"/>
      <c r="AM14" s="58" t="str">
        <f t="shared" si="12"/>
        <v/>
      </c>
      <c r="AN14" s="59"/>
      <c r="AO14" s="58" t="str">
        <f t="shared" si="13"/>
        <v/>
      </c>
      <c r="AP14" s="59"/>
      <c r="AQ14" s="58" t="str">
        <f t="shared" si="14"/>
        <v/>
      </c>
      <c r="AR14" s="59"/>
      <c r="AS14" s="58" t="str">
        <f t="shared" si="15"/>
        <v/>
      </c>
      <c r="AT14" s="59"/>
      <c r="AU14" s="58" t="str">
        <f t="shared" si="16"/>
        <v/>
      </c>
      <c r="AV14" s="59"/>
      <c r="AW14" s="58" t="str">
        <f t="shared" si="17"/>
        <v/>
      </c>
      <c r="AX14" s="59"/>
      <c r="AY14" s="58" t="str">
        <f t="shared" si="18"/>
        <v/>
      </c>
      <c r="AZ14" s="59"/>
      <c r="BA14" s="58">
        <f t="shared" si="19"/>
        <v>3732</v>
      </c>
      <c r="BB14" s="59"/>
      <c r="BC14" s="58" t="str">
        <f t="shared" si="20"/>
        <v/>
      </c>
      <c r="BD14" s="59"/>
      <c r="BE14" s="58" t="str">
        <f t="shared" si="21"/>
        <v/>
      </c>
      <c r="BF14" s="59"/>
      <c r="BG14" s="58" t="str">
        <f t="shared" si="22"/>
        <v/>
      </c>
      <c r="BH14" s="59"/>
      <c r="BI14" s="58" t="str">
        <f t="shared" si="23"/>
        <v/>
      </c>
      <c r="BJ14" s="59"/>
      <c r="BK14" s="58" t="str">
        <f t="shared" si="24"/>
        <v/>
      </c>
      <c r="BL14" s="59"/>
      <c r="BM14" s="58" t="str">
        <f t="shared" si="25"/>
        <v/>
      </c>
      <c r="BN14" s="59"/>
      <c r="BO14" s="58" t="str">
        <f t="shared" si="26"/>
        <v/>
      </c>
      <c r="BP14" s="59"/>
      <c r="BQ14" s="58" t="str">
        <f t="shared" si="27"/>
        <v/>
      </c>
      <c r="BR14" s="59"/>
      <c r="BS14" s="58" t="str">
        <f t="shared" si="28"/>
        <v/>
      </c>
      <c r="BT14" s="59"/>
      <c r="BU14" s="58" t="str">
        <f t="shared" si="29"/>
        <v/>
      </c>
      <c r="BV14" s="59"/>
      <c r="BW14" s="58" t="str">
        <f t="shared" si="30"/>
        <v/>
      </c>
      <c r="BX14" s="59"/>
      <c r="BY14" s="58" t="str">
        <f t="shared" si="31"/>
        <v/>
      </c>
      <c r="BZ14" s="59"/>
    </row>
    <row r="15" spans="1:78" ht="14.5" hidden="1">
      <c r="A15" s="51" t="s">
        <v>446</v>
      </c>
      <c r="B15" s="52" t="s">
        <v>635</v>
      </c>
      <c r="C15" s="52" t="s">
        <v>74</v>
      </c>
      <c r="D15" s="41">
        <f t="shared" si="1"/>
        <v>1</v>
      </c>
      <c r="E15" s="41"/>
      <c r="F15" s="41"/>
      <c r="G15" s="52" t="s">
        <v>298</v>
      </c>
      <c r="H15" s="52" t="s">
        <v>256</v>
      </c>
      <c r="I15" s="52" t="s">
        <v>155</v>
      </c>
      <c r="J15" s="52" t="s">
        <v>456</v>
      </c>
      <c r="K15" s="53">
        <v>45661</v>
      </c>
      <c r="L15" s="108">
        <v>2862</v>
      </c>
      <c r="M15" s="101">
        <v>2556</v>
      </c>
      <c r="N15" s="101"/>
      <c r="O15" s="101">
        <f t="shared" si="2"/>
        <v>2862</v>
      </c>
      <c r="P15" s="54">
        <f t="shared" si="3"/>
        <v>306</v>
      </c>
      <c r="Q15" s="101" t="s">
        <v>431</v>
      </c>
      <c r="R15" s="166">
        <v>45666</v>
      </c>
      <c r="S15" s="101"/>
      <c r="T15" s="102">
        <f t="shared" si="4"/>
        <v>1.3628571428571428</v>
      </c>
      <c r="U15" s="102">
        <v>6</v>
      </c>
      <c r="V15" s="99">
        <v>350</v>
      </c>
      <c r="W15" s="55">
        <f>+K15-(32)</f>
        <v>45629</v>
      </c>
      <c r="X15" s="55"/>
      <c r="Y15" s="56">
        <f t="shared" ca="1" si="5"/>
        <v>-211</v>
      </c>
      <c r="Z15" s="55">
        <f t="shared" si="6"/>
        <v>45645</v>
      </c>
      <c r="AA15" s="55"/>
      <c r="AB15" s="56">
        <f t="shared" ca="1" si="7"/>
        <v>-195</v>
      </c>
      <c r="AC15" s="55"/>
      <c r="AD15" s="57"/>
      <c r="AE15" s="58" t="str">
        <f t="shared" si="8"/>
        <v>-</v>
      </c>
      <c r="AF15" s="59"/>
      <c r="AG15" s="58" t="str">
        <f t="shared" si="9"/>
        <v/>
      </c>
      <c r="AH15" s="59"/>
      <c r="AI15" s="58" t="str">
        <f t="shared" si="10"/>
        <v/>
      </c>
      <c r="AJ15" s="59"/>
      <c r="AK15" s="58" t="str">
        <f t="shared" si="11"/>
        <v/>
      </c>
      <c r="AL15" s="59"/>
      <c r="AM15" s="58" t="str">
        <f t="shared" si="12"/>
        <v/>
      </c>
      <c r="AN15" s="59"/>
      <c r="AO15" s="58" t="str">
        <f t="shared" si="13"/>
        <v/>
      </c>
      <c r="AP15" s="59"/>
      <c r="AQ15" s="58" t="str">
        <f t="shared" si="14"/>
        <v/>
      </c>
      <c r="AR15" s="59"/>
      <c r="AS15" s="58" t="str">
        <f t="shared" si="15"/>
        <v/>
      </c>
      <c r="AT15" s="59"/>
      <c r="AU15" s="58">
        <f t="shared" si="16"/>
        <v>2862</v>
      </c>
      <c r="AV15" s="59"/>
      <c r="AW15" s="58" t="str">
        <f t="shared" si="17"/>
        <v/>
      </c>
      <c r="AX15" s="59"/>
      <c r="AY15" s="58" t="str">
        <f t="shared" si="18"/>
        <v/>
      </c>
      <c r="AZ15" s="59"/>
      <c r="BA15" s="58" t="str">
        <f t="shared" si="19"/>
        <v/>
      </c>
      <c r="BB15" s="59"/>
      <c r="BC15" s="58" t="str">
        <f t="shared" si="20"/>
        <v/>
      </c>
      <c r="BD15" s="59"/>
      <c r="BE15" s="58" t="str">
        <f t="shared" si="21"/>
        <v/>
      </c>
      <c r="BF15" s="59"/>
      <c r="BG15" s="58" t="str">
        <f t="shared" si="22"/>
        <v/>
      </c>
      <c r="BH15" s="59"/>
      <c r="BI15" s="58" t="str">
        <f t="shared" si="23"/>
        <v/>
      </c>
      <c r="BJ15" s="59"/>
      <c r="BK15" s="58" t="str">
        <f t="shared" si="24"/>
        <v/>
      </c>
      <c r="BL15" s="59"/>
      <c r="BM15" s="58" t="str">
        <f t="shared" si="25"/>
        <v/>
      </c>
      <c r="BN15" s="59"/>
      <c r="BO15" s="58" t="str">
        <f t="shared" si="26"/>
        <v/>
      </c>
      <c r="BP15" s="59"/>
      <c r="BQ15" s="58" t="str">
        <f t="shared" si="27"/>
        <v/>
      </c>
      <c r="BR15" s="59"/>
      <c r="BS15" s="58" t="str">
        <f t="shared" si="28"/>
        <v/>
      </c>
      <c r="BT15" s="59"/>
      <c r="BU15" s="58" t="str">
        <f t="shared" si="29"/>
        <v/>
      </c>
      <c r="BV15" s="59"/>
      <c r="BW15" s="58" t="str">
        <f t="shared" si="30"/>
        <v/>
      </c>
      <c r="BX15" s="59"/>
      <c r="BY15" s="58" t="str">
        <f t="shared" si="31"/>
        <v/>
      </c>
      <c r="BZ15" s="59"/>
    </row>
    <row r="16" spans="1:78" ht="14.5" hidden="1">
      <c r="A16" s="51" t="s">
        <v>446</v>
      </c>
      <c r="B16" s="52" t="s">
        <v>635</v>
      </c>
      <c r="C16" s="52" t="s">
        <v>74</v>
      </c>
      <c r="D16" s="41">
        <f t="shared" si="1"/>
        <v>1</v>
      </c>
      <c r="E16" s="41"/>
      <c r="F16" s="41"/>
      <c r="G16" s="52" t="s">
        <v>298</v>
      </c>
      <c r="H16" s="52" t="s">
        <v>58</v>
      </c>
      <c r="I16" s="52" t="s">
        <v>155</v>
      </c>
      <c r="J16" s="52" t="s">
        <v>457</v>
      </c>
      <c r="K16" s="53">
        <v>45661</v>
      </c>
      <c r="L16" s="108">
        <v>102</v>
      </c>
      <c r="M16" s="101">
        <v>260</v>
      </c>
      <c r="N16" s="101"/>
      <c r="O16" s="101">
        <f t="shared" si="2"/>
        <v>102</v>
      </c>
      <c r="P16" s="54">
        <f t="shared" si="3"/>
        <v>-158</v>
      </c>
      <c r="Q16" s="101" t="s">
        <v>431</v>
      </c>
      <c r="R16" s="166">
        <v>45666</v>
      </c>
      <c r="S16" s="101"/>
      <c r="T16" s="102">
        <f t="shared" si="4"/>
        <v>0.21249999999999999</v>
      </c>
      <c r="U16" s="102">
        <v>6</v>
      </c>
      <c r="V16" s="99">
        <v>80</v>
      </c>
      <c r="W16" s="55">
        <f>+K16-(32)</f>
        <v>45629</v>
      </c>
      <c r="X16" s="55"/>
      <c r="Y16" s="56">
        <f t="shared" ca="1" si="5"/>
        <v>-211</v>
      </c>
      <c r="Z16" s="55">
        <f t="shared" si="6"/>
        <v>45645</v>
      </c>
      <c r="AA16" s="55"/>
      <c r="AB16" s="56">
        <f t="shared" ca="1" si="7"/>
        <v>-195</v>
      </c>
      <c r="AC16" s="55"/>
      <c r="AD16" s="57"/>
      <c r="AE16" s="58" t="str">
        <f t="shared" si="8"/>
        <v>-</v>
      </c>
      <c r="AF16" s="59"/>
      <c r="AG16" s="58" t="str">
        <f t="shared" si="9"/>
        <v/>
      </c>
      <c r="AH16" s="59"/>
      <c r="AI16" s="58" t="str">
        <f t="shared" si="10"/>
        <v/>
      </c>
      <c r="AJ16" s="59"/>
      <c r="AK16" s="58" t="str">
        <f t="shared" si="11"/>
        <v/>
      </c>
      <c r="AL16" s="59"/>
      <c r="AM16" s="58" t="str">
        <f t="shared" si="12"/>
        <v/>
      </c>
      <c r="AN16" s="59"/>
      <c r="AO16" s="58" t="str">
        <f t="shared" si="13"/>
        <v/>
      </c>
      <c r="AP16" s="59"/>
      <c r="AQ16" s="58" t="str">
        <f t="shared" si="14"/>
        <v/>
      </c>
      <c r="AR16" s="59"/>
      <c r="AS16" s="58" t="str">
        <f t="shared" si="15"/>
        <v/>
      </c>
      <c r="AT16" s="59"/>
      <c r="AU16" s="58">
        <f t="shared" si="16"/>
        <v>102</v>
      </c>
      <c r="AV16" s="59"/>
      <c r="AW16" s="58" t="str">
        <f t="shared" si="17"/>
        <v/>
      </c>
      <c r="AX16" s="59"/>
      <c r="AY16" s="58" t="str">
        <f t="shared" si="18"/>
        <v/>
      </c>
      <c r="AZ16" s="59"/>
      <c r="BA16" s="58" t="str">
        <f t="shared" si="19"/>
        <v/>
      </c>
      <c r="BB16" s="59"/>
      <c r="BC16" s="58" t="str">
        <f t="shared" si="20"/>
        <v/>
      </c>
      <c r="BD16" s="59"/>
      <c r="BE16" s="58" t="str">
        <f t="shared" si="21"/>
        <v/>
      </c>
      <c r="BF16" s="59"/>
      <c r="BG16" s="58" t="str">
        <f t="shared" si="22"/>
        <v/>
      </c>
      <c r="BH16" s="59"/>
      <c r="BI16" s="58" t="str">
        <f t="shared" si="23"/>
        <v/>
      </c>
      <c r="BJ16" s="59"/>
      <c r="BK16" s="58" t="str">
        <f t="shared" si="24"/>
        <v/>
      </c>
      <c r="BL16" s="59"/>
      <c r="BM16" s="58" t="str">
        <f t="shared" si="25"/>
        <v/>
      </c>
      <c r="BN16" s="59"/>
      <c r="BO16" s="58" t="str">
        <f t="shared" si="26"/>
        <v/>
      </c>
      <c r="BP16" s="59"/>
      <c r="BQ16" s="58" t="str">
        <f t="shared" si="27"/>
        <v/>
      </c>
      <c r="BR16" s="59"/>
      <c r="BS16" s="58" t="str">
        <f t="shared" si="28"/>
        <v/>
      </c>
      <c r="BT16" s="59"/>
      <c r="BU16" s="58" t="str">
        <f t="shared" si="29"/>
        <v/>
      </c>
      <c r="BV16" s="59"/>
      <c r="BW16" s="58" t="str">
        <f t="shared" si="30"/>
        <v/>
      </c>
      <c r="BX16" s="59"/>
      <c r="BY16" s="58" t="str">
        <f t="shared" si="31"/>
        <v/>
      </c>
      <c r="BZ16" s="59"/>
    </row>
    <row r="17" spans="1:78" ht="14.5" hidden="1">
      <c r="A17" s="51" t="s">
        <v>446</v>
      </c>
      <c r="B17" s="52" t="s">
        <v>635</v>
      </c>
      <c r="C17" s="52" t="s">
        <v>74</v>
      </c>
      <c r="D17" s="41">
        <f t="shared" si="1"/>
        <v>1</v>
      </c>
      <c r="E17" s="41"/>
      <c r="F17" s="41"/>
      <c r="G17" s="52" t="s">
        <v>298</v>
      </c>
      <c r="H17" s="52" t="s">
        <v>246</v>
      </c>
      <c r="I17" s="52" t="s">
        <v>155</v>
      </c>
      <c r="J17" s="52" t="s">
        <v>430</v>
      </c>
      <c r="K17" s="53">
        <v>45661</v>
      </c>
      <c r="L17" s="108">
        <f>31*4*12</f>
        <v>1488</v>
      </c>
      <c r="M17" s="101">
        <v>1575</v>
      </c>
      <c r="N17" s="101"/>
      <c r="O17" s="101">
        <f t="shared" si="2"/>
        <v>1488</v>
      </c>
      <c r="P17" s="54">
        <f t="shared" si="3"/>
        <v>-87</v>
      </c>
      <c r="Q17" s="101" t="s">
        <v>636</v>
      </c>
      <c r="R17" s="166">
        <v>45666</v>
      </c>
      <c r="S17" s="101"/>
      <c r="T17" s="102">
        <f t="shared" si="4"/>
        <v>4.2514285714285718</v>
      </c>
      <c r="U17" s="102">
        <v>1</v>
      </c>
      <c r="V17" s="99">
        <v>350</v>
      </c>
      <c r="W17" s="55">
        <f>+K17-(32)</f>
        <v>45629</v>
      </c>
      <c r="X17" s="55">
        <v>45649</v>
      </c>
      <c r="Y17" s="56">
        <f t="shared" ca="1" si="5"/>
        <v>-20</v>
      </c>
      <c r="Z17" s="55">
        <f t="shared" si="6"/>
        <v>45645</v>
      </c>
      <c r="AA17" s="55"/>
      <c r="AB17" s="56">
        <f t="shared" ca="1" si="7"/>
        <v>-195</v>
      </c>
      <c r="AC17" s="55"/>
      <c r="AD17" s="57"/>
      <c r="AE17" s="58" t="str">
        <f t="shared" si="8"/>
        <v>-</v>
      </c>
      <c r="AF17" s="59"/>
      <c r="AG17" s="58" t="str">
        <f t="shared" si="9"/>
        <v/>
      </c>
      <c r="AH17" s="59"/>
      <c r="AI17" s="58" t="str">
        <f t="shared" si="10"/>
        <v/>
      </c>
      <c r="AJ17" s="59"/>
      <c r="AK17" s="58" t="str">
        <f t="shared" si="11"/>
        <v/>
      </c>
      <c r="AL17" s="59"/>
      <c r="AM17" s="58" t="str">
        <f t="shared" si="12"/>
        <v/>
      </c>
      <c r="AN17" s="59"/>
      <c r="AO17" s="58" t="str">
        <f t="shared" si="13"/>
        <v/>
      </c>
      <c r="AP17" s="59"/>
      <c r="AQ17" s="58" t="str">
        <f t="shared" si="14"/>
        <v/>
      </c>
      <c r="AR17" s="59"/>
      <c r="AS17" s="58" t="str">
        <f t="shared" si="15"/>
        <v/>
      </c>
      <c r="AT17" s="59"/>
      <c r="AU17" s="58">
        <f t="shared" si="16"/>
        <v>1488</v>
      </c>
      <c r="AV17" s="59"/>
      <c r="AW17" s="58" t="str">
        <f t="shared" si="17"/>
        <v/>
      </c>
      <c r="AX17" s="59"/>
      <c r="AY17" s="58" t="str">
        <f t="shared" si="18"/>
        <v/>
      </c>
      <c r="AZ17" s="59"/>
      <c r="BA17" s="58" t="str">
        <f t="shared" si="19"/>
        <v/>
      </c>
      <c r="BB17" s="59"/>
      <c r="BC17" s="58" t="str">
        <f t="shared" si="20"/>
        <v/>
      </c>
      <c r="BD17" s="59"/>
      <c r="BE17" s="58" t="str">
        <f t="shared" si="21"/>
        <v/>
      </c>
      <c r="BF17" s="59"/>
      <c r="BG17" s="58" t="str">
        <f t="shared" si="22"/>
        <v/>
      </c>
      <c r="BH17" s="59"/>
      <c r="BI17" s="58" t="str">
        <f t="shared" si="23"/>
        <v/>
      </c>
      <c r="BJ17" s="59"/>
      <c r="BK17" s="58" t="str">
        <f t="shared" si="24"/>
        <v/>
      </c>
      <c r="BL17" s="59"/>
      <c r="BM17" s="58" t="str">
        <f t="shared" si="25"/>
        <v/>
      </c>
      <c r="BN17" s="59"/>
      <c r="BO17" s="58" t="str">
        <f t="shared" si="26"/>
        <v/>
      </c>
      <c r="BP17" s="59"/>
      <c r="BQ17" s="58" t="str">
        <f t="shared" si="27"/>
        <v/>
      </c>
      <c r="BR17" s="59"/>
      <c r="BS17" s="58" t="str">
        <f t="shared" si="28"/>
        <v/>
      </c>
      <c r="BT17" s="59"/>
      <c r="BU17" s="58" t="str">
        <f t="shared" si="29"/>
        <v/>
      </c>
      <c r="BV17" s="59"/>
      <c r="BW17" s="58" t="str">
        <f t="shared" si="30"/>
        <v/>
      </c>
      <c r="BX17" s="59"/>
      <c r="BY17" s="58" t="str">
        <f t="shared" si="31"/>
        <v/>
      </c>
      <c r="BZ17" s="59"/>
    </row>
    <row r="18" spans="1:78" ht="14.5" hidden="1">
      <c r="A18" s="51" t="s">
        <v>446</v>
      </c>
      <c r="B18" s="52" t="s">
        <v>635</v>
      </c>
      <c r="C18" s="52" t="s">
        <v>74</v>
      </c>
      <c r="D18" s="41">
        <f t="shared" si="1"/>
        <v>1</v>
      </c>
      <c r="E18" s="41"/>
      <c r="F18" s="41"/>
      <c r="G18" s="52" t="s">
        <v>298</v>
      </c>
      <c r="H18" s="52" t="s">
        <v>300</v>
      </c>
      <c r="I18" s="52" t="s">
        <v>155</v>
      </c>
      <c r="J18" s="52" t="s">
        <v>458</v>
      </c>
      <c r="K18" s="53">
        <v>45661</v>
      </c>
      <c r="L18" s="108">
        <v>48</v>
      </c>
      <c r="M18" s="101"/>
      <c r="N18" s="101"/>
      <c r="O18" s="101">
        <f t="shared" si="2"/>
        <v>48</v>
      </c>
      <c r="P18" s="54">
        <f t="shared" si="3"/>
        <v>48</v>
      </c>
      <c r="Q18" s="101" t="s">
        <v>178</v>
      </c>
      <c r="R18" s="166">
        <v>45666</v>
      </c>
      <c r="S18" s="101"/>
      <c r="T18" s="102">
        <f t="shared" si="4"/>
        <v>0.8</v>
      </c>
      <c r="U18" s="102">
        <v>6</v>
      </c>
      <c r="V18" s="99">
        <v>10</v>
      </c>
      <c r="W18" s="55">
        <f>+K18-(32)</f>
        <v>45629</v>
      </c>
      <c r="X18" s="55"/>
      <c r="Y18" s="56">
        <f t="shared" ca="1" si="5"/>
        <v>-211</v>
      </c>
      <c r="Z18" s="55">
        <f t="shared" si="6"/>
        <v>45645</v>
      </c>
      <c r="AA18" s="55"/>
      <c r="AB18" s="56">
        <f t="shared" ca="1" si="7"/>
        <v>-195</v>
      </c>
      <c r="AC18" s="55"/>
      <c r="AD18" s="57"/>
      <c r="AE18" s="58" t="str">
        <f t="shared" si="8"/>
        <v>-</v>
      </c>
      <c r="AF18" s="59"/>
      <c r="AG18" s="58" t="str">
        <f t="shared" si="9"/>
        <v/>
      </c>
      <c r="AH18" s="59"/>
      <c r="AI18" s="58" t="str">
        <f t="shared" si="10"/>
        <v/>
      </c>
      <c r="AJ18" s="59"/>
      <c r="AK18" s="58" t="str">
        <f t="shared" si="11"/>
        <v/>
      </c>
      <c r="AL18" s="59"/>
      <c r="AM18" s="58" t="str">
        <f t="shared" si="12"/>
        <v/>
      </c>
      <c r="AN18" s="59"/>
      <c r="AO18" s="58" t="str">
        <f t="shared" si="13"/>
        <v/>
      </c>
      <c r="AP18" s="59"/>
      <c r="AQ18" s="58" t="str">
        <f t="shared" si="14"/>
        <v/>
      </c>
      <c r="AR18" s="59"/>
      <c r="AS18" s="58" t="str">
        <f t="shared" si="15"/>
        <v/>
      </c>
      <c r="AT18" s="59"/>
      <c r="AU18" s="58">
        <f t="shared" si="16"/>
        <v>48</v>
      </c>
      <c r="AV18" s="59"/>
      <c r="AW18" s="58" t="str">
        <f t="shared" si="17"/>
        <v/>
      </c>
      <c r="AX18" s="59"/>
      <c r="AY18" s="58" t="str">
        <f t="shared" si="18"/>
        <v/>
      </c>
      <c r="AZ18" s="59"/>
      <c r="BA18" s="58" t="str">
        <f t="shared" si="19"/>
        <v/>
      </c>
      <c r="BB18" s="59"/>
      <c r="BC18" s="58" t="str">
        <f t="shared" si="20"/>
        <v/>
      </c>
      <c r="BD18" s="59"/>
      <c r="BE18" s="58" t="str">
        <f t="shared" si="21"/>
        <v/>
      </c>
      <c r="BF18" s="59"/>
      <c r="BG18" s="58" t="str">
        <f t="shared" si="22"/>
        <v/>
      </c>
      <c r="BH18" s="59"/>
      <c r="BI18" s="58" t="str">
        <f t="shared" si="23"/>
        <v/>
      </c>
      <c r="BJ18" s="59"/>
      <c r="BK18" s="58" t="str">
        <f t="shared" si="24"/>
        <v/>
      </c>
      <c r="BL18" s="59"/>
      <c r="BM18" s="58" t="str">
        <f t="shared" si="25"/>
        <v/>
      </c>
      <c r="BN18" s="59"/>
      <c r="BO18" s="58" t="str">
        <f t="shared" si="26"/>
        <v/>
      </c>
      <c r="BP18" s="59"/>
      <c r="BQ18" s="58" t="str">
        <f t="shared" si="27"/>
        <v/>
      </c>
      <c r="BR18" s="59"/>
      <c r="BS18" s="58" t="str">
        <f t="shared" si="28"/>
        <v/>
      </c>
      <c r="BT18" s="59"/>
      <c r="BU18" s="58" t="str">
        <f t="shared" si="29"/>
        <v/>
      </c>
      <c r="BV18" s="59"/>
      <c r="BW18" s="58" t="str">
        <f t="shared" si="30"/>
        <v/>
      </c>
      <c r="BX18" s="59"/>
      <c r="BY18" s="58" t="str">
        <f t="shared" si="31"/>
        <v/>
      </c>
      <c r="BZ18" s="59"/>
    </row>
    <row r="19" spans="1:78" ht="14.5" hidden="1">
      <c r="A19" s="51" t="s">
        <v>446</v>
      </c>
      <c r="B19" s="52" t="s">
        <v>635</v>
      </c>
      <c r="C19" s="52" t="s">
        <v>74</v>
      </c>
      <c r="D19" s="41">
        <f t="shared" si="1"/>
        <v>1</v>
      </c>
      <c r="E19" s="41"/>
      <c r="F19" s="41"/>
      <c r="G19" s="52" t="s">
        <v>298</v>
      </c>
      <c r="H19" s="52" t="s">
        <v>300</v>
      </c>
      <c r="I19" s="52" t="s">
        <v>155</v>
      </c>
      <c r="J19" s="52" t="s">
        <v>459</v>
      </c>
      <c r="K19" s="53">
        <v>45661</v>
      </c>
      <c r="L19" s="108">
        <v>48</v>
      </c>
      <c r="M19" s="101"/>
      <c r="N19" s="101"/>
      <c r="O19" s="101">
        <f t="shared" si="2"/>
        <v>48</v>
      </c>
      <c r="P19" s="54">
        <f t="shared" si="3"/>
        <v>48</v>
      </c>
      <c r="Q19" s="101" t="s">
        <v>178</v>
      </c>
      <c r="R19" s="166">
        <v>45666</v>
      </c>
      <c r="S19" s="101"/>
      <c r="T19" s="102">
        <f t="shared" si="4"/>
        <v>0.8</v>
      </c>
      <c r="U19" s="102">
        <v>6</v>
      </c>
      <c r="V19" s="99">
        <v>10</v>
      </c>
      <c r="W19" s="55">
        <f>+K19-(32)</f>
        <v>45629</v>
      </c>
      <c r="X19" s="55"/>
      <c r="Y19" s="56">
        <f t="shared" ca="1" si="5"/>
        <v>-211</v>
      </c>
      <c r="Z19" s="55">
        <f t="shared" si="6"/>
        <v>45645</v>
      </c>
      <c r="AA19" s="55"/>
      <c r="AB19" s="56">
        <f t="shared" ca="1" si="7"/>
        <v>-195</v>
      </c>
      <c r="AC19" s="55"/>
      <c r="AD19" s="57"/>
      <c r="AE19" s="58" t="str">
        <f t="shared" si="8"/>
        <v>-</v>
      </c>
      <c r="AF19" s="59"/>
      <c r="AG19" s="58" t="str">
        <f t="shared" si="9"/>
        <v/>
      </c>
      <c r="AH19" s="59"/>
      <c r="AI19" s="58" t="str">
        <f t="shared" si="10"/>
        <v/>
      </c>
      <c r="AJ19" s="59"/>
      <c r="AK19" s="58" t="str">
        <f t="shared" si="11"/>
        <v/>
      </c>
      <c r="AL19" s="59"/>
      <c r="AM19" s="58" t="str">
        <f t="shared" si="12"/>
        <v/>
      </c>
      <c r="AN19" s="59"/>
      <c r="AO19" s="58" t="str">
        <f t="shared" si="13"/>
        <v/>
      </c>
      <c r="AP19" s="59"/>
      <c r="AQ19" s="58" t="str">
        <f t="shared" si="14"/>
        <v/>
      </c>
      <c r="AR19" s="59"/>
      <c r="AS19" s="58" t="str">
        <f t="shared" si="15"/>
        <v/>
      </c>
      <c r="AT19" s="59"/>
      <c r="AU19" s="58">
        <f t="shared" si="16"/>
        <v>48</v>
      </c>
      <c r="AV19" s="59"/>
      <c r="AW19" s="58" t="str">
        <f t="shared" si="17"/>
        <v/>
      </c>
      <c r="AX19" s="59"/>
      <c r="AY19" s="58" t="str">
        <f t="shared" si="18"/>
        <v/>
      </c>
      <c r="AZ19" s="59"/>
      <c r="BA19" s="58" t="str">
        <f t="shared" si="19"/>
        <v/>
      </c>
      <c r="BB19" s="59"/>
      <c r="BC19" s="58" t="str">
        <f t="shared" si="20"/>
        <v/>
      </c>
      <c r="BD19" s="59"/>
      <c r="BE19" s="58" t="str">
        <f t="shared" si="21"/>
        <v/>
      </c>
      <c r="BF19" s="59"/>
      <c r="BG19" s="58" t="str">
        <f t="shared" si="22"/>
        <v/>
      </c>
      <c r="BH19" s="59"/>
      <c r="BI19" s="58" t="str">
        <f t="shared" si="23"/>
        <v/>
      </c>
      <c r="BJ19" s="59"/>
      <c r="BK19" s="58" t="str">
        <f t="shared" si="24"/>
        <v/>
      </c>
      <c r="BL19" s="59"/>
      <c r="BM19" s="58" t="str">
        <f t="shared" si="25"/>
        <v/>
      </c>
      <c r="BN19" s="59"/>
      <c r="BO19" s="58" t="str">
        <f t="shared" si="26"/>
        <v/>
      </c>
      <c r="BP19" s="59"/>
      <c r="BQ19" s="58" t="str">
        <f t="shared" si="27"/>
        <v/>
      </c>
      <c r="BR19" s="59"/>
      <c r="BS19" s="58" t="str">
        <f t="shared" si="28"/>
        <v/>
      </c>
      <c r="BT19" s="59"/>
      <c r="BU19" s="58" t="str">
        <f t="shared" si="29"/>
        <v/>
      </c>
      <c r="BV19" s="59"/>
      <c r="BW19" s="58" t="str">
        <f t="shared" si="30"/>
        <v/>
      </c>
      <c r="BX19" s="59"/>
      <c r="BY19" s="58" t="str">
        <f t="shared" si="31"/>
        <v/>
      </c>
      <c r="BZ19" s="59"/>
    </row>
    <row r="20" spans="1:78" ht="14.5" hidden="1">
      <c r="A20" s="51" t="s">
        <v>58</v>
      </c>
      <c r="B20" s="52">
        <v>316</v>
      </c>
      <c r="C20" s="52" t="s">
        <v>188</v>
      </c>
      <c r="D20" s="41">
        <f t="shared" si="1"/>
        <v>2</v>
      </c>
      <c r="E20" s="41" t="s">
        <v>631</v>
      </c>
      <c r="F20" s="41" t="s">
        <v>631</v>
      </c>
      <c r="G20" s="52" t="s">
        <v>391</v>
      </c>
      <c r="H20" s="52" t="s">
        <v>392</v>
      </c>
      <c r="I20" s="52" t="s">
        <v>393</v>
      </c>
      <c r="J20" s="52" t="s">
        <v>433</v>
      </c>
      <c r="K20" s="53">
        <v>45668</v>
      </c>
      <c r="L20" s="108">
        <v>1188</v>
      </c>
      <c r="M20" s="101">
        <v>1188</v>
      </c>
      <c r="N20" s="101">
        <v>1188</v>
      </c>
      <c r="O20" s="107">
        <f t="shared" ref="O20:O54" si="32">+L20-N20</f>
        <v>0</v>
      </c>
      <c r="P20" s="54">
        <f t="shared" ref="P20:P54" si="33">+L20-M20</f>
        <v>0</v>
      </c>
      <c r="Q20" s="101" t="s">
        <v>178</v>
      </c>
      <c r="R20" s="101" t="s">
        <v>632</v>
      </c>
      <c r="S20" s="101"/>
      <c r="T20" s="102">
        <f t="shared" si="4"/>
        <v>2.4750000000000001</v>
      </c>
      <c r="U20" s="102">
        <v>6</v>
      </c>
      <c r="V20" s="99">
        <v>80</v>
      </c>
      <c r="W20" s="55">
        <f t="shared" ref="W20:W54" si="34">+K20-(20)</f>
        <v>45648</v>
      </c>
      <c r="X20" s="55">
        <v>45606</v>
      </c>
      <c r="Y20" s="56">
        <f t="shared" ca="1" si="5"/>
        <v>42</v>
      </c>
      <c r="Z20" s="55">
        <f t="shared" si="6"/>
        <v>45664</v>
      </c>
      <c r="AA20" s="55"/>
      <c r="AB20" s="56">
        <f t="shared" ca="1" si="7"/>
        <v>-176</v>
      </c>
      <c r="AC20" s="55"/>
      <c r="AD20" s="57"/>
      <c r="AE20" s="58" t="str">
        <f t="shared" si="8"/>
        <v>-</v>
      </c>
      <c r="AF20" s="59"/>
      <c r="AG20" s="58" t="str">
        <f t="shared" si="9"/>
        <v/>
      </c>
      <c r="AH20" s="59"/>
      <c r="AI20" s="58" t="str">
        <f t="shared" si="10"/>
        <v/>
      </c>
      <c r="AJ20" s="59"/>
      <c r="AK20" s="58" t="str">
        <f t="shared" si="11"/>
        <v/>
      </c>
      <c r="AL20" s="59"/>
      <c r="AM20" s="58" t="str">
        <f t="shared" si="12"/>
        <v/>
      </c>
      <c r="AN20" s="59"/>
      <c r="AO20" s="58" t="str">
        <f t="shared" si="13"/>
        <v/>
      </c>
      <c r="AP20" s="59"/>
      <c r="AQ20" s="58" t="str">
        <f t="shared" si="14"/>
        <v/>
      </c>
      <c r="AR20" s="59"/>
      <c r="AS20" s="58" t="str">
        <f t="shared" si="15"/>
        <v/>
      </c>
      <c r="AT20" s="59"/>
      <c r="AU20" s="58" t="str">
        <f t="shared" si="16"/>
        <v/>
      </c>
      <c r="AV20" s="59"/>
      <c r="AW20" s="58" t="str">
        <f t="shared" si="17"/>
        <v/>
      </c>
      <c r="AX20" s="59"/>
      <c r="AY20" s="58" t="str">
        <f t="shared" si="18"/>
        <v/>
      </c>
      <c r="AZ20" s="59"/>
      <c r="BA20" s="58">
        <f t="shared" si="19"/>
        <v>1188</v>
      </c>
      <c r="BB20" s="59"/>
      <c r="BC20" s="58" t="str">
        <f t="shared" si="20"/>
        <v/>
      </c>
      <c r="BD20" s="59"/>
      <c r="BE20" s="58" t="str">
        <f t="shared" si="21"/>
        <v/>
      </c>
      <c r="BF20" s="59"/>
      <c r="BG20" s="58" t="str">
        <f t="shared" si="22"/>
        <v/>
      </c>
      <c r="BH20" s="59"/>
      <c r="BI20" s="58" t="str">
        <f t="shared" si="23"/>
        <v/>
      </c>
      <c r="BJ20" s="59"/>
      <c r="BK20" s="58" t="str">
        <f t="shared" si="24"/>
        <v/>
      </c>
      <c r="BL20" s="59"/>
      <c r="BM20" s="58" t="str">
        <f t="shared" si="25"/>
        <v/>
      </c>
      <c r="BN20" s="59"/>
      <c r="BO20" s="58" t="str">
        <f t="shared" si="26"/>
        <v/>
      </c>
      <c r="BP20" s="59"/>
      <c r="BQ20" s="58" t="str">
        <f t="shared" si="27"/>
        <v/>
      </c>
      <c r="BR20" s="59"/>
      <c r="BS20" s="58" t="str">
        <f t="shared" si="28"/>
        <v/>
      </c>
      <c r="BT20" s="59"/>
      <c r="BU20" s="58" t="str">
        <f t="shared" si="29"/>
        <v/>
      </c>
      <c r="BV20" s="59"/>
      <c r="BW20" s="58" t="str">
        <f t="shared" si="30"/>
        <v/>
      </c>
      <c r="BX20" s="59"/>
      <c r="BY20" s="58" t="str">
        <f t="shared" si="31"/>
        <v/>
      </c>
      <c r="BZ20" s="59"/>
    </row>
    <row r="21" spans="1:78" ht="14.5" hidden="1">
      <c r="A21" s="51">
        <f>+E21</f>
        <v>3</v>
      </c>
      <c r="B21" s="52">
        <v>322</v>
      </c>
      <c r="C21" s="52" t="s">
        <v>188</v>
      </c>
      <c r="D21" s="41">
        <f t="shared" si="1"/>
        <v>2</v>
      </c>
      <c r="E21" s="41">
        <v>3</v>
      </c>
      <c r="F21" s="41" t="s">
        <v>631</v>
      </c>
      <c r="G21" s="52" t="s">
        <v>189</v>
      </c>
      <c r="H21" s="52" t="s">
        <v>242</v>
      </c>
      <c r="I21" s="52" t="s">
        <v>162</v>
      </c>
      <c r="J21" s="52" t="s">
        <v>432</v>
      </c>
      <c r="K21" s="53">
        <v>45668</v>
      </c>
      <c r="L21" s="108">
        <v>1412</v>
      </c>
      <c r="M21" s="101">
        <v>1412</v>
      </c>
      <c r="N21" s="101">
        <v>1412</v>
      </c>
      <c r="O21" s="107">
        <f t="shared" si="32"/>
        <v>0</v>
      </c>
      <c r="P21" s="54">
        <f t="shared" si="33"/>
        <v>0</v>
      </c>
      <c r="Q21" s="101" t="s">
        <v>178</v>
      </c>
      <c r="R21" s="166">
        <v>45667</v>
      </c>
      <c r="S21" s="101" t="s">
        <v>637</v>
      </c>
      <c r="T21" s="102">
        <f t="shared" si="4"/>
        <v>1.961111111111111</v>
      </c>
      <c r="U21" s="102">
        <v>6</v>
      </c>
      <c r="V21" s="99">
        <v>120</v>
      </c>
      <c r="W21" s="55">
        <f t="shared" si="34"/>
        <v>45648</v>
      </c>
      <c r="X21" s="55">
        <v>45613</v>
      </c>
      <c r="Y21" s="56">
        <f t="shared" ca="1" si="5"/>
        <v>35</v>
      </c>
      <c r="Z21" s="55">
        <f t="shared" si="6"/>
        <v>45664</v>
      </c>
      <c r="AA21" s="55"/>
      <c r="AB21" s="56">
        <f t="shared" ca="1" si="7"/>
        <v>-176</v>
      </c>
      <c r="AC21" s="55"/>
      <c r="AD21" s="57"/>
      <c r="AE21" s="58" t="str">
        <f t="shared" si="8"/>
        <v>-</v>
      </c>
      <c r="AF21" s="59"/>
      <c r="AG21" s="58" t="str">
        <f t="shared" si="9"/>
        <v/>
      </c>
      <c r="AH21" s="59"/>
      <c r="AI21" s="58" t="str">
        <f t="shared" si="10"/>
        <v/>
      </c>
      <c r="AJ21" s="59"/>
      <c r="AK21" s="58" t="str">
        <f t="shared" si="11"/>
        <v/>
      </c>
      <c r="AL21" s="59"/>
      <c r="AM21" s="58" t="str">
        <f t="shared" si="12"/>
        <v/>
      </c>
      <c r="AN21" s="59"/>
      <c r="AO21" s="58" t="str">
        <f t="shared" si="13"/>
        <v/>
      </c>
      <c r="AP21" s="59"/>
      <c r="AQ21" s="58" t="str">
        <f t="shared" si="14"/>
        <v/>
      </c>
      <c r="AR21" s="59"/>
      <c r="AS21" s="58" t="str">
        <f t="shared" si="15"/>
        <v/>
      </c>
      <c r="AT21" s="59"/>
      <c r="AU21" s="58" t="str">
        <f t="shared" si="16"/>
        <v/>
      </c>
      <c r="AV21" s="59"/>
      <c r="AW21" s="58" t="str">
        <f t="shared" si="17"/>
        <v/>
      </c>
      <c r="AX21" s="59"/>
      <c r="AY21" s="58" t="str">
        <f t="shared" si="18"/>
        <v/>
      </c>
      <c r="AZ21" s="59"/>
      <c r="BA21" s="58">
        <f t="shared" si="19"/>
        <v>1412</v>
      </c>
      <c r="BB21" s="59"/>
      <c r="BC21" s="58" t="str">
        <f t="shared" si="20"/>
        <v/>
      </c>
      <c r="BD21" s="59"/>
      <c r="BE21" s="58" t="str">
        <f t="shared" si="21"/>
        <v/>
      </c>
      <c r="BF21" s="59"/>
      <c r="BG21" s="58" t="str">
        <f t="shared" si="22"/>
        <v/>
      </c>
      <c r="BH21" s="59"/>
      <c r="BI21" s="58" t="str">
        <f t="shared" si="23"/>
        <v/>
      </c>
      <c r="BJ21" s="59"/>
      <c r="BK21" s="58" t="str">
        <f t="shared" si="24"/>
        <v/>
      </c>
      <c r="BL21" s="59"/>
      <c r="BM21" s="58" t="str">
        <f t="shared" si="25"/>
        <v/>
      </c>
      <c r="BN21" s="59"/>
      <c r="BO21" s="58" t="str">
        <f t="shared" si="26"/>
        <v/>
      </c>
      <c r="BP21" s="59"/>
      <c r="BQ21" s="58" t="str">
        <f t="shared" si="27"/>
        <v/>
      </c>
      <c r="BR21" s="59"/>
      <c r="BS21" s="58" t="str">
        <f t="shared" si="28"/>
        <v/>
      </c>
      <c r="BT21" s="59"/>
      <c r="BU21" s="58" t="str">
        <f t="shared" si="29"/>
        <v/>
      </c>
      <c r="BV21" s="59"/>
      <c r="BW21" s="58" t="str">
        <f t="shared" si="30"/>
        <v/>
      </c>
      <c r="BX21" s="59"/>
      <c r="BY21" s="58" t="str">
        <f t="shared" si="31"/>
        <v/>
      </c>
      <c r="BZ21" s="59"/>
    </row>
    <row r="22" spans="1:78" ht="14.5" hidden="1">
      <c r="A22" s="51" t="s">
        <v>58</v>
      </c>
      <c r="B22" s="52">
        <v>322</v>
      </c>
      <c r="C22" s="52" t="s">
        <v>188</v>
      </c>
      <c r="D22" s="41">
        <f t="shared" si="1"/>
        <v>2</v>
      </c>
      <c r="E22" s="41" t="s">
        <v>631</v>
      </c>
      <c r="F22" s="41" t="s">
        <v>631</v>
      </c>
      <c r="G22" s="52" t="s">
        <v>158</v>
      </c>
      <c r="H22" s="52" t="s">
        <v>242</v>
      </c>
      <c r="I22" s="52" t="s">
        <v>154</v>
      </c>
      <c r="J22" s="52" t="s">
        <v>432</v>
      </c>
      <c r="K22" s="53">
        <v>45668</v>
      </c>
      <c r="L22" s="108">
        <v>212</v>
      </c>
      <c r="M22" s="101">
        <v>212</v>
      </c>
      <c r="N22" s="101">
        <v>212</v>
      </c>
      <c r="O22" s="107">
        <f t="shared" si="32"/>
        <v>0</v>
      </c>
      <c r="P22" s="54">
        <f t="shared" si="33"/>
        <v>0</v>
      </c>
      <c r="Q22" s="167" t="s">
        <v>439</v>
      </c>
      <c r="R22" s="166">
        <v>45663</v>
      </c>
      <c r="S22" s="101"/>
      <c r="T22" s="102">
        <f t="shared" si="4"/>
        <v>0.29444444444444445</v>
      </c>
      <c r="U22" s="102">
        <v>6</v>
      </c>
      <c r="V22" s="99">
        <v>120</v>
      </c>
      <c r="W22" s="55">
        <f t="shared" si="34"/>
        <v>45648</v>
      </c>
      <c r="X22" s="55">
        <v>45613</v>
      </c>
      <c r="Y22" s="56">
        <f t="shared" ca="1" si="5"/>
        <v>35</v>
      </c>
      <c r="Z22" s="55">
        <f t="shared" si="6"/>
        <v>45664</v>
      </c>
      <c r="AA22" s="55"/>
      <c r="AB22" s="56">
        <f t="shared" ca="1" si="7"/>
        <v>-176</v>
      </c>
      <c r="AC22" s="55"/>
      <c r="AD22" s="57"/>
      <c r="AE22" s="58" t="str">
        <f t="shared" si="8"/>
        <v>-</v>
      </c>
      <c r="AF22" s="59"/>
      <c r="AG22" s="58" t="str">
        <f t="shared" si="9"/>
        <v/>
      </c>
      <c r="AH22" s="59"/>
      <c r="AI22" s="58" t="str">
        <f t="shared" si="10"/>
        <v/>
      </c>
      <c r="AJ22" s="59"/>
      <c r="AK22" s="58" t="str">
        <f t="shared" si="11"/>
        <v/>
      </c>
      <c r="AL22" s="59"/>
      <c r="AM22" s="58" t="str">
        <f t="shared" si="12"/>
        <v/>
      </c>
      <c r="AN22" s="59"/>
      <c r="AO22" s="58" t="str">
        <f t="shared" si="13"/>
        <v/>
      </c>
      <c r="AP22" s="59"/>
      <c r="AQ22" s="58" t="str">
        <f t="shared" si="14"/>
        <v/>
      </c>
      <c r="AR22" s="59"/>
      <c r="AS22" s="58" t="str">
        <f t="shared" si="15"/>
        <v/>
      </c>
      <c r="AT22" s="59"/>
      <c r="AU22" s="58" t="str">
        <f t="shared" si="16"/>
        <v/>
      </c>
      <c r="AV22" s="59"/>
      <c r="AW22" s="58" t="str">
        <f t="shared" si="17"/>
        <v/>
      </c>
      <c r="AX22" s="59"/>
      <c r="AY22" s="58" t="str">
        <f t="shared" si="18"/>
        <v/>
      </c>
      <c r="AZ22" s="59"/>
      <c r="BA22" s="58">
        <f t="shared" si="19"/>
        <v>212</v>
      </c>
      <c r="BB22" s="59"/>
      <c r="BC22" s="58" t="str">
        <f t="shared" si="20"/>
        <v/>
      </c>
      <c r="BD22" s="59"/>
      <c r="BE22" s="58" t="str">
        <f t="shared" si="21"/>
        <v/>
      </c>
      <c r="BF22" s="59"/>
      <c r="BG22" s="58" t="str">
        <f t="shared" si="22"/>
        <v/>
      </c>
      <c r="BH22" s="59"/>
      <c r="BI22" s="58" t="str">
        <f t="shared" si="23"/>
        <v/>
      </c>
      <c r="BJ22" s="59"/>
      <c r="BK22" s="58" t="str">
        <f t="shared" si="24"/>
        <v/>
      </c>
      <c r="BL22" s="59"/>
      <c r="BM22" s="58" t="str">
        <f t="shared" si="25"/>
        <v/>
      </c>
      <c r="BN22" s="59"/>
      <c r="BO22" s="58" t="str">
        <f t="shared" si="26"/>
        <v/>
      </c>
      <c r="BP22" s="59"/>
      <c r="BQ22" s="58" t="str">
        <f t="shared" si="27"/>
        <v/>
      </c>
      <c r="BR22" s="59"/>
      <c r="BS22" s="58" t="str">
        <f t="shared" si="28"/>
        <v/>
      </c>
      <c r="BT22" s="59"/>
      <c r="BU22" s="58" t="str">
        <f t="shared" si="29"/>
        <v/>
      </c>
      <c r="BV22" s="59"/>
      <c r="BW22" s="58" t="str">
        <f t="shared" si="30"/>
        <v/>
      </c>
      <c r="BX22" s="59"/>
      <c r="BY22" s="58" t="str">
        <f t="shared" si="31"/>
        <v/>
      </c>
      <c r="BZ22" s="59"/>
    </row>
    <row r="23" spans="1:78" ht="14.5" hidden="1">
      <c r="A23" s="51" t="s">
        <v>58</v>
      </c>
      <c r="B23" s="52">
        <v>322</v>
      </c>
      <c r="C23" s="52" t="s">
        <v>188</v>
      </c>
      <c r="D23" s="41">
        <f t="shared" si="1"/>
        <v>2</v>
      </c>
      <c r="E23" s="41" t="s">
        <v>631</v>
      </c>
      <c r="F23" s="41" t="s">
        <v>631</v>
      </c>
      <c r="G23" s="52" t="s">
        <v>158</v>
      </c>
      <c r="H23" s="52" t="s">
        <v>242</v>
      </c>
      <c r="I23" s="52" t="s">
        <v>155</v>
      </c>
      <c r="J23" s="52" t="s">
        <v>432</v>
      </c>
      <c r="K23" s="53">
        <v>45668</v>
      </c>
      <c r="L23" s="108">
        <v>1336</v>
      </c>
      <c r="M23" s="101">
        <v>1336</v>
      </c>
      <c r="N23" s="101">
        <v>1336</v>
      </c>
      <c r="O23" s="107">
        <f t="shared" si="32"/>
        <v>0</v>
      </c>
      <c r="P23" s="54">
        <f t="shared" si="33"/>
        <v>0</v>
      </c>
      <c r="Q23" s="167" t="s">
        <v>439</v>
      </c>
      <c r="R23" s="101" t="s">
        <v>632</v>
      </c>
      <c r="S23" s="101"/>
      <c r="T23" s="102">
        <f t="shared" si="4"/>
        <v>1.8555555555555556</v>
      </c>
      <c r="U23" s="102">
        <v>6</v>
      </c>
      <c r="V23" s="99">
        <v>120</v>
      </c>
      <c r="W23" s="55">
        <f t="shared" si="34"/>
        <v>45648</v>
      </c>
      <c r="X23" s="55">
        <v>45613</v>
      </c>
      <c r="Y23" s="56">
        <f t="shared" ca="1" si="5"/>
        <v>35</v>
      </c>
      <c r="Z23" s="55">
        <f t="shared" si="6"/>
        <v>45664</v>
      </c>
      <c r="AA23" s="55"/>
      <c r="AB23" s="56">
        <f t="shared" ca="1" si="7"/>
        <v>-176</v>
      </c>
      <c r="AC23" s="55"/>
      <c r="AD23" s="57"/>
      <c r="AE23" s="58" t="str">
        <f t="shared" si="8"/>
        <v>-</v>
      </c>
      <c r="AF23" s="59"/>
      <c r="AG23" s="58" t="str">
        <f t="shared" si="9"/>
        <v/>
      </c>
      <c r="AH23" s="59"/>
      <c r="AI23" s="58" t="str">
        <f t="shared" si="10"/>
        <v/>
      </c>
      <c r="AJ23" s="59"/>
      <c r="AK23" s="58" t="str">
        <f t="shared" si="11"/>
        <v/>
      </c>
      <c r="AL23" s="59"/>
      <c r="AM23" s="58" t="str">
        <f t="shared" si="12"/>
        <v/>
      </c>
      <c r="AN23" s="59"/>
      <c r="AO23" s="58" t="str">
        <f t="shared" si="13"/>
        <v/>
      </c>
      <c r="AP23" s="59"/>
      <c r="AQ23" s="58" t="str">
        <f t="shared" si="14"/>
        <v/>
      </c>
      <c r="AR23" s="59"/>
      <c r="AS23" s="58" t="str">
        <f t="shared" si="15"/>
        <v/>
      </c>
      <c r="AT23" s="59"/>
      <c r="AU23" s="58" t="str">
        <f t="shared" si="16"/>
        <v/>
      </c>
      <c r="AV23" s="59"/>
      <c r="AW23" s="58" t="str">
        <f t="shared" si="17"/>
        <v/>
      </c>
      <c r="AX23" s="59"/>
      <c r="AY23" s="58" t="str">
        <f t="shared" si="18"/>
        <v/>
      </c>
      <c r="AZ23" s="59"/>
      <c r="BA23" s="58">
        <f t="shared" si="19"/>
        <v>1336</v>
      </c>
      <c r="BB23" s="59"/>
      <c r="BC23" s="58" t="str">
        <f t="shared" si="20"/>
        <v/>
      </c>
      <c r="BD23" s="59"/>
      <c r="BE23" s="58" t="str">
        <f t="shared" si="21"/>
        <v/>
      </c>
      <c r="BF23" s="59"/>
      <c r="BG23" s="58" t="str">
        <f t="shared" si="22"/>
        <v/>
      </c>
      <c r="BH23" s="59"/>
      <c r="BI23" s="58" t="str">
        <f t="shared" si="23"/>
        <v/>
      </c>
      <c r="BJ23" s="59"/>
      <c r="BK23" s="58" t="str">
        <f t="shared" si="24"/>
        <v/>
      </c>
      <c r="BL23" s="59"/>
      <c r="BM23" s="58" t="str">
        <f t="shared" si="25"/>
        <v/>
      </c>
      <c r="BN23" s="59"/>
      <c r="BO23" s="58" t="str">
        <f t="shared" si="26"/>
        <v/>
      </c>
      <c r="BP23" s="59"/>
      <c r="BQ23" s="58" t="str">
        <f t="shared" si="27"/>
        <v/>
      </c>
      <c r="BR23" s="59"/>
      <c r="BS23" s="58" t="str">
        <f t="shared" si="28"/>
        <v/>
      </c>
      <c r="BT23" s="59"/>
      <c r="BU23" s="58" t="str">
        <f t="shared" si="29"/>
        <v/>
      </c>
      <c r="BV23" s="59"/>
      <c r="BW23" s="58" t="str">
        <f t="shared" si="30"/>
        <v/>
      </c>
      <c r="BX23" s="59"/>
      <c r="BY23" s="58" t="str">
        <f t="shared" si="31"/>
        <v/>
      </c>
      <c r="BZ23" s="59"/>
    </row>
    <row r="24" spans="1:78" ht="14.5" hidden="1">
      <c r="A24" s="51" t="s">
        <v>58</v>
      </c>
      <c r="B24" s="52">
        <v>322</v>
      </c>
      <c r="C24" s="52" t="s">
        <v>188</v>
      </c>
      <c r="D24" s="41">
        <f t="shared" si="1"/>
        <v>2</v>
      </c>
      <c r="E24" s="41" t="s">
        <v>631</v>
      </c>
      <c r="F24" s="41" t="s">
        <v>631</v>
      </c>
      <c r="G24" s="52" t="s">
        <v>391</v>
      </c>
      <c r="H24" s="52" t="s">
        <v>392</v>
      </c>
      <c r="I24" s="52" t="s">
        <v>393</v>
      </c>
      <c r="J24" s="52" t="s">
        <v>499</v>
      </c>
      <c r="K24" s="53">
        <v>45668</v>
      </c>
      <c r="L24" s="108">
        <v>1488</v>
      </c>
      <c r="M24" s="101">
        <v>1488</v>
      </c>
      <c r="N24" s="101">
        <v>1488</v>
      </c>
      <c r="O24" s="107">
        <f t="shared" si="32"/>
        <v>0</v>
      </c>
      <c r="P24" s="54">
        <f t="shared" si="33"/>
        <v>0</v>
      </c>
      <c r="Q24" s="101" t="s">
        <v>178</v>
      </c>
      <c r="R24" s="101" t="s">
        <v>632</v>
      </c>
      <c r="S24" s="101"/>
      <c r="T24" s="102">
        <f t="shared" si="4"/>
        <v>3.1</v>
      </c>
      <c r="U24" s="102">
        <v>6</v>
      </c>
      <c r="V24" s="99">
        <v>80</v>
      </c>
      <c r="W24" s="55">
        <f t="shared" si="34"/>
        <v>45648</v>
      </c>
      <c r="X24" s="55">
        <v>45613</v>
      </c>
      <c r="Y24" s="56">
        <f t="shared" ca="1" si="5"/>
        <v>35</v>
      </c>
      <c r="Z24" s="55">
        <f t="shared" si="6"/>
        <v>45664</v>
      </c>
      <c r="AA24" s="55"/>
      <c r="AB24" s="56">
        <f t="shared" ca="1" si="7"/>
        <v>-176</v>
      </c>
      <c r="AC24" s="55"/>
      <c r="AD24" s="57"/>
      <c r="AE24" s="58" t="str">
        <f t="shared" si="8"/>
        <v>-</v>
      </c>
      <c r="AF24" s="59"/>
      <c r="AG24" s="58" t="str">
        <f t="shared" si="9"/>
        <v/>
      </c>
      <c r="AH24" s="59"/>
      <c r="AI24" s="58" t="str">
        <f t="shared" si="10"/>
        <v/>
      </c>
      <c r="AJ24" s="59"/>
      <c r="AK24" s="58" t="str">
        <f t="shared" si="11"/>
        <v/>
      </c>
      <c r="AL24" s="59"/>
      <c r="AM24" s="58" t="str">
        <f t="shared" si="12"/>
        <v/>
      </c>
      <c r="AN24" s="59"/>
      <c r="AO24" s="58" t="str">
        <f t="shared" si="13"/>
        <v/>
      </c>
      <c r="AP24" s="59"/>
      <c r="AQ24" s="58" t="str">
        <f t="shared" si="14"/>
        <v/>
      </c>
      <c r="AR24" s="59"/>
      <c r="AS24" s="58" t="str">
        <f t="shared" si="15"/>
        <v/>
      </c>
      <c r="AT24" s="59"/>
      <c r="AU24" s="58" t="str">
        <f t="shared" si="16"/>
        <v/>
      </c>
      <c r="AV24" s="59"/>
      <c r="AW24" s="58" t="str">
        <f t="shared" si="17"/>
        <v/>
      </c>
      <c r="AX24" s="59"/>
      <c r="AY24" s="58" t="str">
        <f t="shared" si="18"/>
        <v/>
      </c>
      <c r="AZ24" s="59"/>
      <c r="BA24" s="58">
        <f t="shared" si="19"/>
        <v>1488</v>
      </c>
      <c r="BB24" s="59"/>
      <c r="BC24" s="58" t="str">
        <f t="shared" si="20"/>
        <v/>
      </c>
      <c r="BD24" s="59"/>
      <c r="BE24" s="58" t="str">
        <f t="shared" si="21"/>
        <v/>
      </c>
      <c r="BF24" s="59"/>
      <c r="BG24" s="58" t="str">
        <f t="shared" si="22"/>
        <v/>
      </c>
      <c r="BH24" s="59"/>
      <c r="BI24" s="58" t="str">
        <f t="shared" si="23"/>
        <v/>
      </c>
      <c r="BJ24" s="59"/>
      <c r="BK24" s="58" t="str">
        <f t="shared" si="24"/>
        <v/>
      </c>
      <c r="BL24" s="59"/>
      <c r="BM24" s="58" t="str">
        <f t="shared" si="25"/>
        <v/>
      </c>
      <c r="BN24" s="59"/>
      <c r="BO24" s="58" t="str">
        <f t="shared" si="26"/>
        <v/>
      </c>
      <c r="BP24" s="59"/>
      <c r="BQ24" s="58" t="str">
        <f t="shared" si="27"/>
        <v/>
      </c>
      <c r="BR24" s="59"/>
      <c r="BS24" s="58" t="str">
        <f t="shared" si="28"/>
        <v/>
      </c>
      <c r="BT24" s="59"/>
      <c r="BU24" s="58" t="str">
        <f t="shared" si="29"/>
        <v/>
      </c>
      <c r="BV24" s="59"/>
      <c r="BW24" s="58" t="str">
        <f t="shared" si="30"/>
        <v/>
      </c>
      <c r="BX24" s="59"/>
      <c r="BY24" s="58" t="str">
        <f t="shared" si="31"/>
        <v/>
      </c>
      <c r="BZ24" s="59"/>
    </row>
    <row r="25" spans="1:78" ht="14.5" hidden="1">
      <c r="A25" s="51" t="s">
        <v>58</v>
      </c>
      <c r="B25" s="52">
        <v>359</v>
      </c>
      <c r="C25" s="52" t="s">
        <v>188</v>
      </c>
      <c r="D25" s="41">
        <f t="shared" si="1"/>
        <v>2</v>
      </c>
      <c r="E25" s="41" t="s">
        <v>631</v>
      </c>
      <c r="F25" s="41" t="s">
        <v>631</v>
      </c>
      <c r="G25" s="52" t="s">
        <v>157</v>
      </c>
      <c r="H25" s="52" t="s">
        <v>243</v>
      </c>
      <c r="I25" s="52" t="s">
        <v>162</v>
      </c>
      <c r="J25" s="52" t="s">
        <v>428</v>
      </c>
      <c r="K25" s="53">
        <v>45665</v>
      </c>
      <c r="L25" s="108">
        <v>3708</v>
      </c>
      <c r="M25" s="101">
        <v>3708</v>
      </c>
      <c r="N25" s="101">
        <v>3708</v>
      </c>
      <c r="O25" s="107">
        <f t="shared" si="32"/>
        <v>0</v>
      </c>
      <c r="P25" s="54">
        <f t="shared" si="33"/>
        <v>0</v>
      </c>
      <c r="Q25" s="101" t="s">
        <v>429</v>
      </c>
      <c r="R25" s="101" t="s">
        <v>632</v>
      </c>
      <c r="S25" s="101" t="s">
        <v>638</v>
      </c>
      <c r="T25" s="102">
        <f t="shared" si="4"/>
        <v>0.61799999999999999</v>
      </c>
      <c r="U25" s="102">
        <v>6</v>
      </c>
      <c r="V25" s="99">
        <v>1000</v>
      </c>
      <c r="W25" s="55">
        <f t="shared" si="34"/>
        <v>45645</v>
      </c>
      <c r="X25" s="55">
        <v>45635</v>
      </c>
      <c r="Y25" s="56">
        <f t="shared" ca="1" si="5"/>
        <v>10</v>
      </c>
      <c r="Z25" s="55">
        <f t="shared" si="6"/>
        <v>45661</v>
      </c>
      <c r="AA25" s="55"/>
      <c r="AB25" s="56">
        <f t="shared" ca="1" si="7"/>
        <v>-179</v>
      </c>
      <c r="AC25" s="55"/>
      <c r="AD25" s="57"/>
      <c r="AE25" s="58" t="str">
        <f t="shared" si="8"/>
        <v>-</v>
      </c>
      <c r="AF25" s="59"/>
      <c r="AG25" s="58" t="str">
        <f t="shared" si="9"/>
        <v/>
      </c>
      <c r="AH25" s="59"/>
      <c r="AI25" s="58" t="str">
        <f t="shared" si="10"/>
        <v/>
      </c>
      <c r="AJ25" s="59"/>
      <c r="AK25" s="58" t="str">
        <f t="shared" si="11"/>
        <v/>
      </c>
      <c r="AL25" s="59"/>
      <c r="AM25" s="58" t="str">
        <f t="shared" si="12"/>
        <v/>
      </c>
      <c r="AN25" s="59"/>
      <c r="AO25" s="58" t="str">
        <f t="shared" si="13"/>
        <v/>
      </c>
      <c r="AP25" s="59"/>
      <c r="AQ25" s="58" t="str">
        <f t="shared" si="14"/>
        <v/>
      </c>
      <c r="AR25" s="59"/>
      <c r="AS25" s="58" t="str">
        <f t="shared" si="15"/>
        <v/>
      </c>
      <c r="AT25" s="59"/>
      <c r="AU25" s="58" t="str">
        <f t="shared" si="16"/>
        <v/>
      </c>
      <c r="AV25" s="59"/>
      <c r="AW25" s="58" t="str">
        <f t="shared" si="17"/>
        <v/>
      </c>
      <c r="AX25" s="59"/>
      <c r="AY25" s="58">
        <f t="shared" si="18"/>
        <v>3708</v>
      </c>
      <c r="AZ25" s="59"/>
      <c r="BA25" s="58" t="str">
        <f t="shared" si="19"/>
        <v/>
      </c>
      <c r="BB25" s="59"/>
      <c r="BC25" s="58" t="str">
        <f t="shared" si="20"/>
        <v/>
      </c>
      <c r="BD25" s="59"/>
      <c r="BE25" s="58" t="str">
        <f t="shared" si="21"/>
        <v/>
      </c>
      <c r="BF25" s="59"/>
      <c r="BG25" s="58" t="str">
        <f t="shared" si="22"/>
        <v/>
      </c>
      <c r="BH25" s="59"/>
      <c r="BI25" s="58" t="str">
        <f t="shared" si="23"/>
        <v/>
      </c>
      <c r="BJ25" s="59"/>
      <c r="BK25" s="58" t="str">
        <f t="shared" si="24"/>
        <v/>
      </c>
      <c r="BL25" s="59"/>
      <c r="BM25" s="58" t="str">
        <f t="shared" si="25"/>
        <v/>
      </c>
      <c r="BN25" s="59"/>
      <c r="BO25" s="58" t="str">
        <f t="shared" si="26"/>
        <v/>
      </c>
      <c r="BP25" s="59"/>
      <c r="BQ25" s="58" t="str">
        <f t="shared" si="27"/>
        <v/>
      </c>
      <c r="BR25" s="59"/>
      <c r="BS25" s="58" t="str">
        <f t="shared" si="28"/>
        <v/>
      </c>
      <c r="BT25" s="59"/>
      <c r="BU25" s="58" t="str">
        <f t="shared" si="29"/>
        <v/>
      </c>
      <c r="BV25" s="59"/>
      <c r="BW25" s="58" t="str">
        <f t="shared" si="30"/>
        <v/>
      </c>
      <c r="BX25" s="59"/>
      <c r="BY25" s="58" t="str">
        <f t="shared" si="31"/>
        <v/>
      </c>
      <c r="BZ25" s="59"/>
    </row>
    <row r="26" spans="1:78" ht="14.5" hidden="1">
      <c r="A26" s="51" t="s">
        <v>58</v>
      </c>
      <c r="B26" s="52">
        <v>359</v>
      </c>
      <c r="C26" s="52" t="s">
        <v>188</v>
      </c>
      <c r="D26" s="41">
        <f t="shared" si="1"/>
        <v>2</v>
      </c>
      <c r="E26" s="41" t="s">
        <v>631</v>
      </c>
      <c r="F26" s="41" t="s">
        <v>631</v>
      </c>
      <c r="G26" s="52" t="s">
        <v>158</v>
      </c>
      <c r="H26" s="52" t="s">
        <v>242</v>
      </c>
      <c r="I26" s="52" t="s">
        <v>155</v>
      </c>
      <c r="J26" s="52" t="s">
        <v>432</v>
      </c>
      <c r="K26" s="53">
        <v>45665</v>
      </c>
      <c r="L26" s="108">
        <v>1116</v>
      </c>
      <c r="M26" s="101">
        <v>1116</v>
      </c>
      <c r="N26" s="101">
        <v>1116</v>
      </c>
      <c r="O26" s="107">
        <f t="shared" si="32"/>
        <v>0</v>
      </c>
      <c r="P26" s="54">
        <f t="shared" si="33"/>
        <v>0</v>
      </c>
      <c r="Q26" s="101" t="s">
        <v>178</v>
      </c>
      <c r="R26" s="166">
        <v>45663</v>
      </c>
      <c r="S26" s="101"/>
      <c r="T26" s="102">
        <f t="shared" si="4"/>
        <v>1.55</v>
      </c>
      <c r="U26" s="102">
        <v>6</v>
      </c>
      <c r="V26" s="99">
        <v>120</v>
      </c>
      <c r="W26" s="55">
        <f t="shared" si="34"/>
        <v>45645</v>
      </c>
      <c r="X26" s="55">
        <v>45635</v>
      </c>
      <c r="Y26" s="56">
        <f t="shared" ca="1" si="5"/>
        <v>10</v>
      </c>
      <c r="Z26" s="55">
        <f t="shared" si="6"/>
        <v>45661</v>
      </c>
      <c r="AA26" s="55"/>
      <c r="AB26" s="56">
        <f t="shared" ca="1" si="7"/>
        <v>-179</v>
      </c>
      <c r="AC26" s="55"/>
      <c r="AD26" s="57"/>
      <c r="AE26" s="58" t="str">
        <f t="shared" si="8"/>
        <v>-</v>
      </c>
      <c r="AF26" s="59"/>
      <c r="AG26" s="58" t="str">
        <f t="shared" si="9"/>
        <v/>
      </c>
      <c r="AH26" s="59"/>
      <c r="AI26" s="58" t="str">
        <f t="shared" si="10"/>
        <v/>
      </c>
      <c r="AJ26" s="59"/>
      <c r="AK26" s="58" t="str">
        <f t="shared" si="11"/>
        <v/>
      </c>
      <c r="AL26" s="59"/>
      <c r="AM26" s="58" t="str">
        <f t="shared" si="12"/>
        <v/>
      </c>
      <c r="AN26" s="59"/>
      <c r="AO26" s="58" t="str">
        <f t="shared" si="13"/>
        <v/>
      </c>
      <c r="AP26" s="59"/>
      <c r="AQ26" s="58" t="str">
        <f t="shared" si="14"/>
        <v/>
      </c>
      <c r="AR26" s="59"/>
      <c r="AS26" s="58" t="str">
        <f t="shared" si="15"/>
        <v/>
      </c>
      <c r="AT26" s="59"/>
      <c r="AU26" s="58" t="str">
        <f t="shared" si="16"/>
        <v/>
      </c>
      <c r="AV26" s="59"/>
      <c r="AW26" s="58" t="str">
        <f t="shared" si="17"/>
        <v/>
      </c>
      <c r="AX26" s="59"/>
      <c r="AY26" s="58">
        <f t="shared" si="18"/>
        <v>1116</v>
      </c>
      <c r="AZ26" s="59"/>
      <c r="BA26" s="58" t="str">
        <f t="shared" si="19"/>
        <v/>
      </c>
      <c r="BB26" s="59"/>
      <c r="BC26" s="58" t="str">
        <f t="shared" si="20"/>
        <v/>
      </c>
      <c r="BD26" s="59"/>
      <c r="BE26" s="58" t="str">
        <f t="shared" si="21"/>
        <v/>
      </c>
      <c r="BF26" s="59"/>
      <c r="BG26" s="58" t="str">
        <f t="shared" si="22"/>
        <v/>
      </c>
      <c r="BH26" s="59"/>
      <c r="BI26" s="58" t="str">
        <f t="shared" si="23"/>
        <v/>
      </c>
      <c r="BJ26" s="59"/>
      <c r="BK26" s="58" t="str">
        <f t="shared" si="24"/>
        <v/>
      </c>
      <c r="BL26" s="59"/>
      <c r="BM26" s="58" t="str">
        <f t="shared" si="25"/>
        <v/>
      </c>
      <c r="BN26" s="59"/>
      <c r="BO26" s="58" t="str">
        <f t="shared" si="26"/>
        <v/>
      </c>
      <c r="BP26" s="59"/>
      <c r="BQ26" s="58" t="str">
        <f t="shared" si="27"/>
        <v/>
      </c>
      <c r="BR26" s="59"/>
      <c r="BS26" s="58" t="str">
        <f t="shared" si="28"/>
        <v/>
      </c>
      <c r="BT26" s="59"/>
      <c r="BU26" s="58" t="str">
        <f t="shared" si="29"/>
        <v/>
      </c>
      <c r="BV26" s="59"/>
      <c r="BW26" s="58" t="str">
        <f t="shared" si="30"/>
        <v/>
      </c>
      <c r="BX26" s="59"/>
      <c r="BY26" s="58" t="str">
        <f t="shared" si="31"/>
        <v/>
      </c>
      <c r="BZ26" s="59"/>
    </row>
    <row r="27" spans="1:78" ht="14.5" hidden="1">
      <c r="A27" s="51" t="s">
        <v>58</v>
      </c>
      <c r="B27" s="52">
        <v>359</v>
      </c>
      <c r="C27" s="52" t="s">
        <v>188</v>
      </c>
      <c r="D27" s="41">
        <f t="shared" si="1"/>
        <v>2</v>
      </c>
      <c r="E27" s="41" t="s">
        <v>631</v>
      </c>
      <c r="F27" s="41" t="s">
        <v>631</v>
      </c>
      <c r="G27" s="52" t="s">
        <v>190</v>
      </c>
      <c r="H27" s="52" t="s">
        <v>242</v>
      </c>
      <c r="I27" s="52" t="s">
        <v>244</v>
      </c>
      <c r="J27" s="52" t="s">
        <v>513</v>
      </c>
      <c r="K27" s="53">
        <v>45665</v>
      </c>
      <c r="L27" s="108">
        <v>1304</v>
      </c>
      <c r="M27" s="101">
        <v>1304</v>
      </c>
      <c r="N27" s="101">
        <v>1034</v>
      </c>
      <c r="O27" s="107">
        <f t="shared" si="32"/>
        <v>270</v>
      </c>
      <c r="P27" s="54">
        <f t="shared" si="33"/>
        <v>0</v>
      </c>
      <c r="Q27" s="101" t="s">
        <v>178</v>
      </c>
      <c r="R27" s="166">
        <v>45664</v>
      </c>
      <c r="S27" s="101"/>
      <c r="T27" s="102">
        <f t="shared" si="4"/>
        <v>1.8111111111111111</v>
      </c>
      <c r="U27" s="102">
        <v>6</v>
      </c>
      <c r="V27" s="99">
        <v>120</v>
      </c>
      <c r="W27" s="55">
        <f t="shared" si="34"/>
        <v>45645</v>
      </c>
      <c r="X27" s="55">
        <v>45635</v>
      </c>
      <c r="Y27" s="56">
        <f t="shared" ca="1" si="5"/>
        <v>10</v>
      </c>
      <c r="Z27" s="55">
        <f t="shared" si="6"/>
        <v>45661</v>
      </c>
      <c r="AA27" s="55"/>
      <c r="AB27" s="56">
        <f t="shared" ca="1" si="7"/>
        <v>-179</v>
      </c>
      <c r="AC27" s="55"/>
      <c r="AD27" s="57"/>
      <c r="AE27" s="58" t="str">
        <f t="shared" si="8"/>
        <v>-</v>
      </c>
      <c r="AF27" s="59"/>
      <c r="AG27" s="58" t="str">
        <f t="shared" si="9"/>
        <v/>
      </c>
      <c r="AH27" s="59"/>
      <c r="AI27" s="58" t="str">
        <f t="shared" si="10"/>
        <v/>
      </c>
      <c r="AJ27" s="59"/>
      <c r="AK27" s="58" t="str">
        <f t="shared" si="11"/>
        <v/>
      </c>
      <c r="AL27" s="59"/>
      <c r="AM27" s="58" t="str">
        <f t="shared" si="12"/>
        <v/>
      </c>
      <c r="AN27" s="59"/>
      <c r="AO27" s="58" t="str">
        <f t="shared" si="13"/>
        <v/>
      </c>
      <c r="AP27" s="59"/>
      <c r="AQ27" s="58" t="str">
        <f t="shared" si="14"/>
        <v/>
      </c>
      <c r="AR27" s="59"/>
      <c r="AS27" s="58" t="str">
        <f t="shared" si="15"/>
        <v/>
      </c>
      <c r="AT27" s="59"/>
      <c r="AU27" s="58" t="str">
        <f t="shared" si="16"/>
        <v/>
      </c>
      <c r="AV27" s="59"/>
      <c r="AW27" s="58" t="str">
        <f t="shared" si="17"/>
        <v/>
      </c>
      <c r="AX27" s="59"/>
      <c r="AY27" s="58">
        <f t="shared" si="18"/>
        <v>1304</v>
      </c>
      <c r="AZ27" s="59"/>
      <c r="BA27" s="58" t="str">
        <f t="shared" si="19"/>
        <v/>
      </c>
      <c r="BB27" s="59"/>
      <c r="BC27" s="58" t="str">
        <f t="shared" si="20"/>
        <v/>
      </c>
      <c r="BD27" s="59"/>
      <c r="BE27" s="58" t="str">
        <f t="shared" si="21"/>
        <v/>
      </c>
      <c r="BF27" s="59"/>
      <c r="BG27" s="58" t="str">
        <f t="shared" si="22"/>
        <v/>
      </c>
      <c r="BH27" s="59"/>
      <c r="BI27" s="58" t="str">
        <f t="shared" si="23"/>
        <v/>
      </c>
      <c r="BJ27" s="59"/>
      <c r="BK27" s="58" t="str">
        <f t="shared" si="24"/>
        <v/>
      </c>
      <c r="BL27" s="59"/>
      <c r="BM27" s="58" t="str">
        <f t="shared" si="25"/>
        <v/>
      </c>
      <c r="BN27" s="59"/>
      <c r="BO27" s="58" t="str">
        <f t="shared" si="26"/>
        <v/>
      </c>
      <c r="BP27" s="59"/>
      <c r="BQ27" s="58" t="str">
        <f t="shared" si="27"/>
        <v/>
      </c>
      <c r="BR27" s="59"/>
      <c r="BS27" s="58" t="str">
        <f t="shared" si="28"/>
        <v/>
      </c>
      <c r="BT27" s="59"/>
      <c r="BU27" s="58" t="str">
        <f t="shared" si="29"/>
        <v/>
      </c>
      <c r="BV27" s="59"/>
      <c r="BW27" s="58" t="str">
        <f t="shared" si="30"/>
        <v/>
      </c>
      <c r="BX27" s="59"/>
      <c r="BY27" s="58" t="str">
        <f t="shared" si="31"/>
        <v/>
      </c>
      <c r="BZ27" s="59"/>
    </row>
    <row r="28" spans="1:78" ht="14.5" hidden="1">
      <c r="A28" s="51">
        <f>+E28</f>
        <v>6</v>
      </c>
      <c r="B28" s="52">
        <v>368</v>
      </c>
      <c r="C28" s="52" t="s">
        <v>188</v>
      </c>
      <c r="D28" s="41">
        <f t="shared" si="1"/>
        <v>2</v>
      </c>
      <c r="E28" s="41">
        <v>6</v>
      </c>
      <c r="F28" s="170" t="s">
        <v>631</v>
      </c>
      <c r="G28" s="52" t="s">
        <v>189</v>
      </c>
      <c r="H28" s="52" t="s">
        <v>242</v>
      </c>
      <c r="I28" s="52" t="s">
        <v>162</v>
      </c>
      <c r="J28" s="52" t="s">
        <v>432</v>
      </c>
      <c r="K28" s="53">
        <v>45668</v>
      </c>
      <c r="L28" s="108">
        <v>1452</v>
      </c>
      <c r="M28" s="101">
        <v>1452</v>
      </c>
      <c r="N28" s="101">
        <v>1452</v>
      </c>
      <c r="O28" s="107">
        <f t="shared" si="32"/>
        <v>0</v>
      </c>
      <c r="P28" s="54">
        <f t="shared" si="33"/>
        <v>0</v>
      </c>
      <c r="Q28" s="101" t="s">
        <v>178</v>
      </c>
      <c r="R28" s="166">
        <v>45668</v>
      </c>
      <c r="S28" s="101" t="s">
        <v>637</v>
      </c>
      <c r="T28" s="102">
        <f t="shared" si="4"/>
        <v>2.0166666666666666</v>
      </c>
      <c r="U28" s="102">
        <v>6</v>
      </c>
      <c r="V28" s="99">
        <v>120</v>
      </c>
      <c r="W28" s="55">
        <f t="shared" si="34"/>
        <v>45648</v>
      </c>
      <c r="X28" s="55">
        <v>45635</v>
      </c>
      <c r="Y28" s="56">
        <f t="shared" ca="1" si="5"/>
        <v>13</v>
      </c>
      <c r="Z28" s="55">
        <f t="shared" si="6"/>
        <v>45664</v>
      </c>
      <c r="AA28" s="55"/>
      <c r="AB28" s="56">
        <f t="shared" ca="1" si="7"/>
        <v>-176</v>
      </c>
      <c r="AC28" s="55"/>
      <c r="AD28" s="57"/>
      <c r="AE28" s="58" t="str">
        <f t="shared" si="8"/>
        <v>-</v>
      </c>
      <c r="AF28" s="59"/>
      <c r="AG28" s="58" t="str">
        <f t="shared" si="9"/>
        <v/>
      </c>
      <c r="AH28" s="59"/>
      <c r="AI28" s="58" t="str">
        <f t="shared" si="10"/>
        <v/>
      </c>
      <c r="AJ28" s="59"/>
      <c r="AK28" s="58" t="str">
        <f t="shared" si="11"/>
        <v/>
      </c>
      <c r="AL28" s="59"/>
      <c r="AM28" s="58" t="str">
        <f t="shared" si="12"/>
        <v/>
      </c>
      <c r="AN28" s="59"/>
      <c r="AO28" s="58" t="str">
        <f t="shared" si="13"/>
        <v/>
      </c>
      <c r="AP28" s="59"/>
      <c r="AQ28" s="58" t="str">
        <f t="shared" si="14"/>
        <v/>
      </c>
      <c r="AR28" s="59"/>
      <c r="AS28" s="58" t="str">
        <f t="shared" si="15"/>
        <v/>
      </c>
      <c r="AT28" s="59"/>
      <c r="AU28" s="58" t="str">
        <f t="shared" si="16"/>
        <v/>
      </c>
      <c r="AV28" s="59"/>
      <c r="AW28" s="58" t="str">
        <f t="shared" si="17"/>
        <v/>
      </c>
      <c r="AX28" s="59"/>
      <c r="AY28" s="58" t="str">
        <f t="shared" si="18"/>
        <v/>
      </c>
      <c r="AZ28" s="59"/>
      <c r="BA28" s="58">
        <f t="shared" si="19"/>
        <v>1452</v>
      </c>
      <c r="BB28" s="59"/>
      <c r="BC28" s="58" t="str">
        <f t="shared" si="20"/>
        <v/>
      </c>
      <c r="BD28" s="59"/>
      <c r="BE28" s="58" t="str">
        <f t="shared" si="21"/>
        <v/>
      </c>
      <c r="BF28" s="59"/>
      <c r="BG28" s="58" t="str">
        <f t="shared" si="22"/>
        <v/>
      </c>
      <c r="BH28" s="59"/>
      <c r="BI28" s="58" t="str">
        <f t="shared" si="23"/>
        <v/>
      </c>
      <c r="BJ28" s="59"/>
      <c r="BK28" s="58" t="str">
        <f t="shared" si="24"/>
        <v/>
      </c>
      <c r="BL28" s="59"/>
      <c r="BM28" s="58" t="str">
        <f t="shared" si="25"/>
        <v/>
      </c>
      <c r="BN28" s="59"/>
      <c r="BO28" s="58" t="str">
        <f t="shared" si="26"/>
        <v/>
      </c>
      <c r="BP28" s="59"/>
      <c r="BQ28" s="58" t="str">
        <f t="shared" si="27"/>
        <v/>
      </c>
      <c r="BR28" s="59"/>
      <c r="BS28" s="58" t="str">
        <f t="shared" si="28"/>
        <v/>
      </c>
      <c r="BT28" s="59"/>
      <c r="BU28" s="58" t="str">
        <f t="shared" si="29"/>
        <v/>
      </c>
      <c r="BV28" s="59"/>
      <c r="BW28" s="58" t="str">
        <f t="shared" si="30"/>
        <v/>
      </c>
      <c r="BX28" s="59"/>
      <c r="BY28" s="58" t="str">
        <f t="shared" si="31"/>
        <v/>
      </c>
      <c r="BZ28" s="59"/>
    </row>
    <row r="29" spans="1:78" ht="14.5">
      <c r="A29" s="51" t="s">
        <v>58</v>
      </c>
      <c r="B29" s="52">
        <v>368</v>
      </c>
      <c r="C29" s="52" t="s">
        <v>188</v>
      </c>
      <c r="D29" s="41">
        <f t="shared" si="1"/>
        <v>2</v>
      </c>
      <c r="E29" s="41" t="s">
        <v>631</v>
      </c>
      <c r="F29" s="41" t="s">
        <v>631</v>
      </c>
      <c r="G29" s="52" t="s">
        <v>201</v>
      </c>
      <c r="H29" s="52" t="s">
        <v>247</v>
      </c>
      <c r="I29" s="52" t="s">
        <v>155</v>
      </c>
      <c r="J29" s="52" t="s">
        <v>514</v>
      </c>
      <c r="K29" s="53">
        <v>45668</v>
      </c>
      <c r="L29" s="108">
        <v>14256</v>
      </c>
      <c r="M29" s="101">
        <v>14256</v>
      </c>
      <c r="N29" s="198">
        <v>14256</v>
      </c>
      <c r="O29" s="107">
        <f t="shared" si="32"/>
        <v>0</v>
      </c>
      <c r="P29" s="54">
        <f t="shared" si="33"/>
        <v>0</v>
      </c>
      <c r="Q29" s="167" t="s">
        <v>639</v>
      </c>
      <c r="R29" s="166">
        <v>45664</v>
      </c>
      <c r="S29" s="101" t="s">
        <v>640</v>
      </c>
      <c r="T29" s="102">
        <f t="shared" si="4"/>
        <v>8.1462857142857139</v>
      </c>
      <c r="U29" s="102">
        <v>5</v>
      </c>
      <c r="V29" s="99">
        <v>350</v>
      </c>
      <c r="W29" s="55">
        <f t="shared" si="34"/>
        <v>45648</v>
      </c>
      <c r="X29" s="55">
        <v>45635</v>
      </c>
      <c r="Y29" s="56">
        <f t="shared" ca="1" si="5"/>
        <v>13</v>
      </c>
      <c r="Z29" s="55">
        <f t="shared" si="6"/>
        <v>45664</v>
      </c>
      <c r="AA29" s="55"/>
      <c r="AB29" s="56">
        <f t="shared" ca="1" si="7"/>
        <v>-176</v>
      </c>
      <c r="AC29" s="55"/>
      <c r="AD29" s="57"/>
      <c r="AE29" s="58" t="str">
        <f t="shared" si="8"/>
        <v>-</v>
      </c>
      <c r="AF29" s="59"/>
      <c r="AG29" s="58" t="str">
        <f t="shared" si="9"/>
        <v/>
      </c>
      <c r="AH29" s="59"/>
      <c r="AI29" s="58" t="str">
        <f t="shared" si="10"/>
        <v/>
      </c>
      <c r="AJ29" s="59"/>
      <c r="AK29" s="58" t="str">
        <f t="shared" si="11"/>
        <v/>
      </c>
      <c r="AL29" s="59"/>
      <c r="AM29" s="58" t="str">
        <f t="shared" si="12"/>
        <v/>
      </c>
      <c r="AN29" s="59"/>
      <c r="AO29" s="58" t="str">
        <f t="shared" si="13"/>
        <v/>
      </c>
      <c r="AP29" s="59"/>
      <c r="AQ29" s="58" t="str">
        <f t="shared" si="14"/>
        <v/>
      </c>
      <c r="AR29" s="59"/>
      <c r="AS29" s="58" t="str">
        <f t="shared" si="15"/>
        <v/>
      </c>
      <c r="AT29" s="59"/>
      <c r="AU29" s="58" t="str">
        <f t="shared" si="16"/>
        <v/>
      </c>
      <c r="AV29" s="59"/>
      <c r="AW29" s="58" t="str">
        <f t="shared" si="17"/>
        <v/>
      </c>
      <c r="AX29" s="59"/>
      <c r="AY29" s="58" t="str">
        <f t="shared" si="18"/>
        <v/>
      </c>
      <c r="AZ29" s="59"/>
      <c r="BA29" s="58">
        <f t="shared" si="19"/>
        <v>14256</v>
      </c>
      <c r="BB29" s="59"/>
      <c r="BC29" s="58" t="str">
        <f t="shared" si="20"/>
        <v/>
      </c>
      <c r="BD29" s="59"/>
      <c r="BE29" s="58" t="str">
        <f t="shared" si="21"/>
        <v/>
      </c>
      <c r="BF29" s="59"/>
      <c r="BG29" s="58" t="str">
        <f t="shared" si="22"/>
        <v/>
      </c>
      <c r="BH29" s="59"/>
      <c r="BI29" s="58" t="str">
        <f t="shared" si="23"/>
        <v/>
      </c>
      <c r="BJ29" s="59"/>
      <c r="BK29" s="58" t="str">
        <f t="shared" si="24"/>
        <v/>
      </c>
      <c r="BL29" s="59"/>
      <c r="BM29" s="58" t="str">
        <f t="shared" si="25"/>
        <v/>
      </c>
      <c r="BN29" s="59"/>
      <c r="BO29" s="58" t="str">
        <f t="shared" si="26"/>
        <v/>
      </c>
      <c r="BP29" s="59"/>
      <c r="BQ29" s="58" t="str">
        <f t="shared" si="27"/>
        <v/>
      </c>
      <c r="BR29" s="59"/>
      <c r="BS29" s="58" t="str">
        <f t="shared" si="28"/>
        <v/>
      </c>
      <c r="BT29" s="59"/>
      <c r="BU29" s="58" t="str">
        <f t="shared" si="29"/>
        <v/>
      </c>
      <c r="BV29" s="59"/>
      <c r="BW29" s="58" t="str">
        <f t="shared" si="30"/>
        <v/>
      </c>
      <c r="BX29" s="59"/>
      <c r="BY29" s="58" t="str">
        <f t="shared" si="31"/>
        <v/>
      </c>
      <c r="BZ29" s="59"/>
    </row>
    <row r="30" spans="1:78" ht="14.5" hidden="1">
      <c r="A30" s="51" t="s">
        <v>58</v>
      </c>
      <c r="B30" s="52">
        <v>368</v>
      </c>
      <c r="C30" s="52" t="s">
        <v>188</v>
      </c>
      <c r="D30" s="41">
        <f t="shared" si="1"/>
        <v>2</v>
      </c>
      <c r="E30" s="41" t="s">
        <v>631</v>
      </c>
      <c r="F30" s="41" t="s">
        <v>631</v>
      </c>
      <c r="G30" s="52" t="s">
        <v>157</v>
      </c>
      <c r="H30" s="52" t="s">
        <v>243</v>
      </c>
      <c r="I30" s="52" t="s">
        <v>162</v>
      </c>
      <c r="J30" s="52" t="s">
        <v>428</v>
      </c>
      <c r="K30" s="53">
        <v>45668</v>
      </c>
      <c r="L30" s="108">
        <v>5226</v>
      </c>
      <c r="M30" s="101">
        <v>5226</v>
      </c>
      <c r="N30" s="101">
        <v>5226</v>
      </c>
      <c r="O30" s="107">
        <f t="shared" si="32"/>
        <v>0</v>
      </c>
      <c r="P30" s="54">
        <f t="shared" si="33"/>
        <v>0</v>
      </c>
      <c r="Q30" s="101" t="s">
        <v>429</v>
      </c>
      <c r="R30" s="166">
        <v>45661</v>
      </c>
      <c r="S30" s="101" t="s">
        <v>641</v>
      </c>
      <c r="T30" s="102">
        <f t="shared" si="4"/>
        <v>0.871</v>
      </c>
      <c r="U30" s="102">
        <v>6</v>
      </c>
      <c r="V30" s="99">
        <v>1000</v>
      </c>
      <c r="W30" s="55">
        <f t="shared" si="34"/>
        <v>45648</v>
      </c>
      <c r="X30" s="55">
        <v>45635</v>
      </c>
      <c r="Y30" s="56">
        <f t="shared" ca="1" si="5"/>
        <v>13</v>
      </c>
      <c r="Z30" s="55">
        <f t="shared" si="6"/>
        <v>45664</v>
      </c>
      <c r="AA30" s="55"/>
      <c r="AB30" s="56">
        <f t="shared" ca="1" si="7"/>
        <v>-176</v>
      </c>
      <c r="AC30" s="55"/>
      <c r="AD30" s="57"/>
      <c r="AE30" s="58" t="str">
        <f t="shared" si="8"/>
        <v>-</v>
      </c>
      <c r="AF30" s="59"/>
      <c r="AG30" s="58" t="str">
        <f t="shared" si="9"/>
        <v/>
      </c>
      <c r="AH30" s="59"/>
      <c r="AI30" s="58" t="str">
        <f t="shared" si="10"/>
        <v/>
      </c>
      <c r="AJ30" s="59"/>
      <c r="AK30" s="58" t="str">
        <f t="shared" si="11"/>
        <v/>
      </c>
      <c r="AL30" s="59"/>
      <c r="AM30" s="58" t="str">
        <f t="shared" si="12"/>
        <v/>
      </c>
      <c r="AN30" s="59"/>
      <c r="AO30" s="58" t="str">
        <f t="shared" si="13"/>
        <v/>
      </c>
      <c r="AP30" s="59"/>
      <c r="AQ30" s="58" t="str">
        <f t="shared" si="14"/>
        <v/>
      </c>
      <c r="AR30" s="59"/>
      <c r="AS30" s="58" t="str">
        <f t="shared" si="15"/>
        <v/>
      </c>
      <c r="AT30" s="59"/>
      <c r="AU30" s="58" t="str">
        <f t="shared" si="16"/>
        <v/>
      </c>
      <c r="AV30" s="59"/>
      <c r="AW30" s="58" t="str">
        <f t="shared" si="17"/>
        <v/>
      </c>
      <c r="AX30" s="59"/>
      <c r="AY30" s="58" t="str">
        <f t="shared" si="18"/>
        <v/>
      </c>
      <c r="AZ30" s="59"/>
      <c r="BA30" s="58">
        <f t="shared" si="19"/>
        <v>5226</v>
      </c>
      <c r="BB30" s="59"/>
      <c r="BC30" s="58" t="str">
        <f t="shared" si="20"/>
        <v/>
      </c>
      <c r="BD30" s="59"/>
      <c r="BE30" s="58" t="str">
        <f t="shared" si="21"/>
        <v/>
      </c>
      <c r="BF30" s="59"/>
      <c r="BG30" s="58" t="str">
        <f t="shared" si="22"/>
        <v/>
      </c>
      <c r="BH30" s="59"/>
      <c r="BI30" s="58" t="str">
        <f t="shared" si="23"/>
        <v/>
      </c>
      <c r="BJ30" s="59"/>
      <c r="BK30" s="58" t="str">
        <f t="shared" si="24"/>
        <v/>
      </c>
      <c r="BL30" s="59"/>
      <c r="BM30" s="58" t="str">
        <f t="shared" si="25"/>
        <v/>
      </c>
      <c r="BN30" s="59"/>
      <c r="BO30" s="58" t="str">
        <f t="shared" si="26"/>
        <v/>
      </c>
      <c r="BP30" s="59"/>
      <c r="BQ30" s="58" t="str">
        <f t="shared" si="27"/>
        <v/>
      </c>
      <c r="BR30" s="59"/>
      <c r="BS30" s="58" t="str">
        <f t="shared" si="28"/>
        <v/>
      </c>
      <c r="BT30" s="59"/>
      <c r="BU30" s="58" t="str">
        <f t="shared" si="29"/>
        <v/>
      </c>
      <c r="BV30" s="59"/>
      <c r="BW30" s="58" t="str">
        <f t="shared" si="30"/>
        <v/>
      </c>
      <c r="BX30" s="59"/>
      <c r="BY30" s="58" t="str">
        <f t="shared" si="31"/>
        <v/>
      </c>
      <c r="BZ30" s="59"/>
    </row>
    <row r="31" spans="1:78" ht="14.5" hidden="1">
      <c r="A31" s="51">
        <f>+E31</f>
        <v>4</v>
      </c>
      <c r="B31" s="52">
        <v>286</v>
      </c>
      <c r="C31" s="52" t="s">
        <v>188</v>
      </c>
      <c r="D31" s="41">
        <f t="shared" si="1"/>
        <v>3</v>
      </c>
      <c r="E31" s="41">
        <v>4</v>
      </c>
      <c r="F31" s="41" t="s">
        <v>631</v>
      </c>
      <c r="G31" s="52" t="s">
        <v>189</v>
      </c>
      <c r="H31" s="52" t="s">
        <v>242</v>
      </c>
      <c r="I31" s="52" t="s">
        <v>162</v>
      </c>
      <c r="J31" s="52" t="s">
        <v>432</v>
      </c>
      <c r="K31" s="53">
        <v>45669</v>
      </c>
      <c r="L31" s="108">
        <v>224</v>
      </c>
      <c r="M31" s="101">
        <v>224</v>
      </c>
      <c r="N31" s="101">
        <v>224</v>
      </c>
      <c r="O31" s="107">
        <f t="shared" si="32"/>
        <v>0</v>
      </c>
      <c r="P31" s="54">
        <f t="shared" si="33"/>
        <v>0</v>
      </c>
      <c r="Q31" s="101" t="s">
        <v>178</v>
      </c>
      <c r="R31" s="166">
        <v>45666</v>
      </c>
      <c r="S31" s="101" t="s">
        <v>642</v>
      </c>
      <c r="T31" s="102">
        <f t="shared" si="4"/>
        <v>0.31111111111111112</v>
      </c>
      <c r="U31" s="102">
        <v>6</v>
      </c>
      <c r="V31" s="99">
        <v>120</v>
      </c>
      <c r="W31" s="55">
        <f t="shared" si="34"/>
        <v>45649</v>
      </c>
      <c r="X31" s="55">
        <v>45620</v>
      </c>
      <c r="Y31" s="56">
        <f t="shared" ca="1" si="5"/>
        <v>29</v>
      </c>
      <c r="Z31" s="55">
        <f t="shared" si="6"/>
        <v>45665</v>
      </c>
      <c r="AA31" s="55"/>
      <c r="AB31" s="56">
        <f t="shared" ca="1" si="7"/>
        <v>-175</v>
      </c>
      <c r="AC31" s="55"/>
      <c r="AD31" s="57"/>
      <c r="AE31" s="58" t="str">
        <f t="shared" si="8"/>
        <v>-</v>
      </c>
      <c r="AF31" s="59"/>
      <c r="AG31" s="58" t="str">
        <f t="shared" si="9"/>
        <v/>
      </c>
      <c r="AH31" s="59"/>
      <c r="AI31" s="58" t="str">
        <f t="shared" si="10"/>
        <v/>
      </c>
      <c r="AJ31" s="59"/>
      <c r="AK31" s="58" t="str">
        <f t="shared" si="11"/>
        <v/>
      </c>
      <c r="AL31" s="59"/>
      <c r="AM31" s="58" t="str">
        <f t="shared" si="12"/>
        <v/>
      </c>
      <c r="AN31" s="59"/>
      <c r="AO31" s="58" t="str">
        <f t="shared" si="13"/>
        <v/>
      </c>
      <c r="AP31" s="59"/>
      <c r="AQ31" s="58" t="str">
        <f t="shared" si="14"/>
        <v/>
      </c>
      <c r="AR31" s="59"/>
      <c r="AS31" s="58" t="str">
        <f t="shared" si="15"/>
        <v/>
      </c>
      <c r="AT31" s="59"/>
      <c r="AU31" s="58" t="str">
        <f t="shared" si="16"/>
        <v/>
      </c>
      <c r="AV31" s="59"/>
      <c r="AW31" s="58" t="str">
        <f t="shared" si="17"/>
        <v/>
      </c>
      <c r="AX31" s="59"/>
      <c r="AY31" s="58" t="str">
        <f t="shared" si="18"/>
        <v/>
      </c>
      <c r="AZ31" s="59"/>
      <c r="BA31" s="58">
        <f t="shared" si="19"/>
        <v>224</v>
      </c>
      <c r="BB31" s="59"/>
      <c r="BC31" s="58" t="str">
        <f t="shared" si="20"/>
        <v/>
      </c>
      <c r="BD31" s="59"/>
      <c r="BE31" s="58" t="str">
        <f t="shared" si="21"/>
        <v/>
      </c>
      <c r="BF31" s="59"/>
      <c r="BG31" s="58" t="str">
        <f t="shared" si="22"/>
        <v/>
      </c>
      <c r="BH31" s="59"/>
      <c r="BI31" s="58" t="str">
        <f t="shared" si="23"/>
        <v/>
      </c>
      <c r="BJ31" s="59"/>
      <c r="BK31" s="58" t="str">
        <f t="shared" si="24"/>
        <v/>
      </c>
      <c r="BL31" s="59"/>
      <c r="BM31" s="58" t="str">
        <f t="shared" si="25"/>
        <v/>
      </c>
      <c r="BN31" s="59"/>
      <c r="BO31" s="58" t="str">
        <f t="shared" si="26"/>
        <v/>
      </c>
      <c r="BP31" s="59"/>
      <c r="BQ31" s="58" t="str">
        <f t="shared" si="27"/>
        <v/>
      </c>
      <c r="BR31" s="59"/>
      <c r="BS31" s="58" t="str">
        <f t="shared" si="28"/>
        <v/>
      </c>
      <c r="BT31" s="59"/>
      <c r="BU31" s="58" t="str">
        <f t="shared" si="29"/>
        <v/>
      </c>
      <c r="BV31" s="59"/>
      <c r="BW31" s="58" t="str">
        <f t="shared" si="30"/>
        <v/>
      </c>
      <c r="BX31" s="59"/>
      <c r="BY31" s="58" t="str">
        <f t="shared" si="31"/>
        <v/>
      </c>
      <c r="BZ31" s="59"/>
    </row>
    <row r="32" spans="1:78" ht="14.5" hidden="1">
      <c r="A32" s="51" t="s">
        <v>58</v>
      </c>
      <c r="B32" s="52">
        <v>286</v>
      </c>
      <c r="C32" s="52" t="s">
        <v>188</v>
      </c>
      <c r="D32" s="41">
        <f t="shared" si="1"/>
        <v>3</v>
      </c>
      <c r="E32" s="41" t="s">
        <v>631</v>
      </c>
      <c r="F32" s="41" t="s">
        <v>631</v>
      </c>
      <c r="G32" s="52" t="s">
        <v>502</v>
      </c>
      <c r="H32" s="52" t="s">
        <v>289</v>
      </c>
      <c r="I32" s="52" t="s">
        <v>155</v>
      </c>
      <c r="J32" s="52" t="s">
        <v>507</v>
      </c>
      <c r="K32" s="53">
        <v>45669</v>
      </c>
      <c r="L32" s="108">
        <v>2160</v>
      </c>
      <c r="M32" s="101">
        <v>2160</v>
      </c>
      <c r="N32" s="101">
        <v>2160</v>
      </c>
      <c r="O32" s="107">
        <f t="shared" si="32"/>
        <v>0</v>
      </c>
      <c r="P32" s="54">
        <f t="shared" si="33"/>
        <v>0</v>
      </c>
      <c r="Q32" s="167" t="s">
        <v>630</v>
      </c>
      <c r="R32" s="166">
        <v>45666</v>
      </c>
      <c r="S32" s="171" t="s">
        <v>643</v>
      </c>
      <c r="T32" s="102">
        <f t="shared" si="4"/>
        <v>11.25</v>
      </c>
      <c r="U32" s="102">
        <v>6</v>
      </c>
      <c r="V32" s="99">
        <f>480/15</f>
        <v>32</v>
      </c>
      <c r="W32" s="55">
        <f t="shared" si="34"/>
        <v>45649</v>
      </c>
      <c r="X32" s="55"/>
      <c r="Y32" s="56">
        <f t="shared" ca="1" si="5"/>
        <v>-191</v>
      </c>
      <c r="Z32" s="55">
        <f t="shared" si="6"/>
        <v>45665</v>
      </c>
      <c r="AA32" s="55"/>
      <c r="AB32" s="56">
        <f t="shared" ca="1" si="7"/>
        <v>-175</v>
      </c>
      <c r="AC32" s="55"/>
      <c r="AD32" s="57"/>
      <c r="AE32" s="58" t="str">
        <f t="shared" si="8"/>
        <v>-</v>
      </c>
      <c r="AF32" s="59"/>
      <c r="AG32" s="58" t="str">
        <f t="shared" si="9"/>
        <v/>
      </c>
      <c r="AH32" s="59"/>
      <c r="AI32" s="58" t="str">
        <f t="shared" si="10"/>
        <v/>
      </c>
      <c r="AJ32" s="59"/>
      <c r="AK32" s="58" t="str">
        <f t="shared" si="11"/>
        <v/>
      </c>
      <c r="AL32" s="59"/>
      <c r="AM32" s="58" t="str">
        <f t="shared" si="12"/>
        <v/>
      </c>
      <c r="AN32" s="59"/>
      <c r="AO32" s="58" t="str">
        <f t="shared" si="13"/>
        <v/>
      </c>
      <c r="AP32" s="59"/>
      <c r="AQ32" s="58" t="str">
        <f t="shared" si="14"/>
        <v/>
      </c>
      <c r="AR32" s="59"/>
      <c r="AS32" s="58" t="str">
        <f t="shared" si="15"/>
        <v/>
      </c>
      <c r="AT32" s="59"/>
      <c r="AU32" s="58" t="str">
        <f t="shared" si="16"/>
        <v/>
      </c>
      <c r="AV32" s="59"/>
      <c r="AW32" s="58" t="str">
        <f t="shared" si="17"/>
        <v/>
      </c>
      <c r="AX32" s="59"/>
      <c r="AY32" s="58" t="str">
        <f t="shared" si="18"/>
        <v/>
      </c>
      <c r="AZ32" s="59"/>
      <c r="BA32" s="58">
        <f t="shared" si="19"/>
        <v>2160</v>
      </c>
      <c r="BB32" s="59"/>
      <c r="BC32" s="58" t="str">
        <f t="shared" si="20"/>
        <v/>
      </c>
      <c r="BD32" s="59"/>
      <c r="BE32" s="58" t="str">
        <f t="shared" si="21"/>
        <v/>
      </c>
      <c r="BF32" s="59"/>
      <c r="BG32" s="58" t="str">
        <f t="shared" si="22"/>
        <v/>
      </c>
      <c r="BH32" s="59"/>
      <c r="BI32" s="58" t="str">
        <f t="shared" si="23"/>
        <v/>
      </c>
      <c r="BJ32" s="59"/>
      <c r="BK32" s="58" t="str">
        <f t="shared" si="24"/>
        <v/>
      </c>
      <c r="BL32" s="59"/>
      <c r="BM32" s="58" t="str">
        <f t="shared" si="25"/>
        <v/>
      </c>
      <c r="BN32" s="59"/>
      <c r="BO32" s="58" t="str">
        <f t="shared" si="26"/>
        <v/>
      </c>
      <c r="BP32" s="59"/>
      <c r="BQ32" s="58" t="str">
        <f t="shared" si="27"/>
        <v/>
      </c>
      <c r="BR32" s="59"/>
      <c r="BS32" s="58" t="str">
        <f t="shared" si="28"/>
        <v/>
      </c>
      <c r="BT32" s="59"/>
      <c r="BU32" s="58" t="str">
        <f t="shared" si="29"/>
        <v/>
      </c>
      <c r="BV32" s="59"/>
      <c r="BW32" s="58" t="str">
        <f t="shared" si="30"/>
        <v/>
      </c>
      <c r="BX32" s="59"/>
      <c r="BY32" s="58" t="str">
        <f t="shared" si="31"/>
        <v/>
      </c>
      <c r="BZ32" s="59"/>
    </row>
    <row r="33" spans="1:78" ht="14.5" hidden="1">
      <c r="A33" s="51" t="s">
        <v>58</v>
      </c>
      <c r="B33" s="52">
        <v>286</v>
      </c>
      <c r="C33" s="52" t="s">
        <v>188</v>
      </c>
      <c r="D33" s="41">
        <f t="shared" si="1"/>
        <v>3</v>
      </c>
      <c r="E33" s="41" t="s">
        <v>631</v>
      </c>
      <c r="F33" s="41" t="s">
        <v>631</v>
      </c>
      <c r="G33" s="52" t="s">
        <v>502</v>
      </c>
      <c r="H33" s="52" t="s">
        <v>289</v>
      </c>
      <c r="I33" s="52" t="s">
        <v>154</v>
      </c>
      <c r="J33" s="52" t="s">
        <v>507</v>
      </c>
      <c r="K33" s="53">
        <v>45669</v>
      </c>
      <c r="L33" s="108">
        <v>1800</v>
      </c>
      <c r="M33" s="101">
        <v>1800</v>
      </c>
      <c r="N33" s="101">
        <v>1800</v>
      </c>
      <c r="O33" s="107">
        <f t="shared" si="32"/>
        <v>0</v>
      </c>
      <c r="P33" s="54">
        <f t="shared" si="33"/>
        <v>0</v>
      </c>
      <c r="Q33" s="167" t="s">
        <v>644</v>
      </c>
      <c r="R33" s="166">
        <v>45666</v>
      </c>
      <c r="S33" s="171" t="s">
        <v>643</v>
      </c>
      <c r="T33" s="102">
        <f t="shared" si="4"/>
        <v>9.375</v>
      </c>
      <c r="U33" s="102">
        <v>6</v>
      </c>
      <c r="V33" s="99">
        <f>480/15</f>
        <v>32</v>
      </c>
      <c r="W33" s="55">
        <f t="shared" si="34"/>
        <v>45649</v>
      </c>
      <c r="X33" s="55"/>
      <c r="Y33" s="56">
        <f t="shared" ca="1" si="5"/>
        <v>-191</v>
      </c>
      <c r="Z33" s="55">
        <f t="shared" si="6"/>
        <v>45665</v>
      </c>
      <c r="AA33" s="55"/>
      <c r="AB33" s="56">
        <f t="shared" ca="1" si="7"/>
        <v>-175</v>
      </c>
      <c r="AC33" s="55"/>
      <c r="AD33" s="57"/>
      <c r="AE33" s="58" t="str">
        <f t="shared" si="8"/>
        <v>-</v>
      </c>
      <c r="AF33" s="59"/>
      <c r="AG33" s="58" t="str">
        <f t="shared" si="9"/>
        <v/>
      </c>
      <c r="AH33" s="59"/>
      <c r="AI33" s="58" t="str">
        <f t="shared" si="10"/>
        <v/>
      </c>
      <c r="AJ33" s="59"/>
      <c r="AK33" s="58" t="str">
        <f t="shared" si="11"/>
        <v/>
      </c>
      <c r="AL33" s="59"/>
      <c r="AM33" s="58" t="str">
        <f t="shared" si="12"/>
        <v/>
      </c>
      <c r="AN33" s="59"/>
      <c r="AO33" s="58" t="str">
        <f t="shared" si="13"/>
        <v/>
      </c>
      <c r="AP33" s="59"/>
      <c r="AQ33" s="58" t="str">
        <f t="shared" si="14"/>
        <v/>
      </c>
      <c r="AR33" s="59"/>
      <c r="AS33" s="58" t="str">
        <f t="shared" si="15"/>
        <v/>
      </c>
      <c r="AT33" s="59"/>
      <c r="AU33" s="58" t="str">
        <f t="shared" si="16"/>
        <v/>
      </c>
      <c r="AV33" s="59"/>
      <c r="AW33" s="58" t="str">
        <f t="shared" si="17"/>
        <v/>
      </c>
      <c r="AX33" s="59"/>
      <c r="AY33" s="58" t="str">
        <f t="shared" si="18"/>
        <v/>
      </c>
      <c r="AZ33" s="59"/>
      <c r="BA33" s="58">
        <f t="shared" si="19"/>
        <v>1800</v>
      </c>
      <c r="BB33" s="59"/>
      <c r="BC33" s="58" t="str">
        <f t="shared" si="20"/>
        <v/>
      </c>
      <c r="BD33" s="59"/>
      <c r="BE33" s="58" t="str">
        <f t="shared" si="21"/>
        <v/>
      </c>
      <c r="BF33" s="59"/>
      <c r="BG33" s="58" t="str">
        <f t="shared" si="22"/>
        <v/>
      </c>
      <c r="BH33" s="59"/>
      <c r="BI33" s="58" t="str">
        <f t="shared" si="23"/>
        <v/>
      </c>
      <c r="BJ33" s="59"/>
      <c r="BK33" s="58" t="str">
        <f t="shared" si="24"/>
        <v/>
      </c>
      <c r="BL33" s="59"/>
      <c r="BM33" s="58" t="str">
        <f t="shared" si="25"/>
        <v/>
      </c>
      <c r="BN33" s="59"/>
      <c r="BO33" s="58" t="str">
        <f t="shared" si="26"/>
        <v/>
      </c>
      <c r="BP33" s="59"/>
      <c r="BQ33" s="58" t="str">
        <f t="shared" si="27"/>
        <v/>
      </c>
      <c r="BR33" s="59"/>
      <c r="BS33" s="58" t="str">
        <f t="shared" si="28"/>
        <v/>
      </c>
      <c r="BT33" s="59"/>
      <c r="BU33" s="58" t="str">
        <f t="shared" si="29"/>
        <v/>
      </c>
      <c r="BV33" s="59"/>
      <c r="BW33" s="58" t="str">
        <f t="shared" si="30"/>
        <v/>
      </c>
      <c r="BX33" s="59"/>
      <c r="BY33" s="58" t="str">
        <f t="shared" si="31"/>
        <v/>
      </c>
      <c r="BZ33" s="59"/>
    </row>
    <row r="34" spans="1:78" ht="14.5" hidden="1">
      <c r="A34" s="51" t="s">
        <v>58</v>
      </c>
      <c r="B34" s="52">
        <v>286</v>
      </c>
      <c r="C34" s="52" t="s">
        <v>188</v>
      </c>
      <c r="D34" s="41">
        <f t="shared" si="1"/>
        <v>3</v>
      </c>
      <c r="E34" s="41" t="s">
        <v>631</v>
      </c>
      <c r="F34" s="41" t="s">
        <v>631</v>
      </c>
      <c r="G34" s="52" t="s">
        <v>502</v>
      </c>
      <c r="H34" s="52" t="s">
        <v>289</v>
      </c>
      <c r="I34" s="52" t="s">
        <v>156</v>
      </c>
      <c r="J34" s="52" t="s">
        <v>507</v>
      </c>
      <c r="K34" s="53">
        <v>45669</v>
      </c>
      <c r="L34" s="108">
        <v>1440</v>
      </c>
      <c r="M34" s="101">
        <v>1440</v>
      </c>
      <c r="N34" s="101">
        <v>1440</v>
      </c>
      <c r="O34" s="107">
        <f t="shared" si="32"/>
        <v>0</v>
      </c>
      <c r="P34" s="54">
        <f t="shared" si="33"/>
        <v>0</v>
      </c>
      <c r="Q34" s="167" t="s">
        <v>506</v>
      </c>
      <c r="R34" s="101" t="s">
        <v>632</v>
      </c>
      <c r="S34" s="101"/>
      <c r="T34" s="102">
        <f t="shared" si="4"/>
        <v>7.5</v>
      </c>
      <c r="U34" s="102">
        <v>6</v>
      </c>
      <c r="V34" s="99">
        <f>480/15</f>
        <v>32</v>
      </c>
      <c r="W34" s="55">
        <f t="shared" si="34"/>
        <v>45649</v>
      </c>
      <c r="X34" s="55"/>
      <c r="Y34" s="56">
        <f t="shared" ca="1" si="5"/>
        <v>-191</v>
      </c>
      <c r="Z34" s="55">
        <f t="shared" si="6"/>
        <v>45665</v>
      </c>
      <c r="AA34" s="55"/>
      <c r="AB34" s="56">
        <f t="shared" ca="1" si="7"/>
        <v>-175</v>
      </c>
      <c r="AC34" s="55"/>
      <c r="AD34" s="57"/>
      <c r="AE34" s="58" t="str">
        <f t="shared" si="8"/>
        <v>-</v>
      </c>
      <c r="AF34" s="59"/>
      <c r="AG34" s="58" t="str">
        <f t="shared" si="9"/>
        <v/>
      </c>
      <c r="AH34" s="59"/>
      <c r="AI34" s="58" t="str">
        <f t="shared" si="10"/>
        <v/>
      </c>
      <c r="AJ34" s="59"/>
      <c r="AK34" s="58" t="str">
        <f t="shared" si="11"/>
        <v/>
      </c>
      <c r="AL34" s="59"/>
      <c r="AM34" s="58" t="str">
        <f t="shared" si="12"/>
        <v/>
      </c>
      <c r="AN34" s="59"/>
      <c r="AO34" s="58" t="str">
        <f t="shared" si="13"/>
        <v/>
      </c>
      <c r="AP34" s="59"/>
      <c r="AQ34" s="58" t="str">
        <f t="shared" si="14"/>
        <v/>
      </c>
      <c r="AR34" s="59"/>
      <c r="AS34" s="58" t="str">
        <f t="shared" si="15"/>
        <v/>
      </c>
      <c r="AT34" s="59"/>
      <c r="AU34" s="58" t="str">
        <f t="shared" si="16"/>
        <v/>
      </c>
      <c r="AV34" s="59"/>
      <c r="AW34" s="58" t="str">
        <f t="shared" si="17"/>
        <v/>
      </c>
      <c r="AX34" s="59"/>
      <c r="AY34" s="58" t="str">
        <f t="shared" si="18"/>
        <v/>
      </c>
      <c r="AZ34" s="59"/>
      <c r="BA34" s="58">
        <f t="shared" si="19"/>
        <v>1440</v>
      </c>
      <c r="BB34" s="59"/>
      <c r="BC34" s="58" t="str">
        <f t="shared" si="20"/>
        <v/>
      </c>
      <c r="BD34" s="59"/>
      <c r="BE34" s="58" t="str">
        <f t="shared" si="21"/>
        <v/>
      </c>
      <c r="BF34" s="59"/>
      <c r="BG34" s="58" t="str">
        <f t="shared" si="22"/>
        <v/>
      </c>
      <c r="BH34" s="59"/>
      <c r="BI34" s="58" t="str">
        <f t="shared" si="23"/>
        <v/>
      </c>
      <c r="BJ34" s="59"/>
      <c r="BK34" s="58" t="str">
        <f t="shared" si="24"/>
        <v/>
      </c>
      <c r="BL34" s="59"/>
      <c r="BM34" s="58" t="str">
        <f t="shared" si="25"/>
        <v/>
      </c>
      <c r="BN34" s="59"/>
      <c r="BO34" s="58" t="str">
        <f t="shared" si="26"/>
        <v/>
      </c>
      <c r="BP34" s="59"/>
      <c r="BQ34" s="58" t="str">
        <f t="shared" si="27"/>
        <v/>
      </c>
      <c r="BR34" s="59"/>
      <c r="BS34" s="58" t="str">
        <f t="shared" si="28"/>
        <v/>
      </c>
      <c r="BT34" s="59"/>
      <c r="BU34" s="58" t="str">
        <f t="shared" si="29"/>
        <v/>
      </c>
      <c r="BV34" s="59"/>
      <c r="BW34" s="58" t="str">
        <f t="shared" si="30"/>
        <v/>
      </c>
      <c r="BX34" s="59"/>
      <c r="BY34" s="58" t="str">
        <f t="shared" si="31"/>
        <v/>
      </c>
      <c r="BZ34" s="59"/>
    </row>
    <row r="35" spans="1:78" ht="14.5" hidden="1">
      <c r="A35" s="51" t="s">
        <v>58</v>
      </c>
      <c r="B35" s="52">
        <v>286</v>
      </c>
      <c r="C35" s="52" t="s">
        <v>188</v>
      </c>
      <c r="D35" s="41">
        <f t="shared" si="1"/>
        <v>3</v>
      </c>
      <c r="E35" s="41" t="s">
        <v>631</v>
      </c>
      <c r="F35" s="41" t="s">
        <v>631</v>
      </c>
      <c r="G35" s="52" t="s">
        <v>390</v>
      </c>
      <c r="H35" s="52" t="s">
        <v>242</v>
      </c>
      <c r="I35" s="52" t="s">
        <v>162</v>
      </c>
      <c r="J35" s="52" t="s">
        <v>430</v>
      </c>
      <c r="K35" s="53">
        <v>45669</v>
      </c>
      <c r="L35" s="108">
        <v>912</v>
      </c>
      <c r="M35" s="101">
        <v>912</v>
      </c>
      <c r="N35" s="101">
        <v>912</v>
      </c>
      <c r="O35" s="107">
        <f t="shared" si="32"/>
        <v>0</v>
      </c>
      <c r="P35" s="54">
        <f t="shared" si="33"/>
        <v>0</v>
      </c>
      <c r="Q35" s="101" t="s">
        <v>431</v>
      </c>
      <c r="R35" s="101" t="s">
        <v>632</v>
      </c>
      <c r="S35" s="101" t="s">
        <v>633</v>
      </c>
      <c r="T35" s="102">
        <f t="shared" si="4"/>
        <v>1.2666666666666666</v>
      </c>
      <c r="U35" s="102">
        <v>6</v>
      </c>
      <c r="V35" s="99">
        <v>120</v>
      </c>
      <c r="W35" s="55">
        <f t="shared" si="34"/>
        <v>45649</v>
      </c>
      <c r="X35" s="55">
        <v>45620</v>
      </c>
      <c r="Y35" s="56">
        <f t="shared" ca="1" si="5"/>
        <v>29</v>
      </c>
      <c r="Z35" s="55">
        <f t="shared" si="6"/>
        <v>45665</v>
      </c>
      <c r="AA35" s="55"/>
      <c r="AB35" s="56">
        <f t="shared" ca="1" si="7"/>
        <v>-175</v>
      </c>
      <c r="AC35" s="55"/>
      <c r="AD35" s="57"/>
      <c r="AE35" s="58" t="str">
        <f t="shared" si="8"/>
        <v>-</v>
      </c>
      <c r="AF35" s="59"/>
      <c r="AG35" s="58" t="str">
        <f t="shared" si="9"/>
        <v/>
      </c>
      <c r="AH35" s="59"/>
      <c r="AI35" s="58" t="str">
        <f t="shared" si="10"/>
        <v/>
      </c>
      <c r="AJ35" s="59"/>
      <c r="AK35" s="58" t="str">
        <f t="shared" si="11"/>
        <v/>
      </c>
      <c r="AL35" s="59"/>
      <c r="AM35" s="58" t="str">
        <f t="shared" si="12"/>
        <v/>
      </c>
      <c r="AN35" s="59"/>
      <c r="AO35" s="58" t="str">
        <f t="shared" si="13"/>
        <v/>
      </c>
      <c r="AP35" s="59"/>
      <c r="AQ35" s="58" t="str">
        <f t="shared" si="14"/>
        <v/>
      </c>
      <c r="AR35" s="59"/>
      <c r="AS35" s="58" t="str">
        <f t="shared" si="15"/>
        <v/>
      </c>
      <c r="AT35" s="59"/>
      <c r="AU35" s="58" t="str">
        <f t="shared" si="16"/>
        <v/>
      </c>
      <c r="AV35" s="59"/>
      <c r="AW35" s="58" t="str">
        <f t="shared" si="17"/>
        <v/>
      </c>
      <c r="AX35" s="59"/>
      <c r="AY35" s="58" t="str">
        <f t="shared" si="18"/>
        <v/>
      </c>
      <c r="AZ35" s="59"/>
      <c r="BA35" s="58">
        <f t="shared" si="19"/>
        <v>912</v>
      </c>
      <c r="BB35" s="59"/>
      <c r="BC35" s="58" t="str">
        <f t="shared" si="20"/>
        <v/>
      </c>
      <c r="BD35" s="59"/>
      <c r="BE35" s="58" t="str">
        <f t="shared" si="21"/>
        <v/>
      </c>
      <c r="BF35" s="59"/>
      <c r="BG35" s="58" t="str">
        <f t="shared" si="22"/>
        <v/>
      </c>
      <c r="BH35" s="59"/>
      <c r="BI35" s="58" t="str">
        <f t="shared" si="23"/>
        <v/>
      </c>
      <c r="BJ35" s="59"/>
      <c r="BK35" s="58" t="str">
        <f t="shared" si="24"/>
        <v/>
      </c>
      <c r="BL35" s="59"/>
      <c r="BM35" s="58" t="str">
        <f t="shared" si="25"/>
        <v/>
      </c>
      <c r="BN35" s="59"/>
      <c r="BO35" s="58" t="str">
        <f t="shared" si="26"/>
        <v/>
      </c>
      <c r="BP35" s="59"/>
      <c r="BQ35" s="58" t="str">
        <f t="shared" si="27"/>
        <v/>
      </c>
      <c r="BR35" s="59"/>
      <c r="BS35" s="58" t="str">
        <f t="shared" si="28"/>
        <v/>
      </c>
      <c r="BT35" s="59"/>
      <c r="BU35" s="58" t="str">
        <f t="shared" si="29"/>
        <v/>
      </c>
      <c r="BV35" s="59"/>
      <c r="BW35" s="58" t="str">
        <f t="shared" si="30"/>
        <v/>
      </c>
      <c r="BX35" s="59"/>
      <c r="BY35" s="58" t="str">
        <f t="shared" si="31"/>
        <v/>
      </c>
      <c r="BZ35" s="59"/>
    </row>
    <row r="36" spans="1:78" ht="14.5" hidden="1">
      <c r="A36" s="51" t="s">
        <v>58</v>
      </c>
      <c r="B36" s="52">
        <v>286</v>
      </c>
      <c r="C36" s="52" t="s">
        <v>188</v>
      </c>
      <c r="D36" s="41">
        <f t="shared" si="1"/>
        <v>3</v>
      </c>
      <c r="E36" s="41" t="s">
        <v>631</v>
      </c>
      <c r="F36" s="41" t="s">
        <v>631</v>
      </c>
      <c r="G36" s="52" t="s">
        <v>245</v>
      </c>
      <c r="H36" s="52" t="s">
        <v>242</v>
      </c>
      <c r="I36" s="52" t="s">
        <v>244</v>
      </c>
      <c r="J36" s="52" t="s">
        <v>432</v>
      </c>
      <c r="K36" s="53">
        <v>45669</v>
      </c>
      <c r="L36" s="108">
        <v>1336</v>
      </c>
      <c r="M36" s="101">
        <v>1336</v>
      </c>
      <c r="N36" s="101">
        <v>1336</v>
      </c>
      <c r="O36" s="107">
        <f t="shared" si="32"/>
        <v>0</v>
      </c>
      <c r="P36" s="54">
        <f t="shared" si="33"/>
        <v>0</v>
      </c>
      <c r="Q36" s="101" t="s">
        <v>439</v>
      </c>
      <c r="R36" s="101" t="s">
        <v>632</v>
      </c>
      <c r="S36" s="101" t="s">
        <v>645</v>
      </c>
      <c r="T36" s="102">
        <f t="shared" si="4"/>
        <v>1.8555555555555556</v>
      </c>
      <c r="U36" s="102">
        <v>6</v>
      </c>
      <c r="V36" s="99">
        <v>120</v>
      </c>
      <c r="W36" s="55">
        <f t="shared" si="34"/>
        <v>45649</v>
      </c>
      <c r="X36" s="55">
        <v>45620</v>
      </c>
      <c r="Y36" s="56">
        <f t="shared" ca="1" si="5"/>
        <v>29</v>
      </c>
      <c r="Z36" s="55">
        <f t="shared" si="6"/>
        <v>45665</v>
      </c>
      <c r="AA36" s="55"/>
      <c r="AB36" s="56">
        <f t="shared" ca="1" si="7"/>
        <v>-175</v>
      </c>
      <c r="AC36" s="55"/>
      <c r="AD36" s="57"/>
      <c r="AE36" s="58" t="str">
        <f t="shared" si="8"/>
        <v>-</v>
      </c>
      <c r="AF36" s="59"/>
      <c r="AG36" s="58" t="str">
        <f t="shared" si="9"/>
        <v/>
      </c>
      <c r="AH36" s="59"/>
      <c r="AI36" s="58" t="str">
        <f t="shared" si="10"/>
        <v/>
      </c>
      <c r="AJ36" s="59"/>
      <c r="AK36" s="58" t="str">
        <f t="shared" si="11"/>
        <v/>
      </c>
      <c r="AL36" s="59"/>
      <c r="AM36" s="58" t="str">
        <f t="shared" si="12"/>
        <v/>
      </c>
      <c r="AN36" s="59"/>
      <c r="AO36" s="58" t="str">
        <f t="shared" si="13"/>
        <v/>
      </c>
      <c r="AP36" s="59"/>
      <c r="AQ36" s="58" t="str">
        <f t="shared" si="14"/>
        <v/>
      </c>
      <c r="AR36" s="59"/>
      <c r="AS36" s="58" t="str">
        <f t="shared" si="15"/>
        <v/>
      </c>
      <c r="AT36" s="59"/>
      <c r="AU36" s="58" t="str">
        <f t="shared" si="16"/>
        <v/>
      </c>
      <c r="AV36" s="59"/>
      <c r="AW36" s="58" t="str">
        <f t="shared" si="17"/>
        <v/>
      </c>
      <c r="AX36" s="59"/>
      <c r="AY36" s="58" t="str">
        <f t="shared" si="18"/>
        <v/>
      </c>
      <c r="AZ36" s="59"/>
      <c r="BA36" s="58">
        <f t="shared" si="19"/>
        <v>1336</v>
      </c>
      <c r="BB36" s="59"/>
      <c r="BC36" s="58" t="str">
        <f t="shared" si="20"/>
        <v/>
      </c>
      <c r="BD36" s="59"/>
      <c r="BE36" s="58" t="str">
        <f t="shared" si="21"/>
        <v/>
      </c>
      <c r="BF36" s="59"/>
      <c r="BG36" s="58" t="str">
        <f t="shared" si="22"/>
        <v/>
      </c>
      <c r="BH36" s="59"/>
      <c r="BI36" s="58" t="str">
        <f t="shared" si="23"/>
        <v/>
      </c>
      <c r="BJ36" s="59"/>
      <c r="BK36" s="58" t="str">
        <f t="shared" si="24"/>
        <v/>
      </c>
      <c r="BL36" s="59"/>
      <c r="BM36" s="58" t="str">
        <f t="shared" si="25"/>
        <v/>
      </c>
      <c r="BN36" s="59"/>
      <c r="BO36" s="58" t="str">
        <f t="shared" si="26"/>
        <v/>
      </c>
      <c r="BP36" s="59"/>
      <c r="BQ36" s="58" t="str">
        <f t="shared" si="27"/>
        <v/>
      </c>
      <c r="BR36" s="59"/>
      <c r="BS36" s="58" t="str">
        <f t="shared" si="28"/>
        <v/>
      </c>
      <c r="BT36" s="59"/>
      <c r="BU36" s="58" t="str">
        <f t="shared" si="29"/>
        <v/>
      </c>
      <c r="BV36" s="59"/>
      <c r="BW36" s="58" t="str">
        <f t="shared" si="30"/>
        <v/>
      </c>
      <c r="BX36" s="59"/>
      <c r="BY36" s="58" t="str">
        <f t="shared" si="31"/>
        <v/>
      </c>
      <c r="BZ36" s="59"/>
    </row>
    <row r="37" spans="1:78" ht="14.5" hidden="1">
      <c r="A37" s="51" t="s">
        <v>58</v>
      </c>
      <c r="B37" s="52">
        <v>286</v>
      </c>
      <c r="C37" s="52" t="s">
        <v>188</v>
      </c>
      <c r="D37" s="41">
        <f t="shared" si="1"/>
        <v>3</v>
      </c>
      <c r="E37" s="41" t="s">
        <v>631</v>
      </c>
      <c r="F37" s="41" t="s">
        <v>631</v>
      </c>
      <c r="G37" s="52" t="s">
        <v>195</v>
      </c>
      <c r="H37" s="52" t="s">
        <v>286</v>
      </c>
      <c r="I37" s="52" t="s">
        <v>162</v>
      </c>
      <c r="J37" s="52" t="s">
        <v>434</v>
      </c>
      <c r="K37" s="53">
        <v>45669</v>
      </c>
      <c r="L37" s="108">
        <v>4536</v>
      </c>
      <c r="M37" s="101">
        <v>1500</v>
      </c>
      <c r="N37" s="101">
        <v>4536</v>
      </c>
      <c r="O37" s="107">
        <f t="shared" si="32"/>
        <v>0</v>
      </c>
      <c r="P37" s="54">
        <f t="shared" si="33"/>
        <v>3036</v>
      </c>
      <c r="Q37" s="167" t="s">
        <v>439</v>
      </c>
      <c r="R37" s="166">
        <v>45664</v>
      </c>
      <c r="S37" s="101"/>
      <c r="T37" s="102">
        <f t="shared" si="4"/>
        <v>6.3</v>
      </c>
      <c r="U37" s="102">
        <v>6</v>
      </c>
      <c r="V37" s="99">
        <v>120</v>
      </c>
      <c r="W37" s="55">
        <f t="shared" si="34"/>
        <v>45649</v>
      </c>
      <c r="X37" s="55">
        <v>45620</v>
      </c>
      <c r="Y37" s="56">
        <f t="shared" ca="1" si="5"/>
        <v>29</v>
      </c>
      <c r="Z37" s="55">
        <f t="shared" si="6"/>
        <v>45665</v>
      </c>
      <c r="AA37" s="55"/>
      <c r="AB37" s="56">
        <f t="shared" ca="1" si="7"/>
        <v>-175</v>
      </c>
      <c r="AC37" s="55"/>
      <c r="AD37" s="57"/>
      <c r="AE37" s="58" t="str">
        <f t="shared" si="8"/>
        <v>-</v>
      </c>
      <c r="AF37" s="59"/>
      <c r="AG37" s="58" t="str">
        <f t="shared" si="9"/>
        <v/>
      </c>
      <c r="AH37" s="59"/>
      <c r="AI37" s="58" t="str">
        <f t="shared" si="10"/>
        <v/>
      </c>
      <c r="AJ37" s="59"/>
      <c r="AK37" s="58" t="str">
        <f t="shared" si="11"/>
        <v/>
      </c>
      <c r="AL37" s="59"/>
      <c r="AM37" s="58" t="str">
        <f t="shared" si="12"/>
        <v/>
      </c>
      <c r="AN37" s="59"/>
      <c r="AO37" s="58" t="str">
        <f t="shared" si="13"/>
        <v/>
      </c>
      <c r="AP37" s="59"/>
      <c r="AQ37" s="58" t="str">
        <f t="shared" si="14"/>
        <v/>
      </c>
      <c r="AR37" s="59"/>
      <c r="AS37" s="58" t="str">
        <f t="shared" si="15"/>
        <v/>
      </c>
      <c r="AT37" s="59"/>
      <c r="AU37" s="58" t="str">
        <f t="shared" si="16"/>
        <v/>
      </c>
      <c r="AV37" s="59"/>
      <c r="AW37" s="58" t="str">
        <f t="shared" si="17"/>
        <v/>
      </c>
      <c r="AX37" s="59"/>
      <c r="AY37" s="58" t="str">
        <f t="shared" si="18"/>
        <v/>
      </c>
      <c r="AZ37" s="59"/>
      <c r="BA37" s="58">
        <f t="shared" si="19"/>
        <v>4536</v>
      </c>
      <c r="BB37" s="59"/>
      <c r="BC37" s="58" t="str">
        <f t="shared" si="20"/>
        <v/>
      </c>
      <c r="BD37" s="59"/>
      <c r="BE37" s="58" t="str">
        <f t="shared" si="21"/>
        <v/>
      </c>
      <c r="BF37" s="59"/>
      <c r="BG37" s="58" t="str">
        <f t="shared" si="22"/>
        <v/>
      </c>
      <c r="BH37" s="59"/>
      <c r="BI37" s="58" t="str">
        <f t="shared" si="23"/>
        <v/>
      </c>
      <c r="BJ37" s="59"/>
      <c r="BK37" s="58" t="str">
        <f t="shared" si="24"/>
        <v/>
      </c>
      <c r="BL37" s="59"/>
      <c r="BM37" s="58" t="str">
        <f t="shared" si="25"/>
        <v/>
      </c>
      <c r="BN37" s="59"/>
      <c r="BO37" s="58" t="str">
        <f t="shared" si="26"/>
        <v/>
      </c>
      <c r="BP37" s="59"/>
      <c r="BQ37" s="58" t="str">
        <f t="shared" si="27"/>
        <v/>
      </c>
      <c r="BR37" s="59"/>
      <c r="BS37" s="58" t="str">
        <f t="shared" si="28"/>
        <v/>
      </c>
      <c r="BT37" s="59"/>
      <c r="BU37" s="58" t="str">
        <f t="shared" si="29"/>
        <v/>
      </c>
      <c r="BV37" s="59"/>
      <c r="BW37" s="58" t="str">
        <f t="shared" si="30"/>
        <v/>
      </c>
      <c r="BX37" s="59"/>
      <c r="BY37" s="58" t="str">
        <f t="shared" si="31"/>
        <v/>
      </c>
      <c r="BZ37" s="59"/>
    </row>
    <row r="38" spans="1:78" ht="14.5" hidden="1">
      <c r="A38" s="51" t="s">
        <v>58</v>
      </c>
      <c r="B38" s="52">
        <v>286</v>
      </c>
      <c r="C38" s="52" t="s">
        <v>188</v>
      </c>
      <c r="D38" s="41">
        <f t="shared" si="1"/>
        <v>3</v>
      </c>
      <c r="E38" s="41" t="s">
        <v>631</v>
      </c>
      <c r="F38" s="41" t="s">
        <v>631</v>
      </c>
      <c r="G38" s="52" t="s">
        <v>158</v>
      </c>
      <c r="H38" s="52" t="s">
        <v>242</v>
      </c>
      <c r="I38" s="52" t="s">
        <v>255</v>
      </c>
      <c r="J38" s="52" t="s">
        <v>432</v>
      </c>
      <c r="K38" s="53">
        <v>45669</v>
      </c>
      <c r="L38" s="108">
        <v>668</v>
      </c>
      <c r="M38" s="101">
        <v>668</v>
      </c>
      <c r="N38" s="101">
        <v>668</v>
      </c>
      <c r="O38" s="107">
        <f t="shared" si="32"/>
        <v>0</v>
      </c>
      <c r="P38" s="54">
        <f t="shared" si="33"/>
        <v>0</v>
      </c>
      <c r="Q38" s="167" t="s">
        <v>439</v>
      </c>
      <c r="R38" s="166">
        <v>45663</v>
      </c>
      <c r="S38" s="101"/>
      <c r="T38" s="102">
        <f t="shared" si="4"/>
        <v>0.92777777777777781</v>
      </c>
      <c r="U38" s="102">
        <v>6</v>
      </c>
      <c r="V38" s="99">
        <v>120</v>
      </c>
      <c r="W38" s="55">
        <f t="shared" si="34"/>
        <v>45649</v>
      </c>
      <c r="X38" s="55">
        <v>45620</v>
      </c>
      <c r="Y38" s="56">
        <f t="shared" ca="1" si="5"/>
        <v>29</v>
      </c>
      <c r="Z38" s="55">
        <f t="shared" si="6"/>
        <v>45665</v>
      </c>
      <c r="AA38" s="55"/>
      <c r="AB38" s="56">
        <f t="shared" ca="1" si="7"/>
        <v>-175</v>
      </c>
      <c r="AC38" s="55"/>
      <c r="AD38" s="57"/>
      <c r="AE38" s="58" t="str">
        <f t="shared" si="8"/>
        <v>-</v>
      </c>
      <c r="AF38" s="59"/>
      <c r="AG38" s="58" t="str">
        <f t="shared" si="9"/>
        <v/>
      </c>
      <c r="AH38" s="59"/>
      <c r="AI38" s="58" t="str">
        <f t="shared" si="10"/>
        <v/>
      </c>
      <c r="AJ38" s="59"/>
      <c r="AK38" s="58" t="str">
        <f t="shared" si="11"/>
        <v/>
      </c>
      <c r="AL38" s="59"/>
      <c r="AM38" s="58" t="str">
        <f t="shared" si="12"/>
        <v/>
      </c>
      <c r="AN38" s="59"/>
      <c r="AO38" s="58" t="str">
        <f t="shared" si="13"/>
        <v/>
      </c>
      <c r="AP38" s="59"/>
      <c r="AQ38" s="58" t="str">
        <f t="shared" si="14"/>
        <v/>
      </c>
      <c r="AR38" s="59"/>
      <c r="AS38" s="58" t="str">
        <f t="shared" si="15"/>
        <v/>
      </c>
      <c r="AT38" s="59"/>
      <c r="AU38" s="58" t="str">
        <f t="shared" si="16"/>
        <v/>
      </c>
      <c r="AV38" s="59"/>
      <c r="AW38" s="58" t="str">
        <f t="shared" si="17"/>
        <v/>
      </c>
      <c r="AX38" s="59"/>
      <c r="AY38" s="58" t="str">
        <f t="shared" si="18"/>
        <v/>
      </c>
      <c r="AZ38" s="59"/>
      <c r="BA38" s="58">
        <f t="shared" si="19"/>
        <v>668</v>
      </c>
      <c r="BB38" s="59"/>
      <c r="BC38" s="58" t="str">
        <f t="shared" si="20"/>
        <v/>
      </c>
      <c r="BD38" s="59"/>
      <c r="BE38" s="58" t="str">
        <f t="shared" si="21"/>
        <v/>
      </c>
      <c r="BF38" s="59"/>
      <c r="BG38" s="58" t="str">
        <f t="shared" si="22"/>
        <v/>
      </c>
      <c r="BH38" s="59"/>
      <c r="BI38" s="58" t="str">
        <f t="shared" si="23"/>
        <v/>
      </c>
      <c r="BJ38" s="59"/>
      <c r="BK38" s="58" t="str">
        <f t="shared" si="24"/>
        <v/>
      </c>
      <c r="BL38" s="59"/>
      <c r="BM38" s="58" t="str">
        <f t="shared" si="25"/>
        <v/>
      </c>
      <c r="BN38" s="59"/>
      <c r="BO38" s="58" t="str">
        <f t="shared" si="26"/>
        <v/>
      </c>
      <c r="BP38" s="59"/>
      <c r="BQ38" s="58" t="str">
        <f t="shared" si="27"/>
        <v/>
      </c>
      <c r="BR38" s="59"/>
      <c r="BS38" s="58" t="str">
        <f t="shared" si="28"/>
        <v/>
      </c>
      <c r="BT38" s="59"/>
      <c r="BU38" s="58" t="str">
        <f t="shared" si="29"/>
        <v/>
      </c>
      <c r="BV38" s="59"/>
      <c r="BW38" s="58" t="str">
        <f t="shared" si="30"/>
        <v/>
      </c>
      <c r="BX38" s="59"/>
      <c r="BY38" s="58" t="str">
        <f t="shared" si="31"/>
        <v/>
      </c>
      <c r="BZ38" s="59"/>
    </row>
    <row r="39" spans="1:78" ht="14.5" hidden="1">
      <c r="A39" s="51" t="s">
        <v>58</v>
      </c>
      <c r="B39" s="52">
        <v>286</v>
      </c>
      <c r="C39" s="52" t="s">
        <v>188</v>
      </c>
      <c r="D39" s="41">
        <f t="shared" si="1"/>
        <v>3</v>
      </c>
      <c r="E39" s="41" t="s">
        <v>631</v>
      </c>
      <c r="F39" s="41" t="s">
        <v>631</v>
      </c>
      <c r="G39" s="52" t="s">
        <v>190</v>
      </c>
      <c r="H39" s="52" t="s">
        <v>242</v>
      </c>
      <c r="I39" s="52" t="s">
        <v>244</v>
      </c>
      <c r="J39" s="52" t="s">
        <v>438</v>
      </c>
      <c r="K39" s="53">
        <v>45669</v>
      </c>
      <c r="L39" s="108">
        <v>300</v>
      </c>
      <c r="M39" s="101">
        <v>300</v>
      </c>
      <c r="N39" s="101">
        <v>300</v>
      </c>
      <c r="O39" s="107">
        <f t="shared" si="32"/>
        <v>0</v>
      </c>
      <c r="P39" s="54">
        <f t="shared" si="33"/>
        <v>0</v>
      </c>
      <c r="Q39" s="167" t="s">
        <v>439</v>
      </c>
      <c r="R39" s="166">
        <v>45660</v>
      </c>
      <c r="S39" s="101"/>
      <c r="T39" s="102">
        <f t="shared" si="4"/>
        <v>0.41666666666666669</v>
      </c>
      <c r="U39" s="102">
        <v>6</v>
      </c>
      <c r="V39" s="99">
        <v>120</v>
      </c>
      <c r="W39" s="55">
        <f t="shared" si="34"/>
        <v>45649</v>
      </c>
      <c r="X39" s="55">
        <v>45620</v>
      </c>
      <c r="Y39" s="56">
        <f t="shared" ca="1" si="5"/>
        <v>29</v>
      </c>
      <c r="Z39" s="55">
        <f t="shared" si="6"/>
        <v>45665</v>
      </c>
      <c r="AA39" s="55"/>
      <c r="AB39" s="56">
        <f t="shared" ca="1" si="7"/>
        <v>-175</v>
      </c>
      <c r="AC39" s="55"/>
      <c r="AD39" s="57"/>
      <c r="AE39" s="58" t="str">
        <f t="shared" si="8"/>
        <v>-</v>
      </c>
      <c r="AF39" s="59"/>
      <c r="AG39" s="58" t="str">
        <f t="shared" si="9"/>
        <v/>
      </c>
      <c r="AH39" s="59"/>
      <c r="AI39" s="58" t="str">
        <f t="shared" si="10"/>
        <v/>
      </c>
      <c r="AJ39" s="59"/>
      <c r="AK39" s="58" t="str">
        <f t="shared" si="11"/>
        <v/>
      </c>
      <c r="AL39" s="59"/>
      <c r="AM39" s="58" t="str">
        <f t="shared" si="12"/>
        <v/>
      </c>
      <c r="AN39" s="59"/>
      <c r="AO39" s="58" t="str">
        <f t="shared" si="13"/>
        <v/>
      </c>
      <c r="AP39" s="59"/>
      <c r="AQ39" s="58" t="str">
        <f t="shared" si="14"/>
        <v/>
      </c>
      <c r="AR39" s="59"/>
      <c r="AS39" s="58" t="str">
        <f t="shared" si="15"/>
        <v/>
      </c>
      <c r="AT39" s="59"/>
      <c r="AU39" s="58" t="str">
        <f t="shared" si="16"/>
        <v/>
      </c>
      <c r="AV39" s="59"/>
      <c r="AW39" s="58" t="str">
        <f t="shared" si="17"/>
        <v/>
      </c>
      <c r="AX39" s="59"/>
      <c r="AY39" s="58" t="str">
        <f t="shared" si="18"/>
        <v/>
      </c>
      <c r="AZ39" s="59"/>
      <c r="BA39" s="58">
        <f t="shared" si="19"/>
        <v>300</v>
      </c>
      <c r="BB39" s="59"/>
      <c r="BC39" s="58" t="str">
        <f t="shared" si="20"/>
        <v/>
      </c>
      <c r="BD39" s="59"/>
      <c r="BE39" s="58" t="str">
        <f t="shared" si="21"/>
        <v/>
      </c>
      <c r="BF39" s="59"/>
      <c r="BG39" s="58" t="str">
        <f t="shared" si="22"/>
        <v/>
      </c>
      <c r="BH39" s="59"/>
      <c r="BI39" s="58" t="str">
        <f t="shared" si="23"/>
        <v/>
      </c>
      <c r="BJ39" s="59"/>
      <c r="BK39" s="58" t="str">
        <f t="shared" si="24"/>
        <v/>
      </c>
      <c r="BL39" s="59"/>
      <c r="BM39" s="58" t="str">
        <f t="shared" si="25"/>
        <v/>
      </c>
      <c r="BN39" s="59"/>
      <c r="BO39" s="58" t="str">
        <f t="shared" si="26"/>
        <v/>
      </c>
      <c r="BP39" s="59"/>
      <c r="BQ39" s="58" t="str">
        <f t="shared" si="27"/>
        <v/>
      </c>
      <c r="BR39" s="59"/>
      <c r="BS39" s="58" t="str">
        <f t="shared" si="28"/>
        <v/>
      </c>
      <c r="BT39" s="59"/>
      <c r="BU39" s="58" t="str">
        <f t="shared" si="29"/>
        <v/>
      </c>
      <c r="BV39" s="59"/>
      <c r="BW39" s="58" t="str">
        <f t="shared" si="30"/>
        <v/>
      </c>
      <c r="BX39" s="59"/>
      <c r="BY39" s="58" t="str">
        <f t="shared" si="31"/>
        <v/>
      </c>
      <c r="BZ39" s="59"/>
    </row>
    <row r="40" spans="1:78" ht="14.5" hidden="1">
      <c r="A40" s="51" t="s">
        <v>58</v>
      </c>
      <c r="B40" s="52">
        <v>286</v>
      </c>
      <c r="C40" s="52" t="s">
        <v>188</v>
      </c>
      <c r="D40" s="41">
        <f t="shared" si="1"/>
        <v>3</v>
      </c>
      <c r="E40" s="170" t="s">
        <v>631</v>
      </c>
      <c r="F40" s="41" t="s">
        <v>646</v>
      </c>
      <c r="G40" s="52" t="s">
        <v>135</v>
      </c>
      <c r="H40" s="52" t="s">
        <v>256</v>
      </c>
      <c r="I40" s="52" t="s">
        <v>451</v>
      </c>
      <c r="J40" s="52" t="s">
        <v>452</v>
      </c>
      <c r="K40" s="53">
        <v>45669</v>
      </c>
      <c r="L40" s="108">
        <v>6800</v>
      </c>
      <c r="M40" s="101">
        <v>6800</v>
      </c>
      <c r="N40" s="101"/>
      <c r="O40" s="107">
        <f t="shared" si="32"/>
        <v>6800</v>
      </c>
      <c r="P40" s="54">
        <f t="shared" si="33"/>
        <v>0</v>
      </c>
      <c r="Q40" s="101" t="s">
        <v>178</v>
      </c>
      <c r="R40" s="166">
        <v>45666</v>
      </c>
      <c r="S40" s="101" t="s">
        <v>647</v>
      </c>
      <c r="T40" s="102">
        <f t="shared" si="4"/>
        <v>3.2380952380952381</v>
      </c>
      <c r="U40" s="102">
        <v>6</v>
      </c>
      <c r="V40" s="99">
        <v>350</v>
      </c>
      <c r="W40" s="55">
        <f t="shared" si="34"/>
        <v>45649</v>
      </c>
      <c r="X40" s="55">
        <v>45620</v>
      </c>
      <c r="Y40" s="56">
        <f t="shared" ca="1" si="5"/>
        <v>29</v>
      </c>
      <c r="Z40" s="55">
        <f t="shared" si="6"/>
        <v>45665</v>
      </c>
      <c r="AA40" s="55"/>
      <c r="AB40" s="56">
        <f t="shared" ca="1" si="7"/>
        <v>-175</v>
      </c>
      <c r="AC40" s="55"/>
      <c r="AD40" s="57"/>
      <c r="AE40" s="58" t="str">
        <f t="shared" si="8"/>
        <v>-</v>
      </c>
      <c r="AF40" s="59"/>
      <c r="AG40" s="58" t="str">
        <f t="shared" si="9"/>
        <v/>
      </c>
      <c r="AH40" s="59"/>
      <c r="AI40" s="58" t="str">
        <f t="shared" si="10"/>
        <v/>
      </c>
      <c r="AJ40" s="59"/>
      <c r="AK40" s="58" t="str">
        <f t="shared" si="11"/>
        <v/>
      </c>
      <c r="AL40" s="59"/>
      <c r="AM40" s="58" t="str">
        <f t="shared" si="12"/>
        <v/>
      </c>
      <c r="AN40" s="59"/>
      <c r="AO40" s="58" t="str">
        <f t="shared" si="13"/>
        <v/>
      </c>
      <c r="AP40" s="59"/>
      <c r="AQ40" s="58" t="str">
        <f t="shared" si="14"/>
        <v/>
      </c>
      <c r="AR40" s="59"/>
      <c r="AS40" s="58" t="str">
        <f t="shared" si="15"/>
        <v/>
      </c>
      <c r="AT40" s="59"/>
      <c r="AU40" s="58" t="str">
        <f t="shared" si="16"/>
        <v/>
      </c>
      <c r="AV40" s="59"/>
      <c r="AW40" s="58" t="str">
        <f t="shared" si="17"/>
        <v/>
      </c>
      <c r="AX40" s="59"/>
      <c r="AY40" s="58" t="str">
        <f t="shared" si="18"/>
        <v/>
      </c>
      <c r="AZ40" s="59"/>
      <c r="BA40" s="58">
        <f t="shared" si="19"/>
        <v>6800</v>
      </c>
      <c r="BB40" s="59"/>
      <c r="BC40" s="58" t="str">
        <f t="shared" si="20"/>
        <v/>
      </c>
      <c r="BD40" s="59"/>
      <c r="BE40" s="58" t="str">
        <f t="shared" si="21"/>
        <v/>
      </c>
      <c r="BF40" s="59"/>
      <c r="BG40" s="58" t="str">
        <f t="shared" si="22"/>
        <v/>
      </c>
      <c r="BH40" s="59"/>
      <c r="BI40" s="58" t="str">
        <f t="shared" si="23"/>
        <v/>
      </c>
      <c r="BJ40" s="59"/>
      <c r="BK40" s="58" t="str">
        <f t="shared" si="24"/>
        <v/>
      </c>
      <c r="BL40" s="59"/>
      <c r="BM40" s="58" t="str">
        <f t="shared" si="25"/>
        <v/>
      </c>
      <c r="BN40" s="59"/>
      <c r="BO40" s="58" t="str">
        <f t="shared" si="26"/>
        <v/>
      </c>
      <c r="BP40" s="59"/>
      <c r="BQ40" s="58" t="str">
        <f t="shared" si="27"/>
        <v/>
      </c>
      <c r="BR40" s="59"/>
      <c r="BS40" s="58" t="str">
        <f t="shared" si="28"/>
        <v/>
      </c>
      <c r="BT40" s="59"/>
      <c r="BU40" s="58" t="str">
        <f t="shared" si="29"/>
        <v/>
      </c>
      <c r="BV40" s="59"/>
      <c r="BW40" s="58" t="str">
        <f t="shared" si="30"/>
        <v/>
      </c>
      <c r="BX40" s="59"/>
      <c r="BY40" s="58" t="str">
        <f t="shared" si="31"/>
        <v/>
      </c>
      <c r="BZ40" s="59"/>
    </row>
    <row r="41" spans="1:78" ht="14.5" hidden="1">
      <c r="A41" s="51" t="s">
        <v>58</v>
      </c>
      <c r="B41" s="52">
        <v>318</v>
      </c>
      <c r="C41" s="52" t="s">
        <v>188</v>
      </c>
      <c r="D41" s="41">
        <f t="shared" si="1"/>
        <v>3</v>
      </c>
      <c r="E41" s="41" t="s">
        <v>631</v>
      </c>
      <c r="F41" s="41" t="s">
        <v>631</v>
      </c>
      <c r="G41" s="172" t="s">
        <v>195</v>
      </c>
      <c r="H41" s="52" t="s">
        <v>454</v>
      </c>
      <c r="I41" s="52" t="s">
        <v>162</v>
      </c>
      <c r="J41" s="52" t="s">
        <v>516</v>
      </c>
      <c r="K41" s="53">
        <v>45671</v>
      </c>
      <c r="L41" s="108">
        <v>1488</v>
      </c>
      <c r="M41" s="101">
        <v>1488</v>
      </c>
      <c r="N41" s="101">
        <v>1488</v>
      </c>
      <c r="O41" s="107">
        <f t="shared" si="32"/>
        <v>0</v>
      </c>
      <c r="P41" s="54">
        <f t="shared" si="33"/>
        <v>0</v>
      </c>
      <c r="Q41" s="101" t="s">
        <v>178</v>
      </c>
      <c r="R41" s="101" t="s">
        <v>632</v>
      </c>
      <c r="S41" s="101"/>
      <c r="T41" s="102">
        <f t="shared" si="4"/>
        <v>2.0666666666666669</v>
      </c>
      <c r="U41" s="102">
        <v>6</v>
      </c>
      <c r="V41" s="99">
        <v>120</v>
      </c>
      <c r="W41" s="55">
        <f t="shared" si="34"/>
        <v>45651</v>
      </c>
      <c r="X41" s="55">
        <v>45606</v>
      </c>
      <c r="Y41" s="56">
        <f t="shared" ca="1" si="5"/>
        <v>45</v>
      </c>
      <c r="Z41" s="55">
        <f t="shared" si="6"/>
        <v>45667</v>
      </c>
      <c r="AA41" s="55"/>
      <c r="AB41" s="56">
        <f t="shared" ca="1" si="7"/>
        <v>-173</v>
      </c>
      <c r="AC41" s="55"/>
      <c r="AD41" s="57"/>
      <c r="AE41" s="58" t="str">
        <f t="shared" si="8"/>
        <v>-</v>
      </c>
      <c r="AF41" s="59"/>
      <c r="AG41" s="58" t="str">
        <f t="shared" si="9"/>
        <v/>
      </c>
      <c r="AH41" s="59"/>
      <c r="AI41" s="58" t="str">
        <f t="shared" si="10"/>
        <v/>
      </c>
      <c r="AJ41" s="59"/>
      <c r="AK41" s="58" t="str">
        <f t="shared" si="11"/>
        <v/>
      </c>
      <c r="AL41" s="59"/>
      <c r="AM41" s="58" t="str">
        <f t="shared" si="12"/>
        <v/>
      </c>
      <c r="AN41" s="59"/>
      <c r="AO41" s="58" t="str">
        <f t="shared" si="13"/>
        <v/>
      </c>
      <c r="AP41" s="59"/>
      <c r="AQ41" s="58" t="str">
        <f t="shared" si="14"/>
        <v/>
      </c>
      <c r="AR41" s="59"/>
      <c r="AS41" s="58" t="str">
        <f t="shared" si="15"/>
        <v/>
      </c>
      <c r="AT41" s="59"/>
      <c r="AU41" s="58" t="str">
        <f t="shared" si="16"/>
        <v/>
      </c>
      <c r="AV41" s="59"/>
      <c r="AW41" s="58" t="str">
        <f t="shared" si="17"/>
        <v/>
      </c>
      <c r="AX41" s="59"/>
      <c r="AY41" s="58" t="str">
        <f t="shared" si="18"/>
        <v/>
      </c>
      <c r="AZ41" s="59"/>
      <c r="BA41" s="58">
        <f t="shared" si="19"/>
        <v>1488</v>
      </c>
      <c r="BB41" s="59"/>
      <c r="BC41" s="58" t="str">
        <f t="shared" si="20"/>
        <v/>
      </c>
      <c r="BD41" s="59"/>
      <c r="BE41" s="58" t="str">
        <f t="shared" si="21"/>
        <v/>
      </c>
      <c r="BF41" s="59"/>
      <c r="BG41" s="58" t="str">
        <f t="shared" si="22"/>
        <v/>
      </c>
      <c r="BH41" s="59"/>
      <c r="BI41" s="58" t="str">
        <f t="shared" si="23"/>
        <v/>
      </c>
      <c r="BJ41" s="59"/>
      <c r="BK41" s="58" t="str">
        <f t="shared" si="24"/>
        <v/>
      </c>
      <c r="BL41" s="59"/>
      <c r="BM41" s="58" t="str">
        <f t="shared" si="25"/>
        <v/>
      </c>
      <c r="BN41" s="59"/>
      <c r="BO41" s="58" t="str">
        <f t="shared" si="26"/>
        <v/>
      </c>
      <c r="BP41" s="59"/>
      <c r="BQ41" s="58" t="str">
        <f t="shared" si="27"/>
        <v/>
      </c>
      <c r="BR41" s="59"/>
      <c r="BS41" s="58" t="str">
        <f t="shared" si="28"/>
        <v/>
      </c>
      <c r="BT41" s="59"/>
      <c r="BU41" s="58" t="str">
        <f t="shared" si="29"/>
        <v/>
      </c>
      <c r="BV41" s="59"/>
      <c r="BW41" s="58" t="str">
        <f t="shared" si="30"/>
        <v/>
      </c>
      <c r="BX41" s="59"/>
      <c r="BY41" s="58" t="str">
        <f t="shared" si="31"/>
        <v/>
      </c>
      <c r="BZ41" s="59"/>
    </row>
    <row r="42" spans="1:78" ht="14.5" hidden="1">
      <c r="A42" s="51" t="s">
        <v>58</v>
      </c>
      <c r="B42" s="52">
        <v>318</v>
      </c>
      <c r="C42" s="52" t="s">
        <v>188</v>
      </c>
      <c r="D42" s="41">
        <f t="shared" si="1"/>
        <v>3</v>
      </c>
      <c r="E42" s="41" t="s">
        <v>631</v>
      </c>
      <c r="F42" s="41" t="s">
        <v>631</v>
      </c>
      <c r="G42" s="52" t="s">
        <v>81</v>
      </c>
      <c r="H42" s="52" t="s">
        <v>290</v>
      </c>
      <c r="I42" s="52" t="s">
        <v>291</v>
      </c>
      <c r="J42" s="52" t="s">
        <v>435</v>
      </c>
      <c r="K42" s="53">
        <v>45671</v>
      </c>
      <c r="L42" s="108">
        <v>1488</v>
      </c>
      <c r="M42" s="101">
        <v>1488</v>
      </c>
      <c r="N42" s="101">
        <v>1488</v>
      </c>
      <c r="O42" s="107">
        <f t="shared" si="32"/>
        <v>0</v>
      </c>
      <c r="P42" s="54">
        <f t="shared" si="33"/>
        <v>0</v>
      </c>
      <c r="Q42" s="101" t="s">
        <v>436</v>
      </c>
      <c r="R42" s="166">
        <v>45667</v>
      </c>
      <c r="S42" s="101"/>
      <c r="T42" s="102">
        <f t="shared" si="4"/>
        <v>0.16666666666666666</v>
      </c>
      <c r="U42" s="102">
        <v>6</v>
      </c>
      <c r="V42" s="99">
        <v>1488</v>
      </c>
      <c r="W42" s="55">
        <f t="shared" si="34"/>
        <v>45651</v>
      </c>
      <c r="X42" s="55"/>
      <c r="Y42" s="56">
        <f t="shared" ca="1" si="5"/>
        <v>-189</v>
      </c>
      <c r="Z42" s="55">
        <f t="shared" si="6"/>
        <v>45667</v>
      </c>
      <c r="AA42" s="55"/>
      <c r="AB42" s="56">
        <f t="shared" ca="1" si="7"/>
        <v>-173</v>
      </c>
      <c r="AC42" s="55"/>
      <c r="AD42" s="57"/>
      <c r="AE42" s="58" t="str">
        <f t="shared" si="8"/>
        <v>-</v>
      </c>
      <c r="AF42" s="59"/>
      <c r="AG42" s="58" t="str">
        <f t="shared" si="9"/>
        <v/>
      </c>
      <c r="AH42" s="59"/>
      <c r="AI42" s="58" t="str">
        <f t="shared" si="10"/>
        <v/>
      </c>
      <c r="AJ42" s="59"/>
      <c r="AK42" s="58" t="str">
        <f t="shared" si="11"/>
        <v/>
      </c>
      <c r="AL42" s="59"/>
      <c r="AM42" s="58" t="str">
        <f t="shared" si="12"/>
        <v/>
      </c>
      <c r="AN42" s="59"/>
      <c r="AO42" s="58" t="str">
        <f t="shared" si="13"/>
        <v/>
      </c>
      <c r="AP42" s="59"/>
      <c r="AQ42" s="58" t="str">
        <f t="shared" si="14"/>
        <v/>
      </c>
      <c r="AR42" s="59"/>
      <c r="AS42" s="58" t="str">
        <f t="shared" si="15"/>
        <v/>
      </c>
      <c r="AT42" s="59"/>
      <c r="AU42" s="58" t="str">
        <f t="shared" si="16"/>
        <v/>
      </c>
      <c r="AV42" s="59"/>
      <c r="AW42" s="58" t="str">
        <f t="shared" si="17"/>
        <v/>
      </c>
      <c r="AX42" s="59"/>
      <c r="AY42" s="58" t="str">
        <f t="shared" si="18"/>
        <v/>
      </c>
      <c r="AZ42" s="59"/>
      <c r="BA42" s="58">
        <f t="shared" si="19"/>
        <v>1488</v>
      </c>
      <c r="BB42" s="59"/>
      <c r="BC42" s="58" t="str">
        <f t="shared" si="20"/>
        <v/>
      </c>
      <c r="BD42" s="59"/>
      <c r="BE42" s="58" t="str">
        <f t="shared" si="21"/>
        <v/>
      </c>
      <c r="BF42" s="59"/>
      <c r="BG42" s="58" t="str">
        <f t="shared" si="22"/>
        <v/>
      </c>
      <c r="BH42" s="59"/>
      <c r="BI42" s="58" t="str">
        <f t="shared" si="23"/>
        <v/>
      </c>
      <c r="BJ42" s="59"/>
      <c r="BK42" s="58" t="str">
        <f t="shared" si="24"/>
        <v/>
      </c>
      <c r="BL42" s="59"/>
      <c r="BM42" s="58" t="str">
        <f t="shared" si="25"/>
        <v/>
      </c>
      <c r="BN42" s="59"/>
      <c r="BO42" s="58" t="str">
        <f t="shared" si="26"/>
        <v/>
      </c>
      <c r="BP42" s="59"/>
      <c r="BQ42" s="58" t="str">
        <f t="shared" si="27"/>
        <v/>
      </c>
      <c r="BR42" s="59"/>
      <c r="BS42" s="58" t="str">
        <f t="shared" si="28"/>
        <v/>
      </c>
      <c r="BT42" s="59"/>
      <c r="BU42" s="58" t="str">
        <f t="shared" si="29"/>
        <v/>
      </c>
      <c r="BV42" s="59"/>
      <c r="BW42" s="58" t="str">
        <f t="shared" si="30"/>
        <v/>
      </c>
      <c r="BX42" s="59"/>
      <c r="BY42" s="58" t="str">
        <f t="shared" si="31"/>
        <v/>
      </c>
      <c r="BZ42" s="59"/>
    </row>
    <row r="43" spans="1:78" ht="14.5" hidden="1">
      <c r="A43" s="51" t="s">
        <v>58</v>
      </c>
      <c r="B43" s="52">
        <v>318</v>
      </c>
      <c r="C43" s="52" t="s">
        <v>188</v>
      </c>
      <c r="D43" s="41">
        <f t="shared" si="1"/>
        <v>3</v>
      </c>
      <c r="E43" s="41" t="s">
        <v>631</v>
      </c>
      <c r="F43" s="41" t="s">
        <v>631</v>
      </c>
      <c r="G43" s="52" t="s">
        <v>81</v>
      </c>
      <c r="H43" s="52" t="s">
        <v>290</v>
      </c>
      <c r="I43" s="52" t="s">
        <v>293</v>
      </c>
      <c r="J43" s="52" t="s">
        <v>435</v>
      </c>
      <c r="K43" s="53">
        <v>45671</v>
      </c>
      <c r="L43" s="108">
        <v>1488</v>
      </c>
      <c r="M43" s="101">
        <v>1488</v>
      </c>
      <c r="N43" s="101">
        <v>1488</v>
      </c>
      <c r="O43" s="107">
        <f t="shared" si="32"/>
        <v>0</v>
      </c>
      <c r="P43" s="54">
        <f t="shared" si="33"/>
        <v>0</v>
      </c>
      <c r="Q43" s="101" t="s">
        <v>436</v>
      </c>
      <c r="R43" s="166">
        <v>45667</v>
      </c>
      <c r="S43" s="101"/>
      <c r="T43" s="102">
        <f t="shared" si="4"/>
        <v>0.16666666666666666</v>
      </c>
      <c r="U43" s="102">
        <v>6</v>
      </c>
      <c r="V43" s="99">
        <v>1488</v>
      </c>
      <c r="W43" s="55">
        <f t="shared" si="34"/>
        <v>45651</v>
      </c>
      <c r="X43" s="55"/>
      <c r="Y43" s="56">
        <f t="shared" ca="1" si="5"/>
        <v>-189</v>
      </c>
      <c r="Z43" s="55">
        <f t="shared" si="6"/>
        <v>45667</v>
      </c>
      <c r="AA43" s="55"/>
      <c r="AB43" s="56">
        <f t="shared" ca="1" si="7"/>
        <v>-173</v>
      </c>
      <c r="AC43" s="55"/>
      <c r="AD43" s="57"/>
      <c r="AE43" s="58" t="str">
        <f t="shared" si="8"/>
        <v>-</v>
      </c>
      <c r="AF43" s="59"/>
      <c r="AG43" s="58" t="str">
        <f t="shared" si="9"/>
        <v/>
      </c>
      <c r="AH43" s="59"/>
      <c r="AI43" s="58" t="str">
        <f t="shared" si="10"/>
        <v/>
      </c>
      <c r="AJ43" s="59"/>
      <c r="AK43" s="58" t="str">
        <f t="shared" si="11"/>
        <v/>
      </c>
      <c r="AL43" s="59"/>
      <c r="AM43" s="58" t="str">
        <f t="shared" si="12"/>
        <v/>
      </c>
      <c r="AN43" s="59"/>
      <c r="AO43" s="58" t="str">
        <f t="shared" si="13"/>
        <v/>
      </c>
      <c r="AP43" s="59"/>
      <c r="AQ43" s="58" t="str">
        <f t="shared" si="14"/>
        <v/>
      </c>
      <c r="AR43" s="59"/>
      <c r="AS43" s="58" t="str">
        <f t="shared" si="15"/>
        <v/>
      </c>
      <c r="AT43" s="59"/>
      <c r="AU43" s="58" t="str">
        <f t="shared" si="16"/>
        <v/>
      </c>
      <c r="AV43" s="59"/>
      <c r="AW43" s="58" t="str">
        <f t="shared" si="17"/>
        <v/>
      </c>
      <c r="AX43" s="59"/>
      <c r="AY43" s="58" t="str">
        <f t="shared" si="18"/>
        <v/>
      </c>
      <c r="AZ43" s="59"/>
      <c r="BA43" s="58">
        <f t="shared" si="19"/>
        <v>1488</v>
      </c>
      <c r="BB43" s="59"/>
      <c r="BC43" s="58" t="str">
        <f t="shared" si="20"/>
        <v/>
      </c>
      <c r="BD43" s="59"/>
      <c r="BE43" s="58" t="str">
        <f t="shared" si="21"/>
        <v/>
      </c>
      <c r="BF43" s="59"/>
      <c r="BG43" s="58" t="str">
        <f t="shared" si="22"/>
        <v/>
      </c>
      <c r="BH43" s="59"/>
      <c r="BI43" s="58" t="str">
        <f t="shared" si="23"/>
        <v/>
      </c>
      <c r="BJ43" s="59"/>
      <c r="BK43" s="58" t="str">
        <f t="shared" si="24"/>
        <v/>
      </c>
      <c r="BL43" s="59"/>
      <c r="BM43" s="58" t="str">
        <f t="shared" si="25"/>
        <v/>
      </c>
      <c r="BN43" s="59"/>
      <c r="BO43" s="58" t="str">
        <f t="shared" si="26"/>
        <v/>
      </c>
      <c r="BP43" s="59"/>
      <c r="BQ43" s="58" t="str">
        <f t="shared" si="27"/>
        <v/>
      </c>
      <c r="BR43" s="59"/>
      <c r="BS43" s="58" t="str">
        <f t="shared" si="28"/>
        <v/>
      </c>
      <c r="BT43" s="59"/>
      <c r="BU43" s="58" t="str">
        <f t="shared" si="29"/>
        <v/>
      </c>
      <c r="BV43" s="59"/>
      <c r="BW43" s="58" t="str">
        <f t="shared" si="30"/>
        <v/>
      </c>
      <c r="BX43" s="59"/>
      <c r="BY43" s="58" t="str">
        <f t="shared" si="31"/>
        <v/>
      </c>
      <c r="BZ43" s="59"/>
    </row>
    <row r="44" spans="1:78" ht="14.5" hidden="1">
      <c r="A44" s="51" t="s">
        <v>58</v>
      </c>
      <c r="B44" s="52">
        <v>318</v>
      </c>
      <c r="C44" s="52" t="s">
        <v>188</v>
      </c>
      <c r="D44" s="41">
        <f t="shared" si="1"/>
        <v>3</v>
      </c>
      <c r="E44" s="41" t="s">
        <v>631</v>
      </c>
      <c r="F44" s="41" t="s">
        <v>631</v>
      </c>
      <c r="G44" s="52" t="s">
        <v>81</v>
      </c>
      <c r="H44" s="52" t="s">
        <v>290</v>
      </c>
      <c r="I44" s="52" t="s">
        <v>294</v>
      </c>
      <c r="J44" s="52" t="s">
        <v>435</v>
      </c>
      <c r="K44" s="53">
        <v>45671</v>
      </c>
      <c r="L44" s="108">
        <v>1488</v>
      </c>
      <c r="M44" s="101">
        <v>1488</v>
      </c>
      <c r="N44" s="101">
        <v>1488</v>
      </c>
      <c r="O44" s="107">
        <f t="shared" si="32"/>
        <v>0</v>
      </c>
      <c r="P44" s="54">
        <f t="shared" si="33"/>
        <v>0</v>
      </c>
      <c r="Q44" s="101" t="s">
        <v>436</v>
      </c>
      <c r="R44" s="166">
        <v>45667</v>
      </c>
      <c r="S44" s="101"/>
      <c r="T44" s="102">
        <f t="shared" si="4"/>
        <v>0.16666666666666666</v>
      </c>
      <c r="U44" s="102">
        <v>6</v>
      </c>
      <c r="V44" s="99">
        <v>1488</v>
      </c>
      <c r="W44" s="55">
        <f t="shared" si="34"/>
        <v>45651</v>
      </c>
      <c r="X44" s="55"/>
      <c r="Y44" s="56">
        <f t="shared" ca="1" si="5"/>
        <v>-189</v>
      </c>
      <c r="Z44" s="55">
        <f t="shared" si="6"/>
        <v>45667</v>
      </c>
      <c r="AA44" s="55"/>
      <c r="AB44" s="56">
        <f t="shared" ca="1" si="7"/>
        <v>-173</v>
      </c>
      <c r="AC44" s="55"/>
      <c r="AD44" s="57"/>
      <c r="AE44" s="58" t="str">
        <f t="shared" si="8"/>
        <v>-</v>
      </c>
      <c r="AF44" s="59"/>
      <c r="AG44" s="58" t="str">
        <f t="shared" si="9"/>
        <v/>
      </c>
      <c r="AH44" s="59"/>
      <c r="AI44" s="58" t="str">
        <f t="shared" si="10"/>
        <v/>
      </c>
      <c r="AJ44" s="59"/>
      <c r="AK44" s="58" t="str">
        <f t="shared" si="11"/>
        <v/>
      </c>
      <c r="AL44" s="59"/>
      <c r="AM44" s="58" t="str">
        <f t="shared" si="12"/>
        <v/>
      </c>
      <c r="AN44" s="59"/>
      <c r="AO44" s="58" t="str">
        <f t="shared" si="13"/>
        <v/>
      </c>
      <c r="AP44" s="59"/>
      <c r="AQ44" s="58" t="str">
        <f t="shared" si="14"/>
        <v/>
      </c>
      <c r="AR44" s="59"/>
      <c r="AS44" s="58" t="str">
        <f t="shared" si="15"/>
        <v/>
      </c>
      <c r="AT44" s="59"/>
      <c r="AU44" s="58" t="str">
        <f t="shared" si="16"/>
        <v/>
      </c>
      <c r="AV44" s="59"/>
      <c r="AW44" s="58" t="str">
        <f t="shared" si="17"/>
        <v/>
      </c>
      <c r="AX44" s="59"/>
      <c r="AY44" s="58" t="str">
        <f t="shared" si="18"/>
        <v/>
      </c>
      <c r="AZ44" s="59"/>
      <c r="BA44" s="58">
        <f t="shared" si="19"/>
        <v>1488</v>
      </c>
      <c r="BB44" s="59"/>
      <c r="BC44" s="58" t="str">
        <f t="shared" si="20"/>
        <v/>
      </c>
      <c r="BD44" s="59"/>
      <c r="BE44" s="58" t="str">
        <f t="shared" si="21"/>
        <v/>
      </c>
      <c r="BF44" s="59"/>
      <c r="BG44" s="58" t="str">
        <f t="shared" si="22"/>
        <v/>
      </c>
      <c r="BH44" s="59"/>
      <c r="BI44" s="58" t="str">
        <f t="shared" si="23"/>
        <v/>
      </c>
      <c r="BJ44" s="59"/>
      <c r="BK44" s="58" t="str">
        <f t="shared" si="24"/>
        <v/>
      </c>
      <c r="BL44" s="59"/>
      <c r="BM44" s="58" t="str">
        <f t="shared" si="25"/>
        <v/>
      </c>
      <c r="BN44" s="59"/>
      <c r="BO44" s="58" t="str">
        <f t="shared" si="26"/>
        <v/>
      </c>
      <c r="BP44" s="59"/>
      <c r="BQ44" s="58" t="str">
        <f t="shared" si="27"/>
        <v/>
      </c>
      <c r="BR44" s="59"/>
      <c r="BS44" s="58" t="str">
        <f t="shared" si="28"/>
        <v/>
      </c>
      <c r="BT44" s="59"/>
      <c r="BU44" s="58" t="str">
        <f t="shared" si="29"/>
        <v/>
      </c>
      <c r="BV44" s="59"/>
      <c r="BW44" s="58" t="str">
        <f t="shared" si="30"/>
        <v/>
      </c>
      <c r="BX44" s="59"/>
      <c r="BY44" s="58" t="str">
        <f t="shared" si="31"/>
        <v/>
      </c>
      <c r="BZ44" s="59"/>
    </row>
    <row r="45" spans="1:78" ht="14.5" hidden="1">
      <c r="A45" s="51" t="s">
        <v>58</v>
      </c>
      <c r="B45" s="52">
        <v>318</v>
      </c>
      <c r="C45" s="52" t="s">
        <v>188</v>
      </c>
      <c r="D45" s="41">
        <f t="shared" si="1"/>
        <v>3</v>
      </c>
      <c r="E45" s="41" t="s">
        <v>631</v>
      </c>
      <c r="F45" s="41" t="s">
        <v>631</v>
      </c>
      <c r="G45" s="52" t="s">
        <v>502</v>
      </c>
      <c r="H45" s="52" t="s">
        <v>289</v>
      </c>
      <c r="I45" s="52" t="s">
        <v>155</v>
      </c>
      <c r="J45" s="52" t="s">
        <v>503</v>
      </c>
      <c r="K45" s="53">
        <v>45671</v>
      </c>
      <c r="L45" s="108">
        <v>1788</v>
      </c>
      <c r="M45" s="101">
        <v>1788</v>
      </c>
      <c r="N45" s="101">
        <v>0</v>
      </c>
      <c r="O45" s="107">
        <f t="shared" si="32"/>
        <v>1788</v>
      </c>
      <c r="P45" s="54">
        <f t="shared" si="33"/>
        <v>0</v>
      </c>
      <c r="Q45" s="101" t="s">
        <v>506</v>
      </c>
      <c r="R45" s="166">
        <v>45667</v>
      </c>
      <c r="S45" s="101" t="s">
        <v>648</v>
      </c>
      <c r="T45" s="102">
        <f t="shared" si="4"/>
        <v>9.3125</v>
      </c>
      <c r="U45" s="102">
        <v>6</v>
      </c>
      <c r="V45" s="99">
        <f>480/15</f>
        <v>32</v>
      </c>
      <c r="W45" s="55">
        <f t="shared" si="34"/>
        <v>45651</v>
      </c>
      <c r="X45" s="55"/>
      <c r="Y45" s="56">
        <f t="shared" ca="1" si="5"/>
        <v>-189</v>
      </c>
      <c r="Z45" s="55">
        <f t="shared" si="6"/>
        <v>45667</v>
      </c>
      <c r="AA45" s="55"/>
      <c r="AB45" s="56">
        <f t="shared" ca="1" si="7"/>
        <v>-173</v>
      </c>
      <c r="AC45" s="55"/>
      <c r="AD45" s="57"/>
      <c r="AE45" s="58" t="str">
        <f t="shared" si="8"/>
        <v>-</v>
      </c>
      <c r="AF45" s="59"/>
      <c r="AG45" s="58" t="str">
        <f t="shared" si="9"/>
        <v/>
      </c>
      <c r="AH45" s="59"/>
      <c r="AI45" s="58" t="str">
        <f t="shared" si="10"/>
        <v/>
      </c>
      <c r="AJ45" s="59"/>
      <c r="AK45" s="58" t="str">
        <f t="shared" si="11"/>
        <v/>
      </c>
      <c r="AL45" s="59"/>
      <c r="AM45" s="58" t="str">
        <f t="shared" si="12"/>
        <v/>
      </c>
      <c r="AN45" s="59"/>
      <c r="AO45" s="58" t="str">
        <f t="shared" si="13"/>
        <v/>
      </c>
      <c r="AP45" s="59"/>
      <c r="AQ45" s="58" t="str">
        <f t="shared" si="14"/>
        <v/>
      </c>
      <c r="AR45" s="59"/>
      <c r="AS45" s="58" t="str">
        <f t="shared" si="15"/>
        <v/>
      </c>
      <c r="AT45" s="59"/>
      <c r="AU45" s="58" t="str">
        <f t="shared" si="16"/>
        <v/>
      </c>
      <c r="AV45" s="59"/>
      <c r="AW45" s="58" t="str">
        <f t="shared" si="17"/>
        <v/>
      </c>
      <c r="AX45" s="59"/>
      <c r="AY45" s="58" t="str">
        <f t="shared" si="18"/>
        <v/>
      </c>
      <c r="AZ45" s="59"/>
      <c r="BA45" s="58">
        <f t="shared" si="19"/>
        <v>1788</v>
      </c>
      <c r="BB45" s="59"/>
      <c r="BC45" s="58" t="str">
        <f t="shared" si="20"/>
        <v/>
      </c>
      <c r="BD45" s="59"/>
      <c r="BE45" s="58" t="str">
        <f t="shared" si="21"/>
        <v/>
      </c>
      <c r="BF45" s="59"/>
      <c r="BG45" s="58" t="str">
        <f t="shared" si="22"/>
        <v/>
      </c>
      <c r="BH45" s="59"/>
      <c r="BI45" s="58" t="str">
        <f t="shared" si="23"/>
        <v/>
      </c>
      <c r="BJ45" s="59"/>
      <c r="BK45" s="58" t="str">
        <f t="shared" si="24"/>
        <v/>
      </c>
      <c r="BL45" s="59"/>
      <c r="BM45" s="58" t="str">
        <f t="shared" si="25"/>
        <v/>
      </c>
      <c r="BN45" s="59"/>
      <c r="BO45" s="58" t="str">
        <f t="shared" si="26"/>
        <v/>
      </c>
      <c r="BP45" s="59"/>
      <c r="BQ45" s="58" t="str">
        <f t="shared" si="27"/>
        <v/>
      </c>
      <c r="BR45" s="59"/>
      <c r="BS45" s="58" t="str">
        <f t="shared" si="28"/>
        <v/>
      </c>
      <c r="BT45" s="59"/>
      <c r="BU45" s="58" t="str">
        <f t="shared" si="29"/>
        <v/>
      </c>
      <c r="BV45" s="59"/>
      <c r="BW45" s="58" t="str">
        <f t="shared" si="30"/>
        <v/>
      </c>
      <c r="BX45" s="59"/>
      <c r="BY45" s="58" t="str">
        <f t="shared" si="31"/>
        <v/>
      </c>
      <c r="BZ45" s="59"/>
    </row>
    <row r="46" spans="1:78" ht="14.5" hidden="1">
      <c r="A46" s="51" t="s">
        <v>58</v>
      </c>
      <c r="B46" s="52">
        <v>318</v>
      </c>
      <c r="C46" s="52" t="s">
        <v>188</v>
      </c>
      <c r="D46" s="41">
        <f t="shared" si="1"/>
        <v>3</v>
      </c>
      <c r="E46" s="41" t="s">
        <v>631</v>
      </c>
      <c r="F46" s="41" t="s">
        <v>631</v>
      </c>
      <c r="G46" s="52" t="s">
        <v>502</v>
      </c>
      <c r="H46" s="52" t="s">
        <v>289</v>
      </c>
      <c r="I46" s="52" t="s">
        <v>154</v>
      </c>
      <c r="J46" s="52" t="s">
        <v>503</v>
      </c>
      <c r="K46" s="53">
        <v>45671</v>
      </c>
      <c r="L46" s="108">
        <v>1490</v>
      </c>
      <c r="M46" s="101">
        <v>1490</v>
      </c>
      <c r="N46" s="101">
        <v>900</v>
      </c>
      <c r="O46" s="107">
        <f t="shared" si="32"/>
        <v>590</v>
      </c>
      <c r="P46" s="54">
        <f t="shared" si="33"/>
        <v>0</v>
      </c>
      <c r="Q46" s="101" t="s">
        <v>649</v>
      </c>
      <c r="R46" s="166">
        <v>45667</v>
      </c>
      <c r="S46" s="101" t="s">
        <v>648</v>
      </c>
      <c r="T46" s="102">
        <f t="shared" si="4"/>
        <v>7.760416666666667</v>
      </c>
      <c r="U46" s="102">
        <v>6</v>
      </c>
      <c r="V46" s="99">
        <f>480/15</f>
        <v>32</v>
      </c>
      <c r="W46" s="55">
        <f t="shared" si="34"/>
        <v>45651</v>
      </c>
      <c r="X46" s="55"/>
      <c r="Y46" s="56">
        <f t="shared" ca="1" si="5"/>
        <v>-189</v>
      </c>
      <c r="Z46" s="55">
        <f t="shared" si="6"/>
        <v>45667</v>
      </c>
      <c r="AA46" s="55"/>
      <c r="AB46" s="56">
        <f t="shared" ca="1" si="7"/>
        <v>-173</v>
      </c>
      <c r="AC46" s="55"/>
      <c r="AD46" s="57"/>
      <c r="AE46" s="58" t="str">
        <f t="shared" si="8"/>
        <v>-</v>
      </c>
      <c r="AF46" s="59"/>
      <c r="AG46" s="58" t="str">
        <f t="shared" si="9"/>
        <v/>
      </c>
      <c r="AH46" s="59"/>
      <c r="AI46" s="58" t="str">
        <f t="shared" si="10"/>
        <v/>
      </c>
      <c r="AJ46" s="59"/>
      <c r="AK46" s="58" t="str">
        <f t="shared" si="11"/>
        <v/>
      </c>
      <c r="AL46" s="59"/>
      <c r="AM46" s="58" t="str">
        <f t="shared" si="12"/>
        <v/>
      </c>
      <c r="AN46" s="59"/>
      <c r="AO46" s="58" t="str">
        <f t="shared" si="13"/>
        <v/>
      </c>
      <c r="AP46" s="59"/>
      <c r="AQ46" s="58" t="str">
        <f t="shared" si="14"/>
        <v/>
      </c>
      <c r="AR46" s="59"/>
      <c r="AS46" s="58" t="str">
        <f t="shared" si="15"/>
        <v/>
      </c>
      <c r="AT46" s="59"/>
      <c r="AU46" s="58" t="str">
        <f t="shared" si="16"/>
        <v/>
      </c>
      <c r="AV46" s="59"/>
      <c r="AW46" s="58" t="str">
        <f t="shared" si="17"/>
        <v/>
      </c>
      <c r="AX46" s="59"/>
      <c r="AY46" s="58" t="str">
        <f t="shared" si="18"/>
        <v/>
      </c>
      <c r="AZ46" s="59"/>
      <c r="BA46" s="58">
        <f t="shared" si="19"/>
        <v>1490</v>
      </c>
      <c r="BB46" s="59"/>
      <c r="BC46" s="58" t="str">
        <f t="shared" si="20"/>
        <v/>
      </c>
      <c r="BD46" s="59"/>
      <c r="BE46" s="58" t="str">
        <f t="shared" si="21"/>
        <v/>
      </c>
      <c r="BF46" s="59"/>
      <c r="BG46" s="58" t="str">
        <f t="shared" si="22"/>
        <v/>
      </c>
      <c r="BH46" s="59"/>
      <c r="BI46" s="58" t="str">
        <f t="shared" si="23"/>
        <v/>
      </c>
      <c r="BJ46" s="59"/>
      <c r="BK46" s="58" t="str">
        <f t="shared" si="24"/>
        <v/>
      </c>
      <c r="BL46" s="59"/>
      <c r="BM46" s="58" t="str">
        <f t="shared" si="25"/>
        <v/>
      </c>
      <c r="BN46" s="59"/>
      <c r="BO46" s="58" t="str">
        <f t="shared" si="26"/>
        <v/>
      </c>
      <c r="BP46" s="59"/>
      <c r="BQ46" s="58" t="str">
        <f t="shared" si="27"/>
        <v/>
      </c>
      <c r="BR46" s="59"/>
      <c r="BS46" s="58" t="str">
        <f t="shared" si="28"/>
        <v/>
      </c>
      <c r="BT46" s="59"/>
      <c r="BU46" s="58" t="str">
        <f t="shared" si="29"/>
        <v/>
      </c>
      <c r="BV46" s="59"/>
      <c r="BW46" s="58" t="str">
        <f t="shared" si="30"/>
        <v/>
      </c>
      <c r="BX46" s="59"/>
      <c r="BY46" s="58" t="str">
        <f t="shared" si="31"/>
        <v/>
      </c>
      <c r="BZ46" s="59"/>
    </row>
    <row r="47" spans="1:78" ht="14.5" hidden="1">
      <c r="A47" s="51" t="s">
        <v>58</v>
      </c>
      <c r="B47" s="52">
        <v>318</v>
      </c>
      <c r="C47" s="52" t="s">
        <v>188</v>
      </c>
      <c r="D47" s="41">
        <f t="shared" si="1"/>
        <v>3</v>
      </c>
      <c r="E47" s="41" t="s">
        <v>631</v>
      </c>
      <c r="F47" s="41" t="s">
        <v>631</v>
      </c>
      <c r="G47" s="52" t="s">
        <v>502</v>
      </c>
      <c r="H47" s="52" t="s">
        <v>289</v>
      </c>
      <c r="I47" s="52" t="s">
        <v>156</v>
      </c>
      <c r="J47" s="52" t="s">
        <v>503</v>
      </c>
      <c r="K47" s="53">
        <v>45671</v>
      </c>
      <c r="L47" s="108">
        <v>1192</v>
      </c>
      <c r="M47" s="101">
        <v>1192</v>
      </c>
      <c r="N47" s="101">
        <v>1192</v>
      </c>
      <c r="O47" s="107">
        <f t="shared" si="32"/>
        <v>0</v>
      </c>
      <c r="P47" s="54">
        <f t="shared" si="33"/>
        <v>0</v>
      </c>
      <c r="Q47" s="101" t="s">
        <v>630</v>
      </c>
      <c r="R47" s="166">
        <v>45667</v>
      </c>
      <c r="S47" s="101" t="s">
        <v>648</v>
      </c>
      <c r="T47" s="102">
        <f t="shared" si="4"/>
        <v>6.208333333333333</v>
      </c>
      <c r="U47" s="102">
        <v>6</v>
      </c>
      <c r="V47" s="99">
        <f>480/15</f>
        <v>32</v>
      </c>
      <c r="W47" s="55">
        <f t="shared" si="34"/>
        <v>45651</v>
      </c>
      <c r="X47" s="55"/>
      <c r="Y47" s="56">
        <f t="shared" ca="1" si="5"/>
        <v>-189</v>
      </c>
      <c r="Z47" s="55">
        <f t="shared" si="6"/>
        <v>45667</v>
      </c>
      <c r="AA47" s="55"/>
      <c r="AB47" s="56">
        <f t="shared" ca="1" si="7"/>
        <v>-173</v>
      </c>
      <c r="AC47" s="55"/>
      <c r="AD47" s="57"/>
      <c r="AE47" s="58" t="str">
        <f t="shared" si="8"/>
        <v>-</v>
      </c>
      <c r="AF47" s="59"/>
      <c r="AG47" s="58" t="str">
        <f t="shared" si="9"/>
        <v/>
      </c>
      <c r="AH47" s="59"/>
      <c r="AI47" s="58" t="str">
        <f t="shared" si="10"/>
        <v/>
      </c>
      <c r="AJ47" s="59"/>
      <c r="AK47" s="58" t="str">
        <f t="shared" si="11"/>
        <v/>
      </c>
      <c r="AL47" s="59"/>
      <c r="AM47" s="58" t="str">
        <f t="shared" si="12"/>
        <v/>
      </c>
      <c r="AN47" s="59"/>
      <c r="AO47" s="58" t="str">
        <f t="shared" si="13"/>
        <v/>
      </c>
      <c r="AP47" s="59"/>
      <c r="AQ47" s="58" t="str">
        <f t="shared" si="14"/>
        <v/>
      </c>
      <c r="AR47" s="59"/>
      <c r="AS47" s="58" t="str">
        <f t="shared" si="15"/>
        <v/>
      </c>
      <c r="AT47" s="59"/>
      <c r="AU47" s="58" t="str">
        <f t="shared" si="16"/>
        <v/>
      </c>
      <c r="AV47" s="59"/>
      <c r="AW47" s="58" t="str">
        <f t="shared" si="17"/>
        <v/>
      </c>
      <c r="AX47" s="59"/>
      <c r="AY47" s="58" t="str">
        <f t="shared" si="18"/>
        <v/>
      </c>
      <c r="AZ47" s="59"/>
      <c r="BA47" s="58">
        <f t="shared" si="19"/>
        <v>1192</v>
      </c>
      <c r="BB47" s="59"/>
      <c r="BC47" s="58" t="str">
        <f t="shared" si="20"/>
        <v/>
      </c>
      <c r="BD47" s="59"/>
      <c r="BE47" s="58" t="str">
        <f t="shared" si="21"/>
        <v/>
      </c>
      <c r="BF47" s="59"/>
      <c r="BG47" s="58" t="str">
        <f t="shared" si="22"/>
        <v/>
      </c>
      <c r="BH47" s="59"/>
      <c r="BI47" s="58" t="str">
        <f t="shared" si="23"/>
        <v/>
      </c>
      <c r="BJ47" s="59"/>
      <c r="BK47" s="58" t="str">
        <f t="shared" si="24"/>
        <v/>
      </c>
      <c r="BL47" s="59"/>
      <c r="BM47" s="58" t="str">
        <f t="shared" si="25"/>
        <v/>
      </c>
      <c r="BN47" s="59"/>
      <c r="BO47" s="58" t="str">
        <f t="shared" si="26"/>
        <v/>
      </c>
      <c r="BP47" s="59"/>
      <c r="BQ47" s="58" t="str">
        <f t="shared" si="27"/>
        <v/>
      </c>
      <c r="BR47" s="59"/>
      <c r="BS47" s="58" t="str">
        <f t="shared" si="28"/>
        <v/>
      </c>
      <c r="BT47" s="59"/>
      <c r="BU47" s="58" t="str">
        <f t="shared" si="29"/>
        <v/>
      </c>
      <c r="BV47" s="59"/>
      <c r="BW47" s="58" t="str">
        <f t="shared" si="30"/>
        <v/>
      </c>
      <c r="BX47" s="59"/>
      <c r="BY47" s="58" t="str">
        <f t="shared" si="31"/>
        <v/>
      </c>
      <c r="BZ47" s="59"/>
    </row>
    <row r="48" spans="1:78" ht="14.5" hidden="1">
      <c r="A48" s="51" t="s">
        <v>58</v>
      </c>
      <c r="B48" s="52">
        <v>318</v>
      </c>
      <c r="C48" s="52" t="s">
        <v>188</v>
      </c>
      <c r="D48" s="41">
        <f t="shared" si="1"/>
        <v>3</v>
      </c>
      <c r="E48" s="41" t="s">
        <v>631</v>
      </c>
      <c r="F48" s="41" t="s">
        <v>631</v>
      </c>
      <c r="G48" s="52" t="s">
        <v>390</v>
      </c>
      <c r="H48" s="52" t="s">
        <v>242</v>
      </c>
      <c r="I48" s="52" t="s">
        <v>162</v>
      </c>
      <c r="J48" s="52" t="s">
        <v>430</v>
      </c>
      <c r="K48" s="53">
        <v>45671</v>
      </c>
      <c r="L48" s="108">
        <v>888</v>
      </c>
      <c r="M48" s="101">
        <v>888</v>
      </c>
      <c r="N48" s="101">
        <v>888</v>
      </c>
      <c r="O48" s="107">
        <f t="shared" si="32"/>
        <v>0</v>
      </c>
      <c r="P48" s="54">
        <f t="shared" si="33"/>
        <v>0</v>
      </c>
      <c r="Q48" s="101" t="s">
        <v>431</v>
      </c>
      <c r="R48" s="101" t="s">
        <v>632</v>
      </c>
      <c r="S48" s="101"/>
      <c r="T48" s="102">
        <f t="shared" si="4"/>
        <v>1.2333333333333334</v>
      </c>
      <c r="U48" s="102">
        <v>6</v>
      </c>
      <c r="V48" s="99">
        <v>120</v>
      </c>
      <c r="W48" s="55">
        <f t="shared" si="34"/>
        <v>45651</v>
      </c>
      <c r="X48" s="55">
        <v>45606</v>
      </c>
      <c r="Y48" s="56">
        <f t="shared" ca="1" si="5"/>
        <v>45</v>
      </c>
      <c r="Z48" s="55">
        <f t="shared" si="6"/>
        <v>45667</v>
      </c>
      <c r="AA48" s="55"/>
      <c r="AB48" s="56">
        <f t="shared" ca="1" si="7"/>
        <v>-173</v>
      </c>
      <c r="AC48" s="55"/>
      <c r="AD48" s="57"/>
      <c r="AE48" s="58" t="str">
        <f t="shared" si="8"/>
        <v>-</v>
      </c>
      <c r="AF48" s="59"/>
      <c r="AG48" s="58" t="str">
        <f t="shared" si="9"/>
        <v/>
      </c>
      <c r="AH48" s="59"/>
      <c r="AI48" s="58" t="str">
        <f t="shared" si="10"/>
        <v/>
      </c>
      <c r="AJ48" s="59"/>
      <c r="AK48" s="58" t="str">
        <f t="shared" si="11"/>
        <v/>
      </c>
      <c r="AL48" s="59"/>
      <c r="AM48" s="58" t="str">
        <f t="shared" si="12"/>
        <v/>
      </c>
      <c r="AN48" s="59"/>
      <c r="AO48" s="58" t="str">
        <f t="shared" si="13"/>
        <v/>
      </c>
      <c r="AP48" s="59"/>
      <c r="AQ48" s="58" t="str">
        <f t="shared" si="14"/>
        <v/>
      </c>
      <c r="AR48" s="59"/>
      <c r="AS48" s="58" t="str">
        <f t="shared" si="15"/>
        <v/>
      </c>
      <c r="AT48" s="59"/>
      <c r="AU48" s="58" t="str">
        <f t="shared" si="16"/>
        <v/>
      </c>
      <c r="AV48" s="59"/>
      <c r="AW48" s="58" t="str">
        <f t="shared" si="17"/>
        <v/>
      </c>
      <c r="AX48" s="59"/>
      <c r="AY48" s="58" t="str">
        <f t="shared" si="18"/>
        <v/>
      </c>
      <c r="AZ48" s="59"/>
      <c r="BA48" s="58">
        <f t="shared" si="19"/>
        <v>888</v>
      </c>
      <c r="BB48" s="59"/>
      <c r="BC48" s="58" t="str">
        <f t="shared" si="20"/>
        <v/>
      </c>
      <c r="BD48" s="59"/>
      <c r="BE48" s="58" t="str">
        <f t="shared" si="21"/>
        <v/>
      </c>
      <c r="BF48" s="59"/>
      <c r="BG48" s="58" t="str">
        <f t="shared" si="22"/>
        <v/>
      </c>
      <c r="BH48" s="59"/>
      <c r="BI48" s="58" t="str">
        <f t="shared" si="23"/>
        <v/>
      </c>
      <c r="BJ48" s="59"/>
      <c r="BK48" s="58" t="str">
        <f t="shared" si="24"/>
        <v/>
      </c>
      <c r="BL48" s="59"/>
      <c r="BM48" s="58" t="str">
        <f t="shared" si="25"/>
        <v/>
      </c>
      <c r="BN48" s="59"/>
      <c r="BO48" s="58" t="str">
        <f t="shared" si="26"/>
        <v/>
      </c>
      <c r="BP48" s="59"/>
      <c r="BQ48" s="58" t="str">
        <f t="shared" si="27"/>
        <v/>
      </c>
      <c r="BR48" s="59"/>
      <c r="BS48" s="58" t="str">
        <f t="shared" si="28"/>
        <v/>
      </c>
      <c r="BT48" s="59"/>
      <c r="BU48" s="58" t="str">
        <f t="shared" si="29"/>
        <v/>
      </c>
      <c r="BV48" s="59"/>
      <c r="BW48" s="58" t="str">
        <f t="shared" si="30"/>
        <v/>
      </c>
      <c r="BX48" s="59"/>
      <c r="BY48" s="58" t="str">
        <f t="shared" si="31"/>
        <v/>
      </c>
      <c r="BZ48" s="59"/>
    </row>
    <row r="49" spans="1:78" ht="14.5" hidden="1">
      <c r="A49" s="51" t="s">
        <v>58</v>
      </c>
      <c r="B49" s="52">
        <v>318</v>
      </c>
      <c r="C49" s="52" t="s">
        <v>188</v>
      </c>
      <c r="D49" s="41">
        <f t="shared" si="1"/>
        <v>3</v>
      </c>
      <c r="E49" s="41" t="s">
        <v>631</v>
      </c>
      <c r="F49" s="41" t="s">
        <v>631</v>
      </c>
      <c r="G49" s="52" t="s">
        <v>158</v>
      </c>
      <c r="H49" s="52" t="s">
        <v>242</v>
      </c>
      <c r="I49" s="52" t="s">
        <v>255</v>
      </c>
      <c r="J49" s="52" t="s">
        <v>445</v>
      </c>
      <c r="K49" s="53">
        <v>45671</v>
      </c>
      <c r="L49" s="108">
        <v>1336</v>
      </c>
      <c r="M49" s="101">
        <v>1336</v>
      </c>
      <c r="N49" s="101"/>
      <c r="O49" s="107">
        <f t="shared" si="32"/>
        <v>1336</v>
      </c>
      <c r="P49" s="54">
        <f t="shared" si="33"/>
        <v>0</v>
      </c>
      <c r="Q49" s="101" t="s">
        <v>437</v>
      </c>
      <c r="R49" s="101" t="s">
        <v>650</v>
      </c>
      <c r="S49" s="101"/>
      <c r="T49" s="102">
        <f t="shared" si="4"/>
        <v>1.8555555555555556</v>
      </c>
      <c r="U49" s="102">
        <v>6</v>
      </c>
      <c r="V49" s="99">
        <v>120</v>
      </c>
      <c r="W49" s="55">
        <f t="shared" si="34"/>
        <v>45651</v>
      </c>
      <c r="X49" s="55">
        <v>45606</v>
      </c>
      <c r="Y49" s="56">
        <f t="shared" ca="1" si="5"/>
        <v>45</v>
      </c>
      <c r="Z49" s="55">
        <f t="shared" si="6"/>
        <v>45667</v>
      </c>
      <c r="AA49" s="55"/>
      <c r="AB49" s="56">
        <f t="shared" ca="1" si="7"/>
        <v>-173</v>
      </c>
      <c r="AC49" s="55"/>
      <c r="AD49" s="57"/>
      <c r="AE49" s="58" t="str">
        <f t="shared" si="8"/>
        <v>-</v>
      </c>
      <c r="AF49" s="59"/>
      <c r="AG49" s="58" t="str">
        <f t="shared" si="9"/>
        <v/>
      </c>
      <c r="AH49" s="59"/>
      <c r="AI49" s="58" t="str">
        <f t="shared" si="10"/>
        <v/>
      </c>
      <c r="AJ49" s="59"/>
      <c r="AK49" s="58" t="str">
        <f t="shared" si="11"/>
        <v/>
      </c>
      <c r="AL49" s="59"/>
      <c r="AM49" s="58" t="str">
        <f t="shared" si="12"/>
        <v/>
      </c>
      <c r="AN49" s="59"/>
      <c r="AO49" s="58" t="str">
        <f t="shared" si="13"/>
        <v/>
      </c>
      <c r="AP49" s="59"/>
      <c r="AQ49" s="58" t="str">
        <f t="shared" si="14"/>
        <v/>
      </c>
      <c r="AR49" s="59"/>
      <c r="AS49" s="58" t="str">
        <f t="shared" si="15"/>
        <v/>
      </c>
      <c r="AT49" s="59"/>
      <c r="AU49" s="58" t="str">
        <f t="shared" si="16"/>
        <v/>
      </c>
      <c r="AV49" s="59"/>
      <c r="AW49" s="58" t="str">
        <f t="shared" si="17"/>
        <v/>
      </c>
      <c r="AX49" s="59"/>
      <c r="AY49" s="58" t="str">
        <f t="shared" si="18"/>
        <v/>
      </c>
      <c r="AZ49" s="59"/>
      <c r="BA49" s="58">
        <f t="shared" si="19"/>
        <v>1336</v>
      </c>
      <c r="BB49" s="59"/>
      <c r="BC49" s="58" t="str">
        <f t="shared" si="20"/>
        <v/>
      </c>
      <c r="BD49" s="59"/>
      <c r="BE49" s="58" t="str">
        <f t="shared" si="21"/>
        <v/>
      </c>
      <c r="BF49" s="59"/>
      <c r="BG49" s="58" t="str">
        <f t="shared" si="22"/>
        <v/>
      </c>
      <c r="BH49" s="59"/>
      <c r="BI49" s="58" t="str">
        <f t="shared" si="23"/>
        <v/>
      </c>
      <c r="BJ49" s="59"/>
      <c r="BK49" s="58" t="str">
        <f t="shared" si="24"/>
        <v/>
      </c>
      <c r="BL49" s="59"/>
      <c r="BM49" s="58" t="str">
        <f t="shared" si="25"/>
        <v/>
      </c>
      <c r="BN49" s="59"/>
      <c r="BO49" s="58" t="str">
        <f t="shared" si="26"/>
        <v/>
      </c>
      <c r="BP49" s="59"/>
      <c r="BQ49" s="58" t="str">
        <f t="shared" si="27"/>
        <v/>
      </c>
      <c r="BR49" s="59"/>
      <c r="BS49" s="58" t="str">
        <f t="shared" si="28"/>
        <v/>
      </c>
      <c r="BT49" s="59"/>
      <c r="BU49" s="58" t="str">
        <f t="shared" si="29"/>
        <v/>
      </c>
      <c r="BV49" s="59"/>
      <c r="BW49" s="58" t="str">
        <f t="shared" si="30"/>
        <v/>
      </c>
      <c r="BX49" s="59"/>
      <c r="BY49" s="58" t="str">
        <f t="shared" si="31"/>
        <v/>
      </c>
      <c r="BZ49" s="59"/>
    </row>
    <row r="50" spans="1:78" ht="14.5" hidden="1">
      <c r="A50" s="51" t="s">
        <v>58</v>
      </c>
      <c r="B50" s="52">
        <v>318</v>
      </c>
      <c r="C50" s="52" t="s">
        <v>188</v>
      </c>
      <c r="D50" s="41">
        <f t="shared" si="1"/>
        <v>3</v>
      </c>
      <c r="E50" s="41" t="s">
        <v>631</v>
      </c>
      <c r="F50" s="41" t="s">
        <v>631</v>
      </c>
      <c r="G50" s="52" t="s">
        <v>190</v>
      </c>
      <c r="H50" s="52" t="s">
        <v>242</v>
      </c>
      <c r="I50" s="52" t="s">
        <v>244</v>
      </c>
      <c r="J50" s="52" t="s">
        <v>513</v>
      </c>
      <c r="K50" s="53">
        <v>45671</v>
      </c>
      <c r="L50" s="108">
        <v>1344</v>
      </c>
      <c r="M50" s="101">
        <v>1344</v>
      </c>
      <c r="N50" s="101">
        <v>1344</v>
      </c>
      <c r="O50" s="107">
        <f t="shared" si="32"/>
        <v>0</v>
      </c>
      <c r="P50" s="54">
        <f t="shared" si="33"/>
        <v>0</v>
      </c>
      <c r="Q50" s="101" t="s">
        <v>439</v>
      </c>
      <c r="R50" s="166">
        <v>45662</v>
      </c>
      <c r="S50" s="101"/>
      <c r="T50" s="102">
        <f t="shared" si="4"/>
        <v>1.8666666666666667</v>
      </c>
      <c r="U50" s="102">
        <v>6</v>
      </c>
      <c r="V50" s="99">
        <v>120</v>
      </c>
      <c r="W50" s="55">
        <f t="shared" si="34"/>
        <v>45651</v>
      </c>
      <c r="X50" s="55">
        <v>45606</v>
      </c>
      <c r="Y50" s="56">
        <f t="shared" ca="1" si="5"/>
        <v>45</v>
      </c>
      <c r="Z50" s="55">
        <f t="shared" si="6"/>
        <v>45667</v>
      </c>
      <c r="AA50" s="55"/>
      <c r="AB50" s="56">
        <f t="shared" ca="1" si="7"/>
        <v>-173</v>
      </c>
      <c r="AC50" s="55"/>
      <c r="AD50" s="57"/>
      <c r="AE50" s="58" t="str">
        <f t="shared" si="8"/>
        <v>-</v>
      </c>
      <c r="AF50" s="59"/>
      <c r="AG50" s="58" t="str">
        <f t="shared" si="9"/>
        <v/>
      </c>
      <c r="AH50" s="59"/>
      <c r="AI50" s="58" t="str">
        <f t="shared" si="10"/>
        <v/>
      </c>
      <c r="AJ50" s="59"/>
      <c r="AK50" s="58" t="str">
        <f t="shared" si="11"/>
        <v/>
      </c>
      <c r="AL50" s="59"/>
      <c r="AM50" s="58" t="str">
        <f t="shared" si="12"/>
        <v/>
      </c>
      <c r="AN50" s="59"/>
      <c r="AO50" s="58" t="str">
        <f t="shared" si="13"/>
        <v/>
      </c>
      <c r="AP50" s="59"/>
      <c r="AQ50" s="58" t="str">
        <f t="shared" si="14"/>
        <v/>
      </c>
      <c r="AR50" s="59"/>
      <c r="AS50" s="58" t="str">
        <f t="shared" si="15"/>
        <v/>
      </c>
      <c r="AT50" s="59"/>
      <c r="AU50" s="58" t="str">
        <f t="shared" si="16"/>
        <v/>
      </c>
      <c r="AV50" s="59"/>
      <c r="AW50" s="58" t="str">
        <f t="shared" si="17"/>
        <v/>
      </c>
      <c r="AX50" s="59"/>
      <c r="AY50" s="58" t="str">
        <f t="shared" si="18"/>
        <v/>
      </c>
      <c r="AZ50" s="59"/>
      <c r="BA50" s="58">
        <f t="shared" si="19"/>
        <v>1344</v>
      </c>
      <c r="BB50" s="59"/>
      <c r="BC50" s="58" t="str">
        <f t="shared" si="20"/>
        <v/>
      </c>
      <c r="BD50" s="59"/>
      <c r="BE50" s="58" t="str">
        <f t="shared" si="21"/>
        <v/>
      </c>
      <c r="BF50" s="59"/>
      <c r="BG50" s="58" t="str">
        <f t="shared" si="22"/>
        <v/>
      </c>
      <c r="BH50" s="59"/>
      <c r="BI50" s="58" t="str">
        <f t="shared" si="23"/>
        <v/>
      </c>
      <c r="BJ50" s="59"/>
      <c r="BK50" s="58" t="str">
        <f t="shared" si="24"/>
        <v/>
      </c>
      <c r="BL50" s="59"/>
      <c r="BM50" s="58" t="str">
        <f t="shared" si="25"/>
        <v/>
      </c>
      <c r="BN50" s="59"/>
      <c r="BO50" s="58" t="str">
        <f t="shared" si="26"/>
        <v/>
      </c>
      <c r="BP50" s="59"/>
      <c r="BQ50" s="58" t="str">
        <f t="shared" si="27"/>
        <v/>
      </c>
      <c r="BR50" s="59"/>
      <c r="BS50" s="58" t="str">
        <f t="shared" si="28"/>
        <v/>
      </c>
      <c r="BT50" s="59"/>
      <c r="BU50" s="58" t="str">
        <f t="shared" si="29"/>
        <v/>
      </c>
      <c r="BV50" s="59"/>
      <c r="BW50" s="58" t="str">
        <f t="shared" si="30"/>
        <v/>
      </c>
      <c r="BX50" s="59"/>
      <c r="BY50" s="58" t="str">
        <f t="shared" si="31"/>
        <v/>
      </c>
      <c r="BZ50" s="59"/>
    </row>
    <row r="51" spans="1:78" ht="14.5" hidden="1">
      <c r="A51" s="51" t="s">
        <v>58</v>
      </c>
      <c r="B51" s="52">
        <v>331</v>
      </c>
      <c r="C51" s="52" t="s">
        <v>188</v>
      </c>
      <c r="D51" s="41">
        <f t="shared" si="1"/>
        <v>3</v>
      </c>
      <c r="E51" s="41" t="s">
        <v>631</v>
      </c>
      <c r="F51" s="41" t="s">
        <v>631</v>
      </c>
      <c r="G51" s="52" t="s">
        <v>391</v>
      </c>
      <c r="H51" s="52" t="s">
        <v>392</v>
      </c>
      <c r="I51" s="52" t="s">
        <v>393</v>
      </c>
      <c r="J51" s="52" t="s">
        <v>433</v>
      </c>
      <c r="K51" s="53">
        <v>45675</v>
      </c>
      <c r="L51" s="108">
        <v>2652</v>
      </c>
      <c r="M51" s="101">
        <v>2652</v>
      </c>
      <c r="N51" s="101">
        <v>2652</v>
      </c>
      <c r="O51" s="107">
        <f t="shared" si="32"/>
        <v>0</v>
      </c>
      <c r="P51" s="54">
        <f t="shared" si="33"/>
        <v>0</v>
      </c>
      <c r="Q51" s="101" t="s">
        <v>651</v>
      </c>
      <c r="R51" s="101" t="s">
        <v>632</v>
      </c>
      <c r="S51" s="101" t="s">
        <v>652</v>
      </c>
      <c r="T51" s="102">
        <f t="shared" si="4"/>
        <v>5.5250000000000004</v>
      </c>
      <c r="U51" s="102">
        <v>6</v>
      </c>
      <c r="V51" s="99">
        <v>80</v>
      </c>
      <c r="W51" s="55">
        <f t="shared" si="34"/>
        <v>45655</v>
      </c>
      <c r="X51" s="55">
        <v>45620</v>
      </c>
      <c r="Y51" s="56">
        <f t="shared" ca="1" si="5"/>
        <v>35</v>
      </c>
      <c r="Z51" s="55">
        <f t="shared" si="6"/>
        <v>45671</v>
      </c>
      <c r="AA51" s="55"/>
      <c r="AB51" s="56">
        <f t="shared" ca="1" si="7"/>
        <v>-169</v>
      </c>
      <c r="AC51" s="55"/>
      <c r="AD51" s="57"/>
      <c r="AE51" s="58" t="str">
        <f t="shared" si="8"/>
        <v>-</v>
      </c>
      <c r="AF51" s="59"/>
      <c r="AG51" s="58" t="str">
        <f t="shared" si="9"/>
        <v/>
      </c>
      <c r="AH51" s="59"/>
      <c r="AI51" s="58" t="str">
        <f t="shared" si="10"/>
        <v/>
      </c>
      <c r="AJ51" s="59"/>
      <c r="AK51" s="58" t="str">
        <f t="shared" si="11"/>
        <v/>
      </c>
      <c r="AL51" s="59"/>
      <c r="AM51" s="58" t="str">
        <f t="shared" si="12"/>
        <v/>
      </c>
      <c r="AN51" s="59"/>
      <c r="AO51" s="58" t="str">
        <f t="shared" si="13"/>
        <v/>
      </c>
      <c r="AP51" s="59"/>
      <c r="AQ51" s="58" t="str">
        <f t="shared" si="14"/>
        <v/>
      </c>
      <c r="AR51" s="59"/>
      <c r="AS51" s="58" t="str">
        <f t="shared" si="15"/>
        <v/>
      </c>
      <c r="AT51" s="59"/>
      <c r="AU51" s="58" t="str">
        <f t="shared" si="16"/>
        <v/>
      </c>
      <c r="AV51" s="59"/>
      <c r="AW51" s="58" t="str">
        <f t="shared" si="17"/>
        <v/>
      </c>
      <c r="AX51" s="59"/>
      <c r="AY51" s="58" t="str">
        <f t="shared" si="18"/>
        <v/>
      </c>
      <c r="AZ51" s="59"/>
      <c r="BA51" s="58" t="str">
        <f t="shared" si="19"/>
        <v/>
      </c>
      <c r="BB51" s="59"/>
      <c r="BC51" s="58" t="str">
        <f t="shared" si="20"/>
        <v/>
      </c>
      <c r="BD51" s="59"/>
      <c r="BE51" s="58" t="str">
        <f t="shared" si="21"/>
        <v/>
      </c>
      <c r="BF51" s="59"/>
      <c r="BG51" s="58" t="str">
        <f t="shared" si="22"/>
        <v/>
      </c>
      <c r="BH51" s="59"/>
      <c r="BI51" s="58" t="str">
        <f t="shared" si="23"/>
        <v/>
      </c>
      <c r="BJ51" s="59"/>
      <c r="BK51" s="58" t="str">
        <f t="shared" si="24"/>
        <v/>
      </c>
      <c r="BL51" s="59"/>
      <c r="BM51" s="58" t="str">
        <f t="shared" si="25"/>
        <v/>
      </c>
      <c r="BN51" s="59"/>
      <c r="BO51" s="58" t="str">
        <f t="shared" si="26"/>
        <v/>
      </c>
      <c r="BP51" s="59"/>
      <c r="BQ51" s="58" t="str">
        <f t="shared" si="27"/>
        <v/>
      </c>
      <c r="BR51" s="59"/>
      <c r="BS51" s="58" t="str">
        <f t="shared" si="28"/>
        <v/>
      </c>
      <c r="BT51" s="59"/>
      <c r="BU51" s="58" t="str">
        <f t="shared" si="29"/>
        <v/>
      </c>
      <c r="BV51" s="59"/>
      <c r="BW51" s="58" t="str">
        <f t="shared" si="30"/>
        <v/>
      </c>
      <c r="BX51" s="59"/>
      <c r="BY51" s="58" t="str">
        <f t="shared" si="31"/>
        <v/>
      </c>
      <c r="BZ51" s="59"/>
    </row>
    <row r="52" spans="1:78" ht="14.5" hidden="1">
      <c r="A52" s="51" t="s">
        <v>58</v>
      </c>
      <c r="B52" s="52">
        <v>334</v>
      </c>
      <c r="C52" s="52" t="s">
        <v>188</v>
      </c>
      <c r="D52" s="41">
        <f t="shared" si="1"/>
        <v>3</v>
      </c>
      <c r="E52" s="41" t="s">
        <v>631</v>
      </c>
      <c r="F52" s="41" t="s">
        <v>631</v>
      </c>
      <c r="G52" s="159" t="s">
        <v>189</v>
      </c>
      <c r="H52" s="52" t="s">
        <v>242</v>
      </c>
      <c r="I52" s="52" t="s">
        <v>162</v>
      </c>
      <c r="J52" s="52" t="s">
        <v>432</v>
      </c>
      <c r="K52" s="53">
        <v>45675</v>
      </c>
      <c r="L52" s="108">
        <v>3728</v>
      </c>
      <c r="M52" s="101">
        <v>0</v>
      </c>
      <c r="N52" s="101"/>
      <c r="O52" s="107">
        <f t="shared" si="32"/>
        <v>3728</v>
      </c>
      <c r="P52" s="54">
        <f t="shared" si="33"/>
        <v>3728</v>
      </c>
      <c r="Q52" s="198" t="s">
        <v>443</v>
      </c>
      <c r="R52" s="166">
        <v>45688</v>
      </c>
      <c r="S52" s="101" t="s">
        <v>642</v>
      </c>
      <c r="T52" s="102">
        <f t="shared" si="4"/>
        <v>5.177777777777778</v>
      </c>
      <c r="U52" s="102">
        <v>6</v>
      </c>
      <c r="V52" s="99">
        <v>120</v>
      </c>
      <c r="W52" s="55">
        <f t="shared" si="34"/>
        <v>45655</v>
      </c>
      <c r="X52" s="55">
        <v>45612</v>
      </c>
      <c r="Y52" s="56">
        <f t="shared" ca="1" si="5"/>
        <v>43</v>
      </c>
      <c r="Z52" s="55">
        <f t="shared" si="6"/>
        <v>45671</v>
      </c>
      <c r="AA52" s="55"/>
      <c r="AB52" s="56">
        <f t="shared" ca="1" si="7"/>
        <v>-169</v>
      </c>
      <c r="AC52" s="55"/>
      <c r="AD52" s="57"/>
      <c r="AE52" s="58" t="str">
        <f t="shared" si="8"/>
        <v>-</v>
      </c>
      <c r="AF52" s="59"/>
      <c r="AG52" s="58" t="str">
        <f t="shared" si="9"/>
        <v/>
      </c>
      <c r="AH52" s="59"/>
      <c r="AI52" s="58" t="str">
        <f t="shared" si="10"/>
        <v/>
      </c>
      <c r="AJ52" s="59"/>
      <c r="AK52" s="58" t="str">
        <f t="shared" si="11"/>
        <v/>
      </c>
      <c r="AL52" s="59"/>
      <c r="AM52" s="58" t="str">
        <f t="shared" si="12"/>
        <v/>
      </c>
      <c r="AN52" s="59"/>
      <c r="AO52" s="58" t="str">
        <f t="shared" si="13"/>
        <v/>
      </c>
      <c r="AP52" s="59"/>
      <c r="AQ52" s="58" t="str">
        <f t="shared" si="14"/>
        <v/>
      </c>
      <c r="AR52" s="59"/>
      <c r="AS52" s="58" t="str">
        <f t="shared" si="15"/>
        <v/>
      </c>
      <c r="AT52" s="59"/>
      <c r="AU52" s="58" t="str">
        <f t="shared" si="16"/>
        <v/>
      </c>
      <c r="AV52" s="59"/>
      <c r="AW52" s="58" t="str">
        <f t="shared" si="17"/>
        <v/>
      </c>
      <c r="AX52" s="59"/>
      <c r="AY52" s="58" t="str">
        <f t="shared" si="18"/>
        <v/>
      </c>
      <c r="AZ52" s="59"/>
      <c r="BA52" s="58" t="str">
        <f t="shared" si="19"/>
        <v/>
      </c>
      <c r="BB52" s="59"/>
      <c r="BC52" s="58" t="str">
        <f t="shared" si="20"/>
        <v/>
      </c>
      <c r="BD52" s="59"/>
      <c r="BE52" s="58" t="str">
        <f t="shared" si="21"/>
        <v/>
      </c>
      <c r="BF52" s="59"/>
      <c r="BG52" s="58" t="str">
        <f t="shared" si="22"/>
        <v/>
      </c>
      <c r="BH52" s="59"/>
      <c r="BI52" s="58" t="str">
        <f t="shared" si="23"/>
        <v/>
      </c>
      <c r="BJ52" s="59"/>
      <c r="BK52" s="58" t="str">
        <f t="shared" si="24"/>
        <v/>
      </c>
      <c r="BL52" s="59"/>
      <c r="BM52" s="58" t="str">
        <f t="shared" si="25"/>
        <v/>
      </c>
      <c r="BN52" s="59"/>
      <c r="BO52" s="58" t="str">
        <f t="shared" si="26"/>
        <v/>
      </c>
      <c r="BP52" s="59"/>
      <c r="BQ52" s="58" t="str">
        <f t="shared" si="27"/>
        <v/>
      </c>
      <c r="BR52" s="59"/>
      <c r="BS52" s="58" t="str">
        <f t="shared" si="28"/>
        <v/>
      </c>
      <c r="BT52" s="59"/>
      <c r="BU52" s="58" t="str">
        <f t="shared" si="29"/>
        <v/>
      </c>
      <c r="BV52" s="59"/>
      <c r="BW52" s="58" t="str">
        <f t="shared" si="30"/>
        <v/>
      </c>
      <c r="BX52" s="59"/>
      <c r="BY52" s="58" t="str">
        <f t="shared" si="31"/>
        <v/>
      </c>
      <c r="BZ52" s="59"/>
    </row>
    <row r="53" spans="1:78" ht="14.5" hidden="1">
      <c r="A53" s="51" t="s">
        <v>58</v>
      </c>
      <c r="B53" s="52">
        <v>335</v>
      </c>
      <c r="C53" s="52" t="s">
        <v>188</v>
      </c>
      <c r="D53" s="41">
        <f t="shared" si="1"/>
        <v>3</v>
      </c>
      <c r="E53" s="41" t="s">
        <v>631</v>
      </c>
      <c r="F53" s="41" t="s">
        <v>631</v>
      </c>
      <c r="G53" s="159" t="s">
        <v>189</v>
      </c>
      <c r="H53" s="52" t="s">
        <v>242</v>
      </c>
      <c r="I53" s="52" t="s">
        <v>162</v>
      </c>
      <c r="J53" s="52" t="s">
        <v>432</v>
      </c>
      <c r="K53" s="53">
        <v>45675</v>
      </c>
      <c r="L53" s="108">
        <v>3728</v>
      </c>
      <c r="M53" s="101">
        <v>0</v>
      </c>
      <c r="N53" s="101"/>
      <c r="O53" s="107">
        <f t="shared" si="32"/>
        <v>3728</v>
      </c>
      <c r="P53" s="54">
        <f t="shared" si="33"/>
        <v>3728</v>
      </c>
      <c r="Q53" s="198" t="s">
        <v>443</v>
      </c>
      <c r="R53" s="166">
        <v>45689</v>
      </c>
      <c r="S53" s="101" t="s">
        <v>642</v>
      </c>
      <c r="T53" s="102">
        <f t="shared" si="4"/>
        <v>5.177777777777778</v>
      </c>
      <c r="U53" s="102">
        <v>6</v>
      </c>
      <c r="V53" s="99">
        <v>120</v>
      </c>
      <c r="W53" s="55">
        <f t="shared" si="34"/>
        <v>45655</v>
      </c>
      <c r="X53" s="55">
        <v>45612</v>
      </c>
      <c r="Y53" s="56">
        <f t="shared" ca="1" si="5"/>
        <v>43</v>
      </c>
      <c r="Z53" s="55">
        <f t="shared" si="6"/>
        <v>45671</v>
      </c>
      <c r="AA53" s="55"/>
      <c r="AB53" s="56">
        <f t="shared" ca="1" si="7"/>
        <v>-169</v>
      </c>
      <c r="AC53" s="55"/>
      <c r="AD53" s="57"/>
      <c r="AE53" s="58" t="str">
        <f t="shared" si="8"/>
        <v>-</v>
      </c>
      <c r="AF53" s="59"/>
      <c r="AG53" s="58" t="str">
        <f t="shared" si="9"/>
        <v/>
      </c>
      <c r="AH53" s="59"/>
      <c r="AI53" s="58" t="str">
        <f t="shared" si="10"/>
        <v/>
      </c>
      <c r="AJ53" s="59"/>
      <c r="AK53" s="58" t="str">
        <f t="shared" si="11"/>
        <v/>
      </c>
      <c r="AL53" s="59"/>
      <c r="AM53" s="58" t="str">
        <f t="shared" si="12"/>
        <v/>
      </c>
      <c r="AN53" s="59"/>
      <c r="AO53" s="58" t="str">
        <f t="shared" si="13"/>
        <v/>
      </c>
      <c r="AP53" s="59"/>
      <c r="AQ53" s="58" t="str">
        <f t="shared" si="14"/>
        <v/>
      </c>
      <c r="AR53" s="59"/>
      <c r="AS53" s="58" t="str">
        <f t="shared" si="15"/>
        <v/>
      </c>
      <c r="AT53" s="59"/>
      <c r="AU53" s="58" t="str">
        <f t="shared" si="16"/>
        <v/>
      </c>
      <c r="AV53" s="59"/>
      <c r="AW53" s="58" t="str">
        <f t="shared" si="17"/>
        <v/>
      </c>
      <c r="AX53" s="59"/>
      <c r="AY53" s="58" t="str">
        <f t="shared" si="18"/>
        <v/>
      </c>
      <c r="AZ53" s="59"/>
      <c r="BA53" s="58" t="str">
        <f t="shared" si="19"/>
        <v/>
      </c>
      <c r="BB53" s="59"/>
      <c r="BC53" s="58" t="str">
        <f t="shared" si="20"/>
        <v/>
      </c>
      <c r="BD53" s="59"/>
      <c r="BE53" s="58" t="str">
        <f t="shared" si="21"/>
        <v/>
      </c>
      <c r="BF53" s="59"/>
      <c r="BG53" s="58" t="str">
        <f t="shared" si="22"/>
        <v/>
      </c>
      <c r="BH53" s="59"/>
      <c r="BI53" s="58" t="str">
        <f t="shared" si="23"/>
        <v/>
      </c>
      <c r="BJ53" s="59"/>
      <c r="BK53" s="58" t="str">
        <f t="shared" si="24"/>
        <v/>
      </c>
      <c r="BL53" s="59"/>
      <c r="BM53" s="58" t="str">
        <f t="shared" si="25"/>
        <v/>
      </c>
      <c r="BN53" s="59"/>
      <c r="BO53" s="58" t="str">
        <f t="shared" si="26"/>
        <v/>
      </c>
      <c r="BP53" s="59"/>
      <c r="BQ53" s="58" t="str">
        <f t="shared" si="27"/>
        <v/>
      </c>
      <c r="BR53" s="59"/>
      <c r="BS53" s="58" t="str">
        <f t="shared" si="28"/>
        <v/>
      </c>
      <c r="BT53" s="59"/>
      <c r="BU53" s="58" t="str">
        <f t="shared" si="29"/>
        <v/>
      </c>
      <c r="BV53" s="59"/>
      <c r="BW53" s="58" t="str">
        <f t="shared" si="30"/>
        <v/>
      </c>
      <c r="BX53" s="59"/>
      <c r="BY53" s="58" t="str">
        <f t="shared" si="31"/>
        <v/>
      </c>
      <c r="BZ53" s="59"/>
    </row>
    <row r="54" spans="1:78" ht="14.5" hidden="1">
      <c r="A54" s="51" t="s">
        <v>58</v>
      </c>
      <c r="B54" s="52">
        <v>341</v>
      </c>
      <c r="C54" s="52" t="s">
        <v>188</v>
      </c>
      <c r="D54" s="41">
        <f t="shared" si="1"/>
        <v>3</v>
      </c>
      <c r="E54" s="41" t="s">
        <v>631</v>
      </c>
      <c r="F54" s="41" t="s">
        <v>631</v>
      </c>
      <c r="G54" s="52" t="s">
        <v>390</v>
      </c>
      <c r="H54" s="52" t="s">
        <v>242</v>
      </c>
      <c r="I54" s="52" t="s">
        <v>162</v>
      </c>
      <c r="J54" s="52" t="s">
        <v>430</v>
      </c>
      <c r="K54" s="53">
        <v>45674</v>
      </c>
      <c r="L54" s="108">
        <v>1344</v>
      </c>
      <c r="M54" s="101">
        <v>1344</v>
      </c>
      <c r="N54" s="101">
        <v>1344</v>
      </c>
      <c r="O54" s="107">
        <f t="shared" si="32"/>
        <v>0</v>
      </c>
      <c r="P54" s="54">
        <f t="shared" si="33"/>
        <v>0</v>
      </c>
      <c r="Q54" s="101" t="s">
        <v>431</v>
      </c>
      <c r="R54" s="101" t="s">
        <v>632</v>
      </c>
      <c r="S54" s="101"/>
      <c r="T54" s="102">
        <f t="shared" si="4"/>
        <v>1.8666666666666667</v>
      </c>
      <c r="U54" s="102">
        <v>6</v>
      </c>
      <c r="V54" s="99">
        <v>120</v>
      </c>
      <c r="W54" s="55">
        <f t="shared" si="34"/>
        <v>45654</v>
      </c>
      <c r="X54" s="55">
        <v>45635</v>
      </c>
      <c r="Y54" s="56">
        <f t="shared" ca="1" si="5"/>
        <v>19</v>
      </c>
      <c r="Z54" s="55">
        <f t="shared" si="6"/>
        <v>45670</v>
      </c>
      <c r="AA54" s="55"/>
      <c r="AB54" s="56">
        <f t="shared" ca="1" si="7"/>
        <v>-170</v>
      </c>
      <c r="AC54" s="55"/>
      <c r="AD54" s="57"/>
      <c r="AE54" s="58" t="str">
        <f t="shared" si="8"/>
        <v>-</v>
      </c>
      <c r="AF54" s="59"/>
      <c r="AG54" s="58" t="str">
        <f t="shared" si="9"/>
        <v/>
      </c>
      <c r="AH54" s="59"/>
      <c r="AI54" s="58" t="str">
        <f t="shared" si="10"/>
        <v/>
      </c>
      <c r="AJ54" s="59"/>
      <c r="AK54" s="58" t="str">
        <f t="shared" si="11"/>
        <v/>
      </c>
      <c r="AL54" s="59"/>
      <c r="AM54" s="58" t="str">
        <f t="shared" si="12"/>
        <v/>
      </c>
      <c r="AN54" s="59"/>
      <c r="AO54" s="58" t="str">
        <f t="shared" si="13"/>
        <v/>
      </c>
      <c r="AP54" s="59"/>
      <c r="AQ54" s="58" t="str">
        <f t="shared" si="14"/>
        <v/>
      </c>
      <c r="AR54" s="59"/>
      <c r="AS54" s="58" t="str">
        <f t="shared" si="15"/>
        <v/>
      </c>
      <c r="AT54" s="59"/>
      <c r="AU54" s="58" t="str">
        <f t="shared" si="16"/>
        <v/>
      </c>
      <c r="AV54" s="59"/>
      <c r="AW54" s="58" t="str">
        <f t="shared" si="17"/>
        <v/>
      </c>
      <c r="AX54" s="59"/>
      <c r="AY54" s="58" t="str">
        <f t="shared" si="18"/>
        <v/>
      </c>
      <c r="AZ54" s="59"/>
      <c r="BA54" s="58">
        <f t="shared" si="19"/>
        <v>1344</v>
      </c>
      <c r="BB54" s="59"/>
      <c r="BC54" s="58" t="str">
        <f t="shared" si="20"/>
        <v/>
      </c>
      <c r="BD54" s="59"/>
      <c r="BE54" s="58" t="str">
        <f t="shared" si="21"/>
        <v/>
      </c>
      <c r="BF54" s="59"/>
      <c r="BG54" s="58" t="str">
        <f t="shared" si="22"/>
        <v/>
      </c>
      <c r="BH54" s="59"/>
      <c r="BI54" s="58" t="str">
        <f t="shared" si="23"/>
        <v/>
      </c>
      <c r="BJ54" s="59"/>
      <c r="BK54" s="58" t="str">
        <f t="shared" si="24"/>
        <v/>
      </c>
      <c r="BL54" s="59"/>
      <c r="BM54" s="58" t="str">
        <f t="shared" si="25"/>
        <v/>
      </c>
      <c r="BN54" s="59"/>
      <c r="BO54" s="58" t="str">
        <f t="shared" si="26"/>
        <v/>
      </c>
      <c r="BP54" s="59"/>
      <c r="BQ54" s="58" t="str">
        <f t="shared" si="27"/>
        <v/>
      </c>
      <c r="BR54" s="59"/>
      <c r="BS54" s="58" t="str">
        <f t="shared" si="28"/>
        <v/>
      </c>
      <c r="BT54" s="59"/>
      <c r="BU54" s="58" t="str">
        <f t="shared" si="29"/>
        <v/>
      </c>
      <c r="BV54" s="59"/>
      <c r="BW54" s="58" t="str">
        <f t="shared" si="30"/>
        <v/>
      </c>
      <c r="BX54" s="59"/>
      <c r="BY54" s="58" t="str">
        <f t="shared" si="31"/>
        <v/>
      </c>
      <c r="BZ54" s="59"/>
    </row>
    <row r="55" spans="1:78" ht="14.5" hidden="1">
      <c r="A55" s="51" t="s">
        <v>446</v>
      </c>
      <c r="B55" s="52">
        <v>324</v>
      </c>
      <c r="C55" s="52" t="s">
        <v>400</v>
      </c>
      <c r="D55" s="41">
        <f t="shared" si="1"/>
        <v>2</v>
      </c>
      <c r="E55" s="41"/>
      <c r="F55" s="41"/>
      <c r="G55" s="52" t="s">
        <v>409</v>
      </c>
      <c r="H55" s="52" t="s">
        <v>487</v>
      </c>
      <c r="I55" s="52" t="s">
        <v>244</v>
      </c>
      <c r="J55" s="52" t="s">
        <v>509</v>
      </c>
      <c r="K55" s="53">
        <v>45665</v>
      </c>
      <c r="L55" s="108">
        <v>6000</v>
      </c>
      <c r="M55" s="101">
        <v>6000</v>
      </c>
      <c r="N55" s="101">
        <v>6000</v>
      </c>
      <c r="O55" s="101">
        <f>+L55-N55</f>
        <v>0</v>
      </c>
      <c r="P55" s="54">
        <f>+L55-M55</f>
        <v>0</v>
      </c>
      <c r="Q55" s="101" t="s">
        <v>571</v>
      </c>
      <c r="R55" s="101"/>
      <c r="S55" s="101"/>
      <c r="T55" s="102">
        <f t="shared" si="4"/>
        <v>12.5</v>
      </c>
      <c r="U55" s="102">
        <v>6</v>
      </c>
      <c r="V55" s="99">
        <v>80</v>
      </c>
      <c r="W55" s="55">
        <f>+K55-(32)</f>
        <v>45633</v>
      </c>
      <c r="X55" s="55">
        <v>45626</v>
      </c>
      <c r="Y55" s="56">
        <f t="shared" ca="1" si="5"/>
        <v>7</v>
      </c>
      <c r="Z55" s="55">
        <f t="shared" si="6"/>
        <v>45649</v>
      </c>
      <c r="AA55" s="55"/>
      <c r="AB55" s="56">
        <f t="shared" ca="1" si="7"/>
        <v>-191</v>
      </c>
      <c r="AC55" s="55"/>
      <c r="AD55" s="57"/>
      <c r="AE55" s="58" t="str">
        <f t="shared" si="8"/>
        <v>-</v>
      </c>
      <c r="AF55" s="59"/>
      <c r="AG55" s="58" t="str">
        <f t="shared" si="9"/>
        <v/>
      </c>
      <c r="AH55" s="59"/>
      <c r="AI55" s="58" t="str">
        <f t="shared" si="10"/>
        <v/>
      </c>
      <c r="AJ55" s="59"/>
      <c r="AK55" s="58" t="str">
        <f t="shared" si="11"/>
        <v/>
      </c>
      <c r="AL55" s="59"/>
      <c r="AM55" s="58" t="str">
        <f t="shared" si="12"/>
        <v/>
      </c>
      <c r="AN55" s="59"/>
      <c r="AO55" s="58" t="str">
        <f t="shared" si="13"/>
        <v/>
      </c>
      <c r="AP55" s="59"/>
      <c r="AQ55" s="58" t="str">
        <f t="shared" si="14"/>
        <v/>
      </c>
      <c r="AR55" s="59"/>
      <c r="AS55" s="58" t="str">
        <f t="shared" si="15"/>
        <v/>
      </c>
      <c r="AT55" s="59"/>
      <c r="AU55" s="58">
        <f t="shared" si="16"/>
        <v>6000</v>
      </c>
      <c r="AV55" s="59"/>
      <c r="AW55" s="58" t="str">
        <f t="shared" si="17"/>
        <v/>
      </c>
      <c r="AX55" s="59"/>
      <c r="AY55" s="58" t="str">
        <f t="shared" si="18"/>
        <v/>
      </c>
      <c r="AZ55" s="59"/>
      <c r="BA55" s="58" t="str">
        <f t="shared" si="19"/>
        <v/>
      </c>
      <c r="BB55" s="59"/>
      <c r="BC55" s="58" t="str">
        <f t="shared" si="20"/>
        <v/>
      </c>
      <c r="BD55" s="59"/>
      <c r="BE55" s="58" t="str">
        <f t="shared" si="21"/>
        <v/>
      </c>
      <c r="BF55" s="59"/>
      <c r="BG55" s="58" t="str">
        <f t="shared" si="22"/>
        <v/>
      </c>
      <c r="BH55" s="59"/>
      <c r="BI55" s="58" t="str">
        <f t="shared" si="23"/>
        <v/>
      </c>
      <c r="BJ55" s="59"/>
      <c r="BK55" s="58" t="str">
        <f t="shared" si="24"/>
        <v/>
      </c>
      <c r="BL55" s="59"/>
      <c r="BM55" s="58" t="str">
        <f t="shared" si="25"/>
        <v/>
      </c>
      <c r="BN55" s="59"/>
      <c r="BO55" s="58" t="str">
        <f t="shared" si="26"/>
        <v/>
      </c>
      <c r="BP55" s="59"/>
      <c r="BQ55" s="58" t="str">
        <f t="shared" si="27"/>
        <v/>
      </c>
      <c r="BR55" s="59"/>
      <c r="BS55" s="58" t="str">
        <f t="shared" si="28"/>
        <v/>
      </c>
      <c r="BT55" s="59"/>
      <c r="BU55" s="58" t="str">
        <f t="shared" si="29"/>
        <v/>
      </c>
      <c r="BV55" s="59"/>
      <c r="BW55" s="58" t="str">
        <f t="shared" si="30"/>
        <v/>
      </c>
      <c r="BX55" s="59"/>
      <c r="BY55" s="58" t="str">
        <f t="shared" si="31"/>
        <v/>
      </c>
      <c r="BZ55" s="59"/>
    </row>
    <row r="56" spans="1:78" ht="14.5" hidden="1">
      <c r="A56" s="51" t="s">
        <v>446</v>
      </c>
      <c r="B56" s="52">
        <v>324</v>
      </c>
      <c r="C56" s="52" t="s">
        <v>400</v>
      </c>
      <c r="D56" s="41">
        <f t="shared" si="1"/>
        <v>2</v>
      </c>
      <c r="E56" s="41"/>
      <c r="F56" s="41"/>
      <c r="G56" s="52" t="s">
        <v>510</v>
      </c>
      <c r="H56" s="52" t="s">
        <v>468</v>
      </c>
      <c r="I56" s="52" t="s">
        <v>238</v>
      </c>
      <c r="J56" s="52" t="s">
        <v>511</v>
      </c>
      <c r="K56" s="53">
        <v>45665</v>
      </c>
      <c r="L56" s="108">
        <v>300</v>
      </c>
      <c r="M56" s="101">
        <v>300</v>
      </c>
      <c r="N56" s="101">
        <v>300</v>
      </c>
      <c r="O56" s="101">
        <f>+L56-N56</f>
        <v>0</v>
      </c>
      <c r="P56" s="54">
        <f>+L56-M56</f>
        <v>0</v>
      </c>
      <c r="Q56" s="101" t="s">
        <v>178</v>
      </c>
      <c r="R56" s="101"/>
      <c r="S56" s="101"/>
      <c r="T56" s="102">
        <f t="shared" si="4"/>
        <v>0.625</v>
      </c>
      <c r="U56" s="102">
        <v>6</v>
      </c>
      <c r="V56" s="99">
        <v>80</v>
      </c>
      <c r="W56" s="55">
        <f>+K56-(32)</f>
        <v>45633</v>
      </c>
      <c r="X56" s="55">
        <v>45626</v>
      </c>
      <c r="Y56" s="56">
        <f t="shared" ca="1" si="5"/>
        <v>7</v>
      </c>
      <c r="Z56" s="55">
        <f t="shared" si="6"/>
        <v>45649</v>
      </c>
      <c r="AA56" s="55"/>
      <c r="AB56" s="56">
        <f t="shared" ca="1" si="7"/>
        <v>-191</v>
      </c>
      <c r="AC56" s="55"/>
      <c r="AD56" s="57"/>
      <c r="AE56" s="58" t="str">
        <f t="shared" si="8"/>
        <v>-</v>
      </c>
      <c r="AF56" s="59"/>
      <c r="AG56" s="58" t="str">
        <f t="shared" si="9"/>
        <v/>
      </c>
      <c r="AH56" s="59"/>
      <c r="AI56" s="58" t="str">
        <f t="shared" si="10"/>
        <v/>
      </c>
      <c r="AJ56" s="59"/>
      <c r="AK56" s="58" t="str">
        <f t="shared" si="11"/>
        <v/>
      </c>
      <c r="AL56" s="59"/>
      <c r="AM56" s="58" t="str">
        <f t="shared" si="12"/>
        <v/>
      </c>
      <c r="AN56" s="59"/>
      <c r="AO56" s="58" t="str">
        <f t="shared" si="13"/>
        <v/>
      </c>
      <c r="AP56" s="59"/>
      <c r="AQ56" s="58" t="str">
        <f t="shared" si="14"/>
        <v/>
      </c>
      <c r="AR56" s="59"/>
      <c r="AS56" s="58" t="str">
        <f t="shared" si="15"/>
        <v/>
      </c>
      <c r="AT56" s="59"/>
      <c r="AU56" s="58">
        <f t="shared" si="16"/>
        <v>300</v>
      </c>
      <c r="AV56" s="59"/>
      <c r="AW56" s="58" t="str">
        <f t="shared" si="17"/>
        <v/>
      </c>
      <c r="AX56" s="59"/>
      <c r="AY56" s="58" t="str">
        <f t="shared" si="18"/>
        <v/>
      </c>
      <c r="AZ56" s="59"/>
      <c r="BA56" s="58" t="str">
        <f t="shared" si="19"/>
        <v/>
      </c>
      <c r="BB56" s="59"/>
      <c r="BC56" s="58" t="str">
        <f t="shared" si="20"/>
        <v/>
      </c>
      <c r="BD56" s="59"/>
      <c r="BE56" s="58" t="str">
        <f t="shared" si="21"/>
        <v/>
      </c>
      <c r="BF56" s="59"/>
      <c r="BG56" s="58" t="str">
        <f t="shared" si="22"/>
        <v/>
      </c>
      <c r="BH56" s="59"/>
      <c r="BI56" s="58" t="str">
        <f t="shared" si="23"/>
        <v/>
      </c>
      <c r="BJ56" s="59"/>
      <c r="BK56" s="58" t="str">
        <f t="shared" si="24"/>
        <v/>
      </c>
      <c r="BL56" s="59"/>
      <c r="BM56" s="58" t="str">
        <f t="shared" si="25"/>
        <v/>
      </c>
      <c r="BN56" s="59"/>
      <c r="BO56" s="58" t="str">
        <f t="shared" si="26"/>
        <v/>
      </c>
      <c r="BP56" s="59"/>
      <c r="BQ56" s="58" t="str">
        <f t="shared" si="27"/>
        <v/>
      </c>
      <c r="BR56" s="59"/>
      <c r="BS56" s="58" t="str">
        <f t="shared" si="28"/>
        <v/>
      </c>
      <c r="BT56" s="59"/>
      <c r="BU56" s="58" t="str">
        <f t="shared" si="29"/>
        <v/>
      </c>
      <c r="BV56" s="59"/>
      <c r="BW56" s="58" t="str">
        <f t="shared" si="30"/>
        <v/>
      </c>
      <c r="BX56" s="59"/>
      <c r="BY56" s="58" t="str">
        <f t="shared" si="31"/>
        <v/>
      </c>
      <c r="BZ56" s="59"/>
    </row>
    <row r="57" spans="1:78" ht="14.5" hidden="1">
      <c r="A57" s="51" t="s">
        <v>446</v>
      </c>
      <c r="B57" s="52">
        <v>324</v>
      </c>
      <c r="C57" s="52" t="s">
        <v>400</v>
      </c>
      <c r="D57" s="41">
        <f t="shared" si="1"/>
        <v>2</v>
      </c>
      <c r="E57" s="41"/>
      <c r="F57" s="41"/>
      <c r="G57" s="52" t="s">
        <v>510</v>
      </c>
      <c r="H57" s="52" t="s">
        <v>468</v>
      </c>
      <c r="I57" s="52" t="s">
        <v>155</v>
      </c>
      <c r="J57" s="52" t="s">
        <v>512</v>
      </c>
      <c r="K57" s="53">
        <v>45665</v>
      </c>
      <c r="L57" s="108">
        <v>600</v>
      </c>
      <c r="M57" s="101">
        <v>600</v>
      </c>
      <c r="N57" s="101">
        <v>600</v>
      </c>
      <c r="O57" s="101">
        <f>+L57-N57</f>
        <v>0</v>
      </c>
      <c r="P57" s="54">
        <f>+L57-M57</f>
        <v>0</v>
      </c>
      <c r="Q57" s="101" t="s">
        <v>178</v>
      </c>
      <c r="R57" s="101"/>
      <c r="S57" s="101"/>
      <c r="T57" s="102">
        <f t="shared" si="4"/>
        <v>1.25</v>
      </c>
      <c r="U57" s="102">
        <v>6</v>
      </c>
      <c r="V57" s="99">
        <v>80</v>
      </c>
      <c r="W57" s="55">
        <f>+K57-(32)</f>
        <v>45633</v>
      </c>
      <c r="X57" s="55">
        <v>45626</v>
      </c>
      <c r="Y57" s="56">
        <f t="shared" ca="1" si="5"/>
        <v>7</v>
      </c>
      <c r="Z57" s="55">
        <f t="shared" si="6"/>
        <v>45649</v>
      </c>
      <c r="AA57" s="55"/>
      <c r="AB57" s="56">
        <f t="shared" ca="1" si="7"/>
        <v>-191</v>
      </c>
      <c r="AC57" s="55"/>
      <c r="AD57" s="57"/>
      <c r="AE57" s="58" t="str">
        <f t="shared" si="8"/>
        <v>-</v>
      </c>
      <c r="AF57" s="59"/>
      <c r="AG57" s="58" t="str">
        <f t="shared" si="9"/>
        <v/>
      </c>
      <c r="AH57" s="59"/>
      <c r="AI57" s="58" t="str">
        <f t="shared" si="10"/>
        <v/>
      </c>
      <c r="AJ57" s="59"/>
      <c r="AK57" s="58" t="str">
        <f t="shared" si="11"/>
        <v/>
      </c>
      <c r="AL57" s="59"/>
      <c r="AM57" s="58" t="str">
        <f t="shared" si="12"/>
        <v/>
      </c>
      <c r="AN57" s="59"/>
      <c r="AO57" s="58" t="str">
        <f t="shared" si="13"/>
        <v/>
      </c>
      <c r="AP57" s="59"/>
      <c r="AQ57" s="58" t="str">
        <f t="shared" si="14"/>
        <v/>
      </c>
      <c r="AR57" s="59"/>
      <c r="AS57" s="58" t="str">
        <f t="shared" si="15"/>
        <v/>
      </c>
      <c r="AT57" s="59"/>
      <c r="AU57" s="58">
        <f t="shared" si="16"/>
        <v>600</v>
      </c>
      <c r="AV57" s="59"/>
      <c r="AW57" s="58" t="str">
        <f t="shared" si="17"/>
        <v/>
      </c>
      <c r="AX57" s="59"/>
      <c r="AY57" s="58" t="str">
        <f t="shared" si="18"/>
        <v/>
      </c>
      <c r="AZ57" s="59"/>
      <c r="BA57" s="58" t="str">
        <f t="shared" si="19"/>
        <v/>
      </c>
      <c r="BB57" s="59"/>
      <c r="BC57" s="58" t="str">
        <f t="shared" si="20"/>
        <v/>
      </c>
      <c r="BD57" s="59"/>
      <c r="BE57" s="58" t="str">
        <f t="shared" si="21"/>
        <v/>
      </c>
      <c r="BF57" s="59"/>
      <c r="BG57" s="58" t="str">
        <f t="shared" si="22"/>
        <v/>
      </c>
      <c r="BH57" s="59"/>
      <c r="BI57" s="58" t="str">
        <f t="shared" si="23"/>
        <v/>
      </c>
      <c r="BJ57" s="59"/>
      <c r="BK57" s="58" t="str">
        <f t="shared" si="24"/>
        <v/>
      </c>
      <c r="BL57" s="59"/>
      <c r="BM57" s="58" t="str">
        <f t="shared" si="25"/>
        <v/>
      </c>
      <c r="BN57" s="59"/>
      <c r="BO57" s="58" t="str">
        <f t="shared" si="26"/>
        <v/>
      </c>
      <c r="BP57" s="59"/>
      <c r="BQ57" s="58" t="str">
        <f t="shared" si="27"/>
        <v/>
      </c>
      <c r="BR57" s="59"/>
      <c r="BS57" s="58" t="str">
        <f t="shared" si="28"/>
        <v/>
      </c>
      <c r="BT57" s="59"/>
      <c r="BU57" s="58" t="str">
        <f t="shared" si="29"/>
        <v/>
      </c>
      <c r="BV57" s="59"/>
      <c r="BW57" s="58" t="str">
        <f t="shared" si="30"/>
        <v/>
      </c>
      <c r="BX57" s="59"/>
      <c r="BY57" s="58" t="str">
        <f t="shared" si="31"/>
        <v/>
      </c>
      <c r="BZ57" s="59"/>
    </row>
    <row r="58" spans="1:78" ht="14.5" hidden="1">
      <c r="A58" s="51" t="s">
        <v>58</v>
      </c>
      <c r="B58" s="52">
        <v>341</v>
      </c>
      <c r="C58" s="52" t="s">
        <v>188</v>
      </c>
      <c r="D58" s="41">
        <f t="shared" si="1"/>
        <v>3</v>
      </c>
      <c r="E58" s="41" t="s">
        <v>631</v>
      </c>
      <c r="F58" s="41" t="s">
        <v>631</v>
      </c>
      <c r="G58" s="52" t="s">
        <v>158</v>
      </c>
      <c r="H58" s="52" t="s">
        <v>242</v>
      </c>
      <c r="I58" s="52" t="s">
        <v>155</v>
      </c>
      <c r="J58" s="52" t="s">
        <v>432</v>
      </c>
      <c r="K58" s="53">
        <v>45674</v>
      </c>
      <c r="L58" s="108">
        <v>1336</v>
      </c>
      <c r="M58" s="101">
        <v>1336</v>
      </c>
      <c r="N58" s="101">
        <v>1336</v>
      </c>
      <c r="O58" s="107">
        <f t="shared" ref="O58:O67" si="35">+L58-N58</f>
        <v>0</v>
      </c>
      <c r="P58" s="54">
        <f t="shared" ref="P58:P67" si="36">+L58-M58</f>
        <v>0</v>
      </c>
      <c r="Q58" s="101" t="s">
        <v>439</v>
      </c>
      <c r="R58" s="101" t="s">
        <v>632</v>
      </c>
      <c r="S58" s="101"/>
      <c r="T58" s="102">
        <f t="shared" si="4"/>
        <v>1.8555555555555556</v>
      </c>
      <c r="U58" s="102">
        <v>6</v>
      </c>
      <c r="V58" s="99">
        <v>120</v>
      </c>
      <c r="W58" s="55">
        <f t="shared" ref="W58:W67" si="37">+K58-(20)</f>
        <v>45654</v>
      </c>
      <c r="X58" s="55">
        <v>45635</v>
      </c>
      <c r="Y58" s="56">
        <f t="shared" ca="1" si="5"/>
        <v>19</v>
      </c>
      <c r="Z58" s="55">
        <f t="shared" si="6"/>
        <v>45670</v>
      </c>
      <c r="AA58" s="55"/>
      <c r="AB58" s="56">
        <f t="shared" ca="1" si="7"/>
        <v>-170</v>
      </c>
      <c r="AC58" s="55"/>
      <c r="AD58" s="57"/>
      <c r="AE58" s="58" t="str">
        <f t="shared" si="8"/>
        <v>-</v>
      </c>
      <c r="AF58" s="59"/>
      <c r="AG58" s="58" t="str">
        <f t="shared" si="9"/>
        <v/>
      </c>
      <c r="AH58" s="59"/>
      <c r="AI58" s="58" t="str">
        <f t="shared" si="10"/>
        <v/>
      </c>
      <c r="AJ58" s="59"/>
      <c r="AK58" s="58" t="str">
        <f t="shared" si="11"/>
        <v/>
      </c>
      <c r="AL58" s="59"/>
      <c r="AM58" s="58" t="str">
        <f t="shared" si="12"/>
        <v/>
      </c>
      <c r="AN58" s="59"/>
      <c r="AO58" s="58" t="str">
        <f t="shared" si="13"/>
        <v/>
      </c>
      <c r="AP58" s="59"/>
      <c r="AQ58" s="58" t="str">
        <f t="shared" si="14"/>
        <v/>
      </c>
      <c r="AR58" s="59"/>
      <c r="AS58" s="58" t="str">
        <f t="shared" si="15"/>
        <v/>
      </c>
      <c r="AT58" s="59"/>
      <c r="AU58" s="58" t="str">
        <f t="shared" si="16"/>
        <v/>
      </c>
      <c r="AV58" s="59"/>
      <c r="AW58" s="58" t="str">
        <f t="shared" si="17"/>
        <v/>
      </c>
      <c r="AX58" s="59"/>
      <c r="AY58" s="58" t="str">
        <f t="shared" si="18"/>
        <v/>
      </c>
      <c r="AZ58" s="59"/>
      <c r="BA58" s="58">
        <f t="shared" si="19"/>
        <v>1336</v>
      </c>
      <c r="BB58" s="59"/>
      <c r="BC58" s="58" t="str">
        <f t="shared" si="20"/>
        <v/>
      </c>
      <c r="BD58" s="59"/>
      <c r="BE58" s="58" t="str">
        <f t="shared" si="21"/>
        <v/>
      </c>
      <c r="BF58" s="59"/>
      <c r="BG58" s="58" t="str">
        <f t="shared" si="22"/>
        <v/>
      </c>
      <c r="BH58" s="59"/>
      <c r="BI58" s="58" t="str">
        <f t="shared" si="23"/>
        <v/>
      </c>
      <c r="BJ58" s="59"/>
      <c r="BK58" s="58" t="str">
        <f t="shared" si="24"/>
        <v/>
      </c>
      <c r="BL58" s="59"/>
      <c r="BM58" s="58" t="str">
        <f t="shared" si="25"/>
        <v/>
      </c>
      <c r="BN58" s="59"/>
      <c r="BO58" s="58" t="str">
        <f t="shared" si="26"/>
        <v/>
      </c>
      <c r="BP58" s="59"/>
      <c r="BQ58" s="58" t="str">
        <f t="shared" si="27"/>
        <v/>
      </c>
      <c r="BR58" s="59"/>
      <c r="BS58" s="58" t="str">
        <f t="shared" si="28"/>
        <v/>
      </c>
      <c r="BT58" s="59"/>
      <c r="BU58" s="58" t="str">
        <f t="shared" si="29"/>
        <v/>
      </c>
      <c r="BV58" s="59"/>
      <c r="BW58" s="58" t="str">
        <f t="shared" si="30"/>
        <v/>
      </c>
      <c r="BX58" s="59"/>
      <c r="BY58" s="58" t="str">
        <f t="shared" si="31"/>
        <v/>
      </c>
      <c r="BZ58" s="59"/>
    </row>
    <row r="59" spans="1:78" ht="14.5" hidden="1">
      <c r="A59" s="51" t="s">
        <v>58</v>
      </c>
      <c r="B59" s="52">
        <v>341</v>
      </c>
      <c r="C59" s="52" t="s">
        <v>188</v>
      </c>
      <c r="D59" s="41">
        <f t="shared" si="1"/>
        <v>3</v>
      </c>
      <c r="E59" s="170" t="s">
        <v>631</v>
      </c>
      <c r="F59" s="41" t="s">
        <v>631</v>
      </c>
      <c r="G59" s="52" t="s">
        <v>158</v>
      </c>
      <c r="H59" s="52" t="s">
        <v>242</v>
      </c>
      <c r="I59" s="52" t="s">
        <v>255</v>
      </c>
      <c r="J59" s="52" t="s">
        <v>432</v>
      </c>
      <c r="K59" s="53">
        <v>45674</v>
      </c>
      <c r="L59" s="108">
        <v>1336</v>
      </c>
      <c r="M59" s="101">
        <v>1336</v>
      </c>
      <c r="N59" s="101">
        <v>0</v>
      </c>
      <c r="O59" s="107">
        <f t="shared" si="35"/>
        <v>1336</v>
      </c>
      <c r="P59" s="54">
        <f t="shared" si="36"/>
        <v>0</v>
      </c>
      <c r="Q59" s="101" t="s">
        <v>437</v>
      </c>
      <c r="R59" s="101" t="s">
        <v>653</v>
      </c>
      <c r="S59" s="101"/>
      <c r="T59" s="102">
        <f t="shared" si="4"/>
        <v>1.8555555555555556</v>
      </c>
      <c r="U59" s="102">
        <v>6</v>
      </c>
      <c r="V59" s="99">
        <v>120</v>
      </c>
      <c r="W59" s="55">
        <f t="shared" si="37"/>
        <v>45654</v>
      </c>
      <c r="X59" s="55">
        <v>45635</v>
      </c>
      <c r="Y59" s="56">
        <f t="shared" ca="1" si="5"/>
        <v>19</v>
      </c>
      <c r="Z59" s="55">
        <f t="shared" si="6"/>
        <v>45670</v>
      </c>
      <c r="AA59" s="55"/>
      <c r="AB59" s="56">
        <f t="shared" ca="1" si="7"/>
        <v>-170</v>
      </c>
      <c r="AC59" s="55"/>
      <c r="AD59" s="57"/>
      <c r="AE59" s="58" t="str">
        <f t="shared" si="8"/>
        <v>-</v>
      </c>
      <c r="AF59" s="59"/>
      <c r="AG59" s="58" t="str">
        <f t="shared" si="9"/>
        <v/>
      </c>
      <c r="AH59" s="59"/>
      <c r="AI59" s="58" t="str">
        <f t="shared" si="10"/>
        <v/>
      </c>
      <c r="AJ59" s="59"/>
      <c r="AK59" s="58" t="str">
        <f t="shared" si="11"/>
        <v/>
      </c>
      <c r="AL59" s="59"/>
      <c r="AM59" s="58" t="str">
        <f t="shared" si="12"/>
        <v/>
      </c>
      <c r="AN59" s="59"/>
      <c r="AO59" s="58" t="str">
        <f t="shared" si="13"/>
        <v/>
      </c>
      <c r="AP59" s="59"/>
      <c r="AQ59" s="58" t="str">
        <f t="shared" si="14"/>
        <v/>
      </c>
      <c r="AR59" s="59"/>
      <c r="AS59" s="58" t="str">
        <f t="shared" si="15"/>
        <v/>
      </c>
      <c r="AT59" s="59"/>
      <c r="AU59" s="58" t="str">
        <f t="shared" si="16"/>
        <v/>
      </c>
      <c r="AV59" s="59"/>
      <c r="AW59" s="58" t="str">
        <f t="shared" si="17"/>
        <v/>
      </c>
      <c r="AX59" s="59"/>
      <c r="AY59" s="58" t="str">
        <f t="shared" si="18"/>
        <v/>
      </c>
      <c r="AZ59" s="59"/>
      <c r="BA59" s="58">
        <f t="shared" si="19"/>
        <v>1336</v>
      </c>
      <c r="BB59" s="59"/>
      <c r="BC59" s="58" t="str">
        <f t="shared" si="20"/>
        <v/>
      </c>
      <c r="BD59" s="59"/>
      <c r="BE59" s="58" t="str">
        <f t="shared" si="21"/>
        <v/>
      </c>
      <c r="BF59" s="59"/>
      <c r="BG59" s="58" t="str">
        <f t="shared" si="22"/>
        <v/>
      </c>
      <c r="BH59" s="59"/>
      <c r="BI59" s="58" t="str">
        <f t="shared" si="23"/>
        <v/>
      </c>
      <c r="BJ59" s="59"/>
      <c r="BK59" s="58" t="str">
        <f t="shared" si="24"/>
        <v/>
      </c>
      <c r="BL59" s="59"/>
      <c r="BM59" s="58" t="str">
        <f t="shared" si="25"/>
        <v/>
      </c>
      <c r="BN59" s="59"/>
      <c r="BO59" s="58" t="str">
        <f t="shared" si="26"/>
        <v/>
      </c>
      <c r="BP59" s="59"/>
      <c r="BQ59" s="58" t="str">
        <f t="shared" si="27"/>
        <v/>
      </c>
      <c r="BR59" s="59"/>
      <c r="BS59" s="58" t="str">
        <f t="shared" si="28"/>
        <v/>
      </c>
      <c r="BT59" s="59"/>
      <c r="BU59" s="58" t="str">
        <f t="shared" si="29"/>
        <v/>
      </c>
      <c r="BV59" s="59"/>
      <c r="BW59" s="58" t="str">
        <f t="shared" si="30"/>
        <v/>
      </c>
      <c r="BX59" s="59"/>
      <c r="BY59" s="58" t="str">
        <f t="shared" si="31"/>
        <v/>
      </c>
      <c r="BZ59" s="59"/>
    </row>
    <row r="60" spans="1:78" ht="14.5" hidden="1">
      <c r="A60" s="51" t="s">
        <v>58</v>
      </c>
      <c r="B60" s="52">
        <v>341</v>
      </c>
      <c r="C60" s="52" t="s">
        <v>188</v>
      </c>
      <c r="D60" s="41">
        <f t="shared" si="1"/>
        <v>3</v>
      </c>
      <c r="E60" s="41" t="s">
        <v>631</v>
      </c>
      <c r="F60" s="41" t="s">
        <v>631</v>
      </c>
      <c r="G60" s="52" t="s">
        <v>190</v>
      </c>
      <c r="H60" s="52" t="s">
        <v>242</v>
      </c>
      <c r="I60" s="52" t="s">
        <v>244</v>
      </c>
      <c r="J60" s="52" t="s">
        <v>438</v>
      </c>
      <c r="K60" s="53">
        <v>45674</v>
      </c>
      <c r="L60" s="108">
        <v>192</v>
      </c>
      <c r="M60" s="101">
        <v>192</v>
      </c>
      <c r="N60" s="101">
        <v>192</v>
      </c>
      <c r="O60" s="107">
        <f t="shared" si="35"/>
        <v>0</v>
      </c>
      <c r="P60" s="54">
        <f t="shared" si="36"/>
        <v>0</v>
      </c>
      <c r="Q60" s="101" t="s">
        <v>431</v>
      </c>
      <c r="R60" s="166">
        <v>45662</v>
      </c>
      <c r="S60" s="101"/>
      <c r="T60" s="102">
        <f t="shared" si="4"/>
        <v>0.26666666666666666</v>
      </c>
      <c r="U60" s="102">
        <v>6</v>
      </c>
      <c r="V60" s="99">
        <v>120</v>
      </c>
      <c r="W60" s="55">
        <f t="shared" si="37"/>
        <v>45654</v>
      </c>
      <c r="X60" s="55">
        <v>45635</v>
      </c>
      <c r="Y60" s="56">
        <f t="shared" ca="1" si="5"/>
        <v>19</v>
      </c>
      <c r="Z60" s="55">
        <f t="shared" si="6"/>
        <v>45670</v>
      </c>
      <c r="AA60" s="55"/>
      <c r="AB60" s="56">
        <f t="shared" ca="1" si="7"/>
        <v>-170</v>
      </c>
      <c r="AC60" s="55"/>
      <c r="AD60" s="57"/>
      <c r="AE60" s="58" t="str">
        <f t="shared" si="8"/>
        <v>-</v>
      </c>
      <c r="AF60" s="59"/>
      <c r="AG60" s="58" t="str">
        <f t="shared" si="9"/>
        <v/>
      </c>
      <c r="AH60" s="59"/>
      <c r="AI60" s="58" t="str">
        <f t="shared" si="10"/>
        <v/>
      </c>
      <c r="AJ60" s="59"/>
      <c r="AK60" s="58" t="str">
        <f t="shared" si="11"/>
        <v/>
      </c>
      <c r="AL60" s="59"/>
      <c r="AM60" s="58" t="str">
        <f t="shared" si="12"/>
        <v/>
      </c>
      <c r="AN60" s="59"/>
      <c r="AO60" s="58" t="str">
        <f t="shared" si="13"/>
        <v/>
      </c>
      <c r="AP60" s="59"/>
      <c r="AQ60" s="58" t="str">
        <f t="shared" si="14"/>
        <v/>
      </c>
      <c r="AR60" s="59"/>
      <c r="AS60" s="58" t="str">
        <f t="shared" si="15"/>
        <v/>
      </c>
      <c r="AT60" s="59"/>
      <c r="AU60" s="58" t="str">
        <f t="shared" si="16"/>
        <v/>
      </c>
      <c r="AV60" s="59"/>
      <c r="AW60" s="58" t="str">
        <f t="shared" si="17"/>
        <v/>
      </c>
      <c r="AX60" s="59"/>
      <c r="AY60" s="58" t="str">
        <f t="shared" si="18"/>
        <v/>
      </c>
      <c r="AZ60" s="59"/>
      <c r="BA60" s="58">
        <f t="shared" si="19"/>
        <v>192</v>
      </c>
      <c r="BB60" s="59"/>
      <c r="BC60" s="58" t="str">
        <f t="shared" si="20"/>
        <v/>
      </c>
      <c r="BD60" s="59"/>
      <c r="BE60" s="58" t="str">
        <f t="shared" si="21"/>
        <v/>
      </c>
      <c r="BF60" s="59"/>
      <c r="BG60" s="58" t="str">
        <f t="shared" si="22"/>
        <v/>
      </c>
      <c r="BH60" s="59"/>
      <c r="BI60" s="58" t="str">
        <f t="shared" si="23"/>
        <v/>
      </c>
      <c r="BJ60" s="59"/>
      <c r="BK60" s="58" t="str">
        <f t="shared" si="24"/>
        <v/>
      </c>
      <c r="BL60" s="59"/>
      <c r="BM60" s="58" t="str">
        <f t="shared" si="25"/>
        <v/>
      </c>
      <c r="BN60" s="59"/>
      <c r="BO60" s="58" t="str">
        <f t="shared" si="26"/>
        <v/>
      </c>
      <c r="BP60" s="59"/>
      <c r="BQ60" s="58" t="str">
        <f t="shared" si="27"/>
        <v/>
      </c>
      <c r="BR60" s="59"/>
      <c r="BS60" s="58" t="str">
        <f t="shared" si="28"/>
        <v/>
      </c>
      <c r="BT60" s="59"/>
      <c r="BU60" s="58" t="str">
        <f t="shared" si="29"/>
        <v/>
      </c>
      <c r="BV60" s="59"/>
      <c r="BW60" s="58" t="str">
        <f t="shared" si="30"/>
        <v/>
      </c>
      <c r="BX60" s="59"/>
      <c r="BY60" s="58" t="str">
        <f t="shared" si="31"/>
        <v/>
      </c>
      <c r="BZ60" s="59"/>
    </row>
    <row r="61" spans="1:78" ht="14.5">
      <c r="A61" s="51" t="s">
        <v>58</v>
      </c>
      <c r="B61" s="52">
        <v>358</v>
      </c>
      <c r="C61" s="52" t="s">
        <v>188</v>
      </c>
      <c r="D61" s="41">
        <f t="shared" si="1"/>
        <v>3</v>
      </c>
      <c r="E61" s="41" t="s">
        <v>631</v>
      </c>
      <c r="F61" s="41" t="s">
        <v>631</v>
      </c>
      <c r="G61" s="52" t="s">
        <v>201</v>
      </c>
      <c r="H61" s="52" t="s">
        <v>247</v>
      </c>
      <c r="I61" s="52" t="s">
        <v>155</v>
      </c>
      <c r="J61" s="52" t="s">
        <v>442</v>
      </c>
      <c r="K61" s="53">
        <v>45670</v>
      </c>
      <c r="L61" s="108">
        <v>14256</v>
      </c>
      <c r="M61" s="101">
        <v>14256</v>
      </c>
      <c r="N61" s="101">
        <v>14256</v>
      </c>
      <c r="O61" s="107">
        <f t="shared" si="35"/>
        <v>0</v>
      </c>
      <c r="P61" s="54">
        <f t="shared" si="36"/>
        <v>0</v>
      </c>
      <c r="Q61" s="101" t="s">
        <v>654</v>
      </c>
      <c r="R61" s="101" t="s">
        <v>632</v>
      </c>
      <c r="S61" s="101"/>
      <c r="T61" s="102">
        <f t="shared" si="4"/>
        <v>8.1462857142857139</v>
      </c>
      <c r="U61" s="102">
        <v>5</v>
      </c>
      <c r="V61" s="99">
        <v>350</v>
      </c>
      <c r="W61" s="55">
        <f t="shared" si="37"/>
        <v>45650</v>
      </c>
      <c r="X61" s="55">
        <v>45635</v>
      </c>
      <c r="Y61" s="56">
        <f t="shared" ca="1" si="5"/>
        <v>15</v>
      </c>
      <c r="Z61" s="55">
        <f t="shared" si="6"/>
        <v>45666</v>
      </c>
      <c r="AA61" s="55"/>
      <c r="AB61" s="56">
        <f t="shared" ca="1" si="7"/>
        <v>-174</v>
      </c>
      <c r="AC61" s="55"/>
      <c r="AD61" s="57"/>
      <c r="AE61" s="58" t="str">
        <f t="shared" si="8"/>
        <v>-</v>
      </c>
      <c r="AF61" s="59"/>
      <c r="AG61" s="58" t="str">
        <f t="shared" si="9"/>
        <v/>
      </c>
      <c r="AH61" s="59"/>
      <c r="AI61" s="58" t="str">
        <f t="shared" si="10"/>
        <v/>
      </c>
      <c r="AJ61" s="59"/>
      <c r="AK61" s="58" t="str">
        <f t="shared" si="11"/>
        <v/>
      </c>
      <c r="AL61" s="59"/>
      <c r="AM61" s="58" t="str">
        <f t="shared" si="12"/>
        <v/>
      </c>
      <c r="AN61" s="59"/>
      <c r="AO61" s="58" t="str">
        <f t="shared" si="13"/>
        <v/>
      </c>
      <c r="AP61" s="59"/>
      <c r="AQ61" s="58" t="str">
        <f t="shared" si="14"/>
        <v/>
      </c>
      <c r="AR61" s="59"/>
      <c r="AS61" s="58" t="str">
        <f t="shared" si="15"/>
        <v/>
      </c>
      <c r="AT61" s="59"/>
      <c r="AU61" s="58" t="str">
        <f t="shared" si="16"/>
        <v/>
      </c>
      <c r="AV61" s="59"/>
      <c r="AW61" s="58" t="str">
        <f t="shared" si="17"/>
        <v/>
      </c>
      <c r="AX61" s="59"/>
      <c r="AY61" s="58" t="str">
        <f t="shared" si="18"/>
        <v/>
      </c>
      <c r="AZ61" s="59"/>
      <c r="BA61" s="58">
        <f t="shared" si="19"/>
        <v>14256</v>
      </c>
      <c r="BB61" s="59"/>
      <c r="BC61" s="58" t="str">
        <f t="shared" si="20"/>
        <v/>
      </c>
      <c r="BD61" s="59"/>
      <c r="BE61" s="58" t="str">
        <f t="shared" si="21"/>
        <v/>
      </c>
      <c r="BF61" s="59"/>
      <c r="BG61" s="58" t="str">
        <f t="shared" si="22"/>
        <v/>
      </c>
      <c r="BH61" s="59"/>
      <c r="BI61" s="58" t="str">
        <f t="shared" si="23"/>
        <v/>
      </c>
      <c r="BJ61" s="59"/>
      <c r="BK61" s="58" t="str">
        <f t="shared" si="24"/>
        <v/>
      </c>
      <c r="BL61" s="59"/>
      <c r="BM61" s="58" t="str">
        <f t="shared" si="25"/>
        <v/>
      </c>
      <c r="BN61" s="59"/>
      <c r="BO61" s="58" t="str">
        <f t="shared" si="26"/>
        <v/>
      </c>
      <c r="BP61" s="59"/>
      <c r="BQ61" s="58" t="str">
        <f t="shared" si="27"/>
        <v/>
      </c>
      <c r="BR61" s="59"/>
      <c r="BS61" s="58" t="str">
        <f t="shared" si="28"/>
        <v/>
      </c>
      <c r="BT61" s="59"/>
      <c r="BU61" s="58" t="str">
        <f t="shared" si="29"/>
        <v/>
      </c>
      <c r="BV61" s="59"/>
      <c r="BW61" s="58" t="str">
        <f t="shared" si="30"/>
        <v/>
      </c>
      <c r="BX61" s="59"/>
      <c r="BY61" s="58" t="str">
        <f t="shared" si="31"/>
        <v/>
      </c>
      <c r="BZ61" s="59"/>
    </row>
    <row r="62" spans="1:78" ht="14.5" hidden="1">
      <c r="A62" s="51" t="s">
        <v>58</v>
      </c>
      <c r="B62" s="52">
        <v>358</v>
      </c>
      <c r="C62" s="52" t="s">
        <v>188</v>
      </c>
      <c r="D62" s="41">
        <f t="shared" si="1"/>
        <v>3</v>
      </c>
      <c r="E62" s="41" t="s">
        <v>631</v>
      </c>
      <c r="F62" s="41" t="s">
        <v>631</v>
      </c>
      <c r="G62" s="172" t="s">
        <v>195</v>
      </c>
      <c r="H62" s="52" t="s">
        <v>454</v>
      </c>
      <c r="I62" s="52" t="s">
        <v>162</v>
      </c>
      <c r="J62" s="52" t="s">
        <v>516</v>
      </c>
      <c r="K62" s="53">
        <v>45670</v>
      </c>
      <c r="L62" s="108">
        <v>2820</v>
      </c>
      <c r="M62" s="101">
        <v>2820</v>
      </c>
      <c r="N62" s="101">
        <v>2820</v>
      </c>
      <c r="O62" s="107">
        <f t="shared" si="35"/>
        <v>0</v>
      </c>
      <c r="P62" s="54">
        <f t="shared" si="36"/>
        <v>0</v>
      </c>
      <c r="Q62" s="101" t="s">
        <v>178</v>
      </c>
      <c r="R62" s="166">
        <v>45668</v>
      </c>
      <c r="S62" s="101"/>
      <c r="T62" s="102">
        <f t="shared" si="4"/>
        <v>3.9166666666666665</v>
      </c>
      <c r="U62" s="102">
        <v>6</v>
      </c>
      <c r="V62" s="99">
        <v>120</v>
      </c>
      <c r="W62" s="55">
        <f t="shared" si="37"/>
        <v>45650</v>
      </c>
      <c r="X62" s="55">
        <v>45635</v>
      </c>
      <c r="Y62" s="56">
        <f t="shared" ca="1" si="5"/>
        <v>15</v>
      </c>
      <c r="Z62" s="55">
        <f t="shared" si="6"/>
        <v>45666</v>
      </c>
      <c r="AA62" s="55"/>
      <c r="AB62" s="56">
        <f t="shared" ca="1" si="7"/>
        <v>-174</v>
      </c>
      <c r="AC62" s="55"/>
      <c r="AD62" s="57"/>
      <c r="AE62" s="58" t="str">
        <f t="shared" si="8"/>
        <v>-</v>
      </c>
      <c r="AF62" s="59"/>
      <c r="AG62" s="58" t="str">
        <f t="shared" si="9"/>
        <v/>
      </c>
      <c r="AH62" s="59"/>
      <c r="AI62" s="58" t="str">
        <f t="shared" si="10"/>
        <v/>
      </c>
      <c r="AJ62" s="59"/>
      <c r="AK62" s="58" t="str">
        <f t="shared" si="11"/>
        <v/>
      </c>
      <c r="AL62" s="59"/>
      <c r="AM62" s="58" t="str">
        <f t="shared" si="12"/>
        <v/>
      </c>
      <c r="AN62" s="59"/>
      <c r="AO62" s="58" t="str">
        <f t="shared" si="13"/>
        <v/>
      </c>
      <c r="AP62" s="59"/>
      <c r="AQ62" s="58" t="str">
        <f t="shared" si="14"/>
        <v/>
      </c>
      <c r="AR62" s="59"/>
      <c r="AS62" s="58" t="str">
        <f t="shared" si="15"/>
        <v/>
      </c>
      <c r="AT62" s="59"/>
      <c r="AU62" s="58" t="str">
        <f t="shared" si="16"/>
        <v/>
      </c>
      <c r="AV62" s="59"/>
      <c r="AW62" s="58" t="str">
        <f t="shared" si="17"/>
        <v/>
      </c>
      <c r="AX62" s="59"/>
      <c r="AY62" s="58" t="str">
        <f t="shared" si="18"/>
        <v/>
      </c>
      <c r="AZ62" s="59"/>
      <c r="BA62" s="58">
        <f t="shared" si="19"/>
        <v>2820</v>
      </c>
      <c r="BB62" s="59"/>
      <c r="BC62" s="58" t="str">
        <f t="shared" si="20"/>
        <v/>
      </c>
      <c r="BD62" s="59"/>
      <c r="BE62" s="58" t="str">
        <f t="shared" si="21"/>
        <v/>
      </c>
      <c r="BF62" s="59"/>
      <c r="BG62" s="58" t="str">
        <f t="shared" si="22"/>
        <v/>
      </c>
      <c r="BH62" s="59"/>
      <c r="BI62" s="58" t="str">
        <f t="shared" si="23"/>
        <v/>
      </c>
      <c r="BJ62" s="59"/>
      <c r="BK62" s="58" t="str">
        <f t="shared" si="24"/>
        <v/>
      </c>
      <c r="BL62" s="59"/>
      <c r="BM62" s="58" t="str">
        <f t="shared" si="25"/>
        <v/>
      </c>
      <c r="BN62" s="59"/>
      <c r="BO62" s="58" t="str">
        <f t="shared" si="26"/>
        <v/>
      </c>
      <c r="BP62" s="59"/>
      <c r="BQ62" s="58" t="str">
        <f t="shared" si="27"/>
        <v/>
      </c>
      <c r="BR62" s="59"/>
      <c r="BS62" s="58" t="str">
        <f t="shared" si="28"/>
        <v/>
      </c>
      <c r="BT62" s="59"/>
      <c r="BU62" s="58" t="str">
        <f t="shared" si="29"/>
        <v/>
      </c>
      <c r="BV62" s="59"/>
      <c r="BW62" s="58" t="str">
        <f t="shared" si="30"/>
        <v/>
      </c>
      <c r="BX62" s="59"/>
      <c r="BY62" s="58" t="str">
        <f t="shared" si="31"/>
        <v/>
      </c>
      <c r="BZ62" s="59"/>
    </row>
    <row r="63" spans="1:78" ht="14.5" hidden="1">
      <c r="A63" s="51" t="s">
        <v>58</v>
      </c>
      <c r="B63" s="52">
        <v>358</v>
      </c>
      <c r="C63" s="52" t="s">
        <v>188</v>
      </c>
      <c r="D63" s="41">
        <f t="shared" si="1"/>
        <v>3</v>
      </c>
      <c r="E63" s="41" t="s">
        <v>631</v>
      </c>
      <c r="F63" s="41" t="s">
        <v>631</v>
      </c>
      <c r="G63" s="52" t="s">
        <v>245</v>
      </c>
      <c r="H63" s="52" t="s">
        <v>242</v>
      </c>
      <c r="I63" s="52" t="s">
        <v>244</v>
      </c>
      <c r="J63" s="52" t="s">
        <v>432</v>
      </c>
      <c r="K63" s="53">
        <v>45670</v>
      </c>
      <c r="L63" s="108">
        <v>172</v>
      </c>
      <c r="M63" s="101">
        <v>172</v>
      </c>
      <c r="N63" s="101">
        <v>172</v>
      </c>
      <c r="O63" s="107">
        <f t="shared" si="35"/>
        <v>0</v>
      </c>
      <c r="P63" s="54">
        <f t="shared" si="36"/>
        <v>0</v>
      </c>
      <c r="Q63" s="101" t="s">
        <v>431</v>
      </c>
      <c r="R63" s="166">
        <v>45667</v>
      </c>
      <c r="S63" s="101"/>
      <c r="T63" s="102">
        <f t="shared" si="4"/>
        <v>0.2388888888888889</v>
      </c>
      <c r="U63" s="102">
        <v>6</v>
      </c>
      <c r="V63" s="99">
        <v>120</v>
      </c>
      <c r="W63" s="55">
        <f t="shared" si="37"/>
        <v>45650</v>
      </c>
      <c r="X63" s="55">
        <v>45635</v>
      </c>
      <c r="Y63" s="56">
        <f t="shared" ca="1" si="5"/>
        <v>15</v>
      </c>
      <c r="Z63" s="55">
        <f t="shared" si="6"/>
        <v>45666</v>
      </c>
      <c r="AA63" s="55"/>
      <c r="AB63" s="56">
        <f t="shared" ca="1" si="7"/>
        <v>-174</v>
      </c>
      <c r="AC63" s="55"/>
      <c r="AD63" s="57"/>
      <c r="AE63" s="58" t="str">
        <f t="shared" si="8"/>
        <v>-</v>
      </c>
      <c r="AF63" s="59"/>
      <c r="AG63" s="58" t="str">
        <f t="shared" si="9"/>
        <v/>
      </c>
      <c r="AH63" s="59"/>
      <c r="AI63" s="58" t="str">
        <f t="shared" si="10"/>
        <v/>
      </c>
      <c r="AJ63" s="59"/>
      <c r="AK63" s="58" t="str">
        <f t="shared" si="11"/>
        <v/>
      </c>
      <c r="AL63" s="59"/>
      <c r="AM63" s="58" t="str">
        <f t="shared" si="12"/>
        <v/>
      </c>
      <c r="AN63" s="59"/>
      <c r="AO63" s="58" t="str">
        <f t="shared" si="13"/>
        <v/>
      </c>
      <c r="AP63" s="59"/>
      <c r="AQ63" s="58" t="str">
        <f t="shared" si="14"/>
        <v/>
      </c>
      <c r="AR63" s="59"/>
      <c r="AS63" s="58" t="str">
        <f t="shared" si="15"/>
        <v/>
      </c>
      <c r="AT63" s="59"/>
      <c r="AU63" s="58" t="str">
        <f t="shared" si="16"/>
        <v/>
      </c>
      <c r="AV63" s="59"/>
      <c r="AW63" s="58" t="str">
        <f t="shared" si="17"/>
        <v/>
      </c>
      <c r="AX63" s="59"/>
      <c r="AY63" s="58" t="str">
        <f t="shared" si="18"/>
        <v/>
      </c>
      <c r="AZ63" s="59"/>
      <c r="BA63" s="58">
        <f t="shared" si="19"/>
        <v>172</v>
      </c>
      <c r="BB63" s="59"/>
      <c r="BC63" s="58" t="str">
        <f t="shared" si="20"/>
        <v/>
      </c>
      <c r="BD63" s="59"/>
      <c r="BE63" s="58" t="str">
        <f t="shared" si="21"/>
        <v/>
      </c>
      <c r="BF63" s="59"/>
      <c r="BG63" s="58" t="str">
        <f t="shared" si="22"/>
        <v/>
      </c>
      <c r="BH63" s="59"/>
      <c r="BI63" s="58" t="str">
        <f t="shared" si="23"/>
        <v/>
      </c>
      <c r="BJ63" s="59"/>
      <c r="BK63" s="58" t="str">
        <f t="shared" si="24"/>
        <v/>
      </c>
      <c r="BL63" s="59"/>
      <c r="BM63" s="58" t="str">
        <f t="shared" si="25"/>
        <v/>
      </c>
      <c r="BN63" s="59"/>
      <c r="BO63" s="58" t="str">
        <f t="shared" si="26"/>
        <v/>
      </c>
      <c r="BP63" s="59"/>
      <c r="BQ63" s="58" t="str">
        <f t="shared" si="27"/>
        <v/>
      </c>
      <c r="BR63" s="59"/>
      <c r="BS63" s="58" t="str">
        <f t="shared" si="28"/>
        <v/>
      </c>
      <c r="BT63" s="59"/>
      <c r="BU63" s="58" t="str">
        <f t="shared" si="29"/>
        <v/>
      </c>
      <c r="BV63" s="59"/>
      <c r="BW63" s="58" t="str">
        <f t="shared" si="30"/>
        <v/>
      </c>
      <c r="BX63" s="59"/>
      <c r="BY63" s="58" t="str">
        <f t="shared" si="31"/>
        <v/>
      </c>
      <c r="BZ63" s="59"/>
    </row>
    <row r="64" spans="1:78" ht="14.5" hidden="1">
      <c r="A64" s="51" t="s">
        <v>58</v>
      </c>
      <c r="B64" s="52">
        <v>358</v>
      </c>
      <c r="C64" s="52" t="s">
        <v>188</v>
      </c>
      <c r="D64" s="41">
        <f t="shared" si="1"/>
        <v>3</v>
      </c>
      <c r="E64" s="41" t="s">
        <v>631</v>
      </c>
      <c r="F64" s="41" t="s">
        <v>631</v>
      </c>
      <c r="G64" s="52" t="s">
        <v>189</v>
      </c>
      <c r="H64" s="52" t="s">
        <v>242</v>
      </c>
      <c r="I64" s="52" t="s">
        <v>162</v>
      </c>
      <c r="J64" s="52" t="s">
        <v>432</v>
      </c>
      <c r="K64" s="53">
        <v>45670</v>
      </c>
      <c r="L64" s="108">
        <v>1412</v>
      </c>
      <c r="M64" s="101">
        <v>1412</v>
      </c>
      <c r="N64" s="101">
        <v>1412</v>
      </c>
      <c r="O64" s="107">
        <f t="shared" si="35"/>
        <v>0</v>
      </c>
      <c r="P64" s="54">
        <f t="shared" si="36"/>
        <v>0</v>
      </c>
      <c r="Q64" s="101" t="s">
        <v>178</v>
      </c>
      <c r="R64" s="166">
        <v>45675</v>
      </c>
      <c r="S64" s="101" t="s">
        <v>655</v>
      </c>
      <c r="T64" s="102">
        <f t="shared" si="4"/>
        <v>1.961111111111111</v>
      </c>
      <c r="U64" s="102">
        <v>6</v>
      </c>
      <c r="V64" s="99">
        <v>120</v>
      </c>
      <c r="W64" s="55">
        <f t="shared" si="37"/>
        <v>45650</v>
      </c>
      <c r="X64" s="55">
        <v>45635</v>
      </c>
      <c r="Y64" s="56">
        <f t="shared" ca="1" si="5"/>
        <v>15</v>
      </c>
      <c r="Z64" s="55">
        <f t="shared" si="6"/>
        <v>45666</v>
      </c>
      <c r="AA64" s="55"/>
      <c r="AB64" s="56">
        <f t="shared" ca="1" si="7"/>
        <v>-174</v>
      </c>
      <c r="AC64" s="55"/>
      <c r="AD64" s="57"/>
      <c r="AE64" s="58" t="str">
        <f t="shared" si="8"/>
        <v>-</v>
      </c>
      <c r="AF64" s="59"/>
      <c r="AG64" s="58" t="str">
        <f t="shared" si="9"/>
        <v/>
      </c>
      <c r="AH64" s="59"/>
      <c r="AI64" s="58" t="str">
        <f t="shared" si="10"/>
        <v/>
      </c>
      <c r="AJ64" s="59"/>
      <c r="AK64" s="58" t="str">
        <f t="shared" si="11"/>
        <v/>
      </c>
      <c r="AL64" s="59"/>
      <c r="AM64" s="58" t="str">
        <f t="shared" si="12"/>
        <v/>
      </c>
      <c r="AN64" s="59"/>
      <c r="AO64" s="58" t="str">
        <f t="shared" si="13"/>
        <v/>
      </c>
      <c r="AP64" s="59"/>
      <c r="AQ64" s="58" t="str">
        <f t="shared" si="14"/>
        <v/>
      </c>
      <c r="AR64" s="59"/>
      <c r="AS64" s="58" t="str">
        <f t="shared" si="15"/>
        <v/>
      </c>
      <c r="AT64" s="59"/>
      <c r="AU64" s="58" t="str">
        <f t="shared" si="16"/>
        <v/>
      </c>
      <c r="AV64" s="59"/>
      <c r="AW64" s="58" t="str">
        <f t="shared" si="17"/>
        <v/>
      </c>
      <c r="AX64" s="59"/>
      <c r="AY64" s="58" t="str">
        <f t="shared" si="18"/>
        <v/>
      </c>
      <c r="AZ64" s="59"/>
      <c r="BA64" s="58">
        <f t="shared" si="19"/>
        <v>1412</v>
      </c>
      <c r="BB64" s="59"/>
      <c r="BC64" s="58" t="str">
        <f t="shared" si="20"/>
        <v/>
      </c>
      <c r="BD64" s="59"/>
      <c r="BE64" s="58" t="str">
        <f t="shared" si="21"/>
        <v/>
      </c>
      <c r="BF64" s="59"/>
      <c r="BG64" s="58" t="str">
        <f t="shared" si="22"/>
        <v/>
      </c>
      <c r="BH64" s="59"/>
      <c r="BI64" s="58" t="str">
        <f t="shared" si="23"/>
        <v/>
      </c>
      <c r="BJ64" s="59"/>
      <c r="BK64" s="58" t="str">
        <f t="shared" si="24"/>
        <v/>
      </c>
      <c r="BL64" s="59"/>
      <c r="BM64" s="58" t="str">
        <f t="shared" si="25"/>
        <v/>
      </c>
      <c r="BN64" s="59"/>
      <c r="BO64" s="58" t="str">
        <f t="shared" si="26"/>
        <v/>
      </c>
      <c r="BP64" s="59"/>
      <c r="BQ64" s="58" t="str">
        <f t="shared" si="27"/>
        <v/>
      </c>
      <c r="BR64" s="59"/>
      <c r="BS64" s="58" t="str">
        <f t="shared" si="28"/>
        <v/>
      </c>
      <c r="BT64" s="59"/>
      <c r="BU64" s="58" t="str">
        <f t="shared" si="29"/>
        <v/>
      </c>
      <c r="BV64" s="59"/>
      <c r="BW64" s="58" t="str">
        <f t="shared" si="30"/>
        <v/>
      </c>
      <c r="BX64" s="59"/>
      <c r="BY64" s="58" t="str">
        <f t="shared" si="31"/>
        <v/>
      </c>
      <c r="BZ64" s="59"/>
    </row>
    <row r="65" spans="1:78" ht="14.5" hidden="1">
      <c r="A65" s="51" t="s">
        <v>58</v>
      </c>
      <c r="B65" s="52">
        <v>358</v>
      </c>
      <c r="C65" s="52" t="s">
        <v>188</v>
      </c>
      <c r="D65" s="41">
        <f t="shared" si="1"/>
        <v>3</v>
      </c>
      <c r="E65" s="41" t="s">
        <v>631</v>
      </c>
      <c r="F65" s="41" t="s">
        <v>631</v>
      </c>
      <c r="G65" s="52" t="s">
        <v>158</v>
      </c>
      <c r="H65" s="52" t="s">
        <v>242</v>
      </c>
      <c r="I65" s="52" t="s">
        <v>255</v>
      </c>
      <c r="J65" s="52" t="s">
        <v>445</v>
      </c>
      <c r="K65" s="53">
        <v>45670</v>
      </c>
      <c r="L65" s="108">
        <v>1336</v>
      </c>
      <c r="M65" s="101">
        <v>1336</v>
      </c>
      <c r="N65" s="101">
        <v>1336</v>
      </c>
      <c r="O65" s="107">
        <f t="shared" si="35"/>
        <v>0</v>
      </c>
      <c r="P65" s="54">
        <f t="shared" si="36"/>
        <v>0</v>
      </c>
      <c r="Q65" s="101" t="s">
        <v>437</v>
      </c>
      <c r="R65" s="101" t="s">
        <v>632</v>
      </c>
      <c r="S65" s="101"/>
      <c r="T65" s="102">
        <f t="shared" si="4"/>
        <v>1.8555555555555556</v>
      </c>
      <c r="U65" s="102">
        <v>6</v>
      </c>
      <c r="V65" s="99">
        <v>120</v>
      </c>
      <c r="W65" s="55">
        <f t="shared" si="37"/>
        <v>45650</v>
      </c>
      <c r="X65" s="55">
        <v>45635</v>
      </c>
      <c r="Y65" s="56">
        <f t="shared" ca="1" si="5"/>
        <v>15</v>
      </c>
      <c r="Z65" s="55">
        <f t="shared" si="6"/>
        <v>45666</v>
      </c>
      <c r="AA65" s="55"/>
      <c r="AB65" s="56">
        <f t="shared" ca="1" si="7"/>
        <v>-174</v>
      </c>
      <c r="AC65" s="55"/>
      <c r="AD65" s="57"/>
      <c r="AE65" s="58" t="str">
        <f t="shared" si="8"/>
        <v>-</v>
      </c>
      <c r="AF65" s="59"/>
      <c r="AG65" s="58" t="str">
        <f t="shared" si="9"/>
        <v/>
      </c>
      <c r="AH65" s="59"/>
      <c r="AI65" s="58" t="str">
        <f t="shared" si="10"/>
        <v/>
      </c>
      <c r="AJ65" s="59"/>
      <c r="AK65" s="58" t="str">
        <f t="shared" si="11"/>
        <v/>
      </c>
      <c r="AL65" s="59"/>
      <c r="AM65" s="58" t="str">
        <f t="shared" si="12"/>
        <v/>
      </c>
      <c r="AN65" s="59"/>
      <c r="AO65" s="58" t="str">
        <f t="shared" si="13"/>
        <v/>
      </c>
      <c r="AP65" s="59"/>
      <c r="AQ65" s="58" t="str">
        <f t="shared" si="14"/>
        <v/>
      </c>
      <c r="AR65" s="59"/>
      <c r="AS65" s="58" t="str">
        <f t="shared" si="15"/>
        <v/>
      </c>
      <c r="AT65" s="59"/>
      <c r="AU65" s="58" t="str">
        <f t="shared" si="16"/>
        <v/>
      </c>
      <c r="AV65" s="59"/>
      <c r="AW65" s="58" t="str">
        <f t="shared" si="17"/>
        <v/>
      </c>
      <c r="AX65" s="59"/>
      <c r="AY65" s="58" t="str">
        <f t="shared" si="18"/>
        <v/>
      </c>
      <c r="AZ65" s="59"/>
      <c r="BA65" s="58">
        <f t="shared" si="19"/>
        <v>1336</v>
      </c>
      <c r="BB65" s="59"/>
      <c r="BC65" s="58" t="str">
        <f t="shared" si="20"/>
        <v/>
      </c>
      <c r="BD65" s="59"/>
      <c r="BE65" s="58" t="str">
        <f t="shared" si="21"/>
        <v/>
      </c>
      <c r="BF65" s="59"/>
      <c r="BG65" s="58" t="str">
        <f t="shared" si="22"/>
        <v/>
      </c>
      <c r="BH65" s="59"/>
      <c r="BI65" s="58" t="str">
        <f t="shared" si="23"/>
        <v/>
      </c>
      <c r="BJ65" s="59"/>
      <c r="BK65" s="58" t="str">
        <f t="shared" si="24"/>
        <v/>
      </c>
      <c r="BL65" s="59"/>
      <c r="BM65" s="58" t="str">
        <f t="shared" si="25"/>
        <v/>
      </c>
      <c r="BN65" s="59"/>
      <c r="BO65" s="58" t="str">
        <f t="shared" si="26"/>
        <v/>
      </c>
      <c r="BP65" s="59"/>
      <c r="BQ65" s="58" t="str">
        <f t="shared" si="27"/>
        <v/>
      </c>
      <c r="BR65" s="59"/>
      <c r="BS65" s="58" t="str">
        <f t="shared" si="28"/>
        <v/>
      </c>
      <c r="BT65" s="59"/>
      <c r="BU65" s="58" t="str">
        <f t="shared" si="29"/>
        <v/>
      </c>
      <c r="BV65" s="59"/>
      <c r="BW65" s="58" t="str">
        <f t="shared" si="30"/>
        <v/>
      </c>
      <c r="BX65" s="59"/>
      <c r="BY65" s="58" t="str">
        <f t="shared" si="31"/>
        <v/>
      </c>
      <c r="BZ65" s="59"/>
    </row>
    <row r="66" spans="1:78" ht="14.5" hidden="1">
      <c r="A66" s="51" t="s">
        <v>58</v>
      </c>
      <c r="B66" s="52">
        <v>296</v>
      </c>
      <c r="C66" s="52" t="s">
        <v>188</v>
      </c>
      <c r="D66" s="41">
        <f t="shared" si="1"/>
        <v>4</v>
      </c>
      <c r="E66" s="170" t="s">
        <v>631</v>
      </c>
      <c r="F66" s="41" t="s">
        <v>631</v>
      </c>
      <c r="G66" s="52" t="s">
        <v>157</v>
      </c>
      <c r="H66" s="52" t="s">
        <v>243</v>
      </c>
      <c r="I66" s="52" t="s">
        <v>155</v>
      </c>
      <c r="J66" s="52" t="s">
        <v>428</v>
      </c>
      <c r="K66" s="53">
        <v>45678</v>
      </c>
      <c r="L66" s="108">
        <v>540</v>
      </c>
      <c r="M66" s="101">
        <v>540</v>
      </c>
      <c r="N66" s="101">
        <v>540</v>
      </c>
      <c r="O66" s="107">
        <f t="shared" si="35"/>
        <v>0</v>
      </c>
      <c r="P66" s="54">
        <f t="shared" si="36"/>
        <v>0</v>
      </c>
      <c r="Q66" s="101" t="s">
        <v>429</v>
      </c>
      <c r="R66" s="166">
        <v>45669</v>
      </c>
      <c r="S66" s="101"/>
      <c r="T66" s="102">
        <f t="shared" si="4"/>
        <v>0.09</v>
      </c>
      <c r="U66" s="102">
        <v>6</v>
      </c>
      <c r="V66" s="99">
        <v>1000</v>
      </c>
      <c r="W66" s="55">
        <f t="shared" si="37"/>
        <v>45658</v>
      </c>
      <c r="X66" s="55">
        <v>45613</v>
      </c>
      <c r="Y66" s="56">
        <f t="shared" ca="1" si="5"/>
        <v>45</v>
      </c>
      <c r="Z66" s="55">
        <f t="shared" si="6"/>
        <v>45674</v>
      </c>
      <c r="AA66" s="55"/>
      <c r="AB66" s="56">
        <f t="shared" ca="1" si="7"/>
        <v>-166</v>
      </c>
      <c r="AC66" s="55"/>
      <c r="AD66" s="57"/>
      <c r="AE66" s="58" t="str">
        <f t="shared" si="8"/>
        <v>-</v>
      </c>
      <c r="AF66" s="59"/>
      <c r="AG66" s="58" t="str">
        <f t="shared" si="9"/>
        <v/>
      </c>
      <c r="AH66" s="59"/>
      <c r="AI66" s="58" t="str">
        <f t="shared" si="10"/>
        <v/>
      </c>
      <c r="AJ66" s="59"/>
      <c r="AK66" s="58" t="str">
        <f t="shared" si="11"/>
        <v/>
      </c>
      <c r="AL66" s="59"/>
      <c r="AM66" s="58" t="str">
        <f t="shared" si="12"/>
        <v/>
      </c>
      <c r="AN66" s="59"/>
      <c r="AO66" s="58" t="str">
        <f t="shared" si="13"/>
        <v/>
      </c>
      <c r="AP66" s="59"/>
      <c r="AQ66" s="58" t="str">
        <f t="shared" si="14"/>
        <v/>
      </c>
      <c r="AR66" s="59"/>
      <c r="AS66" s="58" t="str">
        <f t="shared" si="15"/>
        <v/>
      </c>
      <c r="AT66" s="59"/>
      <c r="AU66" s="58" t="str">
        <f t="shared" si="16"/>
        <v/>
      </c>
      <c r="AV66" s="59"/>
      <c r="AW66" s="58" t="str">
        <f t="shared" si="17"/>
        <v/>
      </c>
      <c r="AX66" s="59"/>
      <c r="AY66" s="58" t="str">
        <f t="shared" si="18"/>
        <v/>
      </c>
      <c r="AZ66" s="59"/>
      <c r="BA66" s="58" t="str">
        <f t="shared" si="19"/>
        <v/>
      </c>
      <c r="BB66" s="59"/>
      <c r="BC66" s="58">
        <f t="shared" si="20"/>
        <v>540</v>
      </c>
      <c r="BD66" s="59"/>
      <c r="BE66" s="58" t="str">
        <f t="shared" si="21"/>
        <v/>
      </c>
      <c r="BF66" s="59"/>
      <c r="BG66" s="58" t="str">
        <f t="shared" si="22"/>
        <v/>
      </c>
      <c r="BH66" s="59"/>
      <c r="BI66" s="58" t="str">
        <f t="shared" si="23"/>
        <v/>
      </c>
      <c r="BJ66" s="59"/>
      <c r="BK66" s="58" t="str">
        <f t="shared" si="24"/>
        <v/>
      </c>
      <c r="BL66" s="59"/>
      <c r="BM66" s="58" t="str">
        <f t="shared" si="25"/>
        <v/>
      </c>
      <c r="BN66" s="59"/>
      <c r="BO66" s="58" t="str">
        <f t="shared" si="26"/>
        <v/>
      </c>
      <c r="BP66" s="59"/>
      <c r="BQ66" s="58" t="str">
        <f t="shared" si="27"/>
        <v/>
      </c>
      <c r="BR66" s="59"/>
      <c r="BS66" s="58" t="str">
        <f t="shared" si="28"/>
        <v/>
      </c>
      <c r="BT66" s="59"/>
      <c r="BU66" s="58" t="str">
        <f t="shared" si="29"/>
        <v/>
      </c>
      <c r="BV66" s="59"/>
      <c r="BW66" s="58" t="str">
        <f t="shared" si="30"/>
        <v/>
      </c>
      <c r="BX66" s="59"/>
      <c r="BY66" s="58" t="str">
        <f t="shared" si="31"/>
        <v/>
      </c>
      <c r="BZ66" s="59"/>
    </row>
    <row r="67" spans="1:78" ht="14.5" hidden="1">
      <c r="A67" s="51" t="s">
        <v>58</v>
      </c>
      <c r="B67" s="52">
        <v>296</v>
      </c>
      <c r="C67" s="52" t="s">
        <v>188</v>
      </c>
      <c r="D67" s="41">
        <f t="shared" si="1"/>
        <v>4</v>
      </c>
      <c r="E67" s="170" t="s">
        <v>631</v>
      </c>
      <c r="F67" s="41" t="s">
        <v>631</v>
      </c>
      <c r="G67" s="52" t="s">
        <v>195</v>
      </c>
      <c r="H67" s="52" t="s">
        <v>286</v>
      </c>
      <c r="I67" s="52" t="s">
        <v>162</v>
      </c>
      <c r="J67" s="52" t="s">
        <v>434</v>
      </c>
      <c r="K67" s="53">
        <v>45678</v>
      </c>
      <c r="L67" s="108">
        <v>4464</v>
      </c>
      <c r="M67" s="101">
        <v>4464</v>
      </c>
      <c r="N67" s="101">
        <v>4464</v>
      </c>
      <c r="O67" s="107">
        <f t="shared" si="35"/>
        <v>0</v>
      </c>
      <c r="P67" s="54">
        <f t="shared" si="36"/>
        <v>0</v>
      </c>
      <c r="Q67" s="101" t="s">
        <v>431</v>
      </c>
      <c r="R67" s="166">
        <v>45669</v>
      </c>
      <c r="S67" s="101"/>
      <c r="T67" s="102">
        <f t="shared" si="4"/>
        <v>6.2</v>
      </c>
      <c r="U67" s="102">
        <v>6</v>
      </c>
      <c r="V67" s="99">
        <v>120</v>
      </c>
      <c r="W67" s="55">
        <f t="shared" si="37"/>
        <v>45658</v>
      </c>
      <c r="X67" s="55">
        <v>45613</v>
      </c>
      <c r="Y67" s="56">
        <f t="shared" ca="1" si="5"/>
        <v>45</v>
      </c>
      <c r="Z67" s="55">
        <f t="shared" si="6"/>
        <v>45674</v>
      </c>
      <c r="AA67" s="55"/>
      <c r="AB67" s="56">
        <f t="shared" ca="1" si="7"/>
        <v>-166</v>
      </c>
      <c r="AC67" s="55"/>
      <c r="AD67" s="57"/>
      <c r="AE67" s="58" t="str">
        <f t="shared" si="8"/>
        <v>-</v>
      </c>
      <c r="AF67" s="59"/>
      <c r="AG67" s="58" t="str">
        <f t="shared" si="9"/>
        <v/>
      </c>
      <c r="AH67" s="59"/>
      <c r="AI67" s="58" t="str">
        <f t="shared" si="10"/>
        <v/>
      </c>
      <c r="AJ67" s="59"/>
      <c r="AK67" s="58" t="str">
        <f t="shared" si="11"/>
        <v/>
      </c>
      <c r="AL67" s="59"/>
      <c r="AM67" s="58" t="str">
        <f t="shared" si="12"/>
        <v/>
      </c>
      <c r="AN67" s="59"/>
      <c r="AO67" s="58" t="str">
        <f t="shared" si="13"/>
        <v/>
      </c>
      <c r="AP67" s="59"/>
      <c r="AQ67" s="58" t="str">
        <f t="shared" si="14"/>
        <v/>
      </c>
      <c r="AR67" s="59"/>
      <c r="AS67" s="58" t="str">
        <f t="shared" si="15"/>
        <v/>
      </c>
      <c r="AT67" s="59"/>
      <c r="AU67" s="58" t="str">
        <f t="shared" si="16"/>
        <v/>
      </c>
      <c r="AV67" s="59"/>
      <c r="AW67" s="58" t="str">
        <f t="shared" si="17"/>
        <v/>
      </c>
      <c r="AX67" s="59"/>
      <c r="AY67" s="58" t="str">
        <f t="shared" si="18"/>
        <v/>
      </c>
      <c r="AZ67" s="59"/>
      <c r="BA67" s="58" t="str">
        <f t="shared" si="19"/>
        <v/>
      </c>
      <c r="BB67" s="59"/>
      <c r="BC67" s="58">
        <f t="shared" si="20"/>
        <v>4464</v>
      </c>
      <c r="BD67" s="59"/>
      <c r="BE67" s="58" t="str">
        <f t="shared" si="21"/>
        <v/>
      </c>
      <c r="BF67" s="59"/>
      <c r="BG67" s="58" t="str">
        <f t="shared" si="22"/>
        <v/>
      </c>
      <c r="BH67" s="59"/>
      <c r="BI67" s="58" t="str">
        <f t="shared" si="23"/>
        <v/>
      </c>
      <c r="BJ67" s="59"/>
      <c r="BK67" s="58" t="str">
        <f t="shared" si="24"/>
        <v/>
      </c>
      <c r="BL67" s="59"/>
      <c r="BM67" s="58" t="str">
        <f t="shared" si="25"/>
        <v/>
      </c>
      <c r="BN67" s="59"/>
      <c r="BO67" s="58" t="str">
        <f t="shared" si="26"/>
        <v/>
      </c>
      <c r="BP67" s="59"/>
      <c r="BQ67" s="58" t="str">
        <f t="shared" si="27"/>
        <v/>
      </c>
      <c r="BR67" s="59"/>
      <c r="BS67" s="58" t="str">
        <f t="shared" si="28"/>
        <v/>
      </c>
      <c r="BT67" s="59"/>
      <c r="BU67" s="58" t="str">
        <f t="shared" si="29"/>
        <v/>
      </c>
      <c r="BV67" s="59"/>
      <c r="BW67" s="58" t="str">
        <f t="shared" si="30"/>
        <v/>
      </c>
      <c r="BX67" s="59"/>
      <c r="BY67" s="58" t="str">
        <f t="shared" si="31"/>
        <v/>
      </c>
      <c r="BZ67" s="59"/>
    </row>
    <row r="68" spans="1:78" ht="14.5" hidden="1">
      <c r="A68" s="51" t="s">
        <v>446</v>
      </c>
      <c r="B68" s="52" t="s">
        <v>515</v>
      </c>
      <c r="C68" s="52" t="s">
        <v>60</v>
      </c>
      <c r="D68" s="41">
        <f t="shared" si="1"/>
        <v>5</v>
      </c>
      <c r="E68" s="41"/>
      <c r="F68" s="41"/>
      <c r="G68" s="52" t="s">
        <v>187</v>
      </c>
      <c r="H68" s="52" t="s">
        <v>448</v>
      </c>
      <c r="I68" s="52" t="s">
        <v>164</v>
      </c>
      <c r="J68" s="52" t="s">
        <v>449</v>
      </c>
      <c r="K68" s="53">
        <v>45687</v>
      </c>
      <c r="L68" s="108">
        <v>9000</v>
      </c>
      <c r="M68" s="101"/>
      <c r="N68" s="101"/>
      <c r="O68" s="101">
        <f>+L68-N68</f>
        <v>9000</v>
      </c>
      <c r="P68" s="54">
        <f>+L68-M68</f>
        <v>9000</v>
      </c>
      <c r="Q68" s="101" t="s">
        <v>439</v>
      </c>
      <c r="R68" s="101"/>
      <c r="S68" s="101"/>
      <c r="T68" s="102">
        <f t="shared" si="4"/>
        <v>1.3636363636363635</v>
      </c>
      <c r="U68" s="102">
        <v>6</v>
      </c>
      <c r="V68" s="99">
        <v>1100</v>
      </c>
      <c r="W68" s="55">
        <f>+K68-(28)</f>
        <v>45659</v>
      </c>
      <c r="X68" s="55"/>
      <c r="Y68" s="56">
        <f t="shared" ca="1" si="5"/>
        <v>-181</v>
      </c>
      <c r="Z68" s="55">
        <f t="shared" si="6"/>
        <v>45675</v>
      </c>
      <c r="AA68" s="55"/>
      <c r="AB68" s="56">
        <f t="shared" ca="1" si="7"/>
        <v>-165</v>
      </c>
      <c r="AC68" s="55"/>
      <c r="AD68" s="57"/>
      <c r="AE68" s="58" t="str">
        <f t="shared" si="8"/>
        <v>-</v>
      </c>
      <c r="AF68" s="59"/>
      <c r="AG68" s="58" t="str">
        <f t="shared" si="9"/>
        <v/>
      </c>
      <c r="AH68" s="59"/>
      <c r="AI68" s="58" t="str">
        <f t="shared" si="10"/>
        <v/>
      </c>
      <c r="AJ68" s="59"/>
      <c r="AK68" s="58" t="str">
        <f t="shared" si="11"/>
        <v/>
      </c>
      <c r="AL68" s="59"/>
      <c r="AM68" s="58" t="str">
        <f t="shared" si="12"/>
        <v/>
      </c>
      <c r="AN68" s="59"/>
      <c r="AO68" s="58" t="str">
        <f t="shared" si="13"/>
        <v/>
      </c>
      <c r="AP68" s="59"/>
      <c r="AQ68" s="58" t="str">
        <f t="shared" si="14"/>
        <v/>
      </c>
      <c r="AR68" s="59"/>
      <c r="AS68" s="58" t="str">
        <f t="shared" si="15"/>
        <v/>
      </c>
      <c r="AT68" s="59"/>
      <c r="AU68" s="58" t="str">
        <f t="shared" si="16"/>
        <v/>
      </c>
      <c r="AV68" s="59"/>
      <c r="AW68" s="58" t="str">
        <f t="shared" si="17"/>
        <v/>
      </c>
      <c r="AX68" s="59"/>
      <c r="AY68" s="58" t="str">
        <f t="shared" si="18"/>
        <v/>
      </c>
      <c r="AZ68" s="59"/>
      <c r="BA68" s="58" t="str">
        <f t="shared" si="19"/>
        <v/>
      </c>
      <c r="BB68" s="59"/>
      <c r="BC68" s="58">
        <f t="shared" si="20"/>
        <v>9000</v>
      </c>
      <c r="BD68" s="59"/>
      <c r="BE68" s="58" t="str">
        <f t="shared" si="21"/>
        <v/>
      </c>
      <c r="BF68" s="59"/>
      <c r="BG68" s="58" t="str">
        <f t="shared" si="22"/>
        <v/>
      </c>
      <c r="BH68" s="59"/>
      <c r="BI68" s="58" t="str">
        <f t="shared" si="23"/>
        <v/>
      </c>
      <c r="BJ68" s="59"/>
      <c r="BK68" s="58" t="str">
        <f t="shared" si="24"/>
        <v/>
      </c>
      <c r="BL68" s="59"/>
      <c r="BM68" s="58" t="str">
        <f t="shared" si="25"/>
        <v/>
      </c>
      <c r="BN68" s="59"/>
      <c r="BO68" s="58" t="str">
        <f t="shared" si="26"/>
        <v/>
      </c>
      <c r="BP68" s="59"/>
      <c r="BQ68" s="58" t="str">
        <f t="shared" si="27"/>
        <v/>
      </c>
      <c r="BR68" s="59"/>
      <c r="BS68" s="58" t="str">
        <f t="shared" si="28"/>
        <v/>
      </c>
      <c r="BT68" s="59"/>
      <c r="BU68" s="58" t="str">
        <f t="shared" si="29"/>
        <v/>
      </c>
      <c r="BV68" s="59"/>
      <c r="BW68" s="58" t="str">
        <f t="shared" si="30"/>
        <v/>
      </c>
      <c r="BX68" s="59"/>
      <c r="BY68" s="58" t="str">
        <f t="shared" si="31"/>
        <v/>
      </c>
      <c r="BZ68" s="59"/>
    </row>
    <row r="69" spans="1:78" ht="14.5" hidden="1">
      <c r="A69" s="51" t="s">
        <v>446</v>
      </c>
      <c r="B69" s="52" t="s">
        <v>515</v>
      </c>
      <c r="C69" s="52" t="s">
        <v>60</v>
      </c>
      <c r="D69" s="41">
        <f t="shared" si="1"/>
        <v>5</v>
      </c>
      <c r="E69" s="41"/>
      <c r="F69" s="41"/>
      <c r="G69" s="52" t="s">
        <v>187</v>
      </c>
      <c r="H69" s="52" t="s">
        <v>448</v>
      </c>
      <c r="I69" s="52" t="s">
        <v>155</v>
      </c>
      <c r="J69" s="52" t="s">
        <v>449</v>
      </c>
      <c r="K69" s="53">
        <v>45687</v>
      </c>
      <c r="L69" s="108">
        <v>9000</v>
      </c>
      <c r="M69" s="101"/>
      <c r="N69" s="101"/>
      <c r="O69" s="101">
        <f>+L69-N69</f>
        <v>9000</v>
      </c>
      <c r="P69" s="54">
        <f>+L69-M69</f>
        <v>9000</v>
      </c>
      <c r="Q69" s="101" t="s">
        <v>504</v>
      </c>
      <c r="R69" s="101"/>
      <c r="S69" s="101"/>
      <c r="T69" s="102">
        <f t="shared" si="4"/>
        <v>1.3636363636363635</v>
      </c>
      <c r="U69" s="102">
        <v>6</v>
      </c>
      <c r="V69" s="99">
        <v>1100</v>
      </c>
      <c r="W69" s="55">
        <f>+K69-(28)</f>
        <v>45659</v>
      </c>
      <c r="X69" s="55"/>
      <c r="Y69" s="56">
        <f t="shared" ca="1" si="5"/>
        <v>-181</v>
      </c>
      <c r="Z69" s="55">
        <f t="shared" si="6"/>
        <v>45675</v>
      </c>
      <c r="AA69" s="55"/>
      <c r="AB69" s="56">
        <f t="shared" ca="1" si="7"/>
        <v>-165</v>
      </c>
      <c r="AC69" s="55"/>
      <c r="AD69" s="57"/>
      <c r="AE69" s="58" t="str">
        <f t="shared" si="8"/>
        <v>-</v>
      </c>
      <c r="AF69" s="59"/>
      <c r="AG69" s="58" t="str">
        <f t="shared" si="9"/>
        <v/>
      </c>
      <c r="AH69" s="59"/>
      <c r="AI69" s="58" t="str">
        <f t="shared" si="10"/>
        <v/>
      </c>
      <c r="AJ69" s="59"/>
      <c r="AK69" s="58" t="str">
        <f t="shared" si="11"/>
        <v/>
      </c>
      <c r="AL69" s="59"/>
      <c r="AM69" s="58" t="str">
        <f t="shared" si="12"/>
        <v/>
      </c>
      <c r="AN69" s="59"/>
      <c r="AO69" s="58" t="str">
        <f t="shared" si="13"/>
        <v/>
      </c>
      <c r="AP69" s="59"/>
      <c r="AQ69" s="58" t="str">
        <f t="shared" si="14"/>
        <v/>
      </c>
      <c r="AR69" s="59"/>
      <c r="AS69" s="58" t="str">
        <f t="shared" si="15"/>
        <v/>
      </c>
      <c r="AT69" s="59"/>
      <c r="AU69" s="58" t="str">
        <f t="shared" si="16"/>
        <v/>
      </c>
      <c r="AV69" s="59"/>
      <c r="AW69" s="58" t="str">
        <f t="shared" si="17"/>
        <v/>
      </c>
      <c r="AX69" s="59"/>
      <c r="AY69" s="58" t="str">
        <f t="shared" si="18"/>
        <v/>
      </c>
      <c r="AZ69" s="59"/>
      <c r="BA69" s="58" t="str">
        <f t="shared" si="19"/>
        <v/>
      </c>
      <c r="BB69" s="59"/>
      <c r="BC69" s="58">
        <f t="shared" si="20"/>
        <v>9000</v>
      </c>
      <c r="BD69" s="59"/>
      <c r="BE69" s="58" t="str">
        <f t="shared" si="21"/>
        <v/>
      </c>
      <c r="BF69" s="59"/>
      <c r="BG69" s="58" t="str">
        <f t="shared" si="22"/>
        <v/>
      </c>
      <c r="BH69" s="59"/>
      <c r="BI69" s="58" t="str">
        <f t="shared" si="23"/>
        <v/>
      </c>
      <c r="BJ69" s="59"/>
      <c r="BK69" s="58" t="str">
        <f t="shared" si="24"/>
        <v/>
      </c>
      <c r="BL69" s="59"/>
      <c r="BM69" s="58" t="str">
        <f t="shared" si="25"/>
        <v/>
      </c>
      <c r="BN69" s="59"/>
      <c r="BO69" s="58" t="str">
        <f t="shared" si="26"/>
        <v/>
      </c>
      <c r="BP69" s="59"/>
      <c r="BQ69" s="58" t="str">
        <f t="shared" si="27"/>
        <v/>
      </c>
      <c r="BR69" s="59"/>
      <c r="BS69" s="58" t="str">
        <f t="shared" si="28"/>
        <v/>
      </c>
      <c r="BT69" s="59"/>
      <c r="BU69" s="58" t="str">
        <f t="shared" si="29"/>
        <v/>
      </c>
      <c r="BV69" s="59"/>
      <c r="BW69" s="58" t="str">
        <f t="shared" si="30"/>
        <v/>
      </c>
      <c r="BX69" s="59"/>
      <c r="BY69" s="58" t="str">
        <f t="shared" si="31"/>
        <v/>
      </c>
      <c r="BZ69" s="59"/>
    </row>
    <row r="70" spans="1:78" ht="14.5" hidden="1">
      <c r="A70" s="51" t="s">
        <v>446</v>
      </c>
      <c r="B70" s="52" t="s">
        <v>515</v>
      </c>
      <c r="C70" s="52" t="s">
        <v>60</v>
      </c>
      <c r="D70" s="41">
        <f t="shared" si="1"/>
        <v>5</v>
      </c>
      <c r="E70" s="41"/>
      <c r="F70" s="41"/>
      <c r="G70" s="52" t="s">
        <v>187</v>
      </c>
      <c r="H70" s="52" t="s">
        <v>448</v>
      </c>
      <c r="I70" s="52" t="s">
        <v>450</v>
      </c>
      <c r="J70" s="52" t="s">
        <v>449</v>
      </c>
      <c r="K70" s="53">
        <v>45687</v>
      </c>
      <c r="L70" s="108">
        <v>6000</v>
      </c>
      <c r="M70" s="101"/>
      <c r="N70" s="101"/>
      <c r="O70" s="101">
        <f>+L70-N70</f>
        <v>6000</v>
      </c>
      <c r="P70" s="54">
        <f>+L70-M70</f>
        <v>6000</v>
      </c>
      <c r="Q70" s="101" t="s">
        <v>630</v>
      </c>
      <c r="R70" s="101"/>
      <c r="S70" s="101"/>
      <c r="T70" s="102">
        <f t="shared" si="4"/>
        <v>0.90909090909090906</v>
      </c>
      <c r="U70" s="102">
        <v>6</v>
      </c>
      <c r="V70" s="99">
        <v>1100</v>
      </c>
      <c r="W70" s="55">
        <f>+K70-(28)</f>
        <v>45659</v>
      </c>
      <c r="X70" s="55"/>
      <c r="Y70" s="56">
        <f t="shared" ca="1" si="5"/>
        <v>-181</v>
      </c>
      <c r="Z70" s="55">
        <f t="shared" si="6"/>
        <v>45675</v>
      </c>
      <c r="AA70" s="55"/>
      <c r="AB70" s="56">
        <f t="shared" ca="1" si="7"/>
        <v>-165</v>
      </c>
      <c r="AC70" s="55"/>
      <c r="AD70" s="57"/>
      <c r="AE70" s="58" t="str">
        <f t="shared" si="8"/>
        <v>-</v>
      </c>
      <c r="AF70" s="59"/>
      <c r="AG70" s="58" t="str">
        <f t="shared" si="9"/>
        <v/>
      </c>
      <c r="AH70" s="59"/>
      <c r="AI70" s="58" t="str">
        <f t="shared" si="10"/>
        <v/>
      </c>
      <c r="AJ70" s="59"/>
      <c r="AK70" s="58" t="str">
        <f t="shared" si="11"/>
        <v/>
      </c>
      <c r="AL70" s="59"/>
      <c r="AM70" s="58" t="str">
        <f t="shared" si="12"/>
        <v/>
      </c>
      <c r="AN70" s="59"/>
      <c r="AO70" s="58" t="str">
        <f t="shared" si="13"/>
        <v/>
      </c>
      <c r="AP70" s="59"/>
      <c r="AQ70" s="58" t="str">
        <f t="shared" si="14"/>
        <v/>
      </c>
      <c r="AR70" s="59"/>
      <c r="AS70" s="58" t="str">
        <f t="shared" si="15"/>
        <v/>
      </c>
      <c r="AT70" s="59"/>
      <c r="AU70" s="58" t="str">
        <f t="shared" si="16"/>
        <v/>
      </c>
      <c r="AV70" s="59"/>
      <c r="AW70" s="58" t="str">
        <f t="shared" si="17"/>
        <v/>
      </c>
      <c r="AX70" s="59"/>
      <c r="AY70" s="58" t="str">
        <f t="shared" si="18"/>
        <v/>
      </c>
      <c r="AZ70" s="59"/>
      <c r="BA70" s="58" t="str">
        <f t="shared" si="19"/>
        <v/>
      </c>
      <c r="BB70" s="59"/>
      <c r="BC70" s="58">
        <f t="shared" si="20"/>
        <v>6000</v>
      </c>
      <c r="BD70" s="59"/>
      <c r="BE70" s="58" t="str">
        <f t="shared" si="21"/>
        <v/>
      </c>
      <c r="BF70" s="59"/>
      <c r="BG70" s="58" t="str">
        <f t="shared" si="22"/>
        <v/>
      </c>
      <c r="BH70" s="59"/>
      <c r="BI70" s="58" t="str">
        <f t="shared" si="23"/>
        <v/>
      </c>
      <c r="BJ70" s="59"/>
      <c r="BK70" s="58" t="str">
        <f t="shared" si="24"/>
        <v/>
      </c>
      <c r="BL70" s="59"/>
      <c r="BM70" s="58" t="str">
        <f t="shared" si="25"/>
        <v/>
      </c>
      <c r="BN70" s="59"/>
      <c r="BO70" s="58" t="str">
        <f t="shared" si="26"/>
        <v/>
      </c>
      <c r="BP70" s="59"/>
      <c r="BQ70" s="58" t="str">
        <f t="shared" si="27"/>
        <v/>
      </c>
      <c r="BR70" s="59"/>
      <c r="BS70" s="58" t="str">
        <f t="shared" si="28"/>
        <v/>
      </c>
      <c r="BT70" s="59"/>
      <c r="BU70" s="58" t="str">
        <f t="shared" si="29"/>
        <v/>
      </c>
      <c r="BV70" s="59"/>
      <c r="BW70" s="58" t="str">
        <f t="shared" si="30"/>
        <v/>
      </c>
      <c r="BX70" s="59"/>
      <c r="BY70" s="58" t="str">
        <f t="shared" si="31"/>
        <v/>
      </c>
      <c r="BZ70" s="59"/>
    </row>
    <row r="71" spans="1:78" ht="14.5" hidden="1">
      <c r="A71" s="51" t="s">
        <v>58</v>
      </c>
      <c r="B71" s="52">
        <v>296</v>
      </c>
      <c r="C71" s="52" t="s">
        <v>188</v>
      </c>
      <c r="D71" s="41">
        <f t="shared" ref="D71:D134" si="38">+WEEKNUM(K71)</f>
        <v>4</v>
      </c>
      <c r="E71" s="170" t="s">
        <v>631</v>
      </c>
      <c r="F71" s="41" t="s">
        <v>631</v>
      </c>
      <c r="G71" s="52" t="s">
        <v>391</v>
      </c>
      <c r="H71" s="52" t="s">
        <v>392</v>
      </c>
      <c r="I71" s="52" t="s">
        <v>393</v>
      </c>
      <c r="J71" s="52" t="s">
        <v>433</v>
      </c>
      <c r="K71" s="53">
        <v>45678</v>
      </c>
      <c r="L71" s="108">
        <v>1488</v>
      </c>
      <c r="M71" s="101">
        <v>1488</v>
      </c>
      <c r="N71" s="101">
        <v>1488</v>
      </c>
      <c r="O71" s="107">
        <f t="shared" ref="O71:O134" si="39">+L71-N71</f>
        <v>0</v>
      </c>
      <c r="P71" s="54">
        <f t="shared" ref="P71:P134" si="40">+L71-M71</f>
        <v>0</v>
      </c>
      <c r="Q71" s="101" t="s">
        <v>178</v>
      </c>
      <c r="R71" s="101" t="s">
        <v>632</v>
      </c>
      <c r="S71" s="101"/>
      <c r="T71" s="102">
        <f t="shared" ref="T71:T134" si="41">L71/(V71*U71)</f>
        <v>3.1</v>
      </c>
      <c r="U71" s="102">
        <v>6</v>
      </c>
      <c r="V71" s="99">
        <v>80</v>
      </c>
      <c r="W71" s="55">
        <f t="shared" ref="W71:W97" si="42">+K71-(20)</f>
        <v>45658</v>
      </c>
      <c r="X71" s="55">
        <v>45613</v>
      </c>
      <c r="Y71" s="56">
        <f t="shared" ref="Y71:Y134" ca="1" si="43">+IF(X71="",W71-TODAY(),W71-X71)</f>
        <v>45</v>
      </c>
      <c r="Z71" s="55">
        <f t="shared" ref="Z71:Z134" si="44">+W71+16</f>
        <v>45674</v>
      </c>
      <c r="AA71" s="55"/>
      <c r="AB71" s="56">
        <f t="shared" ref="AB71:AB134" ca="1" si="45">+IF(AA71="",Z71-TODAY(),Z71-AA71)</f>
        <v>-166</v>
      </c>
      <c r="AC71" s="55"/>
      <c r="AD71" s="57"/>
      <c r="AE71" s="58" t="str">
        <f t="shared" ref="AE71:AE134" si="46">+IF($AE$4=WEEKNUM(W71),L71,"-")</f>
        <v>-</v>
      </c>
      <c r="AF71" s="59"/>
      <c r="AG71" s="58" t="str">
        <f t="shared" ref="AG71:AG134" si="47">+IF($AG$4=WEEKNUM(W71),L71,"")</f>
        <v/>
      </c>
      <c r="AH71" s="59"/>
      <c r="AI71" s="58" t="str">
        <f t="shared" ref="AI71:AI134" si="48">+IF($AI$4=WEEKNUM(W71),L71,"")</f>
        <v/>
      </c>
      <c r="AJ71" s="59"/>
      <c r="AK71" s="58" t="str">
        <f t="shared" ref="AK71:AK134" si="49">+IF($AK$4=WEEKNUM(W71),L71,"")</f>
        <v/>
      </c>
      <c r="AL71" s="59"/>
      <c r="AM71" s="58" t="str">
        <f t="shared" ref="AM71:AM134" si="50">+IF($AM$4=WEEKNUM(W71),L71,"")</f>
        <v/>
      </c>
      <c r="AN71" s="59"/>
      <c r="AO71" s="58" t="str">
        <f t="shared" ref="AO71:AO134" si="51">+IF($AO$4=WEEKNUM(W71),L71,"")</f>
        <v/>
      </c>
      <c r="AP71" s="59"/>
      <c r="AQ71" s="58" t="str">
        <f t="shared" ref="AQ71:AQ134" si="52">+IF($AQ$4=WEEKNUM(W71),L71,"")</f>
        <v/>
      </c>
      <c r="AR71" s="59"/>
      <c r="AS71" s="58" t="str">
        <f t="shared" ref="AS71:AS134" si="53">+IF($AS$4=WEEKNUM(W71),L71,"")</f>
        <v/>
      </c>
      <c r="AT71" s="59"/>
      <c r="AU71" s="58" t="str">
        <f t="shared" ref="AU71:AU134" si="54">+IF($AU$4=WEEKNUM(W71),L71,"")</f>
        <v/>
      </c>
      <c r="AV71" s="59"/>
      <c r="AW71" s="58" t="str">
        <f t="shared" ref="AW71:AW134" si="55">+IF($AW$4=WEEKNUM(W71),L71,"")</f>
        <v/>
      </c>
      <c r="AX71" s="59"/>
      <c r="AY71" s="58" t="str">
        <f t="shared" ref="AY71:AY134" si="56">+IF($AY$4=WEEKNUM(W71),L71,"")</f>
        <v/>
      </c>
      <c r="AZ71" s="59"/>
      <c r="BA71" s="58" t="str">
        <f t="shared" ref="BA71:BA134" si="57">+IF($BA$4=WEEKNUM(W71),L71,"")</f>
        <v/>
      </c>
      <c r="BB71" s="59"/>
      <c r="BC71" s="58">
        <f t="shared" ref="BC71:BC134" si="58">+IF($BC$4=WEEKNUM(W71),L71,"")</f>
        <v>1488</v>
      </c>
      <c r="BD71" s="59"/>
      <c r="BE71" s="58" t="str">
        <f t="shared" ref="BE71:BE134" si="59">+IF($BE$4=WEEKNUM(W71),L71,"")</f>
        <v/>
      </c>
      <c r="BF71" s="59"/>
      <c r="BG71" s="58" t="str">
        <f t="shared" ref="BG71:BG134" si="60">+IF($BG$4=WEEKNUM(W71),L71,"")</f>
        <v/>
      </c>
      <c r="BH71" s="59"/>
      <c r="BI71" s="58" t="str">
        <f t="shared" ref="BI71:BI134" si="61">+IF($BI$4=WEEKNUM(W71),L71,"")</f>
        <v/>
      </c>
      <c r="BJ71" s="59"/>
      <c r="BK71" s="58" t="str">
        <f t="shared" ref="BK71:BK134" si="62">+IF($BK$4=WEEKNUM(W71),L71,"")</f>
        <v/>
      </c>
      <c r="BL71" s="59"/>
      <c r="BM71" s="58" t="str">
        <f t="shared" ref="BM71:BM134" si="63">+IF($BM$4=WEEKNUM(W71),L71,"")</f>
        <v/>
      </c>
      <c r="BN71" s="59"/>
      <c r="BO71" s="58" t="str">
        <f t="shared" ref="BO71:BO134" si="64">+IF($BO$4=WEEKNUM(W71),L71,"")</f>
        <v/>
      </c>
      <c r="BP71" s="59"/>
      <c r="BQ71" s="58" t="str">
        <f t="shared" ref="BQ71:BQ134" si="65">+IF($BQ$4=WEEKNUM(W71),L71,"")</f>
        <v/>
      </c>
      <c r="BR71" s="59"/>
      <c r="BS71" s="58" t="str">
        <f t="shared" ref="BS71:BS134" si="66">+IF($BS$4=WEEKNUM(W71),L71,"")</f>
        <v/>
      </c>
      <c r="BT71" s="59"/>
      <c r="BU71" s="58" t="str">
        <f t="shared" ref="BU71:BU134" si="67">+IF($BU$4=WEEKNUM(W71),L71,"")</f>
        <v/>
      </c>
      <c r="BV71" s="59"/>
      <c r="BW71" s="58" t="str">
        <f t="shared" ref="BW71:BW134" si="68">+IF($BW$4=WEEKNUM(W71),L71,"")</f>
        <v/>
      </c>
      <c r="BX71" s="59"/>
      <c r="BY71" s="58" t="str">
        <f t="shared" ref="BY71:BY134" si="69">+IF($BY$4=WEEKNUM(W71),L71,"")</f>
        <v/>
      </c>
      <c r="BZ71" s="59"/>
    </row>
    <row r="72" spans="1:78" ht="14.5" hidden="1">
      <c r="A72" s="51" t="s">
        <v>58</v>
      </c>
      <c r="B72" s="52">
        <v>296</v>
      </c>
      <c r="C72" s="52" t="s">
        <v>188</v>
      </c>
      <c r="D72" s="41">
        <f t="shared" si="38"/>
        <v>4</v>
      </c>
      <c r="E72" s="170">
        <v>45660</v>
      </c>
      <c r="F72" s="41" t="s">
        <v>631</v>
      </c>
      <c r="G72" s="52" t="s">
        <v>158</v>
      </c>
      <c r="H72" s="52" t="s">
        <v>242</v>
      </c>
      <c r="I72" s="52" t="s">
        <v>156</v>
      </c>
      <c r="J72" s="52" t="s">
        <v>432</v>
      </c>
      <c r="K72" s="53">
        <v>45678</v>
      </c>
      <c r="L72" s="108">
        <v>1340</v>
      </c>
      <c r="M72" s="101">
        <v>1340</v>
      </c>
      <c r="N72" s="101">
        <v>1340</v>
      </c>
      <c r="O72" s="107">
        <f t="shared" si="39"/>
        <v>0</v>
      </c>
      <c r="P72" s="54">
        <f t="shared" si="40"/>
        <v>0</v>
      </c>
      <c r="Q72" s="101" t="s">
        <v>439</v>
      </c>
      <c r="R72" s="166">
        <v>45669</v>
      </c>
      <c r="S72" s="101"/>
      <c r="T72" s="102">
        <f t="shared" si="41"/>
        <v>1.8611111111111112</v>
      </c>
      <c r="U72" s="102">
        <v>6</v>
      </c>
      <c r="V72" s="99">
        <v>120</v>
      </c>
      <c r="W72" s="55">
        <f t="shared" si="42"/>
        <v>45658</v>
      </c>
      <c r="X72" s="55">
        <v>45613</v>
      </c>
      <c r="Y72" s="56">
        <f t="shared" ca="1" si="43"/>
        <v>45</v>
      </c>
      <c r="Z72" s="55">
        <f t="shared" si="44"/>
        <v>45674</v>
      </c>
      <c r="AA72" s="55"/>
      <c r="AB72" s="56">
        <f t="shared" ca="1" si="45"/>
        <v>-166</v>
      </c>
      <c r="AC72" s="55"/>
      <c r="AD72" s="57"/>
      <c r="AE72" s="58" t="str">
        <f t="shared" si="46"/>
        <v>-</v>
      </c>
      <c r="AF72" s="59"/>
      <c r="AG72" s="58" t="str">
        <f t="shared" si="47"/>
        <v/>
      </c>
      <c r="AH72" s="59"/>
      <c r="AI72" s="58" t="str">
        <f t="shared" si="48"/>
        <v/>
      </c>
      <c r="AJ72" s="59"/>
      <c r="AK72" s="58" t="str">
        <f t="shared" si="49"/>
        <v/>
      </c>
      <c r="AL72" s="59"/>
      <c r="AM72" s="58" t="str">
        <f t="shared" si="50"/>
        <v/>
      </c>
      <c r="AN72" s="59"/>
      <c r="AO72" s="58" t="str">
        <f t="shared" si="51"/>
        <v/>
      </c>
      <c r="AP72" s="59"/>
      <c r="AQ72" s="58" t="str">
        <f t="shared" si="52"/>
        <v/>
      </c>
      <c r="AR72" s="59"/>
      <c r="AS72" s="58" t="str">
        <f t="shared" si="53"/>
        <v/>
      </c>
      <c r="AT72" s="59"/>
      <c r="AU72" s="58" t="str">
        <f t="shared" si="54"/>
        <v/>
      </c>
      <c r="AV72" s="59"/>
      <c r="AW72" s="58" t="str">
        <f t="shared" si="55"/>
        <v/>
      </c>
      <c r="AX72" s="59"/>
      <c r="AY72" s="58" t="str">
        <f t="shared" si="56"/>
        <v/>
      </c>
      <c r="AZ72" s="59"/>
      <c r="BA72" s="58" t="str">
        <f t="shared" si="57"/>
        <v/>
      </c>
      <c r="BB72" s="59"/>
      <c r="BC72" s="58">
        <f t="shared" si="58"/>
        <v>1340</v>
      </c>
      <c r="BD72" s="59"/>
      <c r="BE72" s="58" t="str">
        <f t="shared" si="59"/>
        <v/>
      </c>
      <c r="BF72" s="59"/>
      <c r="BG72" s="58" t="str">
        <f t="shared" si="60"/>
        <v/>
      </c>
      <c r="BH72" s="59"/>
      <c r="BI72" s="58" t="str">
        <f t="shared" si="61"/>
        <v/>
      </c>
      <c r="BJ72" s="59"/>
      <c r="BK72" s="58" t="str">
        <f t="shared" si="62"/>
        <v/>
      </c>
      <c r="BL72" s="59"/>
      <c r="BM72" s="58" t="str">
        <f t="shared" si="63"/>
        <v/>
      </c>
      <c r="BN72" s="59"/>
      <c r="BO72" s="58" t="str">
        <f t="shared" si="64"/>
        <v/>
      </c>
      <c r="BP72" s="59"/>
      <c r="BQ72" s="58" t="str">
        <f t="shared" si="65"/>
        <v/>
      </c>
      <c r="BR72" s="59"/>
      <c r="BS72" s="58" t="str">
        <f t="shared" si="66"/>
        <v/>
      </c>
      <c r="BT72" s="59"/>
      <c r="BU72" s="58" t="str">
        <f t="shared" si="67"/>
        <v/>
      </c>
      <c r="BV72" s="59"/>
      <c r="BW72" s="58" t="str">
        <f t="shared" si="68"/>
        <v/>
      </c>
      <c r="BX72" s="59"/>
      <c r="BY72" s="58" t="str">
        <f t="shared" si="69"/>
        <v/>
      </c>
      <c r="BZ72" s="59"/>
    </row>
    <row r="73" spans="1:78" ht="14.5" hidden="1">
      <c r="A73" s="51" t="s">
        <v>58</v>
      </c>
      <c r="B73" s="52">
        <v>296</v>
      </c>
      <c r="C73" s="52" t="s">
        <v>188</v>
      </c>
      <c r="D73" s="41">
        <f t="shared" si="38"/>
        <v>4</v>
      </c>
      <c r="E73" s="170" t="s">
        <v>631</v>
      </c>
      <c r="F73" s="41" t="s">
        <v>631</v>
      </c>
      <c r="G73" s="52" t="s">
        <v>190</v>
      </c>
      <c r="H73" s="52" t="s">
        <v>242</v>
      </c>
      <c r="I73" s="52" t="s">
        <v>244</v>
      </c>
      <c r="J73" s="52" t="s">
        <v>438</v>
      </c>
      <c r="K73" s="53">
        <v>45678</v>
      </c>
      <c r="L73" s="108">
        <v>1340</v>
      </c>
      <c r="M73" s="101">
        <v>1340</v>
      </c>
      <c r="N73" s="101">
        <v>1340</v>
      </c>
      <c r="O73" s="107">
        <f t="shared" si="39"/>
        <v>0</v>
      </c>
      <c r="P73" s="54">
        <f t="shared" si="40"/>
        <v>0</v>
      </c>
      <c r="Q73" s="101" t="s">
        <v>439</v>
      </c>
      <c r="R73" s="166">
        <v>45669</v>
      </c>
      <c r="S73" s="101"/>
      <c r="T73" s="102">
        <f t="shared" si="41"/>
        <v>1.8611111111111112</v>
      </c>
      <c r="U73" s="102">
        <v>6</v>
      </c>
      <c r="V73" s="99">
        <v>120</v>
      </c>
      <c r="W73" s="55">
        <f t="shared" si="42"/>
        <v>45658</v>
      </c>
      <c r="X73" s="55">
        <v>45613</v>
      </c>
      <c r="Y73" s="56">
        <f t="shared" ca="1" si="43"/>
        <v>45</v>
      </c>
      <c r="Z73" s="55">
        <f t="shared" si="44"/>
        <v>45674</v>
      </c>
      <c r="AA73" s="55"/>
      <c r="AB73" s="56">
        <f t="shared" ca="1" si="45"/>
        <v>-166</v>
      </c>
      <c r="AC73" s="55"/>
      <c r="AD73" s="57"/>
      <c r="AE73" s="58" t="str">
        <f t="shared" si="46"/>
        <v>-</v>
      </c>
      <c r="AF73" s="59"/>
      <c r="AG73" s="58" t="str">
        <f t="shared" si="47"/>
        <v/>
      </c>
      <c r="AH73" s="59"/>
      <c r="AI73" s="58" t="str">
        <f t="shared" si="48"/>
        <v/>
      </c>
      <c r="AJ73" s="59"/>
      <c r="AK73" s="58" t="str">
        <f t="shared" si="49"/>
        <v/>
      </c>
      <c r="AL73" s="59"/>
      <c r="AM73" s="58" t="str">
        <f t="shared" si="50"/>
        <v/>
      </c>
      <c r="AN73" s="59"/>
      <c r="AO73" s="58" t="str">
        <f t="shared" si="51"/>
        <v/>
      </c>
      <c r="AP73" s="59"/>
      <c r="AQ73" s="58" t="str">
        <f t="shared" si="52"/>
        <v/>
      </c>
      <c r="AR73" s="59"/>
      <c r="AS73" s="58" t="str">
        <f t="shared" si="53"/>
        <v/>
      </c>
      <c r="AT73" s="59"/>
      <c r="AU73" s="58" t="str">
        <f t="shared" si="54"/>
        <v/>
      </c>
      <c r="AV73" s="59"/>
      <c r="AW73" s="58" t="str">
        <f t="shared" si="55"/>
        <v/>
      </c>
      <c r="AX73" s="59"/>
      <c r="AY73" s="58" t="str">
        <f t="shared" si="56"/>
        <v/>
      </c>
      <c r="AZ73" s="59"/>
      <c r="BA73" s="58" t="str">
        <f t="shared" si="57"/>
        <v/>
      </c>
      <c r="BB73" s="59"/>
      <c r="BC73" s="58">
        <f t="shared" si="58"/>
        <v>1340</v>
      </c>
      <c r="BD73" s="59"/>
      <c r="BE73" s="58" t="str">
        <f t="shared" si="59"/>
        <v/>
      </c>
      <c r="BF73" s="59"/>
      <c r="BG73" s="58" t="str">
        <f t="shared" si="60"/>
        <v/>
      </c>
      <c r="BH73" s="59"/>
      <c r="BI73" s="58" t="str">
        <f t="shared" si="61"/>
        <v/>
      </c>
      <c r="BJ73" s="59"/>
      <c r="BK73" s="58" t="str">
        <f t="shared" si="62"/>
        <v/>
      </c>
      <c r="BL73" s="59"/>
      <c r="BM73" s="58" t="str">
        <f t="shared" si="63"/>
        <v/>
      </c>
      <c r="BN73" s="59"/>
      <c r="BO73" s="58" t="str">
        <f t="shared" si="64"/>
        <v/>
      </c>
      <c r="BP73" s="59"/>
      <c r="BQ73" s="58" t="str">
        <f t="shared" si="65"/>
        <v/>
      </c>
      <c r="BR73" s="59"/>
      <c r="BS73" s="58" t="str">
        <f t="shared" si="66"/>
        <v/>
      </c>
      <c r="BT73" s="59"/>
      <c r="BU73" s="58" t="str">
        <f t="shared" si="67"/>
        <v/>
      </c>
      <c r="BV73" s="59"/>
      <c r="BW73" s="58" t="str">
        <f t="shared" si="68"/>
        <v/>
      </c>
      <c r="BX73" s="59"/>
      <c r="BY73" s="58" t="str">
        <f t="shared" si="69"/>
        <v/>
      </c>
      <c r="BZ73" s="59"/>
    </row>
    <row r="74" spans="1:78" ht="14.5" hidden="1">
      <c r="A74" s="51" t="s">
        <v>58</v>
      </c>
      <c r="B74" s="52">
        <v>313</v>
      </c>
      <c r="C74" s="52" t="s">
        <v>188</v>
      </c>
      <c r="D74" s="41">
        <f t="shared" si="38"/>
        <v>4</v>
      </c>
      <c r="E74" s="170" t="s">
        <v>631</v>
      </c>
      <c r="F74" s="41" t="s">
        <v>631</v>
      </c>
      <c r="G74" s="52" t="s">
        <v>391</v>
      </c>
      <c r="H74" s="52" t="s">
        <v>392</v>
      </c>
      <c r="I74" s="52" t="s">
        <v>393</v>
      </c>
      <c r="J74" s="52" t="s">
        <v>433</v>
      </c>
      <c r="K74" s="53">
        <v>45678</v>
      </c>
      <c r="L74" s="108">
        <v>6684</v>
      </c>
      <c r="M74" s="101">
        <v>6684</v>
      </c>
      <c r="N74" s="101">
        <v>6684</v>
      </c>
      <c r="O74" s="107">
        <f t="shared" si="39"/>
        <v>0</v>
      </c>
      <c r="P74" s="54">
        <f t="shared" si="40"/>
        <v>0</v>
      </c>
      <c r="Q74" s="101" t="s">
        <v>630</v>
      </c>
      <c r="R74" s="101" t="s">
        <v>632</v>
      </c>
      <c r="S74" s="101"/>
      <c r="T74" s="102">
        <f t="shared" si="41"/>
        <v>13.925000000000001</v>
      </c>
      <c r="U74" s="102">
        <v>6</v>
      </c>
      <c r="V74" s="99">
        <v>80</v>
      </c>
      <c r="W74" s="55">
        <f t="shared" si="42"/>
        <v>45658</v>
      </c>
      <c r="X74" s="55">
        <v>45620</v>
      </c>
      <c r="Y74" s="56">
        <f t="shared" ca="1" si="43"/>
        <v>38</v>
      </c>
      <c r="Z74" s="55">
        <f t="shared" si="44"/>
        <v>45674</v>
      </c>
      <c r="AA74" s="55"/>
      <c r="AB74" s="56">
        <f t="shared" ca="1" si="45"/>
        <v>-166</v>
      </c>
      <c r="AC74" s="55"/>
      <c r="AD74" s="57"/>
      <c r="AE74" s="58" t="str">
        <f t="shared" si="46"/>
        <v>-</v>
      </c>
      <c r="AF74" s="59"/>
      <c r="AG74" s="58" t="str">
        <f t="shared" si="47"/>
        <v/>
      </c>
      <c r="AH74" s="59"/>
      <c r="AI74" s="58" t="str">
        <f t="shared" si="48"/>
        <v/>
      </c>
      <c r="AJ74" s="59"/>
      <c r="AK74" s="58" t="str">
        <f t="shared" si="49"/>
        <v/>
      </c>
      <c r="AL74" s="59"/>
      <c r="AM74" s="58" t="str">
        <f t="shared" si="50"/>
        <v/>
      </c>
      <c r="AN74" s="59"/>
      <c r="AO74" s="58" t="str">
        <f t="shared" si="51"/>
        <v/>
      </c>
      <c r="AP74" s="59"/>
      <c r="AQ74" s="58" t="str">
        <f t="shared" si="52"/>
        <v/>
      </c>
      <c r="AR74" s="59"/>
      <c r="AS74" s="58" t="str">
        <f t="shared" si="53"/>
        <v/>
      </c>
      <c r="AT74" s="59"/>
      <c r="AU74" s="58" t="str">
        <f t="shared" si="54"/>
        <v/>
      </c>
      <c r="AV74" s="59"/>
      <c r="AW74" s="58" t="str">
        <f t="shared" si="55"/>
        <v/>
      </c>
      <c r="AX74" s="59"/>
      <c r="AY74" s="58" t="str">
        <f t="shared" si="56"/>
        <v/>
      </c>
      <c r="AZ74" s="59"/>
      <c r="BA74" s="58" t="str">
        <f t="shared" si="57"/>
        <v/>
      </c>
      <c r="BB74" s="59"/>
      <c r="BC74" s="58">
        <f t="shared" si="58"/>
        <v>6684</v>
      </c>
      <c r="BD74" s="59"/>
      <c r="BE74" s="58" t="str">
        <f t="shared" si="59"/>
        <v/>
      </c>
      <c r="BF74" s="59"/>
      <c r="BG74" s="58" t="str">
        <f t="shared" si="60"/>
        <v/>
      </c>
      <c r="BH74" s="59"/>
      <c r="BI74" s="58" t="str">
        <f t="shared" si="61"/>
        <v/>
      </c>
      <c r="BJ74" s="59"/>
      <c r="BK74" s="58" t="str">
        <f t="shared" si="62"/>
        <v/>
      </c>
      <c r="BL74" s="59"/>
      <c r="BM74" s="58" t="str">
        <f t="shared" si="63"/>
        <v/>
      </c>
      <c r="BN74" s="59"/>
      <c r="BO74" s="58" t="str">
        <f t="shared" si="64"/>
        <v/>
      </c>
      <c r="BP74" s="59"/>
      <c r="BQ74" s="58" t="str">
        <f t="shared" si="65"/>
        <v/>
      </c>
      <c r="BR74" s="59"/>
      <c r="BS74" s="58" t="str">
        <f t="shared" si="66"/>
        <v/>
      </c>
      <c r="BT74" s="59"/>
      <c r="BU74" s="58" t="str">
        <f t="shared" si="67"/>
        <v/>
      </c>
      <c r="BV74" s="59"/>
      <c r="BW74" s="58" t="str">
        <f t="shared" si="68"/>
        <v/>
      </c>
      <c r="BX74" s="59"/>
      <c r="BY74" s="58" t="str">
        <f t="shared" si="69"/>
        <v/>
      </c>
      <c r="BZ74" s="59"/>
    </row>
    <row r="75" spans="1:78" ht="14.5">
      <c r="A75" s="51" t="s">
        <v>58</v>
      </c>
      <c r="B75" s="52">
        <v>338</v>
      </c>
      <c r="C75" s="52" t="s">
        <v>188</v>
      </c>
      <c r="D75" s="41">
        <f t="shared" si="38"/>
        <v>4</v>
      </c>
      <c r="E75" s="41" t="s">
        <v>631</v>
      </c>
      <c r="F75" s="41" t="s">
        <v>631</v>
      </c>
      <c r="G75" s="52" t="s">
        <v>201</v>
      </c>
      <c r="H75" s="52" t="s">
        <v>247</v>
      </c>
      <c r="I75" s="52" t="s">
        <v>155</v>
      </c>
      <c r="J75" s="52" t="s">
        <v>442</v>
      </c>
      <c r="K75" s="53">
        <v>45678</v>
      </c>
      <c r="L75" s="108">
        <v>14256</v>
      </c>
      <c r="M75" s="101">
        <v>14256</v>
      </c>
      <c r="N75" s="101">
        <v>14256</v>
      </c>
      <c r="O75" s="107">
        <f t="shared" si="39"/>
        <v>0</v>
      </c>
      <c r="P75" s="54">
        <f t="shared" si="40"/>
        <v>0</v>
      </c>
      <c r="Q75" s="101" t="s">
        <v>443</v>
      </c>
      <c r="R75" s="101" t="s">
        <v>632</v>
      </c>
      <c r="S75" s="101"/>
      <c r="T75" s="102">
        <f t="shared" si="41"/>
        <v>8.1462857142857139</v>
      </c>
      <c r="U75" s="102">
        <v>5</v>
      </c>
      <c r="V75" s="99">
        <v>350</v>
      </c>
      <c r="W75" s="55">
        <f t="shared" si="42"/>
        <v>45658</v>
      </c>
      <c r="X75" s="55">
        <v>45606</v>
      </c>
      <c r="Y75" s="56">
        <f t="shared" ca="1" si="43"/>
        <v>52</v>
      </c>
      <c r="Z75" s="55">
        <f t="shared" si="44"/>
        <v>45674</v>
      </c>
      <c r="AA75" s="55"/>
      <c r="AB75" s="56">
        <f t="shared" ca="1" si="45"/>
        <v>-166</v>
      </c>
      <c r="AC75" s="55"/>
      <c r="AD75" s="57"/>
      <c r="AE75" s="58" t="str">
        <f t="shared" si="46"/>
        <v>-</v>
      </c>
      <c r="AF75" s="59"/>
      <c r="AG75" s="58" t="str">
        <f t="shared" si="47"/>
        <v/>
      </c>
      <c r="AH75" s="59"/>
      <c r="AI75" s="58" t="str">
        <f t="shared" si="48"/>
        <v/>
      </c>
      <c r="AJ75" s="59"/>
      <c r="AK75" s="58" t="str">
        <f t="shared" si="49"/>
        <v/>
      </c>
      <c r="AL75" s="59"/>
      <c r="AM75" s="58" t="str">
        <f t="shared" si="50"/>
        <v/>
      </c>
      <c r="AN75" s="59"/>
      <c r="AO75" s="58" t="str">
        <f t="shared" si="51"/>
        <v/>
      </c>
      <c r="AP75" s="59"/>
      <c r="AQ75" s="58" t="str">
        <f t="shared" si="52"/>
        <v/>
      </c>
      <c r="AR75" s="59"/>
      <c r="AS75" s="58" t="str">
        <f t="shared" si="53"/>
        <v/>
      </c>
      <c r="AT75" s="59"/>
      <c r="AU75" s="58" t="str">
        <f t="shared" si="54"/>
        <v/>
      </c>
      <c r="AV75" s="59"/>
      <c r="AW75" s="58" t="str">
        <f t="shared" si="55"/>
        <v/>
      </c>
      <c r="AX75" s="59"/>
      <c r="AY75" s="58" t="str">
        <f t="shared" si="56"/>
        <v/>
      </c>
      <c r="AZ75" s="59"/>
      <c r="BA75" s="58" t="str">
        <f t="shared" si="57"/>
        <v/>
      </c>
      <c r="BB75" s="59"/>
      <c r="BC75" s="58">
        <f t="shared" si="58"/>
        <v>14256</v>
      </c>
      <c r="BD75" s="59"/>
      <c r="BE75" s="58" t="str">
        <f t="shared" si="59"/>
        <v/>
      </c>
      <c r="BF75" s="59"/>
      <c r="BG75" s="58" t="str">
        <f t="shared" si="60"/>
        <v/>
      </c>
      <c r="BH75" s="59"/>
      <c r="BI75" s="58" t="str">
        <f t="shared" si="61"/>
        <v/>
      </c>
      <c r="BJ75" s="59"/>
      <c r="BK75" s="58" t="str">
        <f t="shared" si="62"/>
        <v/>
      </c>
      <c r="BL75" s="59"/>
      <c r="BM75" s="58" t="str">
        <f t="shared" si="63"/>
        <v/>
      </c>
      <c r="BN75" s="59"/>
      <c r="BO75" s="58" t="str">
        <f t="shared" si="64"/>
        <v/>
      </c>
      <c r="BP75" s="59"/>
      <c r="BQ75" s="58" t="str">
        <f t="shared" si="65"/>
        <v/>
      </c>
      <c r="BR75" s="59"/>
      <c r="BS75" s="58" t="str">
        <f t="shared" si="66"/>
        <v/>
      </c>
      <c r="BT75" s="59"/>
      <c r="BU75" s="58" t="str">
        <f t="shared" si="67"/>
        <v/>
      </c>
      <c r="BV75" s="59"/>
      <c r="BW75" s="58" t="str">
        <f t="shared" si="68"/>
        <v/>
      </c>
      <c r="BX75" s="59"/>
      <c r="BY75" s="58" t="str">
        <f t="shared" si="69"/>
        <v/>
      </c>
      <c r="BZ75" s="59"/>
    </row>
    <row r="76" spans="1:78" ht="14.5" hidden="1">
      <c r="A76" s="51" t="s">
        <v>58</v>
      </c>
      <c r="B76" s="52">
        <v>338</v>
      </c>
      <c r="C76" s="52" t="s">
        <v>188</v>
      </c>
      <c r="D76" s="41">
        <f t="shared" si="38"/>
        <v>4</v>
      </c>
      <c r="E76" s="170" t="s">
        <v>631</v>
      </c>
      <c r="F76" s="41" t="s">
        <v>631</v>
      </c>
      <c r="G76" s="52" t="s">
        <v>502</v>
      </c>
      <c r="H76" s="52" t="s">
        <v>289</v>
      </c>
      <c r="I76" s="52" t="s">
        <v>155</v>
      </c>
      <c r="J76" s="52" t="s">
        <v>503</v>
      </c>
      <c r="K76" s="53">
        <v>45678</v>
      </c>
      <c r="L76" s="108">
        <v>3888</v>
      </c>
      <c r="M76" s="101">
        <v>0</v>
      </c>
      <c r="N76" s="101"/>
      <c r="O76" s="107">
        <f t="shared" si="39"/>
        <v>3888</v>
      </c>
      <c r="P76" s="54">
        <f t="shared" si="40"/>
        <v>3888</v>
      </c>
      <c r="Q76" s="101" t="s">
        <v>504</v>
      </c>
      <c r="R76" s="166">
        <v>45680</v>
      </c>
      <c r="S76" s="101" t="s">
        <v>656</v>
      </c>
      <c r="T76" s="102">
        <f t="shared" si="41"/>
        <v>20.25</v>
      </c>
      <c r="U76" s="102">
        <v>6</v>
      </c>
      <c r="V76" s="99">
        <f>480/15</f>
        <v>32</v>
      </c>
      <c r="W76" s="55">
        <f t="shared" si="42"/>
        <v>45658</v>
      </c>
      <c r="X76" s="55"/>
      <c r="Y76" s="56">
        <f t="shared" ca="1" si="43"/>
        <v>-182</v>
      </c>
      <c r="Z76" s="55">
        <f t="shared" si="44"/>
        <v>45674</v>
      </c>
      <c r="AA76" s="55"/>
      <c r="AB76" s="56">
        <f t="shared" ca="1" si="45"/>
        <v>-166</v>
      </c>
      <c r="AC76" s="55"/>
      <c r="AD76" s="57"/>
      <c r="AE76" s="58" t="str">
        <f t="shared" si="46"/>
        <v>-</v>
      </c>
      <c r="AF76" s="59"/>
      <c r="AG76" s="58" t="str">
        <f t="shared" si="47"/>
        <v/>
      </c>
      <c r="AH76" s="59"/>
      <c r="AI76" s="58" t="str">
        <f t="shared" si="48"/>
        <v/>
      </c>
      <c r="AJ76" s="59"/>
      <c r="AK76" s="58" t="str">
        <f t="shared" si="49"/>
        <v/>
      </c>
      <c r="AL76" s="59"/>
      <c r="AM76" s="58" t="str">
        <f t="shared" si="50"/>
        <v/>
      </c>
      <c r="AN76" s="59"/>
      <c r="AO76" s="58" t="str">
        <f t="shared" si="51"/>
        <v/>
      </c>
      <c r="AP76" s="59"/>
      <c r="AQ76" s="58" t="str">
        <f t="shared" si="52"/>
        <v/>
      </c>
      <c r="AR76" s="59"/>
      <c r="AS76" s="58" t="str">
        <f t="shared" si="53"/>
        <v/>
      </c>
      <c r="AT76" s="59"/>
      <c r="AU76" s="58" t="str">
        <f t="shared" si="54"/>
        <v/>
      </c>
      <c r="AV76" s="59"/>
      <c r="AW76" s="58" t="str">
        <f t="shared" si="55"/>
        <v/>
      </c>
      <c r="AX76" s="59"/>
      <c r="AY76" s="58" t="str">
        <f t="shared" si="56"/>
        <v/>
      </c>
      <c r="AZ76" s="59"/>
      <c r="BA76" s="58" t="str">
        <f t="shared" si="57"/>
        <v/>
      </c>
      <c r="BB76" s="59"/>
      <c r="BC76" s="58">
        <f t="shared" si="58"/>
        <v>3888</v>
      </c>
      <c r="BD76" s="59"/>
      <c r="BE76" s="58" t="str">
        <f t="shared" si="59"/>
        <v/>
      </c>
      <c r="BF76" s="59"/>
      <c r="BG76" s="58" t="str">
        <f t="shared" si="60"/>
        <v/>
      </c>
      <c r="BH76" s="59"/>
      <c r="BI76" s="58" t="str">
        <f t="shared" si="61"/>
        <v/>
      </c>
      <c r="BJ76" s="59"/>
      <c r="BK76" s="58" t="str">
        <f t="shared" si="62"/>
        <v/>
      </c>
      <c r="BL76" s="59"/>
      <c r="BM76" s="58" t="str">
        <f t="shared" si="63"/>
        <v/>
      </c>
      <c r="BN76" s="59"/>
      <c r="BO76" s="58" t="str">
        <f t="shared" si="64"/>
        <v/>
      </c>
      <c r="BP76" s="59"/>
      <c r="BQ76" s="58" t="str">
        <f t="shared" si="65"/>
        <v/>
      </c>
      <c r="BR76" s="59"/>
      <c r="BS76" s="58" t="str">
        <f t="shared" si="66"/>
        <v/>
      </c>
      <c r="BT76" s="59"/>
      <c r="BU76" s="58" t="str">
        <f t="shared" si="67"/>
        <v/>
      </c>
      <c r="BV76" s="59"/>
      <c r="BW76" s="58" t="str">
        <f t="shared" si="68"/>
        <v/>
      </c>
      <c r="BX76" s="59"/>
      <c r="BY76" s="58" t="str">
        <f t="shared" si="69"/>
        <v/>
      </c>
      <c r="BZ76" s="59"/>
    </row>
    <row r="77" spans="1:78" ht="14.5" hidden="1">
      <c r="A77" s="51" t="s">
        <v>58</v>
      </c>
      <c r="B77" s="52">
        <v>338</v>
      </c>
      <c r="C77" s="52" t="s">
        <v>188</v>
      </c>
      <c r="D77" s="41">
        <f t="shared" si="38"/>
        <v>4</v>
      </c>
      <c r="E77" s="170" t="s">
        <v>631</v>
      </c>
      <c r="F77" s="41" t="s">
        <v>631</v>
      </c>
      <c r="G77" s="52" t="s">
        <v>502</v>
      </c>
      <c r="H77" s="52" t="s">
        <v>289</v>
      </c>
      <c r="I77" s="52" t="s">
        <v>154</v>
      </c>
      <c r="J77" s="52" t="s">
        <v>503</v>
      </c>
      <c r="K77" s="53">
        <v>45678</v>
      </c>
      <c r="L77" s="108">
        <v>3240</v>
      </c>
      <c r="M77" s="101">
        <v>0</v>
      </c>
      <c r="N77" s="101"/>
      <c r="O77" s="107">
        <f t="shared" si="39"/>
        <v>3240</v>
      </c>
      <c r="P77" s="54">
        <f t="shared" si="40"/>
        <v>3240</v>
      </c>
      <c r="Q77" s="101" t="s">
        <v>505</v>
      </c>
      <c r="R77" s="166">
        <v>45680</v>
      </c>
      <c r="S77" s="101" t="s">
        <v>656</v>
      </c>
      <c r="T77" s="102">
        <f t="shared" si="41"/>
        <v>16.875</v>
      </c>
      <c r="U77" s="102">
        <v>6</v>
      </c>
      <c r="V77" s="99">
        <f>480/15</f>
        <v>32</v>
      </c>
      <c r="W77" s="55">
        <f t="shared" si="42"/>
        <v>45658</v>
      </c>
      <c r="X77" s="55"/>
      <c r="Y77" s="56">
        <f t="shared" ca="1" si="43"/>
        <v>-182</v>
      </c>
      <c r="Z77" s="55">
        <f t="shared" si="44"/>
        <v>45674</v>
      </c>
      <c r="AA77" s="55"/>
      <c r="AB77" s="56">
        <f t="shared" ca="1" si="45"/>
        <v>-166</v>
      </c>
      <c r="AC77" s="55"/>
      <c r="AD77" s="57"/>
      <c r="AE77" s="58" t="str">
        <f t="shared" si="46"/>
        <v>-</v>
      </c>
      <c r="AF77" s="59"/>
      <c r="AG77" s="58" t="str">
        <f t="shared" si="47"/>
        <v/>
      </c>
      <c r="AH77" s="59"/>
      <c r="AI77" s="58" t="str">
        <f t="shared" si="48"/>
        <v/>
      </c>
      <c r="AJ77" s="59"/>
      <c r="AK77" s="58" t="str">
        <f t="shared" si="49"/>
        <v/>
      </c>
      <c r="AL77" s="59"/>
      <c r="AM77" s="58" t="str">
        <f t="shared" si="50"/>
        <v/>
      </c>
      <c r="AN77" s="59"/>
      <c r="AO77" s="58" t="str">
        <f t="shared" si="51"/>
        <v/>
      </c>
      <c r="AP77" s="59"/>
      <c r="AQ77" s="58" t="str">
        <f t="shared" si="52"/>
        <v/>
      </c>
      <c r="AR77" s="59"/>
      <c r="AS77" s="58" t="str">
        <f t="shared" si="53"/>
        <v/>
      </c>
      <c r="AT77" s="59"/>
      <c r="AU77" s="58" t="str">
        <f t="shared" si="54"/>
        <v/>
      </c>
      <c r="AV77" s="59"/>
      <c r="AW77" s="58" t="str">
        <f t="shared" si="55"/>
        <v/>
      </c>
      <c r="AX77" s="59"/>
      <c r="AY77" s="58" t="str">
        <f t="shared" si="56"/>
        <v/>
      </c>
      <c r="AZ77" s="59"/>
      <c r="BA77" s="58" t="str">
        <f t="shared" si="57"/>
        <v/>
      </c>
      <c r="BB77" s="59"/>
      <c r="BC77" s="58">
        <f t="shared" si="58"/>
        <v>3240</v>
      </c>
      <c r="BD77" s="59"/>
      <c r="BE77" s="58" t="str">
        <f t="shared" si="59"/>
        <v/>
      </c>
      <c r="BF77" s="59"/>
      <c r="BG77" s="58" t="str">
        <f t="shared" si="60"/>
        <v/>
      </c>
      <c r="BH77" s="59"/>
      <c r="BI77" s="58" t="str">
        <f t="shared" si="61"/>
        <v/>
      </c>
      <c r="BJ77" s="59"/>
      <c r="BK77" s="58" t="str">
        <f t="shared" si="62"/>
        <v/>
      </c>
      <c r="BL77" s="59"/>
      <c r="BM77" s="58" t="str">
        <f t="shared" si="63"/>
        <v/>
      </c>
      <c r="BN77" s="59"/>
      <c r="BO77" s="58" t="str">
        <f t="shared" si="64"/>
        <v/>
      </c>
      <c r="BP77" s="59"/>
      <c r="BQ77" s="58" t="str">
        <f t="shared" si="65"/>
        <v/>
      </c>
      <c r="BR77" s="59"/>
      <c r="BS77" s="58" t="str">
        <f t="shared" si="66"/>
        <v/>
      </c>
      <c r="BT77" s="59"/>
      <c r="BU77" s="58" t="str">
        <f t="shared" si="67"/>
        <v/>
      </c>
      <c r="BV77" s="59"/>
      <c r="BW77" s="58" t="str">
        <f t="shared" si="68"/>
        <v/>
      </c>
      <c r="BX77" s="59"/>
      <c r="BY77" s="58" t="str">
        <f t="shared" si="69"/>
        <v/>
      </c>
      <c r="BZ77" s="59"/>
    </row>
    <row r="78" spans="1:78" ht="14.5" hidden="1">
      <c r="A78" s="51" t="s">
        <v>58</v>
      </c>
      <c r="B78" s="52">
        <v>338</v>
      </c>
      <c r="C78" s="52" t="s">
        <v>188</v>
      </c>
      <c r="D78" s="41">
        <f t="shared" si="38"/>
        <v>4</v>
      </c>
      <c r="E78" s="170" t="s">
        <v>631</v>
      </c>
      <c r="F78" s="41" t="s">
        <v>631</v>
      </c>
      <c r="G78" s="52" t="s">
        <v>502</v>
      </c>
      <c r="H78" s="52" t="s">
        <v>289</v>
      </c>
      <c r="I78" s="52" t="s">
        <v>156</v>
      </c>
      <c r="J78" s="52" t="s">
        <v>503</v>
      </c>
      <c r="K78" s="53">
        <v>45678</v>
      </c>
      <c r="L78" s="108">
        <v>2592</v>
      </c>
      <c r="M78" s="101">
        <v>0</v>
      </c>
      <c r="N78" s="101"/>
      <c r="O78" s="107">
        <f t="shared" si="39"/>
        <v>2592</v>
      </c>
      <c r="P78" s="54">
        <f t="shared" si="40"/>
        <v>2592</v>
      </c>
      <c r="Q78" s="101" t="s">
        <v>506</v>
      </c>
      <c r="R78" s="166">
        <v>45680</v>
      </c>
      <c r="S78" s="101" t="s">
        <v>656</v>
      </c>
      <c r="T78" s="102">
        <f t="shared" si="41"/>
        <v>13.5</v>
      </c>
      <c r="U78" s="102">
        <v>6</v>
      </c>
      <c r="V78" s="99">
        <f>480/15</f>
        <v>32</v>
      </c>
      <c r="W78" s="55">
        <f t="shared" si="42"/>
        <v>45658</v>
      </c>
      <c r="X78" s="55"/>
      <c r="Y78" s="56">
        <f t="shared" ca="1" si="43"/>
        <v>-182</v>
      </c>
      <c r="Z78" s="55">
        <f t="shared" si="44"/>
        <v>45674</v>
      </c>
      <c r="AA78" s="55"/>
      <c r="AB78" s="56">
        <f t="shared" ca="1" si="45"/>
        <v>-166</v>
      </c>
      <c r="AC78" s="55"/>
      <c r="AD78" s="57"/>
      <c r="AE78" s="58" t="str">
        <f t="shared" si="46"/>
        <v>-</v>
      </c>
      <c r="AF78" s="59"/>
      <c r="AG78" s="58" t="str">
        <f t="shared" si="47"/>
        <v/>
      </c>
      <c r="AH78" s="59"/>
      <c r="AI78" s="58" t="str">
        <f t="shared" si="48"/>
        <v/>
      </c>
      <c r="AJ78" s="59"/>
      <c r="AK78" s="58" t="str">
        <f t="shared" si="49"/>
        <v/>
      </c>
      <c r="AL78" s="59"/>
      <c r="AM78" s="58" t="str">
        <f t="shared" si="50"/>
        <v/>
      </c>
      <c r="AN78" s="59"/>
      <c r="AO78" s="58" t="str">
        <f t="shared" si="51"/>
        <v/>
      </c>
      <c r="AP78" s="59"/>
      <c r="AQ78" s="58" t="str">
        <f t="shared" si="52"/>
        <v/>
      </c>
      <c r="AR78" s="59"/>
      <c r="AS78" s="58" t="str">
        <f t="shared" si="53"/>
        <v/>
      </c>
      <c r="AT78" s="59"/>
      <c r="AU78" s="58" t="str">
        <f t="shared" si="54"/>
        <v/>
      </c>
      <c r="AV78" s="59"/>
      <c r="AW78" s="58" t="str">
        <f t="shared" si="55"/>
        <v/>
      </c>
      <c r="AX78" s="59"/>
      <c r="AY78" s="58" t="str">
        <f t="shared" si="56"/>
        <v/>
      </c>
      <c r="AZ78" s="59"/>
      <c r="BA78" s="58" t="str">
        <f t="shared" si="57"/>
        <v/>
      </c>
      <c r="BB78" s="59"/>
      <c r="BC78" s="58">
        <f t="shared" si="58"/>
        <v>2592</v>
      </c>
      <c r="BD78" s="59"/>
      <c r="BE78" s="58" t="str">
        <f t="shared" si="59"/>
        <v/>
      </c>
      <c r="BF78" s="59"/>
      <c r="BG78" s="58" t="str">
        <f t="shared" si="60"/>
        <v/>
      </c>
      <c r="BH78" s="59"/>
      <c r="BI78" s="58" t="str">
        <f t="shared" si="61"/>
        <v/>
      </c>
      <c r="BJ78" s="59"/>
      <c r="BK78" s="58" t="str">
        <f t="shared" si="62"/>
        <v/>
      </c>
      <c r="BL78" s="59"/>
      <c r="BM78" s="58" t="str">
        <f t="shared" si="63"/>
        <v/>
      </c>
      <c r="BN78" s="59"/>
      <c r="BO78" s="58" t="str">
        <f t="shared" si="64"/>
        <v/>
      </c>
      <c r="BP78" s="59"/>
      <c r="BQ78" s="58" t="str">
        <f t="shared" si="65"/>
        <v/>
      </c>
      <c r="BR78" s="59"/>
      <c r="BS78" s="58" t="str">
        <f t="shared" si="66"/>
        <v/>
      </c>
      <c r="BT78" s="59"/>
      <c r="BU78" s="58" t="str">
        <f t="shared" si="67"/>
        <v/>
      </c>
      <c r="BV78" s="59"/>
      <c r="BW78" s="58" t="str">
        <f t="shared" si="68"/>
        <v/>
      </c>
      <c r="BX78" s="59"/>
      <c r="BY78" s="58" t="str">
        <f t="shared" si="69"/>
        <v/>
      </c>
      <c r="BZ78" s="59"/>
    </row>
    <row r="79" spans="1:78" ht="14.5" hidden="1">
      <c r="A79" s="51" t="s">
        <v>58</v>
      </c>
      <c r="B79" s="52">
        <v>338</v>
      </c>
      <c r="C79" s="52" t="s">
        <v>188</v>
      </c>
      <c r="D79" s="41">
        <f t="shared" si="38"/>
        <v>4</v>
      </c>
      <c r="E79" s="170" t="s">
        <v>631</v>
      </c>
      <c r="F79" s="41" t="s">
        <v>631</v>
      </c>
      <c r="G79" s="52" t="s">
        <v>158</v>
      </c>
      <c r="H79" s="52" t="s">
        <v>242</v>
      </c>
      <c r="I79" s="52" t="s">
        <v>155</v>
      </c>
      <c r="J79" s="52" t="s">
        <v>432</v>
      </c>
      <c r="K79" s="53">
        <v>45678</v>
      </c>
      <c r="L79" s="108">
        <v>968</v>
      </c>
      <c r="M79" s="101">
        <v>968</v>
      </c>
      <c r="N79" s="101">
        <v>968</v>
      </c>
      <c r="O79" s="107">
        <f t="shared" si="39"/>
        <v>0</v>
      </c>
      <c r="P79" s="54">
        <f t="shared" si="40"/>
        <v>0</v>
      </c>
      <c r="Q79" s="101" t="s">
        <v>439</v>
      </c>
      <c r="R79" s="101" t="s">
        <v>632</v>
      </c>
      <c r="S79" s="101"/>
      <c r="T79" s="102">
        <f t="shared" si="41"/>
        <v>1.3444444444444446</v>
      </c>
      <c r="U79" s="102">
        <v>6</v>
      </c>
      <c r="V79" s="99">
        <v>120</v>
      </c>
      <c r="W79" s="55">
        <f t="shared" si="42"/>
        <v>45658</v>
      </c>
      <c r="X79" s="55">
        <v>45606</v>
      </c>
      <c r="Y79" s="56">
        <f t="shared" ca="1" si="43"/>
        <v>52</v>
      </c>
      <c r="Z79" s="55">
        <f t="shared" si="44"/>
        <v>45674</v>
      </c>
      <c r="AA79" s="55"/>
      <c r="AB79" s="56">
        <f t="shared" ca="1" si="45"/>
        <v>-166</v>
      </c>
      <c r="AC79" s="55"/>
      <c r="AD79" s="57"/>
      <c r="AE79" s="58" t="str">
        <f t="shared" si="46"/>
        <v>-</v>
      </c>
      <c r="AF79" s="59"/>
      <c r="AG79" s="58" t="str">
        <f t="shared" si="47"/>
        <v/>
      </c>
      <c r="AH79" s="59"/>
      <c r="AI79" s="58" t="str">
        <f t="shared" si="48"/>
        <v/>
      </c>
      <c r="AJ79" s="59"/>
      <c r="AK79" s="58" t="str">
        <f t="shared" si="49"/>
        <v/>
      </c>
      <c r="AL79" s="59"/>
      <c r="AM79" s="58" t="str">
        <f t="shared" si="50"/>
        <v/>
      </c>
      <c r="AN79" s="59"/>
      <c r="AO79" s="58" t="str">
        <f t="shared" si="51"/>
        <v/>
      </c>
      <c r="AP79" s="59"/>
      <c r="AQ79" s="58" t="str">
        <f t="shared" si="52"/>
        <v/>
      </c>
      <c r="AR79" s="59"/>
      <c r="AS79" s="58" t="str">
        <f t="shared" si="53"/>
        <v/>
      </c>
      <c r="AT79" s="59"/>
      <c r="AU79" s="58" t="str">
        <f t="shared" si="54"/>
        <v/>
      </c>
      <c r="AV79" s="59"/>
      <c r="AW79" s="58" t="str">
        <f t="shared" si="55"/>
        <v/>
      </c>
      <c r="AX79" s="59"/>
      <c r="AY79" s="58" t="str">
        <f t="shared" si="56"/>
        <v/>
      </c>
      <c r="AZ79" s="59"/>
      <c r="BA79" s="58" t="str">
        <f t="shared" si="57"/>
        <v/>
      </c>
      <c r="BB79" s="59"/>
      <c r="BC79" s="58">
        <f t="shared" si="58"/>
        <v>968</v>
      </c>
      <c r="BD79" s="59"/>
      <c r="BE79" s="58" t="str">
        <f t="shared" si="59"/>
        <v/>
      </c>
      <c r="BF79" s="59"/>
      <c r="BG79" s="58" t="str">
        <f t="shared" si="60"/>
        <v/>
      </c>
      <c r="BH79" s="59"/>
      <c r="BI79" s="58" t="str">
        <f t="shared" si="61"/>
        <v/>
      </c>
      <c r="BJ79" s="59"/>
      <c r="BK79" s="58" t="str">
        <f t="shared" si="62"/>
        <v/>
      </c>
      <c r="BL79" s="59"/>
      <c r="BM79" s="58" t="str">
        <f t="shared" si="63"/>
        <v/>
      </c>
      <c r="BN79" s="59"/>
      <c r="BO79" s="58" t="str">
        <f t="shared" si="64"/>
        <v/>
      </c>
      <c r="BP79" s="59"/>
      <c r="BQ79" s="58" t="str">
        <f t="shared" si="65"/>
        <v/>
      </c>
      <c r="BR79" s="59"/>
      <c r="BS79" s="58" t="str">
        <f t="shared" si="66"/>
        <v/>
      </c>
      <c r="BT79" s="59"/>
      <c r="BU79" s="58" t="str">
        <f t="shared" si="67"/>
        <v/>
      </c>
      <c r="BV79" s="59"/>
      <c r="BW79" s="58" t="str">
        <f t="shared" si="68"/>
        <v/>
      </c>
      <c r="BX79" s="59"/>
      <c r="BY79" s="58" t="str">
        <f t="shared" si="69"/>
        <v/>
      </c>
      <c r="BZ79" s="59"/>
    </row>
    <row r="80" spans="1:78" ht="14.5" hidden="1">
      <c r="A80" s="51" t="s">
        <v>58</v>
      </c>
      <c r="B80" s="52">
        <v>338</v>
      </c>
      <c r="C80" s="52" t="s">
        <v>188</v>
      </c>
      <c r="D80" s="41">
        <f t="shared" si="38"/>
        <v>4</v>
      </c>
      <c r="E80" s="170" t="s">
        <v>631</v>
      </c>
      <c r="F80" s="41" t="s">
        <v>631</v>
      </c>
      <c r="G80" s="52" t="s">
        <v>195</v>
      </c>
      <c r="H80" s="52" t="s">
        <v>286</v>
      </c>
      <c r="I80" s="52" t="s">
        <v>162</v>
      </c>
      <c r="J80" s="52" t="s">
        <v>434</v>
      </c>
      <c r="K80" s="53">
        <v>45678</v>
      </c>
      <c r="L80" s="108">
        <v>4464</v>
      </c>
      <c r="M80" s="101">
        <v>4464</v>
      </c>
      <c r="N80" s="101">
        <v>4464</v>
      </c>
      <c r="O80" s="107">
        <f t="shared" si="39"/>
        <v>0</v>
      </c>
      <c r="P80" s="54">
        <f t="shared" si="40"/>
        <v>0</v>
      </c>
      <c r="Q80" s="101" t="s">
        <v>431</v>
      </c>
      <c r="R80" s="101" t="s">
        <v>632</v>
      </c>
      <c r="S80" s="101"/>
      <c r="T80" s="102">
        <f t="shared" si="41"/>
        <v>6.2</v>
      </c>
      <c r="U80" s="102">
        <v>6</v>
      </c>
      <c r="V80" s="99">
        <v>120</v>
      </c>
      <c r="W80" s="55">
        <f t="shared" si="42"/>
        <v>45658</v>
      </c>
      <c r="X80" s="55">
        <v>45606</v>
      </c>
      <c r="Y80" s="56">
        <f t="shared" ca="1" si="43"/>
        <v>52</v>
      </c>
      <c r="Z80" s="55">
        <f t="shared" si="44"/>
        <v>45674</v>
      </c>
      <c r="AA80" s="55"/>
      <c r="AB80" s="56">
        <f t="shared" ca="1" si="45"/>
        <v>-166</v>
      </c>
      <c r="AC80" s="55"/>
      <c r="AD80" s="57"/>
      <c r="AE80" s="58" t="str">
        <f t="shared" si="46"/>
        <v>-</v>
      </c>
      <c r="AF80" s="59"/>
      <c r="AG80" s="58" t="str">
        <f t="shared" si="47"/>
        <v/>
      </c>
      <c r="AH80" s="59"/>
      <c r="AI80" s="58" t="str">
        <f t="shared" si="48"/>
        <v/>
      </c>
      <c r="AJ80" s="59"/>
      <c r="AK80" s="58" t="str">
        <f t="shared" si="49"/>
        <v/>
      </c>
      <c r="AL80" s="59"/>
      <c r="AM80" s="58" t="str">
        <f t="shared" si="50"/>
        <v/>
      </c>
      <c r="AN80" s="59"/>
      <c r="AO80" s="58" t="str">
        <f t="shared" si="51"/>
        <v/>
      </c>
      <c r="AP80" s="59"/>
      <c r="AQ80" s="58" t="str">
        <f t="shared" si="52"/>
        <v/>
      </c>
      <c r="AR80" s="59"/>
      <c r="AS80" s="58" t="str">
        <f t="shared" si="53"/>
        <v/>
      </c>
      <c r="AT80" s="59"/>
      <c r="AU80" s="58" t="str">
        <f t="shared" si="54"/>
        <v/>
      </c>
      <c r="AV80" s="59"/>
      <c r="AW80" s="58" t="str">
        <f t="shared" si="55"/>
        <v/>
      </c>
      <c r="AX80" s="59"/>
      <c r="AY80" s="58" t="str">
        <f t="shared" si="56"/>
        <v/>
      </c>
      <c r="AZ80" s="59"/>
      <c r="BA80" s="58" t="str">
        <f t="shared" si="57"/>
        <v/>
      </c>
      <c r="BB80" s="59"/>
      <c r="BC80" s="58">
        <f t="shared" si="58"/>
        <v>4464</v>
      </c>
      <c r="BD80" s="59"/>
      <c r="BE80" s="58" t="str">
        <f t="shared" si="59"/>
        <v/>
      </c>
      <c r="BF80" s="59"/>
      <c r="BG80" s="58" t="str">
        <f t="shared" si="60"/>
        <v/>
      </c>
      <c r="BH80" s="59"/>
      <c r="BI80" s="58" t="str">
        <f t="shared" si="61"/>
        <v/>
      </c>
      <c r="BJ80" s="59"/>
      <c r="BK80" s="58" t="str">
        <f t="shared" si="62"/>
        <v/>
      </c>
      <c r="BL80" s="59"/>
      <c r="BM80" s="58" t="str">
        <f t="shared" si="63"/>
        <v/>
      </c>
      <c r="BN80" s="59"/>
      <c r="BO80" s="58" t="str">
        <f t="shared" si="64"/>
        <v/>
      </c>
      <c r="BP80" s="59"/>
      <c r="BQ80" s="58" t="str">
        <f t="shared" si="65"/>
        <v/>
      </c>
      <c r="BR80" s="59"/>
      <c r="BS80" s="58" t="str">
        <f t="shared" si="66"/>
        <v/>
      </c>
      <c r="BT80" s="59"/>
      <c r="BU80" s="58" t="str">
        <f t="shared" si="67"/>
        <v/>
      </c>
      <c r="BV80" s="59"/>
      <c r="BW80" s="58" t="str">
        <f t="shared" si="68"/>
        <v/>
      </c>
      <c r="BX80" s="59"/>
      <c r="BY80" s="58" t="str">
        <f t="shared" si="69"/>
        <v/>
      </c>
      <c r="BZ80" s="59"/>
    </row>
    <row r="81" spans="1:78" ht="14.5" hidden="1">
      <c r="A81" s="51" t="s">
        <v>58</v>
      </c>
      <c r="B81" s="52">
        <v>338</v>
      </c>
      <c r="C81" s="52" t="s">
        <v>188</v>
      </c>
      <c r="D81" s="41">
        <f t="shared" si="38"/>
        <v>4</v>
      </c>
      <c r="E81" s="170" t="s">
        <v>631</v>
      </c>
      <c r="F81" s="41" t="s">
        <v>631</v>
      </c>
      <c r="G81" s="52" t="s">
        <v>189</v>
      </c>
      <c r="H81" s="52" t="s">
        <v>242</v>
      </c>
      <c r="I81" s="52" t="s">
        <v>162</v>
      </c>
      <c r="J81" s="52" t="s">
        <v>432</v>
      </c>
      <c r="K81" s="53">
        <v>45678</v>
      </c>
      <c r="L81" s="108">
        <v>300</v>
      </c>
      <c r="M81" s="101">
        <v>0</v>
      </c>
      <c r="N81" s="101"/>
      <c r="O81" s="107">
        <f t="shared" si="39"/>
        <v>300</v>
      </c>
      <c r="P81" s="54">
        <f t="shared" si="40"/>
        <v>300</v>
      </c>
      <c r="Q81" s="101" t="s">
        <v>178</v>
      </c>
      <c r="R81" s="166">
        <v>45680</v>
      </c>
      <c r="S81" s="101" t="s">
        <v>642</v>
      </c>
      <c r="T81" s="102">
        <f t="shared" si="41"/>
        <v>0.41666666666666669</v>
      </c>
      <c r="U81" s="102">
        <v>6</v>
      </c>
      <c r="V81" s="99">
        <v>120</v>
      </c>
      <c r="W81" s="55">
        <f t="shared" si="42"/>
        <v>45658</v>
      </c>
      <c r="X81" s="55">
        <v>45606</v>
      </c>
      <c r="Y81" s="56">
        <f t="shared" ca="1" si="43"/>
        <v>52</v>
      </c>
      <c r="Z81" s="55">
        <f t="shared" si="44"/>
        <v>45674</v>
      </c>
      <c r="AA81" s="55"/>
      <c r="AB81" s="56">
        <f t="shared" ca="1" si="45"/>
        <v>-166</v>
      </c>
      <c r="AC81" s="55"/>
      <c r="AD81" s="57"/>
      <c r="AE81" s="58" t="str">
        <f t="shared" si="46"/>
        <v>-</v>
      </c>
      <c r="AF81" s="59"/>
      <c r="AG81" s="58" t="str">
        <f t="shared" si="47"/>
        <v/>
      </c>
      <c r="AH81" s="59"/>
      <c r="AI81" s="58" t="str">
        <f t="shared" si="48"/>
        <v/>
      </c>
      <c r="AJ81" s="59"/>
      <c r="AK81" s="58" t="str">
        <f t="shared" si="49"/>
        <v/>
      </c>
      <c r="AL81" s="59"/>
      <c r="AM81" s="58" t="str">
        <f t="shared" si="50"/>
        <v/>
      </c>
      <c r="AN81" s="59"/>
      <c r="AO81" s="58" t="str">
        <f t="shared" si="51"/>
        <v/>
      </c>
      <c r="AP81" s="59"/>
      <c r="AQ81" s="58" t="str">
        <f t="shared" si="52"/>
        <v/>
      </c>
      <c r="AR81" s="59"/>
      <c r="AS81" s="58" t="str">
        <f t="shared" si="53"/>
        <v/>
      </c>
      <c r="AT81" s="59"/>
      <c r="AU81" s="58" t="str">
        <f t="shared" si="54"/>
        <v/>
      </c>
      <c r="AV81" s="59"/>
      <c r="AW81" s="58" t="str">
        <f t="shared" si="55"/>
        <v/>
      </c>
      <c r="AX81" s="59"/>
      <c r="AY81" s="58" t="str">
        <f t="shared" si="56"/>
        <v/>
      </c>
      <c r="AZ81" s="59"/>
      <c r="BA81" s="58" t="str">
        <f t="shared" si="57"/>
        <v/>
      </c>
      <c r="BB81" s="59"/>
      <c r="BC81" s="58">
        <f t="shared" si="58"/>
        <v>300</v>
      </c>
      <c r="BD81" s="59"/>
      <c r="BE81" s="58" t="str">
        <f t="shared" si="59"/>
        <v/>
      </c>
      <c r="BF81" s="59"/>
      <c r="BG81" s="58" t="str">
        <f t="shared" si="60"/>
        <v/>
      </c>
      <c r="BH81" s="59"/>
      <c r="BI81" s="58" t="str">
        <f t="shared" si="61"/>
        <v/>
      </c>
      <c r="BJ81" s="59"/>
      <c r="BK81" s="58" t="str">
        <f t="shared" si="62"/>
        <v/>
      </c>
      <c r="BL81" s="59"/>
      <c r="BM81" s="58" t="str">
        <f t="shared" si="63"/>
        <v/>
      </c>
      <c r="BN81" s="59"/>
      <c r="BO81" s="58" t="str">
        <f t="shared" si="64"/>
        <v/>
      </c>
      <c r="BP81" s="59"/>
      <c r="BQ81" s="58" t="str">
        <f t="shared" si="65"/>
        <v/>
      </c>
      <c r="BR81" s="59"/>
      <c r="BS81" s="58" t="str">
        <f t="shared" si="66"/>
        <v/>
      </c>
      <c r="BT81" s="59"/>
      <c r="BU81" s="58" t="str">
        <f t="shared" si="67"/>
        <v/>
      </c>
      <c r="BV81" s="59"/>
      <c r="BW81" s="58" t="str">
        <f t="shared" si="68"/>
        <v/>
      </c>
      <c r="BX81" s="59"/>
      <c r="BY81" s="58" t="str">
        <f t="shared" si="69"/>
        <v/>
      </c>
      <c r="BZ81" s="59"/>
    </row>
    <row r="82" spans="1:78" ht="14.5" hidden="1">
      <c r="A82" s="51" t="s">
        <v>58</v>
      </c>
      <c r="B82" s="52">
        <v>338</v>
      </c>
      <c r="C82" s="52" t="s">
        <v>188</v>
      </c>
      <c r="D82" s="41">
        <f t="shared" si="38"/>
        <v>4</v>
      </c>
      <c r="E82" s="170" t="s">
        <v>631</v>
      </c>
      <c r="F82" s="41" t="s">
        <v>631</v>
      </c>
      <c r="G82" s="52" t="s">
        <v>158</v>
      </c>
      <c r="H82" s="52" t="s">
        <v>242</v>
      </c>
      <c r="I82" s="52" t="s">
        <v>255</v>
      </c>
      <c r="J82" s="52" t="s">
        <v>432</v>
      </c>
      <c r="K82" s="53">
        <v>45678</v>
      </c>
      <c r="L82" s="108">
        <v>120</v>
      </c>
      <c r="M82" s="101">
        <v>120</v>
      </c>
      <c r="N82" s="101">
        <v>120</v>
      </c>
      <c r="O82" s="107">
        <f t="shared" si="39"/>
        <v>0</v>
      </c>
      <c r="P82" s="54">
        <f t="shared" si="40"/>
        <v>0</v>
      </c>
      <c r="Q82" s="101" t="s">
        <v>439</v>
      </c>
      <c r="R82" s="166">
        <v>45680</v>
      </c>
      <c r="S82" s="101"/>
      <c r="T82" s="102">
        <f t="shared" si="41"/>
        <v>0.16666666666666666</v>
      </c>
      <c r="U82" s="102">
        <v>6</v>
      </c>
      <c r="V82" s="99">
        <v>120</v>
      </c>
      <c r="W82" s="55">
        <f t="shared" si="42"/>
        <v>45658</v>
      </c>
      <c r="X82" s="55">
        <v>45606</v>
      </c>
      <c r="Y82" s="56">
        <f t="shared" ca="1" si="43"/>
        <v>52</v>
      </c>
      <c r="Z82" s="55">
        <f t="shared" si="44"/>
        <v>45674</v>
      </c>
      <c r="AA82" s="55"/>
      <c r="AB82" s="56">
        <f t="shared" ca="1" si="45"/>
        <v>-166</v>
      </c>
      <c r="AC82" s="55"/>
      <c r="AD82" s="57"/>
      <c r="AE82" s="58" t="str">
        <f t="shared" si="46"/>
        <v>-</v>
      </c>
      <c r="AF82" s="59"/>
      <c r="AG82" s="58" t="str">
        <f t="shared" si="47"/>
        <v/>
      </c>
      <c r="AH82" s="59"/>
      <c r="AI82" s="58" t="str">
        <f t="shared" si="48"/>
        <v/>
      </c>
      <c r="AJ82" s="59"/>
      <c r="AK82" s="58" t="str">
        <f t="shared" si="49"/>
        <v/>
      </c>
      <c r="AL82" s="59"/>
      <c r="AM82" s="58" t="str">
        <f t="shared" si="50"/>
        <v/>
      </c>
      <c r="AN82" s="59"/>
      <c r="AO82" s="58" t="str">
        <f t="shared" si="51"/>
        <v/>
      </c>
      <c r="AP82" s="59"/>
      <c r="AQ82" s="58" t="str">
        <f t="shared" si="52"/>
        <v/>
      </c>
      <c r="AR82" s="59"/>
      <c r="AS82" s="58" t="str">
        <f t="shared" si="53"/>
        <v/>
      </c>
      <c r="AT82" s="59"/>
      <c r="AU82" s="58" t="str">
        <f t="shared" si="54"/>
        <v/>
      </c>
      <c r="AV82" s="59"/>
      <c r="AW82" s="58" t="str">
        <f t="shared" si="55"/>
        <v/>
      </c>
      <c r="AX82" s="59"/>
      <c r="AY82" s="58" t="str">
        <f t="shared" si="56"/>
        <v/>
      </c>
      <c r="AZ82" s="59"/>
      <c r="BA82" s="58" t="str">
        <f t="shared" si="57"/>
        <v/>
      </c>
      <c r="BB82" s="59"/>
      <c r="BC82" s="58">
        <f t="shared" si="58"/>
        <v>120</v>
      </c>
      <c r="BD82" s="59"/>
      <c r="BE82" s="58" t="str">
        <f t="shared" si="59"/>
        <v/>
      </c>
      <c r="BF82" s="59"/>
      <c r="BG82" s="58" t="str">
        <f t="shared" si="60"/>
        <v/>
      </c>
      <c r="BH82" s="59"/>
      <c r="BI82" s="58" t="str">
        <f t="shared" si="61"/>
        <v/>
      </c>
      <c r="BJ82" s="59"/>
      <c r="BK82" s="58" t="str">
        <f t="shared" si="62"/>
        <v/>
      </c>
      <c r="BL82" s="59"/>
      <c r="BM82" s="58" t="str">
        <f t="shared" si="63"/>
        <v/>
      </c>
      <c r="BN82" s="59"/>
      <c r="BO82" s="58" t="str">
        <f t="shared" si="64"/>
        <v/>
      </c>
      <c r="BP82" s="59"/>
      <c r="BQ82" s="58" t="str">
        <f t="shared" si="65"/>
        <v/>
      </c>
      <c r="BR82" s="59"/>
      <c r="BS82" s="58" t="str">
        <f t="shared" si="66"/>
        <v/>
      </c>
      <c r="BT82" s="59"/>
      <c r="BU82" s="58" t="str">
        <f t="shared" si="67"/>
        <v/>
      </c>
      <c r="BV82" s="59"/>
      <c r="BW82" s="58" t="str">
        <f t="shared" si="68"/>
        <v/>
      </c>
      <c r="BX82" s="59"/>
      <c r="BY82" s="58" t="str">
        <f t="shared" si="69"/>
        <v/>
      </c>
      <c r="BZ82" s="59"/>
    </row>
    <row r="83" spans="1:78" ht="14.5" hidden="1">
      <c r="A83" s="51" t="s">
        <v>58</v>
      </c>
      <c r="B83" s="52">
        <v>338</v>
      </c>
      <c r="C83" s="52" t="s">
        <v>188</v>
      </c>
      <c r="D83" s="41">
        <f t="shared" si="38"/>
        <v>4</v>
      </c>
      <c r="E83" s="170" t="s">
        <v>631</v>
      </c>
      <c r="F83" s="41" t="s">
        <v>631</v>
      </c>
      <c r="G83" s="52" t="s">
        <v>190</v>
      </c>
      <c r="H83" s="52" t="s">
        <v>242</v>
      </c>
      <c r="I83" s="52" t="s">
        <v>244</v>
      </c>
      <c r="J83" s="52" t="s">
        <v>438</v>
      </c>
      <c r="K83" s="53">
        <v>45678</v>
      </c>
      <c r="L83" s="108">
        <v>1508</v>
      </c>
      <c r="M83" s="101">
        <v>1508</v>
      </c>
      <c r="N83" s="101">
        <v>1508</v>
      </c>
      <c r="O83" s="107">
        <f t="shared" si="39"/>
        <v>0</v>
      </c>
      <c r="P83" s="54">
        <f t="shared" si="40"/>
        <v>0</v>
      </c>
      <c r="Q83" s="101" t="s">
        <v>439</v>
      </c>
      <c r="R83" s="101" t="s">
        <v>632</v>
      </c>
      <c r="S83" s="101"/>
      <c r="T83" s="102">
        <f t="shared" si="41"/>
        <v>2.0944444444444446</v>
      </c>
      <c r="U83" s="102">
        <v>6</v>
      </c>
      <c r="V83" s="99">
        <v>120</v>
      </c>
      <c r="W83" s="55">
        <f t="shared" si="42"/>
        <v>45658</v>
      </c>
      <c r="X83" s="55">
        <v>45606</v>
      </c>
      <c r="Y83" s="56">
        <f t="shared" ca="1" si="43"/>
        <v>52</v>
      </c>
      <c r="Z83" s="55">
        <f t="shared" si="44"/>
        <v>45674</v>
      </c>
      <c r="AA83" s="55"/>
      <c r="AB83" s="56">
        <f t="shared" ca="1" si="45"/>
        <v>-166</v>
      </c>
      <c r="AC83" s="55"/>
      <c r="AD83" s="57"/>
      <c r="AE83" s="58" t="str">
        <f t="shared" si="46"/>
        <v>-</v>
      </c>
      <c r="AF83" s="59"/>
      <c r="AG83" s="58" t="str">
        <f t="shared" si="47"/>
        <v/>
      </c>
      <c r="AH83" s="59"/>
      <c r="AI83" s="58" t="str">
        <f t="shared" si="48"/>
        <v/>
      </c>
      <c r="AJ83" s="59"/>
      <c r="AK83" s="58" t="str">
        <f t="shared" si="49"/>
        <v/>
      </c>
      <c r="AL83" s="59"/>
      <c r="AM83" s="58" t="str">
        <f t="shared" si="50"/>
        <v/>
      </c>
      <c r="AN83" s="59"/>
      <c r="AO83" s="58" t="str">
        <f t="shared" si="51"/>
        <v/>
      </c>
      <c r="AP83" s="59"/>
      <c r="AQ83" s="58" t="str">
        <f t="shared" si="52"/>
        <v/>
      </c>
      <c r="AR83" s="59"/>
      <c r="AS83" s="58" t="str">
        <f t="shared" si="53"/>
        <v/>
      </c>
      <c r="AT83" s="59"/>
      <c r="AU83" s="58" t="str">
        <f t="shared" si="54"/>
        <v/>
      </c>
      <c r="AV83" s="59"/>
      <c r="AW83" s="58" t="str">
        <f t="shared" si="55"/>
        <v/>
      </c>
      <c r="AX83" s="59"/>
      <c r="AY83" s="58" t="str">
        <f t="shared" si="56"/>
        <v/>
      </c>
      <c r="AZ83" s="59"/>
      <c r="BA83" s="58" t="str">
        <f t="shared" si="57"/>
        <v/>
      </c>
      <c r="BB83" s="59"/>
      <c r="BC83" s="58">
        <f t="shared" si="58"/>
        <v>1508</v>
      </c>
      <c r="BD83" s="59"/>
      <c r="BE83" s="58" t="str">
        <f t="shared" si="59"/>
        <v/>
      </c>
      <c r="BF83" s="59"/>
      <c r="BG83" s="58" t="str">
        <f t="shared" si="60"/>
        <v/>
      </c>
      <c r="BH83" s="59"/>
      <c r="BI83" s="58" t="str">
        <f t="shared" si="61"/>
        <v/>
      </c>
      <c r="BJ83" s="59"/>
      <c r="BK83" s="58" t="str">
        <f t="shared" si="62"/>
        <v/>
      </c>
      <c r="BL83" s="59"/>
      <c r="BM83" s="58" t="str">
        <f t="shared" si="63"/>
        <v/>
      </c>
      <c r="BN83" s="59"/>
      <c r="BO83" s="58" t="str">
        <f t="shared" si="64"/>
        <v/>
      </c>
      <c r="BP83" s="59"/>
      <c r="BQ83" s="58" t="str">
        <f t="shared" si="65"/>
        <v/>
      </c>
      <c r="BR83" s="59"/>
      <c r="BS83" s="58" t="str">
        <f t="shared" si="66"/>
        <v/>
      </c>
      <c r="BT83" s="59"/>
      <c r="BU83" s="58" t="str">
        <f t="shared" si="67"/>
        <v/>
      </c>
      <c r="BV83" s="59"/>
      <c r="BW83" s="58" t="str">
        <f t="shared" si="68"/>
        <v/>
      </c>
      <c r="BX83" s="59"/>
      <c r="BY83" s="58" t="str">
        <f t="shared" si="69"/>
        <v/>
      </c>
      <c r="BZ83" s="59"/>
    </row>
    <row r="84" spans="1:78" ht="14.5" hidden="1">
      <c r="A84" s="51" t="s">
        <v>58</v>
      </c>
      <c r="B84" s="52">
        <v>340</v>
      </c>
      <c r="C84" s="52" t="s">
        <v>188</v>
      </c>
      <c r="D84" s="41">
        <f t="shared" si="38"/>
        <v>4</v>
      </c>
      <c r="E84" s="170">
        <v>45666</v>
      </c>
      <c r="F84" s="41" t="s">
        <v>631</v>
      </c>
      <c r="G84" s="52" t="s">
        <v>193</v>
      </c>
      <c r="H84" s="52" t="s">
        <v>246</v>
      </c>
      <c r="I84" s="52" t="s">
        <v>162</v>
      </c>
      <c r="J84" s="52" t="s">
        <v>434</v>
      </c>
      <c r="K84" s="53">
        <v>45678</v>
      </c>
      <c r="L84" s="108">
        <f>2235*2</f>
        <v>4470</v>
      </c>
      <c r="M84" s="101">
        <v>4470</v>
      </c>
      <c r="N84" s="101">
        <v>4470</v>
      </c>
      <c r="O84" s="107">
        <f t="shared" si="39"/>
        <v>0</v>
      </c>
      <c r="P84" s="54">
        <f t="shared" si="40"/>
        <v>0</v>
      </c>
      <c r="Q84" s="101" t="s">
        <v>657</v>
      </c>
      <c r="R84" s="166">
        <v>45681</v>
      </c>
      <c r="S84" s="101"/>
      <c r="T84" s="102">
        <f t="shared" si="41"/>
        <v>12.771428571428572</v>
      </c>
      <c r="U84" s="102">
        <v>1</v>
      </c>
      <c r="V84" s="99">
        <v>350</v>
      </c>
      <c r="W84" s="55">
        <f t="shared" si="42"/>
        <v>45658</v>
      </c>
      <c r="X84" s="55">
        <v>45620</v>
      </c>
      <c r="Y84" s="56">
        <f t="shared" ca="1" si="43"/>
        <v>38</v>
      </c>
      <c r="Z84" s="55">
        <f t="shared" si="44"/>
        <v>45674</v>
      </c>
      <c r="AA84" s="55"/>
      <c r="AB84" s="56">
        <f t="shared" ca="1" si="45"/>
        <v>-166</v>
      </c>
      <c r="AC84" s="55"/>
      <c r="AD84" s="57"/>
      <c r="AE84" s="58" t="str">
        <f t="shared" si="46"/>
        <v>-</v>
      </c>
      <c r="AF84" s="59"/>
      <c r="AG84" s="58" t="str">
        <f t="shared" si="47"/>
        <v/>
      </c>
      <c r="AH84" s="59"/>
      <c r="AI84" s="58" t="str">
        <f t="shared" si="48"/>
        <v/>
      </c>
      <c r="AJ84" s="59"/>
      <c r="AK84" s="58" t="str">
        <f t="shared" si="49"/>
        <v/>
      </c>
      <c r="AL84" s="59"/>
      <c r="AM84" s="58" t="str">
        <f t="shared" si="50"/>
        <v/>
      </c>
      <c r="AN84" s="59"/>
      <c r="AO84" s="58" t="str">
        <f t="shared" si="51"/>
        <v/>
      </c>
      <c r="AP84" s="59"/>
      <c r="AQ84" s="58" t="str">
        <f t="shared" si="52"/>
        <v/>
      </c>
      <c r="AR84" s="59"/>
      <c r="AS84" s="58" t="str">
        <f t="shared" si="53"/>
        <v/>
      </c>
      <c r="AT84" s="59"/>
      <c r="AU84" s="58" t="str">
        <f t="shared" si="54"/>
        <v/>
      </c>
      <c r="AV84" s="59"/>
      <c r="AW84" s="58" t="str">
        <f t="shared" si="55"/>
        <v/>
      </c>
      <c r="AX84" s="59"/>
      <c r="AY84" s="58" t="str">
        <f t="shared" si="56"/>
        <v/>
      </c>
      <c r="AZ84" s="59"/>
      <c r="BA84" s="58" t="str">
        <f t="shared" si="57"/>
        <v/>
      </c>
      <c r="BB84" s="59"/>
      <c r="BC84" s="58">
        <f t="shared" si="58"/>
        <v>4470</v>
      </c>
      <c r="BD84" s="59"/>
      <c r="BE84" s="58" t="str">
        <f t="shared" si="59"/>
        <v/>
      </c>
      <c r="BF84" s="59"/>
      <c r="BG84" s="58" t="str">
        <f t="shared" si="60"/>
        <v/>
      </c>
      <c r="BH84" s="59"/>
      <c r="BI84" s="58" t="str">
        <f t="shared" si="61"/>
        <v/>
      </c>
      <c r="BJ84" s="59"/>
      <c r="BK84" s="58" t="str">
        <f t="shared" si="62"/>
        <v/>
      </c>
      <c r="BL84" s="59"/>
      <c r="BM84" s="58" t="str">
        <f t="shared" si="63"/>
        <v/>
      </c>
      <c r="BN84" s="59"/>
      <c r="BO84" s="58" t="str">
        <f t="shared" si="64"/>
        <v/>
      </c>
      <c r="BP84" s="59"/>
      <c r="BQ84" s="58" t="str">
        <f t="shared" si="65"/>
        <v/>
      </c>
      <c r="BR84" s="59"/>
      <c r="BS84" s="58" t="str">
        <f t="shared" si="66"/>
        <v/>
      </c>
      <c r="BT84" s="59"/>
      <c r="BU84" s="58" t="str">
        <f t="shared" si="67"/>
        <v/>
      </c>
      <c r="BV84" s="59"/>
      <c r="BW84" s="58" t="str">
        <f t="shared" si="68"/>
        <v/>
      </c>
      <c r="BX84" s="59"/>
      <c r="BY84" s="58" t="str">
        <f t="shared" si="69"/>
        <v/>
      </c>
      <c r="BZ84" s="59"/>
    </row>
    <row r="85" spans="1:78" ht="14.5" hidden="1">
      <c r="A85" s="51" t="s">
        <v>58</v>
      </c>
      <c r="B85" s="52">
        <v>340</v>
      </c>
      <c r="C85" s="52" t="s">
        <v>188</v>
      </c>
      <c r="D85" s="41">
        <f t="shared" si="38"/>
        <v>4</v>
      </c>
      <c r="E85" s="170" t="s">
        <v>631</v>
      </c>
      <c r="F85" s="41" t="s">
        <v>631</v>
      </c>
      <c r="G85" s="52" t="s">
        <v>136</v>
      </c>
      <c r="H85" s="52" t="s">
        <v>247</v>
      </c>
      <c r="I85" s="52" t="s">
        <v>162</v>
      </c>
      <c r="J85" s="52" t="s">
        <v>442</v>
      </c>
      <c r="K85" s="53">
        <v>45678</v>
      </c>
      <c r="L85" s="108">
        <v>1488</v>
      </c>
      <c r="M85" s="108">
        <v>1488</v>
      </c>
      <c r="N85" s="108">
        <v>1488</v>
      </c>
      <c r="O85" s="107">
        <f t="shared" si="39"/>
        <v>0</v>
      </c>
      <c r="P85" s="54">
        <f t="shared" si="40"/>
        <v>0</v>
      </c>
      <c r="Q85" s="101" t="s">
        <v>654</v>
      </c>
      <c r="R85" s="101" t="s">
        <v>632</v>
      </c>
      <c r="S85" s="101"/>
      <c r="T85" s="102">
        <f t="shared" si="41"/>
        <v>0.85028571428571431</v>
      </c>
      <c r="U85" s="102">
        <v>5</v>
      </c>
      <c r="V85" s="99">
        <v>350</v>
      </c>
      <c r="W85" s="55">
        <f t="shared" si="42"/>
        <v>45658</v>
      </c>
      <c r="X85" s="55">
        <v>45620</v>
      </c>
      <c r="Y85" s="56">
        <f t="shared" ca="1" si="43"/>
        <v>38</v>
      </c>
      <c r="Z85" s="55">
        <f t="shared" si="44"/>
        <v>45674</v>
      </c>
      <c r="AA85" s="55"/>
      <c r="AB85" s="56">
        <f t="shared" ca="1" si="45"/>
        <v>-166</v>
      </c>
      <c r="AC85" s="55"/>
      <c r="AD85" s="57"/>
      <c r="AE85" s="58" t="str">
        <f t="shared" si="46"/>
        <v>-</v>
      </c>
      <c r="AF85" s="59"/>
      <c r="AG85" s="58" t="str">
        <f t="shared" si="47"/>
        <v/>
      </c>
      <c r="AH85" s="59"/>
      <c r="AI85" s="58" t="str">
        <f t="shared" si="48"/>
        <v/>
      </c>
      <c r="AJ85" s="59"/>
      <c r="AK85" s="58" t="str">
        <f t="shared" si="49"/>
        <v/>
      </c>
      <c r="AL85" s="59"/>
      <c r="AM85" s="58" t="str">
        <f t="shared" si="50"/>
        <v/>
      </c>
      <c r="AN85" s="59"/>
      <c r="AO85" s="58" t="str">
        <f t="shared" si="51"/>
        <v/>
      </c>
      <c r="AP85" s="59"/>
      <c r="AQ85" s="58" t="str">
        <f t="shared" si="52"/>
        <v/>
      </c>
      <c r="AR85" s="59"/>
      <c r="AS85" s="58" t="str">
        <f t="shared" si="53"/>
        <v/>
      </c>
      <c r="AT85" s="59"/>
      <c r="AU85" s="58" t="str">
        <f t="shared" si="54"/>
        <v/>
      </c>
      <c r="AV85" s="59"/>
      <c r="AW85" s="58" t="str">
        <f t="shared" si="55"/>
        <v/>
      </c>
      <c r="AX85" s="59"/>
      <c r="AY85" s="58" t="str">
        <f t="shared" si="56"/>
        <v/>
      </c>
      <c r="AZ85" s="59"/>
      <c r="BA85" s="58" t="str">
        <f t="shared" si="57"/>
        <v/>
      </c>
      <c r="BB85" s="59"/>
      <c r="BC85" s="58">
        <f t="shared" si="58"/>
        <v>1488</v>
      </c>
      <c r="BD85" s="59"/>
      <c r="BE85" s="58" t="str">
        <f t="shared" si="59"/>
        <v/>
      </c>
      <c r="BF85" s="59"/>
      <c r="BG85" s="58" t="str">
        <f t="shared" si="60"/>
        <v/>
      </c>
      <c r="BH85" s="59"/>
      <c r="BI85" s="58" t="str">
        <f t="shared" si="61"/>
        <v/>
      </c>
      <c r="BJ85" s="59"/>
      <c r="BK85" s="58" t="str">
        <f t="shared" si="62"/>
        <v/>
      </c>
      <c r="BL85" s="59"/>
      <c r="BM85" s="58" t="str">
        <f t="shared" si="63"/>
        <v/>
      </c>
      <c r="BN85" s="59"/>
      <c r="BO85" s="58" t="str">
        <f t="shared" si="64"/>
        <v/>
      </c>
      <c r="BP85" s="59"/>
      <c r="BQ85" s="58" t="str">
        <f t="shared" si="65"/>
        <v/>
      </c>
      <c r="BR85" s="59"/>
      <c r="BS85" s="58" t="str">
        <f t="shared" si="66"/>
        <v/>
      </c>
      <c r="BT85" s="59"/>
      <c r="BU85" s="58" t="str">
        <f t="shared" si="67"/>
        <v/>
      </c>
      <c r="BV85" s="59"/>
      <c r="BW85" s="58" t="str">
        <f t="shared" si="68"/>
        <v/>
      </c>
      <c r="BX85" s="59"/>
      <c r="BY85" s="58" t="str">
        <f t="shared" si="69"/>
        <v/>
      </c>
      <c r="BZ85" s="59"/>
    </row>
    <row r="86" spans="1:78" ht="14.5" hidden="1">
      <c r="A86" s="51" t="s">
        <v>58</v>
      </c>
      <c r="B86" s="52">
        <v>340</v>
      </c>
      <c r="C86" s="52" t="s">
        <v>188</v>
      </c>
      <c r="D86" s="41">
        <f t="shared" si="38"/>
        <v>4</v>
      </c>
      <c r="E86" s="170" t="s">
        <v>631</v>
      </c>
      <c r="F86" s="41" t="s">
        <v>631</v>
      </c>
      <c r="G86" s="52" t="s">
        <v>136</v>
      </c>
      <c r="H86" s="52" t="s">
        <v>247</v>
      </c>
      <c r="I86" s="52" t="s">
        <v>163</v>
      </c>
      <c r="J86" s="52" t="s">
        <v>442</v>
      </c>
      <c r="K86" s="53">
        <v>45678</v>
      </c>
      <c r="L86" s="108">
        <v>1488</v>
      </c>
      <c r="M86" s="108">
        <v>1488</v>
      </c>
      <c r="N86" s="108"/>
      <c r="O86" s="107">
        <f t="shared" si="39"/>
        <v>1488</v>
      </c>
      <c r="P86" s="54">
        <f t="shared" si="40"/>
        <v>0</v>
      </c>
      <c r="Q86" s="101" t="s">
        <v>654</v>
      </c>
      <c r="R86" s="166">
        <v>45681</v>
      </c>
      <c r="S86" s="101"/>
      <c r="T86" s="102">
        <f t="shared" si="41"/>
        <v>0.85028571428571431</v>
      </c>
      <c r="U86" s="102">
        <v>5</v>
      </c>
      <c r="V86" s="99">
        <v>350</v>
      </c>
      <c r="W86" s="55">
        <f t="shared" si="42"/>
        <v>45658</v>
      </c>
      <c r="X86" s="55">
        <v>45620</v>
      </c>
      <c r="Y86" s="56">
        <f t="shared" ca="1" si="43"/>
        <v>38</v>
      </c>
      <c r="Z86" s="55">
        <f t="shared" si="44"/>
        <v>45674</v>
      </c>
      <c r="AA86" s="55"/>
      <c r="AB86" s="56">
        <f t="shared" ca="1" si="45"/>
        <v>-166</v>
      </c>
      <c r="AC86" s="55"/>
      <c r="AD86" s="57"/>
      <c r="AE86" s="58" t="str">
        <f t="shared" si="46"/>
        <v>-</v>
      </c>
      <c r="AF86" s="59"/>
      <c r="AG86" s="58" t="str">
        <f t="shared" si="47"/>
        <v/>
      </c>
      <c r="AH86" s="59"/>
      <c r="AI86" s="58" t="str">
        <f t="shared" si="48"/>
        <v/>
      </c>
      <c r="AJ86" s="59"/>
      <c r="AK86" s="58" t="str">
        <f t="shared" si="49"/>
        <v/>
      </c>
      <c r="AL86" s="59"/>
      <c r="AM86" s="58" t="str">
        <f t="shared" si="50"/>
        <v/>
      </c>
      <c r="AN86" s="59"/>
      <c r="AO86" s="58" t="str">
        <f t="shared" si="51"/>
        <v/>
      </c>
      <c r="AP86" s="59"/>
      <c r="AQ86" s="58" t="str">
        <f t="shared" si="52"/>
        <v/>
      </c>
      <c r="AR86" s="59"/>
      <c r="AS86" s="58" t="str">
        <f t="shared" si="53"/>
        <v/>
      </c>
      <c r="AT86" s="59"/>
      <c r="AU86" s="58" t="str">
        <f t="shared" si="54"/>
        <v/>
      </c>
      <c r="AV86" s="59"/>
      <c r="AW86" s="58" t="str">
        <f t="shared" si="55"/>
        <v/>
      </c>
      <c r="AX86" s="59"/>
      <c r="AY86" s="58" t="str">
        <f t="shared" si="56"/>
        <v/>
      </c>
      <c r="AZ86" s="59"/>
      <c r="BA86" s="58" t="str">
        <f t="shared" si="57"/>
        <v/>
      </c>
      <c r="BB86" s="59"/>
      <c r="BC86" s="58">
        <f t="shared" si="58"/>
        <v>1488</v>
      </c>
      <c r="BD86" s="59"/>
      <c r="BE86" s="58" t="str">
        <f t="shared" si="59"/>
        <v/>
      </c>
      <c r="BF86" s="59"/>
      <c r="BG86" s="58" t="str">
        <f t="shared" si="60"/>
        <v/>
      </c>
      <c r="BH86" s="59"/>
      <c r="BI86" s="58" t="str">
        <f t="shared" si="61"/>
        <v/>
      </c>
      <c r="BJ86" s="59"/>
      <c r="BK86" s="58" t="str">
        <f t="shared" si="62"/>
        <v/>
      </c>
      <c r="BL86" s="59"/>
      <c r="BM86" s="58" t="str">
        <f t="shared" si="63"/>
        <v/>
      </c>
      <c r="BN86" s="59"/>
      <c r="BO86" s="58" t="str">
        <f t="shared" si="64"/>
        <v/>
      </c>
      <c r="BP86" s="59"/>
      <c r="BQ86" s="58" t="str">
        <f t="shared" si="65"/>
        <v/>
      </c>
      <c r="BR86" s="59"/>
      <c r="BS86" s="58" t="str">
        <f t="shared" si="66"/>
        <v/>
      </c>
      <c r="BT86" s="59"/>
      <c r="BU86" s="58" t="str">
        <f t="shared" si="67"/>
        <v/>
      </c>
      <c r="BV86" s="59"/>
      <c r="BW86" s="58" t="str">
        <f t="shared" si="68"/>
        <v/>
      </c>
      <c r="BX86" s="59"/>
      <c r="BY86" s="58" t="str">
        <f t="shared" si="69"/>
        <v/>
      </c>
      <c r="BZ86" s="59"/>
    </row>
    <row r="87" spans="1:78" ht="14.5" hidden="1">
      <c r="A87" s="51" t="s">
        <v>58</v>
      </c>
      <c r="B87" s="52">
        <v>340</v>
      </c>
      <c r="C87" s="52" t="s">
        <v>188</v>
      </c>
      <c r="D87" s="41">
        <f t="shared" si="38"/>
        <v>4</v>
      </c>
      <c r="E87" s="170" t="s">
        <v>631</v>
      </c>
      <c r="F87" s="41" t="s">
        <v>631</v>
      </c>
      <c r="G87" s="52" t="s">
        <v>136</v>
      </c>
      <c r="H87" s="52" t="s">
        <v>247</v>
      </c>
      <c r="I87" s="52" t="s">
        <v>164</v>
      </c>
      <c r="J87" s="52" t="s">
        <v>442</v>
      </c>
      <c r="K87" s="53">
        <v>45678</v>
      </c>
      <c r="L87" s="108">
        <v>1488</v>
      </c>
      <c r="M87" s="108">
        <v>1488</v>
      </c>
      <c r="N87" s="108">
        <v>1488</v>
      </c>
      <c r="O87" s="107">
        <f t="shared" si="39"/>
        <v>0</v>
      </c>
      <c r="P87" s="54">
        <f t="shared" si="40"/>
        <v>0</v>
      </c>
      <c r="Q87" s="101" t="s">
        <v>654</v>
      </c>
      <c r="R87" s="101" t="s">
        <v>632</v>
      </c>
      <c r="S87" s="101"/>
      <c r="T87" s="102">
        <f t="shared" si="41"/>
        <v>0.85028571428571431</v>
      </c>
      <c r="U87" s="102">
        <v>5</v>
      </c>
      <c r="V87" s="99">
        <v>350</v>
      </c>
      <c r="W87" s="55">
        <f t="shared" si="42"/>
        <v>45658</v>
      </c>
      <c r="X87" s="55">
        <v>45620</v>
      </c>
      <c r="Y87" s="56">
        <f t="shared" ca="1" si="43"/>
        <v>38</v>
      </c>
      <c r="Z87" s="55">
        <f t="shared" si="44"/>
        <v>45674</v>
      </c>
      <c r="AA87" s="55"/>
      <c r="AB87" s="56">
        <f t="shared" ca="1" si="45"/>
        <v>-166</v>
      </c>
      <c r="AC87" s="55"/>
      <c r="AD87" s="57"/>
      <c r="AE87" s="58" t="str">
        <f t="shared" si="46"/>
        <v>-</v>
      </c>
      <c r="AF87" s="59"/>
      <c r="AG87" s="58" t="str">
        <f t="shared" si="47"/>
        <v/>
      </c>
      <c r="AH87" s="59"/>
      <c r="AI87" s="58" t="str">
        <f t="shared" si="48"/>
        <v/>
      </c>
      <c r="AJ87" s="59"/>
      <c r="AK87" s="58" t="str">
        <f t="shared" si="49"/>
        <v/>
      </c>
      <c r="AL87" s="59"/>
      <c r="AM87" s="58" t="str">
        <f t="shared" si="50"/>
        <v/>
      </c>
      <c r="AN87" s="59"/>
      <c r="AO87" s="58" t="str">
        <f t="shared" si="51"/>
        <v/>
      </c>
      <c r="AP87" s="59"/>
      <c r="AQ87" s="58" t="str">
        <f t="shared" si="52"/>
        <v/>
      </c>
      <c r="AR87" s="59"/>
      <c r="AS87" s="58" t="str">
        <f t="shared" si="53"/>
        <v/>
      </c>
      <c r="AT87" s="59"/>
      <c r="AU87" s="58" t="str">
        <f t="shared" si="54"/>
        <v/>
      </c>
      <c r="AV87" s="59"/>
      <c r="AW87" s="58" t="str">
        <f t="shared" si="55"/>
        <v/>
      </c>
      <c r="AX87" s="59"/>
      <c r="AY87" s="58" t="str">
        <f t="shared" si="56"/>
        <v/>
      </c>
      <c r="AZ87" s="59"/>
      <c r="BA87" s="58" t="str">
        <f t="shared" si="57"/>
        <v/>
      </c>
      <c r="BB87" s="59"/>
      <c r="BC87" s="58">
        <f t="shared" si="58"/>
        <v>1488</v>
      </c>
      <c r="BD87" s="59"/>
      <c r="BE87" s="58" t="str">
        <f t="shared" si="59"/>
        <v/>
      </c>
      <c r="BF87" s="59"/>
      <c r="BG87" s="58" t="str">
        <f t="shared" si="60"/>
        <v/>
      </c>
      <c r="BH87" s="59"/>
      <c r="BI87" s="58" t="str">
        <f t="shared" si="61"/>
        <v/>
      </c>
      <c r="BJ87" s="59"/>
      <c r="BK87" s="58" t="str">
        <f t="shared" si="62"/>
        <v/>
      </c>
      <c r="BL87" s="59"/>
      <c r="BM87" s="58" t="str">
        <f t="shared" si="63"/>
        <v/>
      </c>
      <c r="BN87" s="59"/>
      <c r="BO87" s="58" t="str">
        <f t="shared" si="64"/>
        <v/>
      </c>
      <c r="BP87" s="59"/>
      <c r="BQ87" s="58" t="str">
        <f t="shared" si="65"/>
        <v/>
      </c>
      <c r="BR87" s="59"/>
      <c r="BS87" s="58" t="str">
        <f t="shared" si="66"/>
        <v/>
      </c>
      <c r="BT87" s="59"/>
      <c r="BU87" s="58" t="str">
        <f t="shared" si="67"/>
        <v/>
      </c>
      <c r="BV87" s="59"/>
      <c r="BW87" s="58" t="str">
        <f t="shared" si="68"/>
        <v/>
      </c>
      <c r="BX87" s="59"/>
      <c r="BY87" s="58" t="str">
        <f t="shared" si="69"/>
        <v/>
      </c>
      <c r="BZ87" s="59"/>
    </row>
    <row r="88" spans="1:78" ht="14.5" hidden="1">
      <c r="A88" s="51" t="s">
        <v>58</v>
      </c>
      <c r="B88" s="52">
        <v>340</v>
      </c>
      <c r="C88" s="52" t="s">
        <v>188</v>
      </c>
      <c r="D88" s="41">
        <f t="shared" si="38"/>
        <v>4</v>
      </c>
      <c r="E88" s="170" t="s">
        <v>631</v>
      </c>
      <c r="F88" s="41" t="s">
        <v>631</v>
      </c>
      <c r="G88" s="52" t="s">
        <v>81</v>
      </c>
      <c r="H88" s="52" t="s">
        <v>290</v>
      </c>
      <c r="I88" s="52" t="s">
        <v>291</v>
      </c>
      <c r="J88" s="52" t="s">
        <v>435</v>
      </c>
      <c r="K88" s="53">
        <v>45678</v>
      </c>
      <c r="L88" s="108">
        <v>1488</v>
      </c>
      <c r="M88" s="101">
        <v>1488</v>
      </c>
      <c r="N88" s="101">
        <v>1488</v>
      </c>
      <c r="O88" s="107">
        <f t="shared" si="39"/>
        <v>0</v>
      </c>
      <c r="P88" s="54">
        <f t="shared" si="40"/>
        <v>0</v>
      </c>
      <c r="Q88" s="101" t="s">
        <v>436</v>
      </c>
      <c r="R88" s="166">
        <v>45681</v>
      </c>
      <c r="S88" s="101"/>
      <c r="T88" s="102">
        <f t="shared" si="41"/>
        <v>0.16666666666666666</v>
      </c>
      <c r="U88" s="102">
        <v>6</v>
      </c>
      <c r="V88" s="99">
        <v>1488</v>
      </c>
      <c r="W88" s="55">
        <f t="shared" si="42"/>
        <v>45658</v>
      </c>
      <c r="X88" s="55"/>
      <c r="Y88" s="56">
        <f t="shared" ca="1" si="43"/>
        <v>-182</v>
      </c>
      <c r="Z88" s="55">
        <f t="shared" si="44"/>
        <v>45674</v>
      </c>
      <c r="AA88" s="55"/>
      <c r="AB88" s="56">
        <f t="shared" ca="1" si="45"/>
        <v>-166</v>
      </c>
      <c r="AC88" s="55"/>
      <c r="AD88" s="57"/>
      <c r="AE88" s="58" t="str">
        <f t="shared" si="46"/>
        <v>-</v>
      </c>
      <c r="AF88" s="59"/>
      <c r="AG88" s="58" t="str">
        <f t="shared" si="47"/>
        <v/>
      </c>
      <c r="AH88" s="59"/>
      <c r="AI88" s="58" t="str">
        <f t="shared" si="48"/>
        <v/>
      </c>
      <c r="AJ88" s="59"/>
      <c r="AK88" s="58" t="str">
        <f t="shared" si="49"/>
        <v/>
      </c>
      <c r="AL88" s="59"/>
      <c r="AM88" s="58" t="str">
        <f t="shared" si="50"/>
        <v/>
      </c>
      <c r="AN88" s="59"/>
      <c r="AO88" s="58" t="str">
        <f t="shared" si="51"/>
        <v/>
      </c>
      <c r="AP88" s="59"/>
      <c r="AQ88" s="58" t="str">
        <f t="shared" si="52"/>
        <v/>
      </c>
      <c r="AR88" s="59"/>
      <c r="AS88" s="58" t="str">
        <f t="shared" si="53"/>
        <v/>
      </c>
      <c r="AT88" s="59"/>
      <c r="AU88" s="58" t="str">
        <f t="shared" si="54"/>
        <v/>
      </c>
      <c r="AV88" s="59"/>
      <c r="AW88" s="58" t="str">
        <f t="shared" si="55"/>
        <v/>
      </c>
      <c r="AX88" s="59"/>
      <c r="AY88" s="58" t="str">
        <f t="shared" si="56"/>
        <v/>
      </c>
      <c r="AZ88" s="59"/>
      <c r="BA88" s="58" t="str">
        <f t="shared" si="57"/>
        <v/>
      </c>
      <c r="BB88" s="59"/>
      <c r="BC88" s="58">
        <f t="shared" si="58"/>
        <v>1488</v>
      </c>
      <c r="BD88" s="59"/>
      <c r="BE88" s="58" t="str">
        <f t="shared" si="59"/>
        <v/>
      </c>
      <c r="BF88" s="59"/>
      <c r="BG88" s="58" t="str">
        <f t="shared" si="60"/>
        <v/>
      </c>
      <c r="BH88" s="59"/>
      <c r="BI88" s="58" t="str">
        <f t="shared" si="61"/>
        <v/>
      </c>
      <c r="BJ88" s="59"/>
      <c r="BK88" s="58" t="str">
        <f t="shared" si="62"/>
        <v/>
      </c>
      <c r="BL88" s="59"/>
      <c r="BM88" s="58" t="str">
        <f t="shared" si="63"/>
        <v/>
      </c>
      <c r="BN88" s="59"/>
      <c r="BO88" s="58" t="str">
        <f t="shared" si="64"/>
        <v/>
      </c>
      <c r="BP88" s="59"/>
      <c r="BQ88" s="58" t="str">
        <f t="shared" si="65"/>
        <v/>
      </c>
      <c r="BR88" s="59"/>
      <c r="BS88" s="58" t="str">
        <f t="shared" si="66"/>
        <v/>
      </c>
      <c r="BT88" s="59"/>
      <c r="BU88" s="58" t="str">
        <f t="shared" si="67"/>
        <v/>
      </c>
      <c r="BV88" s="59"/>
      <c r="BW88" s="58" t="str">
        <f t="shared" si="68"/>
        <v/>
      </c>
      <c r="BX88" s="59"/>
      <c r="BY88" s="58" t="str">
        <f t="shared" si="69"/>
        <v/>
      </c>
      <c r="BZ88" s="59"/>
    </row>
    <row r="89" spans="1:78" ht="14.5" hidden="1">
      <c r="A89" s="51" t="s">
        <v>58</v>
      </c>
      <c r="B89" s="52">
        <v>340</v>
      </c>
      <c r="C89" s="52" t="s">
        <v>188</v>
      </c>
      <c r="D89" s="41">
        <f t="shared" si="38"/>
        <v>4</v>
      </c>
      <c r="E89" s="170" t="s">
        <v>631</v>
      </c>
      <c r="F89" s="41" t="s">
        <v>631</v>
      </c>
      <c r="G89" s="52" t="s">
        <v>81</v>
      </c>
      <c r="H89" s="52" t="s">
        <v>290</v>
      </c>
      <c r="I89" s="52" t="s">
        <v>293</v>
      </c>
      <c r="J89" s="52" t="s">
        <v>435</v>
      </c>
      <c r="K89" s="53">
        <v>45678</v>
      </c>
      <c r="L89" s="108">
        <v>1488</v>
      </c>
      <c r="M89" s="101">
        <v>1488</v>
      </c>
      <c r="N89" s="101">
        <v>1488</v>
      </c>
      <c r="O89" s="107">
        <f t="shared" si="39"/>
        <v>0</v>
      </c>
      <c r="P89" s="54">
        <f t="shared" si="40"/>
        <v>0</v>
      </c>
      <c r="Q89" s="101" t="s">
        <v>436</v>
      </c>
      <c r="R89" s="166">
        <v>45681</v>
      </c>
      <c r="S89" s="101"/>
      <c r="T89" s="102">
        <f t="shared" si="41"/>
        <v>0.16666666666666666</v>
      </c>
      <c r="U89" s="102">
        <v>6</v>
      </c>
      <c r="V89" s="99">
        <v>1488</v>
      </c>
      <c r="W89" s="55">
        <f t="shared" si="42"/>
        <v>45658</v>
      </c>
      <c r="X89" s="55"/>
      <c r="Y89" s="56">
        <f t="shared" ca="1" si="43"/>
        <v>-182</v>
      </c>
      <c r="Z89" s="55">
        <f t="shared" si="44"/>
        <v>45674</v>
      </c>
      <c r="AA89" s="55"/>
      <c r="AB89" s="56">
        <f t="shared" ca="1" si="45"/>
        <v>-166</v>
      </c>
      <c r="AC89" s="55"/>
      <c r="AD89" s="57"/>
      <c r="AE89" s="58" t="str">
        <f t="shared" si="46"/>
        <v>-</v>
      </c>
      <c r="AF89" s="59"/>
      <c r="AG89" s="58" t="str">
        <f t="shared" si="47"/>
        <v/>
      </c>
      <c r="AH89" s="59"/>
      <c r="AI89" s="58" t="str">
        <f t="shared" si="48"/>
        <v/>
      </c>
      <c r="AJ89" s="59"/>
      <c r="AK89" s="58" t="str">
        <f t="shared" si="49"/>
        <v/>
      </c>
      <c r="AL89" s="59"/>
      <c r="AM89" s="58" t="str">
        <f t="shared" si="50"/>
        <v/>
      </c>
      <c r="AN89" s="59"/>
      <c r="AO89" s="58" t="str">
        <f t="shared" si="51"/>
        <v/>
      </c>
      <c r="AP89" s="59"/>
      <c r="AQ89" s="58" t="str">
        <f t="shared" si="52"/>
        <v/>
      </c>
      <c r="AR89" s="59"/>
      <c r="AS89" s="58" t="str">
        <f t="shared" si="53"/>
        <v/>
      </c>
      <c r="AT89" s="59"/>
      <c r="AU89" s="58" t="str">
        <f t="shared" si="54"/>
        <v/>
      </c>
      <c r="AV89" s="59"/>
      <c r="AW89" s="58" t="str">
        <f t="shared" si="55"/>
        <v/>
      </c>
      <c r="AX89" s="59"/>
      <c r="AY89" s="58" t="str">
        <f t="shared" si="56"/>
        <v/>
      </c>
      <c r="AZ89" s="59"/>
      <c r="BA89" s="58" t="str">
        <f t="shared" si="57"/>
        <v/>
      </c>
      <c r="BB89" s="59"/>
      <c r="BC89" s="58">
        <f t="shared" si="58"/>
        <v>1488</v>
      </c>
      <c r="BD89" s="59"/>
      <c r="BE89" s="58" t="str">
        <f t="shared" si="59"/>
        <v/>
      </c>
      <c r="BF89" s="59"/>
      <c r="BG89" s="58" t="str">
        <f t="shared" si="60"/>
        <v/>
      </c>
      <c r="BH89" s="59"/>
      <c r="BI89" s="58" t="str">
        <f t="shared" si="61"/>
        <v/>
      </c>
      <c r="BJ89" s="59"/>
      <c r="BK89" s="58" t="str">
        <f t="shared" si="62"/>
        <v/>
      </c>
      <c r="BL89" s="59"/>
      <c r="BM89" s="58" t="str">
        <f t="shared" si="63"/>
        <v/>
      </c>
      <c r="BN89" s="59"/>
      <c r="BO89" s="58" t="str">
        <f t="shared" si="64"/>
        <v/>
      </c>
      <c r="BP89" s="59"/>
      <c r="BQ89" s="58" t="str">
        <f t="shared" si="65"/>
        <v/>
      </c>
      <c r="BR89" s="59"/>
      <c r="BS89" s="58" t="str">
        <f t="shared" si="66"/>
        <v/>
      </c>
      <c r="BT89" s="59"/>
      <c r="BU89" s="58" t="str">
        <f t="shared" si="67"/>
        <v/>
      </c>
      <c r="BV89" s="59"/>
      <c r="BW89" s="58" t="str">
        <f t="shared" si="68"/>
        <v/>
      </c>
      <c r="BX89" s="59"/>
      <c r="BY89" s="58" t="str">
        <f t="shared" si="69"/>
        <v/>
      </c>
      <c r="BZ89" s="59"/>
    </row>
    <row r="90" spans="1:78" ht="14.5" hidden="1">
      <c r="A90" s="51" t="s">
        <v>58</v>
      </c>
      <c r="B90" s="52">
        <v>340</v>
      </c>
      <c r="C90" s="52" t="s">
        <v>188</v>
      </c>
      <c r="D90" s="41">
        <f t="shared" si="38"/>
        <v>4</v>
      </c>
      <c r="E90" s="170" t="s">
        <v>631</v>
      </c>
      <c r="F90" s="41" t="s">
        <v>631</v>
      </c>
      <c r="G90" s="52" t="s">
        <v>81</v>
      </c>
      <c r="H90" s="52" t="s">
        <v>290</v>
      </c>
      <c r="I90" s="52" t="s">
        <v>294</v>
      </c>
      <c r="J90" s="52" t="s">
        <v>435</v>
      </c>
      <c r="K90" s="53">
        <v>45678</v>
      </c>
      <c r="L90" s="108">
        <v>1488</v>
      </c>
      <c r="M90" s="101">
        <v>1488</v>
      </c>
      <c r="N90" s="101">
        <v>1488</v>
      </c>
      <c r="O90" s="107">
        <f t="shared" si="39"/>
        <v>0</v>
      </c>
      <c r="P90" s="54">
        <f t="shared" si="40"/>
        <v>0</v>
      </c>
      <c r="Q90" s="101" t="s">
        <v>436</v>
      </c>
      <c r="R90" s="166">
        <v>45681</v>
      </c>
      <c r="S90" s="101"/>
      <c r="T90" s="102">
        <f t="shared" si="41"/>
        <v>0.16666666666666666</v>
      </c>
      <c r="U90" s="102">
        <v>6</v>
      </c>
      <c r="V90" s="99">
        <v>1488</v>
      </c>
      <c r="W90" s="55">
        <f t="shared" si="42"/>
        <v>45658</v>
      </c>
      <c r="X90" s="55"/>
      <c r="Y90" s="56">
        <f t="shared" ca="1" si="43"/>
        <v>-182</v>
      </c>
      <c r="Z90" s="55">
        <f t="shared" si="44"/>
        <v>45674</v>
      </c>
      <c r="AA90" s="55"/>
      <c r="AB90" s="56">
        <f t="shared" ca="1" si="45"/>
        <v>-166</v>
      </c>
      <c r="AC90" s="55"/>
      <c r="AD90" s="57"/>
      <c r="AE90" s="58" t="str">
        <f t="shared" si="46"/>
        <v>-</v>
      </c>
      <c r="AF90" s="59"/>
      <c r="AG90" s="58" t="str">
        <f t="shared" si="47"/>
        <v/>
      </c>
      <c r="AH90" s="59"/>
      <c r="AI90" s="58" t="str">
        <f t="shared" si="48"/>
        <v/>
      </c>
      <c r="AJ90" s="59"/>
      <c r="AK90" s="58" t="str">
        <f t="shared" si="49"/>
        <v/>
      </c>
      <c r="AL90" s="59"/>
      <c r="AM90" s="58" t="str">
        <f t="shared" si="50"/>
        <v/>
      </c>
      <c r="AN90" s="59"/>
      <c r="AO90" s="58" t="str">
        <f t="shared" si="51"/>
        <v/>
      </c>
      <c r="AP90" s="59"/>
      <c r="AQ90" s="58" t="str">
        <f t="shared" si="52"/>
        <v/>
      </c>
      <c r="AR90" s="59"/>
      <c r="AS90" s="58" t="str">
        <f t="shared" si="53"/>
        <v/>
      </c>
      <c r="AT90" s="59"/>
      <c r="AU90" s="58" t="str">
        <f t="shared" si="54"/>
        <v/>
      </c>
      <c r="AV90" s="59"/>
      <c r="AW90" s="58" t="str">
        <f t="shared" si="55"/>
        <v/>
      </c>
      <c r="AX90" s="59"/>
      <c r="AY90" s="58" t="str">
        <f t="shared" si="56"/>
        <v/>
      </c>
      <c r="AZ90" s="59"/>
      <c r="BA90" s="58" t="str">
        <f t="shared" si="57"/>
        <v/>
      </c>
      <c r="BB90" s="59"/>
      <c r="BC90" s="58">
        <f t="shared" si="58"/>
        <v>1488</v>
      </c>
      <c r="BD90" s="59"/>
      <c r="BE90" s="58" t="str">
        <f t="shared" si="59"/>
        <v/>
      </c>
      <c r="BF90" s="59"/>
      <c r="BG90" s="58" t="str">
        <f t="shared" si="60"/>
        <v/>
      </c>
      <c r="BH90" s="59"/>
      <c r="BI90" s="58" t="str">
        <f t="shared" si="61"/>
        <v/>
      </c>
      <c r="BJ90" s="59"/>
      <c r="BK90" s="58" t="str">
        <f t="shared" si="62"/>
        <v/>
      </c>
      <c r="BL90" s="59"/>
      <c r="BM90" s="58" t="str">
        <f t="shared" si="63"/>
        <v/>
      </c>
      <c r="BN90" s="59"/>
      <c r="BO90" s="58" t="str">
        <f t="shared" si="64"/>
        <v/>
      </c>
      <c r="BP90" s="59"/>
      <c r="BQ90" s="58" t="str">
        <f t="shared" si="65"/>
        <v/>
      </c>
      <c r="BR90" s="59"/>
      <c r="BS90" s="58" t="str">
        <f t="shared" si="66"/>
        <v/>
      </c>
      <c r="BT90" s="59"/>
      <c r="BU90" s="58" t="str">
        <f t="shared" si="67"/>
        <v/>
      </c>
      <c r="BV90" s="59"/>
      <c r="BW90" s="58" t="str">
        <f t="shared" si="68"/>
        <v/>
      </c>
      <c r="BX90" s="59"/>
      <c r="BY90" s="58" t="str">
        <f t="shared" si="69"/>
        <v/>
      </c>
      <c r="BZ90" s="59"/>
    </row>
    <row r="91" spans="1:78" ht="14.5" hidden="1">
      <c r="A91" s="51" t="s">
        <v>58</v>
      </c>
      <c r="B91" s="52">
        <v>340</v>
      </c>
      <c r="C91" s="52" t="s">
        <v>188</v>
      </c>
      <c r="D91" s="41">
        <f t="shared" si="38"/>
        <v>4</v>
      </c>
      <c r="E91" s="170">
        <v>45664</v>
      </c>
      <c r="F91" s="41" t="s">
        <v>631</v>
      </c>
      <c r="G91" s="52" t="s">
        <v>502</v>
      </c>
      <c r="H91" s="52" t="s">
        <v>289</v>
      </c>
      <c r="I91" s="52" t="s">
        <v>155</v>
      </c>
      <c r="J91" s="52" t="s">
        <v>503</v>
      </c>
      <c r="K91" s="53">
        <v>45678</v>
      </c>
      <c r="L91" s="108">
        <v>1488</v>
      </c>
      <c r="M91" s="101">
        <v>1488</v>
      </c>
      <c r="N91" s="101"/>
      <c r="O91" s="107">
        <f t="shared" si="39"/>
        <v>1488</v>
      </c>
      <c r="P91" s="54">
        <f t="shared" si="40"/>
        <v>0</v>
      </c>
      <c r="Q91" s="101" t="s">
        <v>658</v>
      </c>
      <c r="R91" s="166">
        <v>45681</v>
      </c>
      <c r="S91" s="101"/>
      <c r="T91" s="102">
        <f t="shared" si="41"/>
        <v>7.75</v>
      </c>
      <c r="U91" s="102">
        <v>6</v>
      </c>
      <c r="V91" s="99">
        <f>480/15</f>
        <v>32</v>
      </c>
      <c r="W91" s="55">
        <f t="shared" si="42"/>
        <v>45658</v>
      </c>
      <c r="X91" s="55"/>
      <c r="Y91" s="56">
        <f t="shared" ca="1" si="43"/>
        <v>-182</v>
      </c>
      <c r="Z91" s="55">
        <f t="shared" si="44"/>
        <v>45674</v>
      </c>
      <c r="AA91" s="55"/>
      <c r="AB91" s="56">
        <f t="shared" ca="1" si="45"/>
        <v>-166</v>
      </c>
      <c r="AC91" s="55"/>
      <c r="AD91" s="57"/>
      <c r="AE91" s="58" t="str">
        <f t="shared" si="46"/>
        <v>-</v>
      </c>
      <c r="AF91" s="59"/>
      <c r="AG91" s="58" t="str">
        <f t="shared" si="47"/>
        <v/>
      </c>
      <c r="AH91" s="59"/>
      <c r="AI91" s="58" t="str">
        <f t="shared" si="48"/>
        <v/>
      </c>
      <c r="AJ91" s="59"/>
      <c r="AK91" s="58" t="str">
        <f t="shared" si="49"/>
        <v/>
      </c>
      <c r="AL91" s="59"/>
      <c r="AM91" s="58" t="str">
        <f t="shared" si="50"/>
        <v/>
      </c>
      <c r="AN91" s="59"/>
      <c r="AO91" s="58" t="str">
        <f t="shared" si="51"/>
        <v/>
      </c>
      <c r="AP91" s="59"/>
      <c r="AQ91" s="58" t="str">
        <f t="shared" si="52"/>
        <v/>
      </c>
      <c r="AR91" s="59"/>
      <c r="AS91" s="58" t="str">
        <f t="shared" si="53"/>
        <v/>
      </c>
      <c r="AT91" s="59"/>
      <c r="AU91" s="58" t="str">
        <f t="shared" si="54"/>
        <v/>
      </c>
      <c r="AV91" s="59"/>
      <c r="AW91" s="58" t="str">
        <f t="shared" si="55"/>
        <v/>
      </c>
      <c r="AX91" s="59"/>
      <c r="AY91" s="58" t="str">
        <f t="shared" si="56"/>
        <v/>
      </c>
      <c r="AZ91" s="59"/>
      <c r="BA91" s="58" t="str">
        <f t="shared" si="57"/>
        <v/>
      </c>
      <c r="BB91" s="59"/>
      <c r="BC91" s="58">
        <f t="shared" si="58"/>
        <v>1488</v>
      </c>
      <c r="BD91" s="59"/>
      <c r="BE91" s="58" t="str">
        <f t="shared" si="59"/>
        <v/>
      </c>
      <c r="BF91" s="59"/>
      <c r="BG91" s="58" t="str">
        <f t="shared" si="60"/>
        <v/>
      </c>
      <c r="BH91" s="59"/>
      <c r="BI91" s="58" t="str">
        <f t="shared" si="61"/>
        <v/>
      </c>
      <c r="BJ91" s="59"/>
      <c r="BK91" s="58" t="str">
        <f t="shared" si="62"/>
        <v/>
      </c>
      <c r="BL91" s="59"/>
      <c r="BM91" s="58" t="str">
        <f t="shared" si="63"/>
        <v/>
      </c>
      <c r="BN91" s="59"/>
      <c r="BO91" s="58" t="str">
        <f t="shared" si="64"/>
        <v/>
      </c>
      <c r="BP91" s="59"/>
      <c r="BQ91" s="58" t="str">
        <f t="shared" si="65"/>
        <v/>
      </c>
      <c r="BR91" s="59"/>
      <c r="BS91" s="58" t="str">
        <f t="shared" si="66"/>
        <v/>
      </c>
      <c r="BT91" s="59"/>
      <c r="BU91" s="58" t="str">
        <f t="shared" si="67"/>
        <v/>
      </c>
      <c r="BV91" s="59"/>
      <c r="BW91" s="58" t="str">
        <f t="shared" si="68"/>
        <v/>
      </c>
      <c r="BX91" s="59"/>
      <c r="BY91" s="58" t="str">
        <f t="shared" si="69"/>
        <v/>
      </c>
      <c r="BZ91" s="59"/>
    </row>
    <row r="92" spans="1:78" ht="14.5" hidden="1">
      <c r="A92" s="51" t="s">
        <v>58</v>
      </c>
      <c r="B92" s="52">
        <v>340</v>
      </c>
      <c r="C92" s="52" t="s">
        <v>188</v>
      </c>
      <c r="D92" s="41">
        <f t="shared" si="38"/>
        <v>4</v>
      </c>
      <c r="E92" s="170">
        <v>45664</v>
      </c>
      <c r="F92" s="41" t="s">
        <v>631</v>
      </c>
      <c r="G92" s="52" t="s">
        <v>502</v>
      </c>
      <c r="H92" s="52" t="s">
        <v>289</v>
      </c>
      <c r="I92" s="52" t="s">
        <v>154</v>
      </c>
      <c r="J92" s="52" t="s">
        <v>503</v>
      </c>
      <c r="K92" s="53">
        <v>45678</v>
      </c>
      <c r="L92" s="108">
        <v>1240</v>
      </c>
      <c r="M92" s="101">
        <v>1240</v>
      </c>
      <c r="N92" s="101"/>
      <c r="O92" s="107">
        <f t="shared" si="39"/>
        <v>1240</v>
      </c>
      <c r="P92" s="54">
        <f t="shared" si="40"/>
        <v>0</v>
      </c>
      <c r="Q92" s="101" t="s">
        <v>658</v>
      </c>
      <c r="R92" s="166">
        <v>45681</v>
      </c>
      <c r="S92" s="101"/>
      <c r="T92" s="102">
        <f t="shared" si="41"/>
        <v>6.458333333333333</v>
      </c>
      <c r="U92" s="102">
        <v>6</v>
      </c>
      <c r="V92" s="99">
        <f>480/15</f>
        <v>32</v>
      </c>
      <c r="W92" s="55">
        <f t="shared" si="42"/>
        <v>45658</v>
      </c>
      <c r="X92" s="55"/>
      <c r="Y92" s="56">
        <f t="shared" ca="1" si="43"/>
        <v>-182</v>
      </c>
      <c r="Z92" s="55">
        <f t="shared" si="44"/>
        <v>45674</v>
      </c>
      <c r="AA92" s="55"/>
      <c r="AB92" s="56">
        <f t="shared" ca="1" si="45"/>
        <v>-166</v>
      </c>
      <c r="AC92" s="55"/>
      <c r="AD92" s="57"/>
      <c r="AE92" s="58" t="str">
        <f t="shared" si="46"/>
        <v>-</v>
      </c>
      <c r="AF92" s="59"/>
      <c r="AG92" s="58" t="str">
        <f t="shared" si="47"/>
        <v/>
      </c>
      <c r="AH92" s="59"/>
      <c r="AI92" s="58" t="str">
        <f t="shared" si="48"/>
        <v/>
      </c>
      <c r="AJ92" s="59"/>
      <c r="AK92" s="58" t="str">
        <f t="shared" si="49"/>
        <v/>
      </c>
      <c r="AL92" s="59"/>
      <c r="AM92" s="58" t="str">
        <f t="shared" si="50"/>
        <v/>
      </c>
      <c r="AN92" s="59"/>
      <c r="AO92" s="58" t="str">
        <f t="shared" si="51"/>
        <v/>
      </c>
      <c r="AP92" s="59"/>
      <c r="AQ92" s="58" t="str">
        <f t="shared" si="52"/>
        <v/>
      </c>
      <c r="AR92" s="59"/>
      <c r="AS92" s="58" t="str">
        <f t="shared" si="53"/>
        <v/>
      </c>
      <c r="AT92" s="59"/>
      <c r="AU92" s="58" t="str">
        <f t="shared" si="54"/>
        <v/>
      </c>
      <c r="AV92" s="59"/>
      <c r="AW92" s="58" t="str">
        <f t="shared" si="55"/>
        <v/>
      </c>
      <c r="AX92" s="59"/>
      <c r="AY92" s="58" t="str">
        <f t="shared" si="56"/>
        <v/>
      </c>
      <c r="AZ92" s="59"/>
      <c r="BA92" s="58" t="str">
        <f t="shared" si="57"/>
        <v/>
      </c>
      <c r="BB92" s="59"/>
      <c r="BC92" s="58">
        <f t="shared" si="58"/>
        <v>1240</v>
      </c>
      <c r="BD92" s="59"/>
      <c r="BE92" s="58" t="str">
        <f t="shared" si="59"/>
        <v/>
      </c>
      <c r="BF92" s="59"/>
      <c r="BG92" s="58" t="str">
        <f t="shared" si="60"/>
        <v/>
      </c>
      <c r="BH92" s="59"/>
      <c r="BI92" s="58" t="str">
        <f t="shared" si="61"/>
        <v/>
      </c>
      <c r="BJ92" s="59"/>
      <c r="BK92" s="58" t="str">
        <f t="shared" si="62"/>
        <v/>
      </c>
      <c r="BL92" s="59"/>
      <c r="BM92" s="58" t="str">
        <f t="shared" si="63"/>
        <v/>
      </c>
      <c r="BN92" s="59"/>
      <c r="BO92" s="58" t="str">
        <f t="shared" si="64"/>
        <v/>
      </c>
      <c r="BP92" s="59"/>
      <c r="BQ92" s="58" t="str">
        <f t="shared" si="65"/>
        <v/>
      </c>
      <c r="BR92" s="59"/>
      <c r="BS92" s="58" t="str">
        <f t="shared" si="66"/>
        <v/>
      </c>
      <c r="BT92" s="59"/>
      <c r="BU92" s="58" t="str">
        <f t="shared" si="67"/>
        <v/>
      </c>
      <c r="BV92" s="59"/>
      <c r="BW92" s="58" t="str">
        <f t="shared" si="68"/>
        <v/>
      </c>
      <c r="BX92" s="59"/>
      <c r="BY92" s="58" t="str">
        <f t="shared" si="69"/>
        <v/>
      </c>
      <c r="BZ92" s="59"/>
    </row>
    <row r="93" spans="1:78" ht="14.5" hidden="1">
      <c r="A93" s="51" t="s">
        <v>58</v>
      </c>
      <c r="B93" s="52">
        <v>340</v>
      </c>
      <c r="C93" s="52" t="s">
        <v>188</v>
      </c>
      <c r="D93" s="41">
        <f t="shared" si="38"/>
        <v>4</v>
      </c>
      <c r="E93" s="170">
        <v>45664</v>
      </c>
      <c r="F93" s="41" t="s">
        <v>631</v>
      </c>
      <c r="G93" s="52" t="s">
        <v>502</v>
      </c>
      <c r="H93" s="52" t="s">
        <v>289</v>
      </c>
      <c r="I93" s="52" t="s">
        <v>156</v>
      </c>
      <c r="J93" s="52" t="s">
        <v>503</v>
      </c>
      <c r="K93" s="53">
        <v>45678</v>
      </c>
      <c r="L93" s="108">
        <v>992</v>
      </c>
      <c r="M93" s="101">
        <v>992</v>
      </c>
      <c r="N93" s="101"/>
      <c r="O93" s="107">
        <f t="shared" si="39"/>
        <v>992</v>
      </c>
      <c r="P93" s="54">
        <f t="shared" si="40"/>
        <v>0</v>
      </c>
      <c r="Q93" s="101" t="s">
        <v>658</v>
      </c>
      <c r="R93" s="166">
        <v>45681</v>
      </c>
      <c r="S93" s="101"/>
      <c r="T93" s="102">
        <f t="shared" si="41"/>
        <v>5.166666666666667</v>
      </c>
      <c r="U93" s="102">
        <v>6</v>
      </c>
      <c r="V93" s="99">
        <f>480/15</f>
        <v>32</v>
      </c>
      <c r="W93" s="55">
        <f t="shared" si="42"/>
        <v>45658</v>
      </c>
      <c r="X93" s="55"/>
      <c r="Y93" s="56">
        <f t="shared" ca="1" si="43"/>
        <v>-182</v>
      </c>
      <c r="Z93" s="55">
        <f t="shared" si="44"/>
        <v>45674</v>
      </c>
      <c r="AA93" s="55"/>
      <c r="AB93" s="56">
        <f t="shared" ca="1" si="45"/>
        <v>-166</v>
      </c>
      <c r="AC93" s="55"/>
      <c r="AD93" s="57"/>
      <c r="AE93" s="58" t="str">
        <f t="shared" si="46"/>
        <v>-</v>
      </c>
      <c r="AF93" s="59"/>
      <c r="AG93" s="58" t="str">
        <f t="shared" si="47"/>
        <v/>
      </c>
      <c r="AH93" s="59"/>
      <c r="AI93" s="58" t="str">
        <f t="shared" si="48"/>
        <v/>
      </c>
      <c r="AJ93" s="59"/>
      <c r="AK93" s="58" t="str">
        <f t="shared" si="49"/>
        <v/>
      </c>
      <c r="AL93" s="59"/>
      <c r="AM93" s="58" t="str">
        <f t="shared" si="50"/>
        <v/>
      </c>
      <c r="AN93" s="59"/>
      <c r="AO93" s="58" t="str">
        <f t="shared" si="51"/>
        <v/>
      </c>
      <c r="AP93" s="59"/>
      <c r="AQ93" s="58" t="str">
        <f t="shared" si="52"/>
        <v/>
      </c>
      <c r="AR93" s="59"/>
      <c r="AS93" s="58" t="str">
        <f t="shared" si="53"/>
        <v/>
      </c>
      <c r="AT93" s="59"/>
      <c r="AU93" s="58" t="str">
        <f t="shared" si="54"/>
        <v/>
      </c>
      <c r="AV93" s="59"/>
      <c r="AW93" s="58" t="str">
        <f t="shared" si="55"/>
        <v/>
      </c>
      <c r="AX93" s="59"/>
      <c r="AY93" s="58" t="str">
        <f t="shared" si="56"/>
        <v/>
      </c>
      <c r="AZ93" s="59"/>
      <c r="BA93" s="58" t="str">
        <f t="shared" si="57"/>
        <v/>
      </c>
      <c r="BB93" s="59"/>
      <c r="BC93" s="58">
        <f t="shared" si="58"/>
        <v>992</v>
      </c>
      <c r="BD93" s="59"/>
      <c r="BE93" s="58" t="str">
        <f t="shared" si="59"/>
        <v/>
      </c>
      <c r="BF93" s="59"/>
      <c r="BG93" s="58" t="str">
        <f t="shared" si="60"/>
        <v/>
      </c>
      <c r="BH93" s="59"/>
      <c r="BI93" s="58" t="str">
        <f t="shared" si="61"/>
        <v/>
      </c>
      <c r="BJ93" s="59"/>
      <c r="BK93" s="58" t="str">
        <f t="shared" si="62"/>
        <v/>
      </c>
      <c r="BL93" s="59"/>
      <c r="BM93" s="58" t="str">
        <f t="shared" si="63"/>
        <v/>
      </c>
      <c r="BN93" s="59"/>
      <c r="BO93" s="58" t="str">
        <f t="shared" si="64"/>
        <v/>
      </c>
      <c r="BP93" s="59"/>
      <c r="BQ93" s="58" t="str">
        <f t="shared" si="65"/>
        <v/>
      </c>
      <c r="BR93" s="59"/>
      <c r="BS93" s="58" t="str">
        <f t="shared" si="66"/>
        <v/>
      </c>
      <c r="BT93" s="59"/>
      <c r="BU93" s="58" t="str">
        <f t="shared" si="67"/>
        <v/>
      </c>
      <c r="BV93" s="59"/>
      <c r="BW93" s="58" t="str">
        <f t="shared" si="68"/>
        <v/>
      </c>
      <c r="BX93" s="59"/>
      <c r="BY93" s="58" t="str">
        <f t="shared" si="69"/>
        <v/>
      </c>
      <c r="BZ93" s="59"/>
    </row>
    <row r="94" spans="1:78" ht="14.5" hidden="1">
      <c r="A94" s="51" t="s">
        <v>58</v>
      </c>
      <c r="B94" s="52">
        <v>340</v>
      </c>
      <c r="C94" s="52" t="s">
        <v>188</v>
      </c>
      <c r="D94" s="41">
        <f t="shared" si="38"/>
        <v>4</v>
      </c>
      <c r="E94" s="170" t="s">
        <v>631</v>
      </c>
      <c r="F94" s="41" t="s">
        <v>631</v>
      </c>
      <c r="G94" s="52" t="s">
        <v>157</v>
      </c>
      <c r="H94" s="52" t="s">
        <v>243</v>
      </c>
      <c r="I94" s="52" t="s">
        <v>162</v>
      </c>
      <c r="J94" s="52" t="s">
        <v>428</v>
      </c>
      <c r="K94" s="53">
        <v>45678</v>
      </c>
      <c r="L94" s="108">
        <v>3708</v>
      </c>
      <c r="M94" s="101">
        <v>3708</v>
      </c>
      <c r="N94" s="101">
        <v>3708</v>
      </c>
      <c r="O94" s="107">
        <f t="shared" si="39"/>
        <v>0</v>
      </c>
      <c r="P94" s="54">
        <f t="shared" si="40"/>
        <v>0</v>
      </c>
      <c r="Q94" s="101" t="s">
        <v>429</v>
      </c>
      <c r="R94" s="101" t="s">
        <v>632</v>
      </c>
      <c r="S94" s="101"/>
      <c r="T94" s="102">
        <f t="shared" si="41"/>
        <v>0.61799999999999999</v>
      </c>
      <c r="U94" s="102">
        <v>6</v>
      </c>
      <c r="V94" s="99">
        <v>1000</v>
      </c>
      <c r="W94" s="55">
        <f t="shared" si="42"/>
        <v>45658</v>
      </c>
      <c r="X94" s="55">
        <v>45620</v>
      </c>
      <c r="Y94" s="56">
        <f t="shared" ca="1" si="43"/>
        <v>38</v>
      </c>
      <c r="Z94" s="55">
        <f t="shared" si="44"/>
        <v>45674</v>
      </c>
      <c r="AA94" s="55"/>
      <c r="AB94" s="56">
        <f t="shared" ca="1" si="45"/>
        <v>-166</v>
      </c>
      <c r="AC94" s="55"/>
      <c r="AD94" s="57"/>
      <c r="AE94" s="58" t="str">
        <f t="shared" si="46"/>
        <v>-</v>
      </c>
      <c r="AF94" s="59"/>
      <c r="AG94" s="58" t="str">
        <f t="shared" si="47"/>
        <v/>
      </c>
      <c r="AH94" s="59"/>
      <c r="AI94" s="58" t="str">
        <f t="shared" si="48"/>
        <v/>
      </c>
      <c r="AJ94" s="59"/>
      <c r="AK94" s="58" t="str">
        <f t="shared" si="49"/>
        <v/>
      </c>
      <c r="AL94" s="59"/>
      <c r="AM94" s="58" t="str">
        <f t="shared" si="50"/>
        <v/>
      </c>
      <c r="AN94" s="59"/>
      <c r="AO94" s="58" t="str">
        <f t="shared" si="51"/>
        <v/>
      </c>
      <c r="AP94" s="59"/>
      <c r="AQ94" s="58" t="str">
        <f t="shared" si="52"/>
        <v/>
      </c>
      <c r="AR94" s="59"/>
      <c r="AS94" s="58" t="str">
        <f t="shared" si="53"/>
        <v/>
      </c>
      <c r="AT94" s="59"/>
      <c r="AU94" s="58" t="str">
        <f t="shared" si="54"/>
        <v/>
      </c>
      <c r="AV94" s="59"/>
      <c r="AW94" s="58" t="str">
        <f t="shared" si="55"/>
        <v/>
      </c>
      <c r="AX94" s="59"/>
      <c r="AY94" s="58" t="str">
        <f t="shared" si="56"/>
        <v/>
      </c>
      <c r="AZ94" s="59"/>
      <c r="BA94" s="58" t="str">
        <f t="shared" si="57"/>
        <v/>
      </c>
      <c r="BB94" s="59"/>
      <c r="BC94" s="58">
        <f t="shared" si="58"/>
        <v>3708</v>
      </c>
      <c r="BD94" s="59"/>
      <c r="BE94" s="58" t="str">
        <f t="shared" si="59"/>
        <v/>
      </c>
      <c r="BF94" s="59"/>
      <c r="BG94" s="58" t="str">
        <f t="shared" si="60"/>
        <v/>
      </c>
      <c r="BH94" s="59"/>
      <c r="BI94" s="58" t="str">
        <f t="shared" si="61"/>
        <v/>
      </c>
      <c r="BJ94" s="59"/>
      <c r="BK94" s="58" t="str">
        <f t="shared" si="62"/>
        <v/>
      </c>
      <c r="BL94" s="59"/>
      <c r="BM94" s="58" t="str">
        <f t="shared" si="63"/>
        <v/>
      </c>
      <c r="BN94" s="59"/>
      <c r="BO94" s="58" t="str">
        <f t="shared" si="64"/>
        <v/>
      </c>
      <c r="BP94" s="59"/>
      <c r="BQ94" s="58" t="str">
        <f t="shared" si="65"/>
        <v/>
      </c>
      <c r="BR94" s="59"/>
      <c r="BS94" s="58" t="str">
        <f t="shared" si="66"/>
        <v/>
      </c>
      <c r="BT94" s="59"/>
      <c r="BU94" s="58" t="str">
        <f t="shared" si="67"/>
        <v/>
      </c>
      <c r="BV94" s="59"/>
      <c r="BW94" s="58" t="str">
        <f t="shared" si="68"/>
        <v/>
      </c>
      <c r="BX94" s="59"/>
      <c r="BY94" s="58" t="str">
        <f t="shared" si="69"/>
        <v/>
      </c>
      <c r="BZ94" s="59"/>
    </row>
    <row r="95" spans="1:78" ht="14.5" hidden="1">
      <c r="A95" s="51" t="s">
        <v>58</v>
      </c>
      <c r="B95" s="52">
        <v>340</v>
      </c>
      <c r="C95" s="52" t="s">
        <v>188</v>
      </c>
      <c r="D95" s="41">
        <f t="shared" si="38"/>
        <v>4</v>
      </c>
      <c r="E95" s="170" t="s">
        <v>631</v>
      </c>
      <c r="F95" s="41" t="s">
        <v>631</v>
      </c>
      <c r="G95" s="52" t="s">
        <v>158</v>
      </c>
      <c r="H95" s="52" t="s">
        <v>242</v>
      </c>
      <c r="I95" s="52" t="s">
        <v>155</v>
      </c>
      <c r="J95" s="52" t="s">
        <v>432</v>
      </c>
      <c r="K95" s="53">
        <v>45678</v>
      </c>
      <c r="L95" s="108">
        <v>152</v>
      </c>
      <c r="M95" s="101">
        <v>152</v>
      </c>
      <c r="N95" s="101">
        <v>152</v>
      </c>
      <c r="O95" s="107">
        <f t="shared" si="39"/>
        <v>0</v>
      </c>
      <c r="P95" s="54">
        <f t="shared" si="40"/>
        <v>0</v>
      </c>
      <c r="Q95" s="101" t="s">
        <v>439</v>
      </c>
      <c r="R95" s="101" t="s">
        <v>632</v>
      </c>
      <c r="S95" s="101"/>
      <c r="T95" s="102">
        <f t="shared" si="41"/>
        <v>0.21111111111111111</v>
      </c>
      <c r="U95" s="102">
        <v>6</v>
      </c>
      <c r="V95" s="99">
        <v>120</v>
      </c>
      <c r="W95" s="55">
        <f t="shared" si="42"/>
        <v>45658</v>
      </c>
      <c r="X95" s="55">
        <v>45620</v>
      </c>
      <c r="Y95" s="56">
        <f t="shared" ca="1" si="43"/>
        <v>38</v>
      </c>
      <c r="Z95" s="55">
        <f t="shared" si="44"/>
        <v>45674</v>
      </c>
      <c r="AA95" s="55"/>
      <c r="AB95" s="56">
        <f t="shared" ca="1" si="45"/>
        <v>-166</v>
      </c>
      <c r="AC95" s="55"/>
      <c r="AD95" s="57"/>
      <c r="AE95" s="58" t="str">
        <f t="shared" si="46"/>
        <v>-</v>
      </c>
      <c r="AF95" s="59"/>
      <c r="AG95" s="58" t="str">
        <f t="shared" si="47"/>
        <v/>
      </c>
      <c r="AH95" s="59"/>
      <c r="AI95" s="58" t="str">
        <f t="shared" si="48"/>
        <v/>
      </c>
      <c r="AJ95" s="59"/>
      <c r="AK95" s="58" t="str">
        <f t="shared" si="49"/>
        <v/>
      </c>
      <c r="AL95" s="59"/>
      <c r="AM95" s="58" t="str">
        <f t="shared" si="50"/>
        <v/>
      </c>
      <c r="AN95" s="59"/>
      <c r="AO95" s="58" t="str">
        <f t="shared" si="51"/>
        <v/>
      </c>
      <c r="AP95" s="59"/>
      <c r="AQ95" s="58" t="str">
        <f t="shared" si="52"/>
        <v/>
      </c>
      <c r="AR95" s="59"/>
      <c r="AS95" s="58" t="str">
        <f t="shared" si="53"/>
        <v/>
      </c>
      <c r="AT95" s="59"/>
      <c r="AU95" s="58" t="str">
        <f t="shared" si="54"/>
        <v/>
      </c>
      <c r="AV95" s="59"/>
      <c r="AW95" s="58" t="str">
        <f t="shared" si="55"/>
        <v/>
      </c>
      <c r="AX95" s="59"/>
      <c r="AY95" s="58" t="str">
        <f t="shared" si="56"/>
        <v/>
      </c>
      <c r="AZ95" s="59"/>
      <c r="BA95" s="58" t="str">
        <f t="shared" si="57"/>
        <v/>
      </c>
      <c r="BB95" s="59"/>
      <c r="BC95" s="58">
        <f t="shared" si="58"/>
        <v>152</v>
      </c>
      <c r="BD95" s="59"/>
      <c r="BE95" s="58" t="str">
        <f t="shared" si="59"/>
        <v/>
      </c>
      <c r="BF95" s="59"/>
      <c r="BG95" s="58" t="str">
        <f t="shared" si="60"/>
        <v/>
      </c>
      <c r="BH95" s="59"/>
      <c r="BI95" s="58" t="str">
        <f t="shared" si="61"/>
        <v/>
      </c>
      <c r="BJ95" s="59"/>
      <c r="BK95" s="58" t="str">
        <f t="shared" si="62"/>
        <v/>
      </c>
      <c r="BL95" s="59"/>
      <c r="BM95" s="58" t="str">
        <f t="shared" si="63"/>
        <v/>
      </c>
      <c r="BN95" s="59"/>
      <c r="BO95" s="58" t="str">
        <f t="shared" si="64"/>
        <v/>
      </c>
      <c r="BP95" s="59"/>
      <c r="BQ95" s="58" t="str">
        <f t="shared" si="65"/>
        <v/>
      </c>
      <c r="BR95" s="59"/>
      <c r="BS95" s="58" t="str">
        <f t="shared" si="66"/>
        <v/>
      </c>
      <c r="BT95" s="59"/>
      <c r="BU95" s="58" t="str">
        <f t="shared" si="67"/>
        <v/>
      </c>
      <c r="BV95" s="59"/>
      <c r="BW95" s="58" t="str">
        <f t="shared" si="68"/>
        <v/>
      </c>
      <c r="BX95" s="59"/>
      <c r="BY95" s="58" t="str">
        <f t="shared" si="69"/>
        <v/>
      </c>
      <c r="BZ95" s="59"/>
    </row>
    <row r="96" spans="1:78" ht="14.5" hidden="1">
      <c r="A96" s="51" t="s">
        <v>58</v>
      </c>
      <c r="B96" s="52">
        <v>340</v>
      </c>
      <c r="C96" s="52" t="s">
        <v>188</v>
      </c>
      <c r="D96" s="41">
        <f t="shared" si="38"/>
        <v>4</v>
      </c>
      <c r="E96" s="170" t="s">
        <v>631</v>
      </c>
      <c r="F96" s="41" t="s">
        <v>631</v>
      </c>
      <c r="G96" s="52" t="s">
        <v>195</v>
      </c>
      <c r="H96" s="52" t="s">
        <v>286</v>
      </c>
      <c r="I96" s="52" t="s">
        <v>162</v>
      </c>
      <c r="J96" s="52" t="s">
        <v>434</v>
      </c>
      <c r="K96" s="53">
        <v>45678</v>
      </c>
      <c r="L96" s="108">
        <v>1494</v>
      </c>
      <c r="M96" s="101">
        <v>1494</v>
      </c>
      <c r="N96" s="101">
        <v>1494</v>
      </c>
      <c r="O96" s="107">
        <f t="shared" si="39"/>
        <v>0</v>
      </c>
      <c r="P96" s="54">
        <f t="shared" si="40"/>
        <v>0</v>
      </c>
      <c r="Q96" s="101" t="s">
        <v>431</v>
      </c>
      <c r="R96" s="101" t="s">
        <v>632</v>
      </c>
      <c r="S96" s="101"/>
      <c r="T96" s="102">
        <f t="shared" si="41"/>
        <v>2.0750000000000002</v>
      </c>
      <c r="U96" s="102">
        <v>6</v>
      </c>
      <c r="V96" s="99">
        <v>120</v>
      </c>
      <c r="W96" s="55">
        <f t="shared" si="42"/>
        <v>45658</v>
      </c>
      <c r="X96" s="55">
        <v>45620</v>
      </c>
      <c r="Y96" s="56">
        <f t="shared" ca="1" si="43"/>
        <v>38</v>
      </c>
      <c r="Z96" s="55">
        <f t="shared" si="44"/>
        <v>45674</v>
      </c>
      <c r="AA96" s="55"/>
      <c r="AB96" s="56">
        <f t="shared" ca="1" si="45"/>
        <v>-166</v>
      </c>
      <c r="AC96" s="55"/>
      <c r="AD96" s="57"/>
      <c r="AE96" s="58" t="str">
        <f t="shared" si="46"/>
        <v>-</v>
      </c>
      <c r="AF96" s="59"/>
      <c r="AG96" s="58" t="str">
        <f t="shared" si="47"/>
        <v/>
      </c>
      <c r="AH96" s="59"/>
      <c r="AI96" s="58" t="str">
        <f t="shared" si="48"/>
        <v/>
      </c>
      <c r="AJ96" s="59"/>
      <c r="AK96" s="58" t="str">
        <f t="shared" si="49"/>
        <v/>
      </c>
      <c r="AL96" s="59"/>
      <c r="AM96" s="58" t="str">
        <f t="shared" si="50"/>
        <v/>
      </c>
      <c r="AN96" s="59"/>
      <c r="AO96" s="58" t="str">
        <f t="shared" si="51"/>
        <v/>
      </c>
      <c r="AP96" s="59"/>
      <c r="AQ96" s="58" t="str">
        <f t="shared" si="52"/>
        <v/>
      </c>
      <c r="AR96" s="59"/>
      <c r="AS96" s="58" t="str">
        <f t="shared" si="53"/>
        <v/>
      </c>
      <c r="AT96" s="59"/>
      <c r="AU96" s="58" t="str">
        <f t="shared" si="54"/>
        <v/>
      </c>
      <c r="AV96" s="59"/>
      <c r="AW96" s="58" t="str">
        <f t="shared" si="55"/>
        <v/>
      </c>
      <c r="AX96" s="59"/>
      <c r="AY96" s="58" t="str">
        <f t="shared" si="56"/>
        <v/>
      </c>
      <c r="AZ96" s="59"/>
      <c r="BA96" s="58" t="str">
        <f t="shared" si="57"/>
        <v/>
      </c>
      <c r="BB96" s="59"/>
      <c r="BC96" s="58">
        <f t="shared" si="58"/>
        <v>1494</v>
      </c>
      <c r="BD96" s="59"/>
      <c r="BE96" s="58" t="str">
        <f t="shared" si="59"/>
        <v/>
      </c>
      <c r="BF96" s="59"/>
      <c r="BG96" s="58" t="str">
        <f t="shared" si="60"/>
        <v/>
      </c>
      <c r="BH96" s="59"/>
      <c r="BI96" s="58" t="str">
        <f t="shared" si="61"/>
        <v/>
      </c>
      <c r="BJ96" s="59"/>
      <c r="BK96" s="58" t="str">
        <f t="shared" si="62"/>
        <v/>
      </c>
      <c r="BL96" s="59"/>
      <c r="BM96" s="58" t="str">
        <f t="shared" si="63"/>
        <v/>
      </c>
      <c r="BN96" s="59"/>
      <c r="BO96" s="58" t="str">
        <f t="shared" si="64"/>
        <v/>
      </c>
      <c r="BP96" s="59"/>
      <c r="BQ96" s="58" t="str">
        <f t="shared" si="65"/>
        <v/>
      </c>
      <c r="BR96" s="59"/>
      <c r="BS96" s="58" t="str">
        <f t="shared" si="66"/>
        <v/>
      </c>
      <c r="BT96" s="59"/>
      <c r="BU96" s="58" t="str">
        <f t="shared" si="67"/>
        <v/>
      </c>
      <c r="BV96" s="59"/>
      <c r="BW96" s="58" t="str">
        <f t="shared" si="68"/>
        <v/>
      </c>
      <c r="BX96" s="59"/>
      <c r="BY96" s="58" t="str">
        <f t="shared" si="69"/>
        <v/>
      </c>
      <c r="BZ96" s="59"/>
    </row>
    <row r="97" spans="1:78" ht="14.5" hidden="1">
      <c r="A97" s="51" t="s">
        <v>58</v>
      </c>
      <c r="B97" s="52">
        <v>340</v>
      </c>
      <c r="C97" s="52" t="s">
        <v>188</v>
      </c>
      <c r="D97" s="41">
        <f t="shared" si="38"/>
        <v>4</v>
      </c>
      <c r="E97" s="170" t="s">
        <v>631</v>
      </c>
      <c r="F97" s="41" t="s">
        <v>631</v>
      </c>
      <c r="G97" s="52" t="s">
        <v>189</v>
      </c>
      <c r="H97" s="52" t="s">
        <v>242</v>
      </c>
      <c r="I97" s="52" t="s">
        <v>162</v>
      </c>
      <c r="J97" s="52" t="s">
        <v>432</v>
      </c>
      <c r="K97" s="53">
        <v>45678</v>
      </c>
      <c r="L97" s="108">
        <v>1264</v>
      </c>
      <c r="M97" s="101">
        <v>0</v>
      </c>
      <c r="N97" s="101"/>
      <c r="O97" s="107">
        <f t="shared" si="39"/>
        <v>1264</v>
      </c>
      <c r="P97" s="54">
        <f t="shared" si="40"/>
        <v>1264</v>
      </c>
      <c r="Q97" s="101" t="s">
        <v>178</v>
      </c>
      <c r="R97" s="166">
        <v>45681</v>
      </c>
      <c r="S97" s="101" t="s">
        <v>642</v>
      </c>
      <c r="T97" s="102">
        <f t="shared" si="41"/>
        <v>1.7555555555555555</v>
      </c>
      <c r="U97" s="102">
        <v>6</v>
      </c>
      <c r="V97" s="99">
        <v>120</v>
      </c>
      <c r="W97" s="55">
        <f t="shared" si="42"/>
        <v>45658</v>
      </c>
      <c r="X97" s="55">
        <v>45620</v>
      </c>
      <c r="Y97" s="56">
        <f t="shared" ca="1" si="43"/>
        <v>38</v>
      </c>
      <c r="Z97" s="55">
        <f t="shared" si="44"/>
        <v>45674</v>
      </c>
      <c r="AA97" s="55"/>
      <c r="AB97" s="56">
        <f t="shared" ca="1" si="45"/>
        <v>-166</v>
      </c>
      <c r="AC97" s="55"/>
      <c r="AD97" s="57"/>
      <c r="AE97" s="58" t="str">
        <f t="shared" si="46"/>
        <v>-</v>
      </c>
      <c r="AF97" s="59"/>
      <c r="AG97" s="58" t="str">
        <f t="shared" si="47"/>
        <v/>
      </c>
      <c r="AH97" s="59"/>
      <c r="AI97" s="58" t="str">
        <f t="shared" si="48"/>
        <v/>
      </c>
      <c r="AJ97" s="59"/>
      <c r="AK97" s="58" t="str">
        <f t="shared" si="49"/>
        <v/>
      </c>
      <c r="AL97" s="59"/>
      <c r="AM97" s="58" t="str">
        <f t="shared" si="50"/>
        <v/>
      </c>
      <c r="AN97" s="59"/>
      <c r="AO97" s="58" t="str">
        <f t="shared" si="51"/>
        <v/>
      </c>
      <c r="AP97" s="59"/>
      <c r="AQ97" s="58" t="str">
        <f t="shared" si="52"/>
        <v/>
      </c>
      <c r="AR97" s="59"/>
      <c r="AS97" s="58" t="str">
        <f t="shared" si="53"/>
        <v/>
      </c>
      <c r="AT97" s="59"/>
      <c r="AU97" s="58" t="str">
        <f t="shared" si="54"/>
        <v/>
      </c>
      <c r="AV97" s="59"/>
      <c r="AW97" s="58" t="str">
        <f t="shared" si="55"/>
        <v/>
      </c>
      <c r="AX97" s="59"/>
      <c r="AY97" s="58" t="str">
        <f t="shared" si="56"/>
        <v/>
      </c>
      <c r="AZ97" s="59"/>
      <c r="BA97" s="58" t="str">
        <f t="shared" si="57"/>
        <v/>
      </c>
      <c r="BB97" s="59"/>
      <c r="BC97" s="58">
        <f t="shared" si="58"/>
        <v>1264</v>
      </c>
      <c r="BD97" s="59"/>
      <c r="BE97" s="58" t="str">
        <f t="shared" si="59"/>
        <v/>
      </c>
      <c r="BF97" s="59"/>
      <c r="BG97" s="58" t="str">
        <f t="shared" si="60"/>
        <v/>
      </c>
      <c r="BH97" s="59"/>
      <c r="BI97" s="58" t="str">
        <f t="shared" si="61"/>
        <v/>
      </c>
      <c r="BJ97" s="59"/>
      <c r="BK97" s="58" t="str">
        <f t="shared" si="62"/>
        <v/>
      </c>
      <c r="BL97" s="59"/>
      <c r="BM97" s="58" t="str">
        <f t="shared" si="63"/>
        <v/>
      </c>
      <c r="BN97" s="59"/>
      <c r="BO97" s="58" t="str">
        <f t="shared" si="64"/>
        <v/>
      </c>
      <c r="BP97" s="59"/>
      <c r="BQ97" s="58" t="str">
        <f t="shared" si="65"/>
        <v/>
      </c>
      <c r="BR97" s="59"/>
      <c r="BS97" s="58" t="str">
        <f t="shared" si="66"/>
        <v/>
      </c>
      <c r="BT97" s="59"/>
      <c r="BU97" s="58" t="str">
        <f t="shared" si="67"/>
        <v/>
      </c>
      <c r="BV97" s="59"/>
      <c r="BW97" s="58" t="str">
        <f t="shared" si="68"/>
        <v/>
      </c>
      <c r="BX97" s="59"/>
      <c r="BY97" s="58" t="str">
        <f t="shared" si="69"/>
        <v/>
      </c>
      <c r="BZ97" s="59"/>
    </row>
    <row r="98" spans="1:78" ht="14.5" hidden="1">
      <c r="A98" s="51" t="s">
        <v>466</v>
      </c>
      <c r="B98" s="52">
        <v>367</v>
      </c>
      <c r="C98" s="52" t="s">
        <v>518</v>
      </c>
      <c r="D98" s="41">
        <f t="shared" si="38"/>
        <v>4</v>
      </c>
      <c r="E98" s="41"/>
      <c r="F98" s="41"/>
      <c r="G98" s="52" t="s">
        <v>200</v>
      </c>
      <c r="H98" s="52" t="s">
        <v>242</v>
      </c>
      <c r="I98" s="52" t="s">
        <v>163</v>
      </c>
      <c r="J98" s="52" t="s">
        <v>519</v>
      </c>
      <c r="K98" s="53">
        <v>45677</v>
      </c>
      <c r="L98" s="108">
        <v>552</v>
      </c>
      <c r="M98" s="101"/>
      <c r="N98" s="101"/>
      <c r="O98" s="101">
        <f t="shared" si="39"/>
        <v>552</v>
      </c>
      <c r="P98" s="54">
        <f t="shared" si="40"/>
        <v>552</v>
      </c>
      <c r="Q98" s="101" t="s">
        <v>178</v>
      </c>
      <c r="R98" s="101"/>
      <c r="S98" s="101"/>
      <c r="T98" s="102">
        <f t="shared" si="41"/>
        <v>0.26285714285714284</v>
      </c>
      <c r="U98" s="102">
        <v>6</v>
      </c>
      <c r="V98" s="99">
        <v>350</v>
      </c>
      <c r="W98" s="55">
        <f t="shared" ref="W98:W120" si="70">+K98-(32)</f>
        <v>45645</v>
      </c>
      <c r="X98" s="55"/>
      <c r="Y98" s="56">
        <f t="shared" ca="1" si="43"/>
        <v>-195</v>
      </c>
      <c r="Z98" s="55">
        <f t="shared" si="44"/>
        <v>45661</v>
      </c>
      <c r="AA98" s="55"/>
      <c r="AB98" s="56">
        <f t="shared" ca="1" si="45"/>
        <v>-179</v>
      </c>
      <c r="AC98" s="55"/>
      <c r="AD98" s="57"/>
      <c r="AE98" s="58" t="str">
        <f t="shared" si="46"/>
        <v>-</v>
      </c>
      <c r="AF98" s="59"/>
      <c r="AG98" s="58" t="str">
        <f t="shared" si="47"/>
        <v/>
      </c>
      <c r="AH98" s="59"/>
      <c r="AI98" s="58" t="str">
        <f t="shared" si="48"/>
        <v/>
      </c>
      <c r="AJ98" s="59"/>
      <c r="AK98" s="58" t="str">
        <f t="shared" si="49"/>
        <v/>
      </c>
      <c r="AL98" s="59"/>
      <c r="AM98" s="58" t="str">
        <f t="shared" si="50"/>
        <v/>
      </c>
      <c r="AN98" s="59"/>
      <c r="AO98" s="58" t="str">
        <f t="shared" si="51"/>
        <v/>
      </c>
      <c r="AP98" s="59"/>
      <c r="AQ98" s="58" t="str">
        <f t="shared" si="52"/>
        <v/>
      </c>
      <c r="AR98" s="59"/>
      <c r="AS98" s="58" t="str">
        <f t="shared" si="53"/>
        <v/>
      </c>
      <c r="AT98" s="59"/>
      <c r="AU98" s="58" t="str">
        <f t="shared" si="54"/>
        <v/>
      </c>
      <c r="AV98" s="59"/>
      <c r="AW98" s="58" t="str">
        <f t="shared" si="55"/>
        <v/>
      </c>
      <c r="AX98" s="59"/>
      <c r="AY98" s="58">
        <f t="shared" si="56"/>
        <v>552</v>
      </c>
      <c r="AZ98" s="59"/>
      <c r="BA98" s="58" t="str">
        <f t="shared" si="57"/>
        <v/>
      </c>
      <c r="BB98" s="59"/>
      <c r="BC98" s="58" t="str">
        <f t="shared" si="58"/>
        <v/>
      </c>
      <c r="BD98" s="59"/>
      <c r="BE98" s="58" t="str">
        <f t="shared" si="59"/>
        <v/>
      </c>
      <c r="BF98" s="59"/>
      <c r="BG98" s="58" t="str">
        <f t="shared" si="60"/>
        <v/>
      </c>
      <c r="BH98" s="59"/>
      <c r="BI98" s="58" t="str">
        <f t="shared" si="61"/>
        <v/>
      </c>
      <c r="BJ98" s="59"/>
      <c r="BK98" s="58" t="str">
        <f t="shared" si="62"/>
        <v/>
      </c>
      <c r="BL98" s="59"/>
      <c r="BM98" s="58" t="str">
        <f t="shared" si="63"/>
        <v/>
      </c>
      <c r="BN98" s="59"/>
      <c r="BO98" s="58" t="str">
        <f t="shared" si="64"/>
        <v/>
      </c>
      <c r="BP98" s="59"/>
      <c r="BQ98" s="58" t="str">
        <f t="shared" si="65"/>
        <v/>
      </c>
      <c r="BR98" s="59"/>
      <c r="BS98" s="58" t="str">
        <f t="shared" si="66"/>
        <v/>
      </c>
      <c r="BT98" s="59"/>
      <c r="BU98" s="58" t="str">
        <f t="shared" si="67"/>
        <v/>
      </c>
      <c r="BV98" s="59"/>
      <c r="BW98" s="58" t="str">
        <f t="shared" si="68"/>
        <v/>
      </c>
      <c r="BX98" s="59"/>
      <c r="BY98" s="58" t="str">
        <f t="shared" si="69"/>
        <v/>
      </c>
      <c r="BZ98" s="59"/>
    </row>
    <row r="99" spans="1:78" ht="14.5" hidden="1">
      <c r="A99" s="51" t="s">
        <v>466</v>
      </c>
      <c r="B99" s="52">
        <v>367</v>
      </c>
      <c r="C99" s="52" t="s">
        <v>518</v>
      </c>
      <c r="D99" s="41">
        <f t="shared" si="38"/>
        <v>4</v>
      </c>
      <c r="E99" s="41"/>
      <c r="F99" s="41"/>
      <c r="G99" s="52" t="s">
        <v>200</v>
      </c>
      <c r="H99" s="52" t="s">
        <v>242</v>
      </c>
      <c r="I99" s="52" t="s">
        <v>520</v>
      </c>
      <c r="J99" s="52" t="s">
        <v>519</v>
      </c>
      <c r="K99" s="53">
        <v>45677</v>
      </c>
      <c r="L99" s="108">
        <v>552</v>
      </c>
      <c r="M99" s="101"/>
      <c r="N99" s="101"/>
      <c r="O99" s="101">
        <f t="shared" si="39"/>
        <v>552</v>
      </c>
      <c r="P99" s="54">
        <f t="shared" si="40"/>
        <v>552</v>
      </c>
      <c r="Q99" s="101" t="s">
        <v>178</v>
      </c>
      <c r="R99" s="101"/>
      <c r="S99" s="101"/>
      <c r="T99" s="102">
        <f t="shared" si="41"/>
        <v>0.26285714285714284</v>
      </c>
      <c r="U99" s="102">
        <v>6</v>
      </c>
      <c r="V99" s="99">
        <v>350</v>
      </c>
      <c r="W99" s="55">
        <f t="shared" si="70"/>
        <v>45645</v>
      </c>
      <c r="X99" s="55"/>
      <c r="Y99" s="56">
        <f t="shared" ca="1" si="43"/>
        <v>-195</v>
      </c>
      <c r="Z99" s="55">
        <f t="shared" si="44"/>
        <v>45661</v>
      </c>
      <c r="AA99" s="55"/>
      <c r="AB99" s="56">
        <f t="shared" ca="1" si="45"/>
        <v>-179</v>
      </c>
      <c r="AC99" s="55"/>
      <c r="AD99" s="57"/>
      <c r="AE99" s="58" t="str">
        <f t="shared" si="46"/>
        <v>-</v>
      </c>
      <c r="AF99" s="59"/>
      <c r="AG99" s="58" t="str">
        <f t="shared" si="47"/>
        <v/>
      </c>
      <c r="AH99" s="59"/>
      <c r="AI99" s="58" t="str">
        <f t="shared" si="48"/>
        <v/>
      </c>
      <c r="AJ99" s="59"/>
      <c r="AK99" s="58" t="str">
        <f t="shared" si="49"/>
        <v/>
      </c>
      <c r="AL99" s="59"/>
      <c r="AM99" s="58" t="str">
        <f t="shared" si="50"/>
        <v/>
      </c>
      <c r="AN99" s="59"/>
      <c r="AO99" s="58" t="str">
        <f t="shared" si="51"/>
        <v/>
      </c>
      <c r="AP99" s="59"/>
      <c r="AQ99" s="58" t="str">
        <f t="shared" si="52"/>
        <v/>
      </c>
      <c r="AR99" s="59"/>
      <c r="AS99" s="58" t="str">
        <f t="shared" si="53"/>
        <v/>
      </c>
      <c r="AT99" s="59"/>
      <c r="AU99" s="58" t="str">
        <f t="shared" si="54"/>
        <v/>
      </c>
      <c r="AV99" s="59"/>
      <c r="AW99" s="58" t="str">
        <f t="shared" si="55"/>
        <v/>
      </c>
      <c r="AX99" s="59"/>
      <c r="AY99" s="58">
        <f t="shared" si="56"/>
        <v>552</v>
      </c>
      <c r="AZ99" s="59"/>
      <c r="BA99" s="58" t="str">
        <f t="shared" si="57"/>
        <v/>
      </c>
      <c r="BB99" s="59"/>
      <c r="BC99" s="58" t="str">
        <f t="shared" si="58"/>
        <v/>
      </c>
      <c r="BD99" s="59"/>
      <c r="BE99" s="58" t="str">
        <f t="shared" si="59"/>
        <v/>
      </c>
      <c r="BF99" s="59"/>
      <c r="BG99" s="58" t="str">
        <f t="shared" si="60"/>
        <v/>
      </c>
      <c r="BH99" s="59"/>
      <c r="BI99" s="58" t="str">
        <f t="shared" si="61"/>
        <v/>
      </c>
      <c r="BJ99" s="59"/>
      <c r="BK99" s="58" t="str">
        <f t="shared" si="62"/>
        <v/>
      </c>
      <c r="BL99" s="59"/>
      <c r="BM99" s="58" t="str">
        <f t="shared" si="63"/>
        <v/>
      </c>
      <c r="BN99" s="59"/>
      <c r="BO99" s="58" t="str">
        <f t="shared" si="64"/>
        <v/>
      </c>
      <c r="BP99" s="59"/>
      <c r="BQ99" s="58" t="str">
        <f t="shared" si="65"/>
        <v/>
      </c>
      <c r="BR99" s="59"/>
      <c r="BS99" s="58" t="str">
        <f t="shared" si="66"/>
        <v/>
      </c>
      <c r="BT99" s="59"/>
      <c r="BU99" s="58" t="str">
        <f t="shared" si="67"/>
        <v/>
      </c>
      <c r="BV99" s="59"/>
      <c r="BW99" s="58" t="str">
        <f t="shared" si="68"/>
        <v/>
      </c>
      <c r="BX99" s="59"/>
      <c r="BY99" s="58" t="str">
        <f t="shared" si="69"/>
        <v/>
      </c>
      <c r="BZ99" s="59"/>
    </row>
    <row r="100" spans="1:78" ht="14.5" hidden="1">
      <c r="A100" s="51" t="s">
        <v>466</v>
      </c>
      <c r="B100" s="52">
        <v>367</v>
      </c>
      <c r="C100" s="52" t="s">
        <v>518</v>
      </c>
      <c r="D100" s="41">
        <f t="shared" si="38"/>
        <v>4</v>
      </c>
      <c r="E100" s="41"/>
      <c r="F100" s="41"/>
      <c r="G100" s="52" t="s">
        <v>200</v>
      </c>
      <c r="H100" s="52" t="s">
        <v>242</v>
      </c>
      <c r="I100" s="52" t="s">
        <v>163</v>
      </c>
      <c r="J100" s="52" t="s">
        <v>521</v>
      </c>
      <c r="K100" s="53">
        <v>45677</v>
      </c>
      <c r="L100" s="108">
        <v>462</v>
      </c>
      <c r="M100" s="101"/>
      <c r="N100" s="101"/>
      <c r="O100" s="101">
        <f t="shared" si="39"/>
        <v>462</v>
      </c>
      <c r="P100" s="54">
        <f t="shared" si="40"/>
        <v>462</v>
      </c>
      <c r="Q100" s="101" t="s">
        <v>178</v>
      </c>
      <c r="R100" s="101"/>
      <c r="S100" s="101"/>
      <c r="T100" s="102">
        <f t="shared" si="41"/>
        <v>0.22</v>
      </c>
      <c r="U100" s="102">
        <v>6</v>
      </c>
      <c r="V100" s="99">
        <v>350</v>
      </c>
      <c r="W100" s="55">
        <f t="shared" si="70"/>
        <v>45645</v>
      </c>
      <c r="X100" s="55"/>
      <c r="Y100" s="56">
        <f t="shared" ca="1" si="43"/>
        <v>-195</v>
      </c>
      <c r="Z100" s="55">
        <f t="shared" si="44"/>
        <v>45661</v>
      </c>
      <c r="AA100" s="55"/>
      <c r="AB100" s="56">
        <f t="shared" ca="1" si="45"/>
        <v>-179</v>
      </c>
      <c r="AC100" s="55"/>
      <c r="AD100" s="57"/>
      <c r="AE100" s="58" t="str">
        <f t="shared" si="46"/>
        <v>-</v>
      </c>
      <c r="AF100" s="59"/>
      <c r="AG100" s="58" t="str">
        <f t="shared" si="47"/>
        <v/>
      </c>
      <c r="AH100" s="59"/>
      <c r="AI100" s="58" t="str">
        <f t="shared" si="48"/>
        <v/>
      </c>
      <c r="AJ100" s="59"/>
      <c r="AK100" s="58" t="str">
        <f t="shared" si="49"/>
        <v/>
      </c>
      <c r="AL100" s="59"/>
      <c r="AM100" s="58" t="str">
        <f t="shared" si="50"/>
        <v/>
      </c>
      <c r="AN100" s="59"/>
      <c r="AO100" s="58" t="str">
        <f t="shared" si="51"/>
        <v/>
      </c>
      <c r="AP100" s="59"/>
      <c r="AQ100" s="58" t="str">
        <f t="shared" si="52"/>
        <v/>
      </c>
      <c r="AR100" s="59"/>
      <c r="AS100" s="58" t="str">
        <f t="shared" si="53"/>
        <v/>
      </c>
      <c r="AT100" s="59"/>
      <c r="AU100" s="58" t="str">
        <f t="shared" si="54"/>
        <v/>
      </c>
      <c r="AV100" s="59"/>
      <c r="AW100" s="58" t="str">
        <f t="shared" si="55"/>
        <v/>
      </c>
      <c r="AX100" s="59"/>
      <c r="AY100" s="58">
        <f t="shared" si="56"/>
        <v>462</v>
      </c>
      <c r="AZ100" s="59"/>
      <c r="BA100" s="58" t="str">
        <f t="shared" si="57"/>
        <v/>
      </c>
      <c r="BB100" s="59"/>
      <c r="BC100" s="58" t="str">
        <f t="shared" si="58"/>
        <v/>
      </c>
      <c r="BD100" s="59"/>
      <c r="BE100" s="58" t="str">
        <f t="shared" si="59"/>
        <v/>
      </c>
      <c r="BF100" s="59"/>
      <c r="BG100" s="58" t="str">
        <f t="shared" si="60"/>
        <v/>
      </c>
      <c r="BH100" s="59"/>
      <c r="BI100" s="58" t="str">
        <f t="shared" si="61"/>
        <v/>
      </c>
      <c r="BJ100" s="59"/>
      <c r="BK100" s="58" t="str">
        <f t="shared" si="62"/>
        <v/>
      </c>
      <c r="BL100" s="59"/>
      <c r="BM100" s="58" t="str">
        <f t="shared" si="63"/>
        <v/>
      </c>
      <c r="BN100" s="59"/>
      <c r="BO100" s="58" t="str">
        <f t="shared" si="64"/>
        <v/>
      </c>
      <c r="BP100" s="59"/>
      <c r="BQ100" s="58" t="str">
        <f t="shared" si="65"/>
        <v/>
      </c>
      <c r="BR100" s="59"/>
      <c r="BS100" s="58" t="str">
        <f t="shared" si="66"/>
        <v/>
      </c>
      <c r="BT100" s="59"/>
      <c r="BU100" s="58" t="str">
        <f t="shared" si="67"/>
        <v/>
      </c>
      <c r="BV100" s="59"/>
      <c r="BW100" s="58" t="str">
        <f t="shared" si="68"/>
        <v/>
      </c>
      <c r="BX100" s="59"/>
      <c r="BY100" s="58" t="str">
        <f t="shared" si="69"/>
        <v/>
      </c>
      <c r="BZ100" s="59"/>
    </row>
    <row r="101" spans="1:78" ht="14.5" hidden="1">
      <c r="A101" s="51" t="s">
        <v>466</v>
      </c>
      <c r="B101" s="52">
        <v>367</v>
      </c>
      <c r="C101" s="52" t="s">
        <v>518</v>
      </c>
      <c r="D101" s="41">
        <f t="shared" si="38"/>
        <v>4</v>
      </c>
      <c r="E101" s="41"/>
      <c r="F101" s="41"/>
      <c r="G101" s="52" t="s">
        <v>200</v>
      </c>
      <c r="H101" s="52" t="s">
        <v>242</v>
      </c>
      <c r="I101" s="52" t="s">
        <v>520</v>
      </c>
      <c r="J101" s="52" t="s">
        <v>521</v>
      </c>
      <c r="K101" s="53">
        <v>45677</v>
      </c>
      <c r="L101" s="108">
        <v>462</v>
      </c>
      <c r="M101" s="101"/>
      <c r="N101" s="101"/>
      <c r="O101" s="101">
        <f t="shared" si="39"/>
        <v>462</v>
      </c>
      <c r="P101" s="54">
        <f t="shared" si="40"/>
        <v>462</v>
      </c>
      <c r="Q101" s="101" t="s">
        <v>178</v>
      </c>
      <c r="R101" s="101"/>
      <c r="S101" s="101"/>
      <c r="T101" s="102">
        <f t="shared" si="41"/>
        <v>0.22</v>
      </c>
      <c r="U101" s="102">
        <v>6</v>
      </c>
      <c r="V101" s="99">
        <v>350</v>
      </c>
      <c r="W101" s="55">
        <f t="shared" si="70"/>
        <v>45645</v>
      </c>
      <c r="X101" s="55"/>
      <c r="Y101" s="56">
        <f t="shared" ca="1" si="43"/>
        <v>-195</v>
      </c>
      <c r="Z101" s="55">
        <f t="shared" si="44"/>
        <v>45661</v>
      </c>
      <c r="AA101" s="55"/>
      <c r="AB101" s="56">
        <f t="shared" ca="1" si="45"/>
        <v>-179</v>
      </c>
      <c r="AC101" s="55"/>
      <c r="AD101" s="57"/>
      <c r="AE101" s="58" t="str">
        <f t="shared" si="46"/>
        <v>-</v>
      </c>
      <c r="AF101" s="59"/>
      <c r="AG101" s="58" t="str">
        <f t="shared" si="47"/>
        <v/>
      </c>
      <c r="AH101" s="59"/>
      <c r="AI101" s="58" t="str">
        <f t="shared" si="48"/>
        <v/>
      </c>
      <c r="AJ101" s="59"/>
      <c r="AK101" s="58" t="str">
        <f t="shared" si="49"/>
        <v/>
      </c>
      <c r="AL101" s="59"/>
      <c r="AM101" s="58" t="str">
        <f t="shared" si="50"/>
        <v/>
      </c>
      <c r="AN101" s="59"/>
      <c r="AO101" s="58" t="str">
        <f t="shared" si="51"/>
        <v/>
      </c>
      <c r="AP101" s="59"/>
      <c r="AQ101" s="58" t="str">
        <f t="shared" si="52"/>
        <v/>
      </c>
      <c r="AR101" s="59"/>
      <c r="AS101" s="58" t="str">
        <f t="shared" si="53"/>
        <v/>
      </c>
      <c r="AT101" s="59"/>
      <c r="AU101" s="58" t="str">
        <f t="shared" si="54"/>
        <v/>
      </c>
      <c r="AV101" s="59"/>
      <c r="AW101" s="58" t="str">
        <f t="shared" si="55"/>
        <v/>
      </c>
      <c r="AX101" s="59"/>
      <c r="AY101" s="58">
        <f t="shared" si="56"/>
        <v>462</v>
      </c>
      <c r="AZ101" s="59"/>
      <c r="BA101" s="58" t="str">
        <f t="shared" si="57"/>
        <v/>
      </c>
      <c r="BB101" s="59"/>
      <c r="BC101" s="58" t="str">
        <f t="shared" si="58"/>
        <v/>
      </c>
      <c r="BD101" s="59"/>
      <c r="BE101" s="58" t="str">
        <f t="shared" si="59"/>
        <v/>
      </c>
      <c r="BF101" s="59"/>
      <c r="BG101" s="58" t="str">
        <f t="shared" si="60"/>
        <v/>
      </c>
      <c r="BH101" s="59"/>
      <c r="BI101" s="58" t="str">
        <f t="shared" si="61"/>
        <v/>
      </c>
      <c r="BJ101" s="59"/>
      <c r="BK101" s="58" t="str">
        <f t="shared" si="62"/>
        <v/>
      </c>
      <c r="BL101" s="59"/>
      <c r="BM101" s="58" t="str">
        <f t="shared" si="63"/>
        <v/>
      </c>
      <c r="BN101" s="59"/>
      <c r="BO101" s="58" t="str">
        <f t="shared" si="64"/>
        <v/>
      </c>
      <c r="BP101" s="59"/>
      <c r="BQ101" s="58" t="str">
        <f t="shared" si="65"/>
        <v/>
      </c>
      <c r="BR101" s="59"/>
      <c r="BS101" s="58" t="str">
        <f t="shared" si="66"/>
        <v/>
      </c>
      <c r="BT101" s="59"/>
      <c r="BU101" s="58" t="str">
        <f t="shared" si="67"/>
        <v/>
      </c>
      <c r="BV101" s="59"/>
      <c r="BW101" s="58" t="str">
        <f t="shared" si="68"/>
        <v/>
      </c>
      <c r="BX101" s="59"/>
      <c r="BY101" s="58" t="str">
        <f t="shared" si="69"/>
        <v/>
      </c>
      <c r="BZ101" s="59"/>
    </row>
    <row r="102" spans="1:78" ht="14.5" hidden="1">
      <c r="A102" s="51" t="s">
        <v>466</v>
      </c>
      <c r="B102" s="52">
        <v>367</v>
      </c>
      <c r="C102" s="52" t="s">
        <v>518</v>
      </c>
      <c r="D102" s="41">
        <f t="shared" si="38"/>
        <v>4</v>
      </c>
      <c r="E102" s="41"/>
      <c r="F102" s="41"/>
      <c r="G102" s="52" t="s">
        <v>413</v>
      </c>
      <c r="H102" s="52" t="s">
        <v>242</v>
      </c>
      <c r="I102" s="52" t="s">
        <v>522</v>
      </c>
      <c r="J102" s="52" t="s">
        <v>519</v>
      </c>
      <c r="K102" s="53">
        <v>45677</v>
      </c>
      <c r="L102" s="108">
        <v>252</v>
      </c>
      <c r="M102" s="101"/>
      <c r="N102" s="101"/>
      <c r="O102" s="101">
        <f t="shared" si="39"/>
        <v>252</v>
      </c>
      <c r="P102" s="54">
        <f t="shared" si="40"/>
        <v>252</v>
      </c>
      <c r="Q102" s="101" t="s">
        <v>178</v>
      </c>
      <c r="R102" s="101"/>
      <c r="S102" s="101"/>
      <c r="T102" s="102">
        <f t="shared" si="41"/>
        <v>0.12</v>
      </c>
      <c r="U102" s="102">
        <v>6</v>
      </c>
      <c r="V102" s="99">
        <v>350</v>
      </c>
      <c r="W102" s="55">
        <f t="shared" si="70"/>
        <v>45645</v>
      </c>
      <c r="X102" s="55"/>
      <c r="Y102" s="56">
        <f t="shared" ca="1" si="43"/>
        <v>-195</v>
      </c>
      <c r="Z102" s="55">
        <f t="shared" si="44"/>
        <v>45661</v>
      </c>
      <c r="AA102" s="55"/>
      <c r="AB102" s="56">
        <f t="shared" ca="1" si="45"/>
        <v>-179</v>
      </c>
      <c r="AC102" s="55"/>
      <c r="AD102" s="57"/>
      <c r="AE102" s="58" t="str">
        <f t="shared" si="46"/>
        <v>-</v>
      </c>
      <c r="AF102" s="59"/>
      <c r="AG102" s="58" t="str">
        <f t="shared" si="47"/>
        <v/>
      </c>
      <c r="AH102" s="59"/>
      <c r="AI102" s="58" t="str">
        <f t="shared" si="48"/>
        <v/>
      </c>
      <c r="AJ102" s="59"/>
      <c r="AK102" s="58" t="str">
        <f t="shared" si="49"/>
        <v/>
      </c>
      <c r="AL102" s="59"/>
      <c r="AM102" s="58" t="str">
        <f t="shared" si="50"/>
        <v/>
      </c>
      <c r="AN102" s="59"/>
      <c r="AO102" s="58" t="str">
        <f t="shared" si="51"/>
        <v/>
      </c>
      <c r="AP102" s="59"/>
      <c r="AQ102" s="58" t="str">
        <f t="shared" si="52"/>
        <v/>
      </c>
      <c r="AR102" s="59"/>
      <c r="AS102" s="58" t="str">
        <f t="shared" si="53"/>
        <v/>
      </c>
      <c r="AT102" s="59"/>
      <c r="AU102" s="58" t="str">
        <f t="shared" si="54"/>
        <v/>
      </c>
      <c r="AV102" s="59"/>
      <c r="AW102" s="58" t="str">
        <f t="shared" si="55"/>
        <v/>
      </c>
      <c r="AX102" s="59"/>
      <c r="AY102" s="58">
        <f t="shared" si="56"/>
        <v>252</v>
      </c>
      <c r="AZ102" s="59"/>
      <c r="BA102" s="58" t="str">
        <f t="shared" si="57"/>
        <v/>
      </c>
      <c r="BB102" s="59"/>
      <c r="BC102" s="58" t="str">
        <f t="shared" si="58"/>
        <v/>
      </c>
      <c r="BD102" s="59"/>
      <c r="BE102" s="58" t="str">
        <f t="shared" si="59"/>
        <v/>
      </c>
      <c r="BF102" s="59"/>
      <c r="BG102" s="58" t="str">
        <f t="shared" si="60"/>
        <v/>
      </c>
      <c r="BH102" s="59"/>
      <c r="BI102" s="58" t="str">
        <f t="shared" si="61"/>
        <v/>
      </c>
      <c r="BJ102" s="59"/>
      <c r="BK102" s="58" t="str">
        <f t="shared" si="62"/>
        <v/>
      </c>
      <c r="BL102" s="59"/>
      <c r="BM102" s="58" t="str">
        <f t="shared" si="63"/>
        <v/>
      </c>
      <c r="BN102" s="59"/>
      <c r="BO102" s="58" t="str">
        <f t="shared" si="64"/>
        <v/>
      </c>
      <c r="BP102" s="59"/>
      <c r="BQ102" s="58" t="str">
        <f t="shared" si="65"/>
        <v/>
      </c>
      <c r="BR102" s="59"/>
      <c r="BS102" s="58" t="str">
        <f t="shared" si="66"/>
        <v/>
      </c>
      <c r="BT102" s="59"/>
      <c r="BU102" s="58" t="str">
        <f t="shared" si="67"/>
        <v/>
      </c>
      <c r="BV102" s="59"/>
      <c r="BW102" s="58" t="str">
        <f t="shared" si="68"/>
        <v/>
      </c>
      <c r="BX102" s="59"/>
      <c r="BY102" s="58" t="str">
        <f t="shared" si="69"/>
        <v/>
      </c>
      <c r="BZ102" s="59"/>
    </row>
    <row r="103" spans="1:78" ht="14.5" hidden="1">
      <c r="A103" s="51" t="s">
        <v>466</v>
      </c>
      <c r="B103" s="52">
        <v>367</v>
      </c>
      <c r="C103" s="52" t="s">
        <v>518</v>
      </c>
      <c r="D103" s="41">
        <f t="shared" si="38"/>
        <v>4</v>
      </c>
      <c r="E103" s="41"/>
      <c r="F103" s="41"/>
      <c r="G103" s="52" t="s">
        <v>414</v>
      </c>
      <c r="H103" s="52" t="s">
        <v>242</v>
      </c>
      <c r="I103" s="52" t="s">
        <v>523</v>
      </c>
      <c r="J103" s="52" t="s">
        <v>519</v>
      </c>
      <c r="K103" s="53">
        <v>45677</v>
      </c>
      <c r="L103" s="108">
        <v>462</v>
      </c>
      <c r="M103" s="101"/>
      <c r="N103" s="101"/>
      <c r="O103" s="101">
        <f t="shared" si="39"/>
        <v>462</v>
      </c>
      <c r="P103" s="54">
        <f t="shared" si="40"/>
        <v>462</v>
      </c>
      <c r="Q103" s="101" t="s">
        <v>178</v>
      </c>
      <c r="R103" s="101"/>
      <c r="S103" s="101"/>
      <c r="T103" s="102">
        <f t="shared" si="41"/>
        <v>0.22</v>
      </c>
      <c r="U103" s="102">
        <v>6</v>
      </c>
      <c r="V103" s="99">
        <v>350</v>
      </c>
      <c r="W103" s="55">
        <f t="shared" si="70"/>
        <v>45645</v>
      </c>
      <c r="X103" s="55"/>
      <c r="Y103" s="56">
        <f t="shared" ca="1" si="43"/>
        <v>-195</v>
      </c>
      <c r="Z103" s="55">
        <f t="shared" si="44"/>
        <v>45661</v>
      </c>
      <c r="AA103" s="55"/>
      <c r="AB103" s="56">
        <f t="shared" ca="1" si="45"/>
        <v>-179</v>
      </c>
      <c r="AC103" s="55"/>
      <c r="AD103" s="57"/>
      <c r="AE103" s="58" t="str">
        <f t="shared" si="46"/>
        <v>-</v>
      </c>
      <c r="AF103" s="59"/>
      <c r="AG103" s="58" t="str">
        <f t="shared" si="47"/>
        <v/>
      </c>
      <c r="AH103" s="59"/>
      <c r="AI103" s="58" t="str">
        <f t="shared" si="48"/>
        <v/>
      </c>
      <c r="AJ103" s="59"/>
      <c r="AK103" s="58" t="str">
        <f t="shared" si="49"/>
        <v/>
      </c>
      <c r="AL103" s="59"/>
      <c r="AM103" s="58" t="str">
        <f t="shared" si="50"/>
        <v/>
      </c>
      <c r="AN103" s="59"/>
      <c r="AO103" s="58" t="str">
        <f t="shared" si="51"/>
        <v/>
      </c>
      <c r="AP103" s="59"/>
      <c r="AQ103" s="58" t="str">
        <f t="shared" si="52"/>
        <v/>
      </c>
      <c r="AR103" s="59"/>
      <c r="AS103" s="58" t="str">
        <f t="shared" si="53"/>
        <v/>
      </c>
      <c r="AT103" s="59"/>
      <c r="AU103" s="58" t="str">
        <f t="shared" si="54"/>
        <v/>
      </c>
      <c r="AV103" s="59"/>
      <c r="AW103" s="58" t="str">
        <f t="shared" si="55"/>
        <v/>
      </c>
      <c r="AX103" s="59"/>
      <c r="AY103" s="58">
        <f t="shared" si="56"/>
        <v>462</v>
      </c>
      <c r="AZ103" s="59"/>
      <c r="BA103" s="58" t="str">
        <f t="shared" si="57"/>
        <v/>
      </c>
      <c r="BB103" s="59"/>
      <c r="BC103" s="58" t="str">
        <f t="shared" si="58"/>
        <v/>
      </c>
      <c r="BD103" s="59"/>
      <c r="BE103" s="58" t="str">
        <f t="shared" si="59"/>
        <v/>
      </c>
      <c r="BF103" s="59"/>
      <c r="BG103" s="58" t="str">
        <f t="shared" si="60"/>
        <v/>
      </c>
      <c r="BH103" s="59"/>
      <c r="BI103" s="58" t="str">
        <f t="shared" si="61"/>
        <v/>
      </c>
      <c r="BJ103" s="59"/>
      <c r="BK103" s="58" t="str">
        <f t="shared" si="62"/>
        <v/>
      </c>
      <c r="BL103" s="59"/>
      <c r="BM103" s="58" t="str">
        <f t="shared" si="63"/>
        <v/>
      </c>
      <c r="BN103" s="59"/>
      <c r="BO103" s="58" t="str">
        <f t="shared" si="64"/>
        <v/>
      </c>
      <c r="BP103" s="59"/>
      <c r="BQ103" s="58" t="str">
        <f t="shared" si="65"/>
        <v/>
      </c>
      <c r="BR103" s="59"/>
      <c r="BS103" s="58" t="str">
        <f t="shared" si="66"/>
        <v/>
      </c>
      <c r="BT103" s="59"/>
      <c r="BU103" s="58" t="str">
        <f t="shared" si="67"/>
        <v/>
      </c>
      <c r="BV103" s="59"/>
      <c r="BW103" s="58" t="str">
        <f t="shared" si="68"/>
        <v/>
      </c>
      <c r="BX103" s="59"/>
      <c r="BY103" s="58" t="str">
        <f t="shared" si="69"/>
        <v/>
      </c>
      <c r="BZ103" s="59"/>
    </row>
    <row r="104" spans="1:78" ht="14.5" hidden="1">
      <c r="A104" s="51" t="s">
        <v>466</v>
      </c>
      <c r="B104" s="52">
        <v>367</v>
      </c>
      <c r="C104" s="52" t="s">
        <v>518</v>
      </c>
      <c r="D104" s="41">
        <f t="shared" si="38"/>
        <v>4</v>
      </c>
      <c r="E104" s="41"/>
      <c r="F104" s="41"/>
      <c r="G104" s="52" t="s">
        <v>196</v>
      </c>
      <c r="H104" s="52" t="s">
        <v>300</v>
      </c>
      <c r="I104" s="52" t="s">
        <v>524</v>
      </c>
      <c r="J104" s="52" t="s">
        <v>525</v>
      </c>
      <c r="K104" s="53">
        <v>45677</v>
      </c>
      <c r="L104" s="108">
        <v>192</v>
      </c>
      <c r="M104" s="101"/>
      <c r="N104" s="101"/>
      <c r="O104" s="101">
        <f t="shared" si="39"/>
        <v>192</v>
      </c>
      <c r="P104" s="54">
        <f t="shared" si="40"/>
        <v>192</v>
      </c>
      <c r="Q104" s="101" t="s">
        <v>178</v>
      </c>
      <c r="R104" s="101"/>
      <c r="S104" s="101"/>
      <c r="T104" s="102">
        <f t="shared" si="41"/>
        <v>0.26666666666666666</v>
      </c>
      <c r="U104" s="102">
        <v>6</v>
      </c>
      <c r="V104" s="99">
        <v>120</v>
      </c>
      <c r="W104" s="55">
        <f t="shared" si="70"/>
        <v>45645</v>
      </c>
      <c r="X104" s="55"/>
      <c r="Y104" s="56">
        <f t="shared" ca="1" si="43"/>
        <v>-195</v>
      </c>
      <c r="Z104" s="55">
        <f t="shared" si="44"/>
        <v>45661</v>
      </c>
      <c r="AA104" s="55"/>
      <c r="AB104" s="56">
        <f t="shared" ca="1" si="45"/>
        <v>-179</v>
      </c>
      <c r="AC104" s="55"/>
      <c r="AD104" s="57"/>
      <c r="AE104" s="58" t="str">
        <f t="shared" si="46"/>
        <v>-</v>
      </c>
      <c r="AF104" s="59"/>
      <c r="AG104" s="58" t="str">
        <f t="shared" si="47"/>
        <v/>
      </c>
      <c r="AH104" s="59"/>
      <c r="AI104" s="58" t="str">
        <f t="shared" si="48"/>
        <v/>
      </c>
      <c r="AJ104" s="59"/>
      <c r="AK104" s="58" t="str">
        <f t="shared" si="49"/>
        <v/>
      </c>
      <c r="AL104" s="59"/>
      <c r="AM104" s="58" t="str">
        <f t="shared" si="50"/>
        <v/>
      </c>
      <c r="AN104" s="59"/>
      <c r="AO104" s="58" t="str">
        <f t="shared" si="51"/>
        <v/>
      </c>
      <c r="AP104" s="59"/>
      <c r="AQ104" s="58" t="str">
        <f t="shared" si="52"/>
        <v/>
      </c>
      <c r="AR104" s="59"/>
      <c r="AS104" s="58" t="str">
        <f t="shared" si="53"/>
        <v/>
      </c>
      <c r="AT104" s="59"/>
      <c r="AU104" s="58" t="str">
        <f t="shared" si="54"/>
        <v/>
      </c>
      <c r="AV104" s="59"/>
      <c r="AW104" s="58" t="str">
        <f t="shared" si="55"/>
        <v/>
      </c>
      <c r="AX104" s="59"/>
      <c r="AY104" s="58">
        <f t="shared" si="56"/>
        <v>192</v>
      </c>
      <c r="AZ104" s="59"/>
      <c r="BA104" s="58" t="str">
        <f t="shared" si="57"/>
        <v/>
      </c>
      <c r="BB104" s="59"/>
      <c r="BC104" s="58" t="str">
        <f t="shared" si="58"/>
        <v/>
      </c>
      <c r="BD104" s="59"/>
      <c r="BE104" s="58" t="str">
        <f t="shared" si="59"/>
        <v/>
      </c>
      <c r="BF104" s="59"/>
      <c r="BG104" s="58" t="str">
        <f t="shared" si="60"/>
        <v/>
      </c>
      <c r="BH104" s="59"/>
      <c r="BI104" s="58" t="str">
        <f t="shared" si="61"/>
        <v/>
      </c>
      <c r="BJ104" s="59"/>
      <c r="BK104" s="58" t="str">
        <f t="shared" si="62"/>
        <v/>
      </c>
      <c r="BL104" s="59"/>
      <c r="BM104" s="58" t="str">
        <f t="shared" si="63"/>
        <v/>
      </c>
      <c r="BN104" s="59"/>
      <c r="BO104" s="58" t="str">
        <f t="shared" si="64"/>
        <v/>
      </c>
      <c r="BP104" s="59"/>
      <c r="BQ104" s="58" t="str">
        <f t="shared" si="65"/>
        <v/>
      </c>
      <c r="BR104" s="59"/>
      <c r="BS104" s="58" t="str">
        <f t="shared" si="66"/>
        <v/>
      </c>
      <c r="BT104" s="59"/>
      <c r="BU104" s="58" t="str">
        <f t="shared" si="67"/>
        <v/>
      </c>
      <c r="BV104" s="59"/>
      <c r="BW104" s="58" t="str">
        <f t="shared" si="68"/>
        <v/>
      </c>
      <c r="BX104" s="59"/>
      <c r="BY104" s="58" t="str">
        <f t="shared" si="69"/>
        <v/>
      </c>
      <c r="BZ104" s="59"/>
    </row>
    <row r="105" spans="1:78" ht="14.5" hidden="1">
      <c r="A105" s="51" t="s">
        <v>466</v>
      </c>
      <c r="B105" s="52">
        <v>367</v>
      </c>
      <c r="C105" s="52" t="s">
        <v>518</v>
      </c>
      <c r="D105" s="41">
        <f t="shared" si="38"/>
        <v>4</v>
      </c>
      <c r="E105" s="41"/>
      <c r="F105" s="41"/>
      <c r="G105" s="52" t="s">
        <v>196</v>
      </c>
      <c r="H105" s="52" t="s">
        <v>300</v>
      </c>
      <c r="I105" s="52" t="s">
        <v>526</v>
      </c>
      <c r="J105" s="52" t="s">
        <v>525</v>
      </c>
      <c r="K105" s="53">
        <v>45677</v>
      </c>
      <c r="L105" s="108">
        <v>192</v>
      </c>
      <c r="M105" s="101"/>
      <c r="N105" s="101"/>
      <c r="O105" s="101">
        <f t="shared" si="39"/>
        <v>192</v>
      </c>
      <c r="P105" s="54">
        <f t="shared" si="40"/>
        <v>192</v>
      </c>
      <c r="Q105" s="101" t="s">
        <v>178</v>
      </c>
      <c r="R105" s="101"/>
      <c r="S105" s="101"/>
      <c r="T105" s="102">
        <f t="shared" si="41"/>
        <v>0.26666666666666666</v>
      </c>
      <c r="U105" s="102">
        <v>6</v>
      </c>
      <c r="V105" s="99">
        <v>120</v>
      </c>
      <c r="W105" s="55">
        <f t="shared" si="70"/>
        <v>45645</v>
      </c>
      <c r="X105" s="55"/>
      <c r="Y105" s="56">
        <f t="shared" ca="1" si="43"/>
        <v>-195</v>
      </c>
      <c r="Z105" s="55">
        <f t="shared" si="44"/>
        <v>45661</v>
      </c>
      <c r="AA105" s="55"/>
      <c r="AB105" s="56">
        <f t="shared" ca="1" si="45"/>
        <v>-179</v>
      </c>
      <c r="AC105" s="55"/>
      <c r="AD105" s="57"/>
      <c r="AE105" s="58" t="str">
        <f t="shared" si="46"/>
        <v>-</v>
      </c>
      <c r="AF105" s="59"/>
      <c r="AG105" s="58" t="str">
        <f t="shared" si="47"/>
        <v/>
      </c>
      <c r="AH105" s="59"/>
      <c r="AI105" s="58" t="str">
        <f t="shared" si="48"/>
        <v/>
      </c>
      <c r="AJ105" s="59"/>
      <c r="AK105" s="58" t="str">
        <f t="shared" si="49"/>
        <v/>
      </c>
      <c r="AL105" s="59"/>
      <c r="AM105" s="58" t="str">
        <f t="shared" si="50"/>
        <v/>
      </c>
      <c r="AN105" s="59"/>
      <c r="AO105" s="58" t="str">
        <f t="shared" si="51"/>
        <v/>
      </c>
      <c r="AP105" s="59"/>
      <c r="AQ105" s="58" t="str">
        <f t="shared" si="52"/>
        <v/>
      </c>
      <c r="AR105" s="59"/>
      <c r="AS105" s="58" t="str">
        <f t="shared" si="53"/>
        <v/>
      </c>
      <c r="AT105" s="59"/>
      <c r="AU105" s="58" t="str">
        <f t="shared" si="54"/>
        <v/>
      </c>
      <c r="AV105" s="59"/>
      <c r="AW105" s="58" t="str">
        <f t="shared" si="55"/>
        <v/>
      </c>
      <c r="AX105" s="59"/>
      <c r="AY105" s="58">
        <f t="shared" si="56"/>
        <v>192</v>
      </c>
      <c r="AZ105" s="59"/>
      <c r="BA105" s="58" t="str">
        <f t="shared" si="57"/>
        <v/>
      </c>
      <c r="BB105" s="59"/>
      <c r="BC105" s="58" t="str">
        <f t="shared" si="58"/>
        <v/>
      </c>
      <c r="BD105" s="59"/>
      <c r="BE105" s="58" t="str">
        <f t="shared" si="59"/>
        <v/>
      </c>
      <c r="BF105" s="59"/>
      <c r="BG105" s="58" t="str">
        <f t="shared" si="60"/>
        <v/>
      </c>
      <c r="BH105" s="59"/>
      <c r="BI105" s="58" t="str">
        <f t="shared" si="61"/>
        <v/>
      </c>
      <c r="BJ105" s="59"/>
      <c r="BK105" s="58" t="str">
        <f t="shared" si="62"/>
        <v/>
      </c>
      <c r="BL105" s="59"/>
      <c r="BM105" s="58" t="str">
        <f t="shared" si="63"/>
        <v/>
      </c>
      <c r="BN105" s="59"/>
      <c r="BO105" s="58" t="str">
        <f t="shared" si="64"/>
        <v/>
      </c>
      <c r="BP105" s="59"/>
      <c r="BQ105" s="58" t="str">
        <f t="shared" si="65"/>
        <v/>
      </c>
      <c r="BR105" s="59"/>
      <c r="BS105" s="58" t="str">
        <f t="shared" si="66"/>
        <v/>
      </c>
      <c r="BT105" s="59"/>
      <c r="BU105" s="58" t="str">
        <f t="shared" si="67"/>
        <v/>
      </c>
      <c r="BV105" s="59"/>
      <c r="BW105" s="58" t="str">
        <f t="shared" si="68"/>
        <v/>
      </c>
      <c r="BX105" s="59"/>
      <c r="BY105" s="58" t="str">
        <f t="shared" si="69"/>
        <v/>
      </c>
      <c r="BZ105" s="59"/>
    </row>
    <row r="106" spans="1:78" ht="14.5" hidden="1">
      <c r="A106" s="51" t="s">
        <v>466</v>
      </c>
      <c r="B106" s="52">
        <v>367</v>
      </c>
      <c r="C106" s="52" t="s">
        <v>518</v>
      </c>
      <c r="D106" s="41">
        <f t="shared" si="38"/>
        <v>4</v>
      </c>
      <c r="E106" s="41"/>
      <c r="F106" s="41"/>
      <c r="G106" s="52" t="s">
        <v>196</v>
      </c>
      <c r="H106" s="52" t="s">
        <v>300</v>
      </c>
      <c r="I106" s="52" t="s">
        <v>527</v>
      </c>
      <c r="J106" s="52" t="s">
        <v>525</v>
      </c>
      <c r="K106" s="53">
        <v>45677</v>
      </c>
      <c r="L106" s="108">
        <v>192</v>
      </c>
      <c r="M106" s="101"/>
      <c r="N106" s="101"/>
      <c r="O106" s="101">
        <f t="shared" si="39"/>
        <v>192</v>
      </c>
      <c r="P106" s="54">
        <f t="shared" si="40"/>
        <v>192</v>
      </c>
      <c r="Q106" s="101" t="s">
        <v>178</v>
      </c>
      <c r="R106" s="101"/>
      <c r="S106" s="101"/>
      <c r="T106" s="102">
        <f t="shared" si="41"/>
        <v>0.26666666666666666</v>
      </c>
      <c r="U106" s="102">
        <v>6</v>
      </c>
      <c r="V106" s="99">
        <v>120</v>
      </c>
      <c r="W106" s="55">
        <f t="shared" si="70"/>
        <v>45645</v>
      </c>
      <c r="X106" s="55"/>
      <c r="Y106" s="56">
        <f t="shared" ca="1" si="43"/>
        <v>-195</v>
      </c>
      <c r="Z106" s="55">
        <f t="shared" si="44"/>
        <v>45661</v>
      </c>
      <c r="AA106" s="55"/>
      <c r="AB106" s="56">
        <f t="shared" ca="1" si="45"/>
        <v>-179</v>
      </c>
      <c r="AC106" s="55"/>
      <c r="AD106" s="57"/>
      <c r="AE106" s="58" t="str">
        <f t="shared" si="46"/>
        <v>-</v>
      </c>
      <c r="AF106" s="59"/>
      <c r="AG106" s="58" t="str">
        <f t="shared" si="47"/>
        <v/>
      </c>
      <c r="AH106" s="59"/>
      <c r="AI106" s="58" t="str">
        <f t="shared" si="48"/>
        <v/>
      </c>
      <c r="AJ106" s="59"/>
      <c r="AK106" s="58" t="str">
        <f t="shared" si="49"/>
        <v/>
      </c>
      <c r="AL106" s="59"/>
      <c r="AM106" s="58" t="str">
        <f t="shared" si="50"/>
        <v/>
      </c>
      <c r="AN106" s="59"/>
      <c r="AO106" s="58" t="str">
        <f t="shared" si="51"/>
        <v/>
      </c>
      <c r="AP106" s="59"/>
      <c r="AQ106" s="58" t="str">
        <f t="shared" si="52"/>
        <v/>
      </c>
      <c r="AR106" s="59"/>
      <c r="AS106" s="58" t="str">
        <f t="shared" si="53"/>
        <v/>
      </c>
      <c r="AT106" s="59"/>
      <c r="AU106" s="58" t="str">
        <f t="shared" si="54"/>
        <v/>
      </c>
      <c r="AV106" s="59"/>
      <c r="AW106" s="58" t="str">
        <f t="shared" si="55"/>
        <v/>
      </c>
      <c r="AX106" s="59"/>
      <c r="AY106" s="58">
        <f t="shared" si="56"/>
        <v>192</v>
      </c>
      <c r="AZ106" s="59"/>
      <c r="BA106" s="58" t="str">
        <f t="shared" si="57"/>
        <v/>
      </c>
      <c r="BB106" s="59"/>
      <c r="BC106" s="58" t="str">
        <f t="shared" si="58"/>
        <v/>
      </c>
      <c r="BD106" s="59"/>
      <c r="BE106" s="58" t="str">
        <f t="shared" si="59"/>
        <v/>
      </c>
      <c r="BF106" s="59"/>
      <c r="BG106" s="58" t="str">
        <f t="shared" si="60"/>
        <v/>
      </c>
      <c r="BH106" s="59"/>
      <c r="BI106" s="58" t="str">
        <f t="shared" si="61"/>
        <v/>
      </c>
      <c r="BJ106" s="59"/>
      <c r="BK106" s="58" t="str">
        <f t="shared" si="62"/>
        <v/>
      </c>
      <c r="BL106" s="59"/>
      <c r="BM106" s="58" t="str">
        <f t="shared" si="63"/>
        <v/>
      </c>
      <c r="BN106" s="59"/>
      <c r="BO106" s="58" t="str">
        <f t="shared" si="64"/>
        <v/>
      </c>
      <c r="BP106" s="59"/>
      <c r="BQ106" s="58" t="str">
        <f t="shared" si="65"/>
        <v/>
      </c>
      <c r="BR106" s="59"/>
      <c r="BS106" s="58" t="str">
        <f t="shared" si="66"/>
        <v/>
      </c>
      <c r="BT106" s="59"/>
      <c r="BU106" s="58" t="str">
        <f t="shared" si="67"/>
        <v/>
      </c>
      <c r="BV106" s="59"/>
      <c r="BW106" s="58" t="str">
        <f t="shared" si="68"/>
        <v/>
      </c>
      <c r="BX106" s="59"/>
      <c r="BY106" s="58" t="str">
        <f t="shared" si="69"/>
        <v/>
      </c>
      <c r="BZ106" s="59"/>
    </row>
    <row r="107" spans="1:78" ht="14.5" hidden="1">
      <c r="A107" s="51" t="s">
        <v>466</v>
      </c>
      <c r="B107" s="52">
        <v>367</v>
      </c>
      <c r="C107" s="52" t="s">
        <v>518</v>
      </c>
      <c r="D107" s="41">
        <f t="shared" si="38"/>
        <v>4</v>
      </c>
      <c r="E107" s="41"/>
      <c r="F107" s="41"/>
      <c r="G107" s="52" t="s">
        <v>196</v>
      </c>
      <c r="H107" s="52" t="s">
        <v>300</v>
      </c>
      <c r="I107" s="52" t="s">
        <v>528</v>
      </c>
      <c r="J107" s="52" t="s">
        <v>525</v>
      </c>
      <c r="K107" s="53">
        <v>45677</v>
      </c>
      <c r="L107" s="108">
        <v>192</v>
      </c>
      <c r="M107" s="101"/>
      <c r="N107" s="101"/>
      <c r="O107" s="101">
        <f t="shared" si="39"/>
        <v>192</v>
      </c>
      <c r="P107" s="54">
        <f t="shared" si="40"/>
        <v>192</v>
      </c>
      <c r="Q107" s="101" t="s">
        <v>178</v>
      </c>
      <c r="R107" s="101"/>
      <c r="S107" s="101"/>
      <c r="T107" s="102">
        <f t="shared" si="41"/>
        <v>0.26666666666666666</v>
      </c>
      <c r="U107" s="102">
        <v>6</v>
      </c>
      <c r="V107" s="99">
        <v>120</v>
      </c>
      <c r="W107" s="55">
        <f t="shared" si="70"/>
        <v>45645</v>
      </c>
      <c r="X107" s="55"/>
      <c r="Y107" s="56">
        <f t="shared" ca="1" si="43"/>
        <v>-195</v>
      </c>
      <c r="Z107" s="55">
        <f t="shared" si="44"/>
        <v>45661</v>
      </c>
      <c r="AA107" s="55"/>
      <c r="AB107" s="56">
        <f t="shared" ca="1" si="45"/>
        <v>-179</v>
      </c>
      <c r="AC107" s="55"/>
      <c r="AD107" s="57"/>
      <c r="AE107" s="58" t="str">
        <f t="shared" si="46"/>
        <v>-</v>
      </c>
      <c r="AF107" s="59"/>
      <c r="AG107" s="58" t="str">
        <f t="shared" si="47"/>
        <v/>
      </c>
      <c r="AH107" s="59"/>
      <c r="AI107" s="58" t="str">
        <f t="shared" si="48"/>
        <v/>
      </c>
      <c r="AJ107" s="59"/>
      <c r="AK107" s="58" t="str">
        <f t="shared" si="49"/>
        <v/>
      </c>
      <c r="AL107" s="59"/>
      <c r="AM107" s="58" t="str">
        <f t="shared" si="50"/>
        <v/>
      </c>
      <c r="AN107" s="59"/>
      <c r="AO107" s="58" t="str">
        <f t="shared" si="51"/>
        <v/>
      </c>
      <c r="AP107" s="59"/>
      <c r="AQ107" s="58" t="str">
        <f t="shared" si="52"/>
        <v/>
      </c>
      <c r="AR107" s="59"/>
      <c r="AS107" s="58" t="str">
        <f t="shared" si="53"/>
        <v/>
      </c>
      <c r="AT107" s="59"/>
      <c r="AU107" s="58" t="str">
        <f t="shared" si="54"/>
        <v/>
      </c>
      <c r="AV107" s="59"/>
      <c r="AW107" s="58" t="str">
        <f t="shared" si="55"/>
        <v/>
      </c>
      <c r="AX107" s="59"/>
      <c r="AY107" s="58">
        <f t="shared" si="56"/>
        <v>192</v>
      </c>
      <c r="AZ107" s="59"/>
      <c r="BA107" s="58" t="str">
        <f t="shared" si="57"/>
        <v/>
      </c>
      <c r="BB107" s="59"/>
      <c r="BC107" s="58" t="str">
        <f t="shared" si="58"/>
        <v/>
      </c>
      <c r="BD107" s="59"/>
      <c r="BE107" s="58" t="str">
        <f t="shared" si="59"/>
        <v/>
      </c>
      <c r="BF107" s="59"/>
      <c r="BG107" s="58" t="str">
        <f t="shared" si="60"/>
        <v/>
      </c>
      <c r="BH107" s="59"/>
      <c r="BI107" s="58" t="str">
        <f t="shared" si="61"/>
        <v/>
      </c>
      <c r="BJ107" s="59"/>
      <c r="BK107" s="58" t="str">
        <f t="shared" si="62"/>
        <v/>
      </c>
      <c r="BL107" s="59"/>
      <c r="BM107" s="58" t="str">
        <f t="shared" si="63"/>
        <v/>
      </c>
      <c r="BN107" s="59"/>
      <c r="BO107" s="58" t="str">
        <f t="shared" si="64"/>
        <v/>
      </c>
      <c r="BP107" s="59"/>
      <c r="BQ107" s="58" t="str">
        <f t="shared" si="65"/>
        <v/>
      </c>
      <c r="BR107" s="59"/>
      <c r="BS107" s="58" t="str">
        <f t="shared" si="66"/>
        <v/>
      </c>
      <c r="BT107" s="59"/>
      <c r="BU107" s="58" t="str">
        <f t="shared" si="67"/>
        <v/>
      </c>
      <c r="BV107" s="59"/>
      <c r="BW107" s="58" t="str">
        <f t="shared" si="68"/>
        <v/>
      </c>
      <c r="BX107" s="59"/>
      <c r="BY107" s="58" t="str">
        <f t="shared" si="69"/>
        <v/>
      </c>
      <c r="BZ107" s="59"/>
    </row>
    <row r="108" spans="1:78" ht="14.5" hidden="1">
      <c r="A108" s="51" t="s">
        <v>466</v>
      </c>
      <c r="B108" s="52">
        <v>367</v>
      </c>
      <c r="C108" s="52" t="s">
        <v>518</v>
      </c>
      <c r="D108" s="41">
        <f t="shared" si="38"/>
        <v>4</v>
      </c>
      <c r="E108" s="41"/>
      <c r="F108" s="41"/>
      <c r="G108" s="52" t="s">
        <v>196</v>
      </c>
      <c r="H108" s="52" t="s">
        <v>300</v>
      </c>
      <c r="I108" s="52" t="s">
        <v>524</v>
      </c>
      <c r="J108" s="52" t="s">
        <v>458</v>
      </c>
      <c r="K108" s="53">
        <v>45677</v>
      </c>
      <c r="L108" s="108">
        <v>252</v>
      </c>
      <c r="M108" s="101"/>
      <c r="N108" s="101"/>
      <c r="O108" s="101">
        <f t="shared" si="39"/>
        <v>252</v>
      </c>
      <c r="P108" s="54">
        <f t="shared" si="40"/>
        <v>252</v>
      </c>
      <c r="Q108" s="101" t="s">
        <v>178</v>
      </c>
      <c r="R108" s="101"/>
      <c r="S108" s="101"/>
      <c r="T108" s="102">
        <f t="shared" si="41"/>
        <v>0.35</v>
      </c>
      <c r="U108" s="102">
        <v>6</v>
      </c>
      <c r="V108" s="99">
        <v>120</v>
      </c>
      <c r="W108" s="55">
        <f t="shared" si="70"/>
        <v>45645</v>
      </c>
      <c r="X108" s="55"/>
      <c r="Y108" s="56">
        <f t="shared" ca="1" si="43"/>
        <v>-195</v>
      </c>
      <c r="Z108" s="55">
        <f t="shared" si="44"/>
        <v>45661</v>
      </c>
      <c r="AA108" s="55"/>
      <c r="AB108" s="56">
        <f t="shared" ca="1" si="45"/>
        <v>-179</v>
      </c>
      <c r="AC108" s="55"/>
      <c r="AD108" s="57"/>
      <c r="AE108" s="58" t="str">
        <f t="shared" si="46"/>
        <v>-</v>
      </c>
      <c r="AF108" s="59"/>
      <c r="AG108" s="58" t="str">
        <f t="shared" si="47"/>
        <v/>
      </c>
      <c r="AH108" s="59"/>
      <c r="AI108" s="58" t="str">
        <f t="shared" si="48"/>
        <v/>
      </c>
      <c r="AJ108" s="59"/>
      <c r="AK108" s="58" t="str">
        <f t="shared" si="49"/>
        <v/>
      </c>
      <c r="AL108" s="59"/>
      <c r="AM108" s="58" t="str">
        <f t="shared" si="50"/>
        <v/>
      </c>
      <c r="AN108" s="59"/>
      <c r="AO108" s="58" t="str">
        <f t="shared" si="51"/>
        <v/>
      </c>
      <c r="AP108" s="59"/>
      <c r="AQ108" s="58" t="str">
        <f t="shared" si="52"/>
        <v/>
      </c>
      <c r="AR108" s="59"/>
      <c r="AS108" s="58" t="str">
        <f t="shared" si="53"/>
        <v/>
      </c>
      <c r="AT108" s="59"/>
      <c r="AU108" s="58" t="str">
        <f t="shared" si="54"/>
        <v/>
      </c>
      <c r="AV108" s="59"/>
      <c r="AW108" s="58" t="str">
        <f t="shared" si="55"/>
        <v/>
      </c>
      <c r="AX108" s="59"/>
      <c r="AY108" s="58">
        <f t="shared" si="56"/>
        <v>252</v>
      </c>
      <c r="AZ108" s="59"/>
      <c r="BA108" s="58" t="str">
        <f t="shared" si="57"/>
        <v/>
      </c>
      <c r="BB108" s="59"/>
      <c r="BC108" s="58" t="str">
        <f t="shared" si="58"/>
        <v/>
      </c>
      <c r="BD108" s="59"/>
      <c r="BE108" s="58" t="str">
        <f t="shared" si="59"/>
        <v/>
      </c>
      <c r="BF108" s="59"/>
      <c r="BG108" s="58" t="str">
        <f t="shared" si="60"/>
        <v/>
      </c>
      <c r="BH108" s="59"/>
      <c r="BI108" s="58" t="str">
        <f t="shared" si="61"/>
        <v/>
      </c>
      <c r="BJ108" s="59"/>
      <c r="BK108" s="58" t="str">
        <f t="shared" si="62"/>
        <v/>
      </c>
      <c r="BL108" s="59"/>
      <c r="BM108" s="58" t="str">
        <f t="shared" si="63"/>
        <v/>
      </c>
      <c r="BN108" s="59"/>
      <c r="BO108" s="58" t="str">
        <f t="shared" si="64"/>
        <v/>
      </c>
      <c r="BP108" s="59"/>
      <c r="BQ108" s="58" t="str">
        <f t="shared" si="65"/>
        <v/>
      </c>
      <c r="BR108" s="59"/>
      <c r="BS108" s="58" t="str">
        <f t="shared" si="66"/>
        <v/>
      </c>
      <c r="BT108" s="59"/>
      <c r="BU108" s="58" t="str">
        <f t="shared" si="67"/>
        <v/>
      </c>
      <c r="BV108" s="59"/>
      <c r="BW108" s="58" t="str">
        <f t="shared" si="68"/>
        <v/>
      </c>
      <c r="BX108" s="59"/>
      <c r="BY108" s="58" t="str">
        <f t="shared" si="69"/>
        <v/>
      </c>
      <c r="BZ108" s="59"/>
    </row>
    <row r="109" spans="1:78" ht="14.5" hidden="1">
      <c r="A109" s="51" t="s">
        <v>466</v>
      </c>
      <c r="B109" s="52">
        <v>367</v>
      </c>
      <c r="C109" s="52" t="s">
        <v>518</v>
      </c>
      <c r="D109" s="41">
        <f t="shared" si="38"/>
        <v>4</v>
      </c>
      <c r="E109" s="41"/>
      <c r="F109" s="41"/>
      <c r="G109" s="52" t="s">
        <v>196</v>
      </c>
      <c r="H109" s="52" t="s">
        <v>300</v>
      </c>
      <c r="I109" s="52" t="s">
        <v>526</v>
      </c>
      <c r="J109" s="52" t="s">
        <v>458</v>
      </c>
      <c r="K109" s="53">
        <v>45677</v>
      </c>
      <c r="L109" s="108">
        <v>252</v>
      </c>
      <c r="M109" s="101"/>
      <c r="N109" s="101"/>
      <c r="O109" s="101">
        <f t="shared" si="39"/>
        <v>252</v>
      </c>
      <c r="P109" s="54">
        <f t="shared" si="40"/>
        <v>252</v>
      </c>
      <c r="Q109" s="101" t="s">
        <v>178</v>
      </c>
      <c r="R109" s="101"/>
      <c r="S109" s="101"/>
      <c r="T109" s="102">
        <f t="shared" si="41"/>
        <v>0.35</v>
      </c>
      <c r="U109" s="102">
        <v>6</v>
      </c>
      <c r="V109" s="99">
        <v>120</v>
      </c>
      <c r="W109" s="55">
        <f t="shared" si="70"/>
        <v>45645</v>
      </c>
      <c r="X109" s="55"/>
      <c r="Y109" s="56">
        <f t="shared" ca="1" si="43"/>
        <v>-195</v>
      </c>
      <c r="Z109" s="55">
        <f t="shared" si="44"/>
        <v>45661</v>
      </c>
      <c r="AA109" s="55"/>
      <c r="AB109" s="56">
        <f t="shared" ca="1" si="45"/>
        <v>-179</v>
      </c>
      <c r="AC109" s="55"/>
      <c r="AD109" s="57"/>
      <c r="AE109" s="58" t="str">
        <f t="shared" si="46"/>
        <v>-</v>
      </c>
      <c r="AF109" s="59"/>
      <c r="AG109" s="58" t="str">
        <f t="shared" si="47"/>
        <v/>
      </c>
      <c r="AH109" s="59"/>
      <c r="AI109" s="58" t="str">
        <f t="shared" si="48"/>
        <v/>
      </c>
      <c r="AJ109" s="59"/>
      <c r="AK109" s="58" t="str">
        <f t="shared" si="49"/>
        <v/>
      </c>
      <c r="AL109" s="59"/>
      <c r="AM109" s="58" t="str">
        <f t="shared" si="50"/>
        <v/>
      </c>
      <c r="AN109" s="59"/>
      <c r="AO109" s="58" t="str">
        <f t="shared" si="51"/>
        <v/>
      </c>
      <c r="AP109" s="59"/>
      <c r="AQ109" s="58" t="str">
        <f t="shared" si="52"/>
        <v/>
      </c>
      <c r="AR109" s="59"/>
      <c r="AS109" s="58" t="str">
        <f t="shared" si="53"/>
        <v/>
      </c>
      <c r="AT109" s="59"/>
      <c r="AU109" s="58" t="str">
        <f t="shared" si="54"/>
        <v/>
      </c>
      <c r="AV109" s="59"/>
      <c r="AW109" s="58" t="str">
        <f t="shared" si="55"/>
        <v/>
      </c>
      <c r="AX109" s="59"/>
      <c r="AY109" s="58">
        <f t="shared" si="56"/>
        <v>252</v>
      </c>
      <c r="AZ109" s="59"/>
      <c r="BA109" s="58" t="str">
        <f t="shared" si="57"/>
        <v/>
      </c>
      <c r="BB109" s="59"/>
      <c r="BC109" s="58" t="str">
        <f t="shared" si="58"/>
        <v/>
      </c>
      <c r="BD109" s="59"/>
      <c r="BE109" s="58" t="str">
        <f t="shared" si="59"/>
        <v/>
      </c>
      <c r="BF109" s="59"/>
      <c r="BG109" s="58" t="str">
        <f t="shared" si="60"/>
        <v/>
      </c>
      <c r="BH109" s="59"/>
      <c r="BI109" s="58" t="str">
        <f t="shared" si="61"/>
        <v/>
      </c>
      <c r="BJ109" s="59"/>
      <c r="BK109" s="58" t="str">
        <f t="shared" si="62"/>
        <v/>
      </c>
      <c r="BL109" s="59"/>
      <c r="BM109" s="58" t="str">
        <f t="shared" si="63"/>
        <v/>
      </c>
      <c r="BN109" s="59"/>
      <c r="BO109" s="58" t="str">
        <f t="shared" si="64"/>
        <v/>
      </c>
      <c r="BP109" s="59"/>
      <c r="BQ109" s="58" t="str">
        <f t="shared" si="65"/>
        <v/>
      </c>
      <c r="BR109" s="59"/>
      <c r="BS109" s="58" t="str">
        <f t="shared" si="66"/>
        <v/>
      </c>
      <c r="BT109" s="59"/>
      <c r="BU109" s="58" t="str">
        <f t="shared" si="67"/>
        <v/>
      </c>
      <c r="BV109" s="59"/>
      <c r="BW109" s="58" t="str">
        <f t="shared" si="68"/>
        <v/>
      </c>
      <c r="BX109" s="59"/>
      <c r="BY109" s="58" t="str">
        <f t="shared" si="69"/>
        <v/>
      </c>
      <c r="BZ109" s="59"/>
    </row>
    <row r="110" spans="1:78" ht="14.5" hidden="1">
      <c r="A110" s="51" t="s">
        <v>466</v>
      </c>
      <c r="B110" s="52">
        <v>367</v>
      </c>
      <c r="C110" s="52" t="s">
        <v>518</v>
      </c>
      <c r="D110" s="41">
        <f t="shared" si="38"/>
        <v>4</v>
      </c>
      <c r="E110" s="41"/>
      <c r="F110" s="41"/>
      <c r="G110" s="52" t="s">
        <v>196</v>
      </c>
      <c r="H110" s="52" t="s">
        <v>300</v>
      </c>
      <c r="I110" s="52" t="s">
        <v>527</v>
      </c>
      <c r="J110" s="52" t="s">
        <v>458</v>
      </c>
      <c r="K110" s="53">
        <v>45677</v>
      </c>
      <c r="L110" s="108">
        <v>252</v>
      </c>
      <c r="M110" s="101"/>
      <c r="N110" s="101"/>
      <c r="O110" s="101">
        <f t="shared" si="39"/>
        <v>252</v>
      </c>
      <c r="P110" s="54">
        <f t="shared" si="40"/>
        <v>252</v>
      </c>
      <c r="Q110" s="101" t="s">
        <v>178</v>
      </c>
      <c r="R110" s="101"/>
      <c r="S110" s="101"/>
      <c r="T110" s="102">
        <f t="shared" si="41"/>
        <v>0.35</v>
      </c>
      <c r="U110" s="102">
        <v>6</v>
      </c>
      <c r="V110" s="99">
        <v>120</v>
      </c>
      <c r="W110" s="55">
        <f t="shared" si="70"/>
        <v>45645</v>
      </c>
      <c r="X110" s="55"/>
      <c r="Y110" s="56">
        <f t="shared" ca="1" si="43"/>
        <v>-195</v>
      </c>
      <c r="Z110" s="55">
        <f t="shared" si="44"/>
        <v>45661</v>
      </c>
      <c r="AA110" s="55"/>
      <c r="AB110" s="56">
        <f t="shared" ca="1" si="45"/>
        <v>-179</v>
      </c>
      <c r="AC110" s="55"/>
      <c r="AD110" s="57"/>
      <c r="AE110" s="58" t="str">
        <f t="shared" si="46"/>
        <v>-</v>
      </c>
      <c r="AF110" s="59"/>
      <c r="AG110" s="58" t="str">
        <f t="shared" si="47"/>
        <v/>
      </c>
      <c r="AH110" s="59"/>
      <c r="AI110" s="58" t="str">
        <f t="shared" si="48"/>
        <v/>
      </c>
      <c r="AJ110" s="59"/>
      <c r="AK110" s="58" t="str">
        <f t="shared" si="49"/>
        <v/>
      </c>
      <c r="AL110" s="59"/>
      <c r="AM110" s="58" t="str">
        <f t="shared" si="50"/>
        <v/>
      </c>
      <c r="AN110" s="59"/>
      <c r="AO110" s="58" t="str">
        <f t="shared" si="51"/>
        <v/>
      </c>
      <c r="AP110" s="59"/>
      <c r="AQ110" s="58" t="str">
        <f t="shared" si="52"/>
        <v/>
      </c>
      <c r="AR110" s="59"/>
      <c r="AS110" s="58" t="str">
        <f t="shared" si="53"/>
        <v/>
      </c>
      <c r="AT110" s="59"/>
      <c r="AU110" s="58" t="str">
        <f t="shared" si="54"/>
        <v/>
      </c>
      <c r="AV110" s="59"/>
      <c r="AW110" s="58" t="str">
        <f t="shared" si="55"/>
        <v/>
      </c>
      <c r="AX110" s="59"/>
      <c r="AY110" s="58">
        <f t="shared" si="56"/>
        <v>252</v>
      </c>
      <c r="AZ110" s="59"/>
      <c r="BA110" s="58" t="str">
        <f t="shared" si="57"/>
        <v/>
      </c>
      <c r="BB110" s="59"/>
      <c r="BC110" s="58" t="str">
        <f t="shared" si="58"/>
        <v/>
      </c>
      <c r="BD110" s="59"/>
      <c r="BE110" s="58" t="str">
        <f t="shared" si="59"/>
        <v/>
      </c>
      <c r="BF110" s="59"/>
      <c r="BG110" s="58" t="str">
        <f t="shared" si="60"/>
        <v/>
      </c>
      <c r="BH110" s="59"/>
      <c r="BI110" s="58" t="str">
        <f t="shared" si="61"/>
        <v/>
      </c>
      <c r="BJ110" s="59"/>
      <c r="BK110" s="58" t="str">
        <f t="shared" si="62"/>
        <v/>
      </c>
      <c r="BL110" s="59"/>
      <c r="BM110" s="58" t="str">
        <f t="shared" si="63"/>
        <v/>
      </c>
      <c r="BN110" s="59"/>
      <c r="BO110" s="58" t="str">
        <f t="shared" si="64"/>
        <v/>
      </c>
      <c r="BP110" s="59"/>
      <c r="BQ110" s="58" t="str">
        <f t="shared" si="65"/>
        <v/>
      </c>
      <c r="BR110" s="59"/>
      <c r="BS110" s="58" t="str">
        <f t="shared" si="66"/>
        <v/>
      </c>
      <c r="BT110" s="59"/>
      <c r="BU110" s="58" t="str">
        <f t="shared" si="67"/>
        <v/>
      </c>
      <c r="BV110" s="59"/>
      <c r="BW110" s="58" t="str">
        <f t="shared" si="68"/>
        <v/>
      </c>
      <c r="BX110" s="59"/>
      <c r="BY110" s="58" t="str">
        <f t="shared" si="69"/>
        <v/>
      </c>
      <c r="BZ110" s="59"/>
    </row>
    <row r="111" spans="1:78" ht="14.5" hidden="1">
      <c r="A111" s="51" t="s">
        <v>466</v>
      </c>
      <c r="B111" s="52">
        <v>367</v>
      </c>
      <c r="C111" s="52" t="s">
        <v>518</v>
      </c>
      <c r="D111" s="41">
        <f t="shared" si="38"/>
        <v>4</v>
      </c>
      <c r="E111" s="41"/>
      <c r="F111" s="41"/>
      <c r="G111" s="52" t="s">
        <v>196</v>
      </c>
      <c r="H111" s="52" t="s">
        <v>300</v>
      </c>
      <c r="I111" s="52" t="s">
        <v>528</v>
      </c>
      <c r="J111" s="52" t="s">
        <v>458</v>
      </c>
      <c r="K111" s="53">
        <v>45677</v>
      </c>
      <c r="L111" s="108">
        <v>252</v>
      </c>
      <c r="M111" s="101"/>
      <c r="N111" s="101"/>
      <c r="O111" s="101">
        <f t="shared" si="39"/>
        <v>252</v>
      </c>
      <c r="P111" s="54">
        <f t="shared" si="40"/>
        <v>252</v>
      </c>
      <c r="Q111" s="101" t="s">
        <v>178</v>
      </c>
      <c r="R111" s="101"/>
      <c r="S111" s="101"/>
      <c r="T111" s="102">
        <f t="shared" si="41"/>
        <v>0.35</v>
      </c>
      <c r="U111" s="102">
        <v>6</v>
      </c>
      <c r="V111" s="99">
        <v>120</v>
      </c>
      <c r="W111" s="55">
        <f t="shared" si="70"/>
        <v>45645</v>
      </c>
      <c r="X111" s="55"/>
      <c r="Y111" s="56">
        <f t="shared" ca="1" si="43"/>
        <v>-195</v>
      </c>
      <c r="Z111" s="55">
        <f t="shared" si="44"/>
        <v>45661</v>
      </c>
      <c r="AA111" s="55"/>
      <c r="AB111" s="56">
        <f t="shared" ca="1" si="45"/>
        <v>-179</v>
      </c>
      <c r="AC111" s="55"/>
      <c r="AD111" s="57"/>
      <c r="AE111" s="58" t="str">
        <f t="shared" si="46"/>
        <v>-</v>
      </c>
      <c r="AF111" s="59"/>
      <c r="AG111" s="58" t="str">
        <f t="shared" si="47"/>
        <v/>
      </c>
      <c r="AH111" s="59"/>
      <c r="AI111" s="58" t="str">
        <f t="shared" si="48"/>
        <v/>
      </c>
      <c r="AJ111" s="59"/>
      <c r="AK111" s="58" t="str">
        <f t="shared" si="49"/>
        <v/>
      </c>
      <c r="AL111" s="59"/>
      <c r="AM111" s="58" t="str">
        <f t="shared" si="50"/>
        <v/>
      </c>
      <c r="AN111" s="59"/>
      <c r="AO111" s="58" t="str">
        <f t="shared" si="51"/>
        <v/>
      </c>
      <c r="AP111" s="59"/>
      <c r="AQ111" s="58" t="str">
        <f t="shared" si="52"/>
        <v/>
      </c>
      <c r="AR111" s="59"/>
      <c r="AS111" s="58" t="str">
        <f t="shared" si="53"/>
        <v/>
      </c>
      <c r="AT111" s="59"/>
      <c r="AU111" s="58" t="str">
        <f t="shared" si="54"/>
        <v/>
      </c>
      <c r="AV111" s="59"/>
      <c r="AW111" s="58" t="str">
        <f t="shared" si="55"/>
        <v/>
      </c>
      <c r="AX111" s="59"/>
      <c r="AY111" s="58">
        <f t="shared" si="56"/>
        <v>252</v>
      </c>
      <c r="AZ111" s="59"/>
      <c r="BA111" s="58" t="str">
        <f t="shared" si="57"/>
        <v/>
      </c>
      <c r="BB111" s="59"/>
      <c r="BC111" s="58" t="str">
        <f t="shared" si="58"/>
        <v/>
      </c>
      <c r="BD111" s="59"/>
      <c r="BE111" s="58" t="str">
        <f t="shared" si="59"/>
        <v/>
      </c>
      <c r="BF111" s="59"/>
      <c r="BG111" s="58" t="str">
        <f t="shared" si="60"/>
        <v/>
      </c>
      <c r="BH111" s="59"/>
      <c r="BI111" s="58" t="str">
        <f t="shared" si="61"/>
        <v/>
      </c>
      <c r="BJ111" s="59"/>
      <c r="BK111" s="58" t="str">
        <f t="shared" si="62"/>
        <v/>
      </c>
      <c r="BL111" s="59"/>
      <c r="BM111" s="58" t="str">
        <f t="shared" si="63"/>
        <v/>
      </c>
      <c r="BN111" s="59"/>
      <c r="BO111" s="58" t="str">
        <f t="shared" si="64"/>
        <v/>
      </c>
      <c r="BP111" s="59"/>
      <c r="BQ111" s="58" t="str">
        <f t="shared" si="65"/>
        <v/>
      </c>
      <c r="BR111" s="59"/>
      <c r="BS111" s="58" t="str">
        <f t="shared" si="66"/>
        <v/>
      </c>
      <c r="BT111" s="59"/>
      <c r="BU111" s="58" t="str">
        <f t="shared" si="67"/>
        <v/>
      </c>
      <c r="BV111" s="59"/>
      <c r="BW111" s="58" t="str">
        <f t="shared" si="68"/>
        <v/>
      </c>
      <c r="BX111" s="59"/>
      <c r="BY111" s="58" t="str">
        <f t="shared" si="69"/>
        <v/>
      </c>
      <c r="BZ111" s="59"/>
    </row>
    <row r="112" spans="1:78" ht="14.5" hidden="1">
      <c r="A112" s="51" t="s">
        <v>466</v>
      </c>
      <c r="B112" s="52">
        <v>367</v>
      </c>
      <c r="C112" s="52" t="s">
        <v>518</v>
      </c>
      <c r="D112" s="41">
        <f t="shared" si="38"/>
        <v>4</v>
      </c>
      <c r="E112" s="41"/>
      <c r="F112" s="41"/>
      <c r="G112" s="52" t="s">
        <v>196</v>
      </c>
      <c r="H112" s="52" t="s">
        <v>300</v>
      </c>
      <c r="I112" s="52" t="s">
        <v>524</v>
      </c>
      <c r="J112" s="52" t="s">
        <v>529</v>
      </c>
      <c r="K112" s="53">
        <v>45677</v>
      </c>
      <c r="L112" s="108">
        <v>192</v>
      </c>
      <c r="M112" s="101"/>
      <c r="N112" s="101"/>
      <c r="O112" s="101">
        <f t="shared" si="39"/>
        <v>192</v>
      </c>
      <c r="P112" s="54">
        <f t="shared" si="40"/>
        <v>192</v>
      </c>
      <c r="Q112" s="101" t="s">
        <v>178</v>
      </c>
      <c r="R112" s="101"/>
      <c r="S112" s="101"/>
      <c r="T112" s="102">
        <f t="shared" si="41"/>
        <v>0.26666666666666666</v>
      </c>
      <c r="U112" s="102">
        <v>6</v>
      </c>
      <c r="V112" s="99">
        <v>120</v>
      </c>
      <c r="W112" s="55">
        <f t="shared" si="70"/>
        <v>45645</v>
      </c>
      <c r="X112" s="55"/>
      <c r="Y112" s="56">
        <f t="shared" ca="1" si="43"/>
        <v>-195</v>
      </c>
      <c r="Z112" s="55">
        <f t="shared" si="44"/>
        <v>45661</v>
      </c>
      <c r="AA112" s="55"/>
      <c r="AB112" s="56">
        <f t="shared" ca="1" si="45"/>
        <v>-179</v>
      </c>
      <c r="AC112" s="55"/>
      <c r="AD112" s="57"/>
      <c r="AE112" s="58" t="str">
        <f t="shared" si="46"/>
        <v>-</v>
      </c>
      <c r="AF112" s="59"/>
      <c r="AG112" s="58" t="str">
        <f t="shared" si="47"/>
        <v/>
      </c>
      <c r="AH112" s="59"/>
      <c r="AI112" s="58" t="str">
        <f t="shared" si="48"/>
        <v/>
      </c>
      <c r="AJ112" s="59"/>
      <c r="AK112" s="58" t="str">
        <f t="shared" si="49"/>
        <v/>
      </c>
      <c r="AL112" s="59"/>
      <c r="AM112" s="58" t="str">
        <f t="shared" si="50"/>
        <v/>
      </c>
      <c r="AN112" s="59"/>
      <c r="AO112" s="58" t="str">
        <f t="shared" si="51"/>
        <v/>
      </c>
      <c r="AP112" s="59"/>
      <c r="AQ112" s="58" t="str">
        <f t="shared" si="52"/>
        <v/>
      </c>
      <c r="AR112" s="59"/>
      <c r="AS112" s="58" t="str">
        <f t="shared" si="53"/>
        <v/>
      </c>
      <c r="AT112" s="59"/>
      <c r="AU112" s="58" t="str">
        <f t="shared" si="54"/>
        <v/>
      </c>
      <c r="AV112" s="59"/>
      <c r="AW112" s="58" t="str">
        <f t="shared" si="55"/>
        <v/>
      </c>
      <c r="AX112" s="59"/>
      <c r="AY112" s="58">
        <f t="shared" si="56"/>
        <v>192</v>
      </c>
      <c r="AZ112" s="59"/>
      <c r="BA112" s="58" t="str">
        <f t="shared" si="57"/>
        <v/>
      </c>
      <c r="BB112" s="59"/>
      <c r="BC112" s="58" t="str">
        <f t="shared" si="58"/>
        <v/>
      </c>
      <c r="BD112" s="59"/>
      <c r="BE112" s="58" t="str">
        <f t="shared" si="59"/>
        <v/>
      </c>
      <c r="BF112" s="59"/>
      <c r="BG112" s="58" t="str">
        <f t="shared" si="60"/>
        <v/>
      </c>
      <c r="BH112" s="59"/>
      <c r="BI112" s="58" t="str">
        <f t="shared" si="61"/>
        <v/>
      </c>
      <c r="BJ112" s="59"/>
      <c r="BK112" s="58" t="str">
        <f t="shared" si="62"/>
        <v/>
      </c>
      <c r="BL112" s="59"/>
      <c r="BM112" s="58" t="str">
        <f t="shared" si="63"/>
        <v/>
      </c>
      <c r="BN112" s="59"/>
      <c r="BO112" s="58" t="str">
        <f t="shared" si="64"/>
        <v/>
      </c>
      <c r="BP112" s="59"/>
      <c r="BQ112" s="58" t="str">
        <f t="shared" si="65"/>
        <v/>
      </c>
      <c r="BR112" s="59"/>
      <c r="BS112" s="58" t="str">
        <f t="shared" si="66"/>
        <v/>
      </c>
      <c r="BT112" s="59"/>
      <c r="BU112" s="58" t="str">
        <f t="shared" si="67"/>
        <v/>
      </c>
      <c r="BV112" s="59"/>
      <c r="BW112" s="58" t="str">
        <f t="shared" si="68"/>
        <v/>
      </c>
      <c r="BX112" s="59"/>
      <c r="BY112" s="58" t="str">
        <f t="shared" si="69"/>
        <v/>
      </c>
      <c r="BZ112" s="59"/>
    </row>
    <row r="113" spans="1:78" ht="14.5" hidden="1">
      <c r="A113" s="51" t="s">
        <v>466</v>
      </c>
      <c r="B113" s="52">
        <v>367</v>
      </c>
      <c r="C113" s="52" t="s">
        <v>518</v>
      </c>
      <c r="D113" s="41">
        <f t="shared" si="38"/>
        <v>4</v>
      </c>
      <c r="E113" s="41"/>
      <c r="F113" s="41"/>
      <c r="G113" s="52" t="s">
        <v>196</v>
      </c>
      <c r="H113" s="52" t="s">
        <v>300</v>
      </c>
      <c r="I113" s="52" t="s">
        <v>526</v>
      </c>
      <c r="J113" s="52" t="s">
        <v>529</v>
      </c>
      <c r="K113" s="53">
        <v>45677</v>
      </c>
      <c r="L113" s="108">
        <v>192</v>
      </c>
      <c r="M113" s="101"/>
      <c r="N113" s="101"/>
      <c r="O113" s="101">
        <f t="shared" si="39"/>
        <v>192</v>
      </c>
      <c r="P113" s="54">
        <f t="shared" si="40"/>
        <v>192</v>
      </c>
      <c r="Q113" s="101" t="s">
        <v>178</v>
      </c>
      <c r="R113" s="101"/>
      <c r="S113" s="101"/>
      <c r="T113" s="102">
        <f t="shared" si="41"/>
        <v>0.26666666666666666</v>
      </c>
      <c r="U113" s="102">
        <v>6</v>
      </c>
      <c r="V113" s="99">
        <v>120</v>
      </c>
      <c r="W113" s="55">
        <f t="shared" si="70"/>
        <v>45645</v>
      </c>
      <c r="X113" s="55"/>
      <c r="Y113" s="56">
        <f t="shared" ca="1" si="43"/>
        <v>-195</v>
      </c>
      <c r="Z113" s="55">
        <f t="shared" si="44"/>
        <v>45661</v>
      </c>
      <c r="AA113" s="55"/>
      <c r="AB113" s="56">
        <f t="shared" ca="1" si="45"/>
        <v>-179</v>
      </c>
      <c r="AC113" s="55"/>
      <c r="AD113" s="57"/>
      <c r="AE113" s="58" t="str">
        <f t="shared" si="46"/>
        <v>-</v>
      </c>
      <c r="AF113" s="59"/>
      <c r="AG113" s="58" t="str">
        <f t="shared" si="47"/>
        <v/>
      </c>
      <c r="AH113" s="59"/>
      <c r="AI113" s="58" t="str">
        <f t="shared" si="48"/>
        <v/>
      </c>
      <c r="AJ113" s="59"/>
      <c r="AK113" s="58" t="str">
        <f t="shared" si="49"/>
        <v/>
      </c>
      <c r="AL113" s="59"/>
      <c r="AM113" s="58" t="str">
        <f t="shared" si="50"/>
        <v/>
      </c>
      <c r="AN113" s="59"/>
      <c r="AO113" s="58" t="str">
        <f t="shared" si="51"/>
        <v/>
      </c>
      <c r="AP113" s="59"/>
      <c r="AQ113" s="58" t="str">
        <f t="shared" si="52"/>
        <v/>
      </c>
      <c r="AR113" s="59"/>
      <c r="AS113" s="58" t="str">
        <f t="shared" si="53"/>
        <v/>
      </c>
      <c r="AT113" s="59"/>
      <c r="AU113" s="58" t="str">
        <f t="shared" si="54"/>
        <v/>
      </c>
      <c r="AV113" s="59"/>
      <c r="AW113" s="58" t="str">
        <f t="shared" si="55"/>
        <v/>
      </c>
      <c r="AX113" s="59"/>
      <c r="AY113" s="58">
        <f t="shared" si="56"/>
        <v>192</v>
      </c>
      <c r="AZ113" s="59"/>
      <c r="BA113" s="58" t="str">
        <f t="shared" si="57"/>
        <v/>
      </c>
      <c r="BB113" s="59"/>
      <c r="BC113" s="58" t="str">
        <f t="shared" si="58"/>
        <v/>
      </c>
      <c r="BD113" s="59"/>
      <c r="BE113" s="58" t="str">
        <f t="shared" si="59"/>
        <v/>
      </c>
      <c r="BF113" s="59"/>
      <c r="BG113" s="58" t="str">
        <f t="shared" si="60"/>
        <v/>
      </c>
      <c r="BH113" s="59"/>
      <c r="BI113" s="58" t="str">
        <f t="shared" si="61"/>
        <v/>
      </c>
      <c r="BJ113" s="59"/>
      <c r="BK113" s="58" t="str">
        <f t="shared" si="62"/>
        <v/>
      </c>
      <c r="BL113" s="59"/>
      <c r="BM113" s="58" t="str">
        <f t="shared" si="63"/>
        <v/>
      </c>
      <c r="BN113" s="59"/>
      <c r="BO113" s="58" t="str">
        <f t="shared" si="64"/>
        <v/>
      </c>
      <c r="BP113" s="59"/>
      <c r="BQ113" s="58" t="str">
        <f t="shared" si="65"/>
        <v/>
      </c>
      <c r="BR113" s="59"/>
      <c r="BS113" s="58" t="str">
        <f t="shared" si="66"/>
        <v/>
      </c>
      <c r="BT113" s="59"/>
      <c r="BU113" s="58" t="str">
        <f t="shared" si="67"/>
        <v/>
      </c>
      <c r="BV113" s="59"/>
      <c r="BW113" s="58" t="str">
        <f t="shared" si="68"/>
        <v/>
      </c>
      <c r="BX113" s="59"/>
      <c r="BY113" s="58" t="str">
        <f t="shared" si="69"/>
        <v/>
      </c>
      <c r="BZ113" s="59"/>
    </row>
    <row r="114" spans="1:78" ht="14.5" hidden="1">
      <c r="A114" s="51" t="s">
        <v>466</v>
      </c>
      <c r="B114" s="52">
        <v>367</v>
      </c>
      <c r="C114" s="52" t="s">
        <v>518</v>
      </c>
      <c r="D114" s="41">
        <f t="shared" si="38"/>
        <v>4</v>
      </c>
      <c r="E114" s="41"/>
      <c r="F114" s="41"/>
      <c r="G114" s="52" t="s">
        <v>196</v>
      </c>
      <c r="H114" s="52" t="s">
        <v>300</v>
      </c>
      <c r="I114" s="52" t="s">
        <v>527</v>
      </c>
      <c r="J114" s="52" t="s">
        <v>529</v>
      </c>
      <c r="K114" s="53">
        <v>45677</v>
      </c>
      <c r="L114" s="108">
        <v>192</v>
      </c>
      <c r="M114" s="101"/>
      <c r="N114" s="101"/>
      <c r="O114" s="101">
        <f t="shared" si="39"/>
        <v>192</v>
      </c>
      <c r="P114" s="54">
        <f t="shared" si="40"/>
        <v>192</v>
      </c>
      <c r="Q114" s="101" t="s">
        <v>178</v>
      </c>
      <c r="R114" s="101"/>
      <c r="S114" s="101"/>
      <c r="T114" s="102">
        <f t="shared" si="41"/>
        <v>0.26666666666666666</v>
      </c>
      <c r="U114" s="102">
        <v>6</v>
      </c>
      <c r="V114" s="99">
        <v>120</v>
      </c>
      <c r="W114" s="55">
        <f t="shared" si="70"/>
        <v>45645</v>
      </c>
      <c r="X114" s="55"/>
      <c r="Y114" s="56">
        <f t="shared" ca="1" si="43"/>
        <v>-195</v>
      </c>
      <c r="Z114" s="55">
        <f t="shared" si="44"/>
        <v>45661</v>
      </c>
      <c r="AA114" s="55"/>
      <c r="AB114" s="56">
        <f t="shared" ca="1" si="45"/>
        <v>-179</v>
      </c>
      <c r="AC114" s="55"/>
      <c r="AD114" s="57"/>
      <c r="AE114" s="58" t="str">
        <f t="shared" si="46"/>
        <v>-</v>
      </c>
      <c r="AF114" s="59"/>
      <c r="AG114" s="58" t="str">
        <f t="shared" si="47"/>
        <v/>
      </c>
      <c r="AH114" s="59"/>
      <c r="AI114" s="58" t="str">
        <f t="shared" si="48"/>
        <v/>
      </c>
      <c r="AJ114" s="59"/>
      <c r="AK114" s="58" t="str">
        <f t="shared" si="49"/>
        <v/>
      </c>
      <c r="AL114" s="59"/>
      <c r="AM114" s="58" t="str">
        <f t="shared" si="50"/>
        <v/>
      </c>
      <c r="AN114" s="59"/>
      <c r="AO114" s="58" t="str">
        <f t="shared" si="51"/>
        <v/>
      </c>
      <c r="AP114" s="59"/>
      <c r="AQ114" s="58" t="str">
        <f t="shared" si="52"/>
        <v/>
      </c>
      <c r="AR114" s="59"/>
      <c r="AS114" s="58" t="str">
        <f t="shared" si="53"/>
        <v/>
      </c>
      <c r="AT114" s="59"/>
      <c r="AU114" s="58" t="str">
        <f t="shared" si="54"/>
        <v/>
      </c>
      <c r="AV114" s="59"/>
      <c r="AW114" s="58" t="str">
        <f t="shared" si="55"/>
        <v/>
      </c>
      <c r="AX114" s="59"/>
      <c r="AY114" s="58">
        <f t="shared" si="56"/>
        <v>192</v>
      </c>
      <c r="AZ114" s="59"/>
      <c r="BA114" s="58" t="str">
        <f t="shared" si="57"/>
        <v/>
      </c>
      <c r="BB114" s="59"/>
      <c r="BC114" s="58" t="str">
        <f t="shared" si="58"/>
        <v/>
      </c>
      <c r="BD114" s="59"/>
      <c r="BE114" s="58" t="str">
        <f t="shared" si="59"/>
        <v/>
      </c>
      <c r="BF114" s="59"/>
      <c r="BG114" s="58" t="str">
        <f t="shared" si="60"/>
        <v/>
      </c>
      <c r="BH114" s="59"/>
      <c r="BI114" s="58" t="str">
        <f t="shared" si="61"/>
        <v/>
      </c>
      <c r="BJ114" s="59"/>
      <c r="BK114" s="58" t="str">
        <f t="shared" si="62"/>
        <v/>
      </c>
      <c r="BL114" s="59"/>
      <c r="BM114" s="58" t="str">
        <f t="shared" si="63"/>
        <v/>
      </c>
      <c r="BN114" s="59"/>
      <c r="BO114" s="58" t="str">
        <f t="shared" si="64"/>
        <v/>
      </c>
      <c r="BP114" s="59"/>
      <c r="BQ114" s="58" t="str">
        <f t="shared" si="65"/>
        <v/>
      </c>
      <c r="BR114" s="59"/>
      <c r="BS114" s="58" t="str">
        <f t="shared" si="66"/>
        <v/>
      </c>
      <c r="BT114" s="59"/>
      <c r="BU114" s="58" t="str">
        <f t="shared" si="67"/>
        <v/>
      </c>
      <c r="BV114" s="59"/>
      <c r="BW114" s="58" t="str">
        <f t="shared" si="68"/>
        <v/>
      </c>
      <c r="BX114" s="59"/>
      <c r="BY114" s="58" t="str">
        <f t="shared" si="69"/>
        <v/>
      </c>
      <c r="BZ114" s="59"/>
    </row>
    <row r="115" spans="1:78" ht="14.5" hidden="1">
      <c r="A115" s="51" t="s">
        <v>466</v>
      </c>
      <c r="B115" s="52">
        <v>367</v>
      </c>
      <c r="C115" s="52" t="s">
        <v>518</v>
      </c>
      <c r="D115" s="41">
        <f t="shared" si="38"/>
        <v>4</v>
      </c>
      <c r="E115" s="41"/>
      <c r="F115" s="41"/>
      <c r="G115" s="52" t="s">
        <v>196</v>
      </c>
      <c r="H115" s="52" t="s">
        <v>300</v>
      </c>
      <c r="I115" s="52" t="s">
        <v>528</v>
      </c>
      <c r="J115" s="52" t="s">
        <v>529</v>
      </c>
      <c r="K115" s="53">
        <v>45677</v>
      </c>
      <c r="L115" s="108">
        <v>192</v>
      </c>
      <c r="M115" s="101"/>
      <c r="N115" s="101"/>
      <c r="O115" s="101">
        <f t="shared" si="39"/>
        <v>192</v>
      </c>
      <c r="P115" s="54">
        <f t="shared" si="40"/>
        <v>192</v>
      </c>
      <c r="Q115" s="101" t="s">
        <v>178</v>
      </c>
      <c r="R115" s="101"/>
      <c r="S115" s="101"/>
      <c r="T115" s="102">
        <f t="shared" si="41"/>
        <v>0.26666666666666666</v>
      </c>
      <c r="U115" s="102">
        <v>6</v>
      </c>
      <c r="V115" s="99">
        <v>120</v>
      </c>
      <c r="W115" s="55">
        <f t="shared" si="70"/>
        <v>45645</v>
      </c>
      <c r="X115" s="55"/>
      <c r="Y115" s="56">
        <f t="shared" ca="1" si="43"/>
        <v>-195</v>
      </c>
      <c r="Z115" s="55">
        <f t="shared" si="44"/>
        <v>45661</v>
      </c>
      <c r="AA115" s="55"/>
      <c r="AB115" s="56">
        <f t="shared" ca="1" si="45"/>
        <v>-179</v>
      </c>
      <c r="AC115" s="55"/>
      <c r="AD115" s="57"/>
      <c r="AE115" s="58" t="str">
        <f t="shared" si="46"/>
        <v>-</v>
      </c>
      <c r="AF115" s="59"/>
      <c r="AG115" s="58" t="str">
        <f t="shared" si="47"/>
        <v/>
      </c>
      <c r="AH115" s="59"/>
      <c r="AI115" s="58" t="str">
        <f t="shared" si="48"/>
        <v/>
      </c>
      <c r="AJ115" s="59"/>
      <c r="AK115" s="58" t="str">
        <f t="shared" si="49"/>
        <v/>
      </c>
      <c r="AL115" s="59"/>
      <c r="AM115" s="58" t="str">
        <f t="shared" si="50"/>
        <v/>
      </c>
      <c r="AN115" s="59"/>
      <c r="AO115" s="58" t="str">
        <f t="shared" si="51"/>
        <v/>
      </c>
      <c r="AP115" s="59"/>
      <c r="AQ115" s="58" t="str">
        <f t="shared" si="52"/>
        <v/>
      </c>
      <c r="AR115" s="59"/>
      <c r="AS115" s="58" t="str">
        <f t="shared" si="53"/>
        <v/>
      </c>
      <c r="AT115" s="59"/>
      <c r="AU115" s="58" t="str">
        <f t="shared" si="54"/>
        <v/>
      </c>
      <c r="AV115" s="59"/>
      <c r="AW115" s="58" t="str">
        <f t="shared" si="55"/>
        <v/>
      </c>
      <c r="AX115" s="59"/>
      <c r="AY115" s="58">
        <f t="shared" si="56"/>
        <v>192</v>
      </c>
      <c r="AZ115" s="59"/>
      <c r="BA115" s="58" t="str">
        <f t="shared" si="57"/>
        <v/>
      </c>
      <c r="BB115" s="59"/>
      <c r="BC115" s="58" t="str">
        <f t="shared" si="58"/>
        <v/>
      </c>
      <c r="BD115" s="59"/>
      <c r="BE115" s="58" t="str">
        <f t="shared" si="59"/>
        <v/>
      </c>
      <c r="BF115" s="59"/>
      <c r="BG115" s="58" t="str">
        <f t="shared" si="60"/>
        <v/>
      </c>
      <c r="BH115" s="59"/>
      <c r="BI115" s="58" t="str">
        <f t="shared" si="61"/>
        <v/>
      </c>
      <c r="BJ115" s="59"/>
      <c r="BK115" s="58" t="str">
        <f t="shared" si="62"/>
        <v/>
      </c>
      <c r="BL115" s="59"/>
      <c r="BM115" s="58" t="str">
        <f t="shared" si="63"/>
        <v/>
      </c>
      <c r="BN115" s="59"/>
      <c r="BO115" s="58" t="str">
        <f t="shared" si="64"/>
        <v/>
      </c>
      <c r="BP115" s="59"/>
      <c r="BQ115" s="58" t="str">
        <f t="shared" si="65"/>
        <v/>
      </c>
      <c r="BR115" s="59"/>
      <c r="BS115" s="58" t="str">
        <f t="shared" si="66"/>
        <v/>
      </c>
      <c r="BT115" s="59"/>
      <c r="BU115" s="58" t="str">
        <f t="shared" si="67"/>
        <v/>
      </c>
      <c r="BV115" s="59"/>
      <c r="BW115" s="58" t="str">
        <f t="shared" si="68"/>
        <v/>
      </c>
      <c r="BX115" s="59"/>
      <c r="BY115" s="58" t="str">
        <f t="shared" si="69"/>
        <v/>
      </c>
      <c r="BZ115" s="59"/>
    </row>
    <row r="116" spans="1:78" ht="14.5" hidden="1">
      <c r="A116" s="51" t="s">
        <v>466</v>
      </c>
      <c r="B116" s="52">
        <v>367</v>
      </c>
      <c r="C116" s="52" t="s">
        <v>518</v>
      </c>
      <c r="D116" s="41">
        <f t="shared" si="38"/>
        <v>4</v>
      </c>
      <c r="E116" s="41"/>
      <c r="F116" s="41"/>
      <c r="G116" s="52" t="s">
        <v>196</v>
      </c>
      <c r="H116" s="52" t="s">
        <v>530</v>
      </c>
      <c r="I116" s="52" t="s">
        <v>524</v>
      </c>
      <c r="J116" s="52" t="s">
        <v>531</v>
      </c>
      <c r="K116" s="53">
        <v>45677</v>
      </c>
      <c r="L116" s="108">
        <v>264</v>
      </c>
      <c r="M116" s="101"/>
      <c r="N116" s="101"/>
      <c r="O116" s="101">
        <f t="shared" si="39"/>
        <v>264</v>
      </c>
      <c r="P116" s="54">
        <f t="shared" si="40"/>
        <v>264</v>
      </c>
      <c r="Q116" s="101" t="s">
        <v>178</v>
      </c>
      <c r="R116" s="101"/>
      <c r="S116" s="101"/>
      <c r="T116" s="102">
        <f t="shared" si="41"/>
        <v>0.55000000000000004</v>
      </c>
      <c r="U116" s="102">
        <v>6</v>
      </c>
      <c r="V116" s="99">
        <v>80</v>
      </c>
      <c r="W116" s="55">
        <f t="shared" si="70"/>
        <v>45645</v>
      </c>
      <c r="X116" s="55"/>
      <c r="Y116" s="56">
        <f t="shared" ca="1" si="43"/>
        <v>-195</v>
      </c>
      <c r="Z116" s="55">
        <f t="shared" si="44"/>
        <v>45661</v>
      </c>
      <c r="AA116" s="55"/>
      <c r="AB116" s="56">
        <f t="shared" ca="1" si="45"/>
        <v>-179</v>
      </c>
      <c r="AC116" s="55"/>
      <c r="AD116" s="57"/>
      <c r="AE116" s="58" t="str">
        <f t="shared" si="46"/>
        <v>-</v>
      </c>
      <c r="AF116" s="59"/>
      <c r="AG116" s="58" t="str">
        <f t="shared" si="47"/>
        <v/>
      </c>
      <c r="AH116" s="59"/>
      <c r="AI116" s="58" t="str">
        <f t="shared" si="48"/>
        <v/>
      </c>
      <c r="AJ116" s="59"/>
      <c r="AK116" s="58" t="str">
        <f t="shared" si="49"/>
        <v/>
      </c>
      <c r="AL116" s="59"/>
      <c r="AM116" s="58" t="str">
        <f t="shared" si="50"/>
        <v/>
      </c>
      <c r="AN116" s="59"/>
      <c r="AO116" s="58" t="str">
        <f t="shared" si="51"/>
        <v/>
      </c>
      <c r="AP116" s="59"/>
      <c r="AQ116" s="58" t="str">
        <f t="shared" si="52"/>
        <v/>
      </c>
      <c r="AR116" s="59"/>
      <c r="AS116" s="58" t="str">
        <f t="shared" si="53"/>
        <v/>
      </c>
      <c r="AT116" s="59"/>
      <c r="AU116" s="58" t="str">
        <f t="shared" si="54"/>
        <v/>
      </c>
      <c r="AV116" s="59"/>
      <c r="AW116" s="58" t="str">
        <f t="shared" si="55"/>
        <v/>
      </c>
      <c r="AX116" s="59"/>
      <c r="AY116" s="58">
        <f t="shared" si="56"/>
        <v>264</v>
      </c>
      <c r="AZ116" s="59"/>
      <c r="BA116" s="58" t="str">
        <f t="shared" si="57"/>
        <v/>
      </c>
      <c r="BB116" s="59"/>
      <c r="BC116" s="58" t="str">
        <f t="shared" si="58"/>
        <v/>
      </c>
      <c r="BD116" s="59"/>
      <c r="BE116" s="58" t="str">
        <f t="shared" si="59"/>
        <v/>
      </c>
      <c r="BF116" s="59"/>
      <c r="BG116" s="58" t="str">
        <f t="shared" si="60"/>
        <v/>
      </c>
      <c r="BH116" s="59"/>
      <c r="BI116" s="58" t="str">
        <f t="shared" si="61"/>
        <v/>
      </c>
      <c r="BJ116" s="59"/>
      <c r="BK116" s="58" t="str">
        <f t="shared" si="62"/>
        <v/>
      </c>
      <c r="BL116" s="59"/>
      <c r="BM116" s="58" t="str">
        <f t="shared" si="63"/>
        <v/>
      </c>
      <c r="BN116" s="59"/>
      <c r="BO116" s="58" t="str">
        <f t="shared" si="64"/>
        <v/>
      </c>
      <c r="BP116" s="59"/>
      <c r="BQ116" s="58" t="str">
        <f t="shared" si="65"/>
        <v/>
      </c>
      <c r="BR116" s="59"/>
      <c r="BS116" s="58" t="str">
        <f t="shared" si="66"/>
        <v/>
      </c>
      <c r="BT116" s="59"/>
      <c r="BU116" s="58" t="str">
        <f t="shared" si="67"/>
        <v/>
      </c>
      <c r="BV116" s="59"/>
      <c r="BW116" s="58" t="str">
        <f t="shared" si="68"/>
        <v/>
      </c>
      <c r="BX116" s="59"/>
      <c r="BY116" s="58" t="str">
        <f t="shared" si="69"/>
        <v/>
      </c>
      <c r="BZ116" s="59"/>
    </row>
    <row r="117" spans="1:78" ht="14.5" hidden="1">
      <c r="A117" s="51" t="s">
        <v>466</v>
      </c>
      <c r="B117" s="52">
        <v>367</v>
      </c>
      <c r="C117" s="52" t="s">
        <v>518</v>
      </c>
      <c r="D117" s="41">
        <f t="shared" si="38"/>
        <v>4</v>
      </c>
      <c r="E117" s="41"/>
      <c r="F117" s="41"/>
      <c r="G117" s="52" t="s">
        <v>196</v>
      </c>
      <c r="H117" s="52" t="s">
        <v>530</v>
      </c>
      <c r="I117" s="52" t="s">
        <v>526</v>
      </c>
      <c r="J117" s="52" t="s">
        <v>531</v>
      </c>
      <c r="K117" s="53">
        <v>45677</v>
      </c>
      <c r="L117" s="108">
        <v>264</v>
      </c>
      <c r="M117" s="101"/>
      <c r="N117" s="101"/>
      <c r="O117" s="101">
        <f t="shared" si="39"/>
        <v>264</v>
      </c>
      <c r="P117" s="54">
        <f t="shared" si="40"/>
        <v>264</v>
      </c>
      <c r="Q117" s="101" t="s">
        <v>178</v>
      </c>
      <c r="R117" s="101"/>
      <c r="S117" s="101"/>
      <c r="T117" s="102">
        <f t="shared" si="41"/>
        <v>0.55000000000000004</v>
      </c>
      <c r="U117" s="102">
        <v>6</v>
      </c>
      <c r="V117" s="99">
        <v>80</v>
      </c>
      <c r="W117" s="55">
        <f t="shared" si="70"/>
        <v>45645</v>
      </c>
      <c r="X117" s="55"/>
      <c r="Y117" s="56">
        <f t="shared" ca="1" si="43"/>
        <v>-195</v>
      </c>
      <c r="Z117" s="55">
        <f t="shared" si="44"/>
        <v>45661</v>
      </c>
      <c r="AA117" s="55"/>
      <c r="AB117" s="56">
        <f t="shared" ca="1" si="45"/>
        <v>-179</v>
      </c>
      <c r="AC117" s="55"/>
      <c r="AD117" s="57"/>
      <c r="AE117" s="58" t="str">
        <f t="shared" si="46"/>
        <v>-</v>
      </c>
      <c r="AF117" s="59"/>
      <c r="AG117" s="58" t="str">
        <f t="shared" si="47"/>
        <v/>
      </c>
      <c r="AH117" s="59"/>
      <c r="AI117" s="58" t="str">
        <f t="shared" si="48"/>
        <v/>
      </c>
      <c r="AJ117" s="59"/>
      <c r="AK117" s="58" t="str">
        <f t="shared" si="49"/>
        <v/>
      </c>
      <c r="AL117" s="59"/>
      <c r="AM117" s="58" t="str">
        <f t="shared" si="50"/>
        <v/>
      </c>
      <c r="AN117" s="59"/>
      <c r="AO117" s="58" t="str">
        <f t="shared" si="51"/>
        <v/>
      </c>
      <c r="AP117" s="59"/>
      <c r="AQ117" s="58" t="str">
        <f t="shared" si="52"/>
        <v/>
      </c>
      <c r="AR117" s="59"/>
      <c r="AS117" s="58" t="str">
        <f t="shared" si="53"/>
        <v/>
      </c>
      <c r="AT117" s="59"/>
      <c r="AU117" s="58" t="str">
        <f t="shared" si="54"/>
        <v/>
      </c>
      <c r="AV117" s="59"/>
      <c r="AW117" s="58" t="str">
        <f t="shared" si="55"/>
        <v/>
      </c>
      <c r="AX117" s="59"/>
      <c r="AY117" s="58">
        <f t="shared" si="56"/>
        <v>264</v>
      </c>
      <c r="AZ117" s="59"/>
      <c r="BA117" s="58" t="str">
        <f t="shared" si="57"/>
        <v/>
      </c>
      <c r="BB117" s="59"/>
      <c r="BC117" s="58" t="str">
        <f t="shared" si="58"/>
        <v/>
      </c>
      <c r="BD117" s="59"/>
      <c r="BE117" s="58" t="str">
        <f t="shared" si="59"/>
        <v/>
      </c>
      <c r="BF117" s="59"/>
      <c r="BG117" s="58" t="str">
        <f t="shared" si="60"/>
        <v/>
      </c>
      <c r="BH117" s="59"/>
      <c r="BI117" s="58" t="str">
        <f t="shared" si="61"/>
        <v/>
      </c>
      <c r="BJ117" s="59"/>
      <c r="BK117" s="58" t="str">
        <f t="shared" si="62"/>
        <v/>
      </c>
      <c r="BL117" s="59"/>
      <c r="BM117" s="58" t="str">
        <f t="shared" si="63"/>
        <v/>
      </c>
      <c r="BN117" s="59"/>
      <c r="BO117" s="58" t="str">
        <f t="shared" si="64"/>
        <v/>
      </c>
      <c r="BP117" s="59"/>
      <c r="BQ117" s="58" t="str">
        <f t="shared" si="65"/>
        <v/>
      </c>
      <c r="BR117" s="59"/>
      <c r="BS117" s="58" t="str">
        <f t="shared" si="66"/>
        <v/>
      </c>
      <c r="BT117" s="59"/>
      <c r="BU117" s="58" t="str">
        <f t="shared" si="67"/>
        <v/>
      </c>
      <c r="BV117" s="59"/>
      <c r="BW117" s="58" t="str">
        <f t="shared" si="68"/>
        <v/>
      </c>
      <c r="BX117" s="59"/>
      <c r="BY117" s="58" t="str">
        <f t="shared" si="69"/>
        <v/>
      </c>
      <c r="BZ117" s="59"/>
    </row>
    <row r="118" spans="1:78" ht="14.5" hidden="1">
      <c r="A118" s="51" t="s">
        <v>466</v>
      </c>
      <c r="B118" s="52">
        <v>367</v>
      </c>
      <c r="C118" s="52" t="s">
        <v>518</v>
      </c>
      <c r="D118" s="41">
        <f t="shared" si="38"/>
        <v>4</v>
      </c>
      <c r="E118" s="41"/>
      <c r="F118" s="41"/>
      <c r="G118" s="52" t="s">
        <v>196</v>
      </c>
      <c r="H118" s="52" t="s">
        <v>530</v>
      </c>
      <c r="I118" s="52" t="s">
        <v>527</v>
      </c>
      <c r="J118" s="52" t="s">
        <v>531</v>
      </c>
      <c r="K118" s="53">
        <v>45677</v>
      </c>
      <c r="L118" s="108">
        <v>264</v>
      </c>
      <c r="M118" s="101"/>
      <c r="N118" s="101"/>
      <c r="O118" s="101">
        <f t="shared" si="39"/>
        <v>264</v>
      </c>
      <c r="P118" s="54">
        <f t="shared" si="40"/>
        <v>264</v>
      </c>
      <c r="Q118" s="101" t="s">
        <v>178</v>
      </c>
      <c r="R118" s="101"/>
      <c r="S118" s="101"/>
      <c r="T118" s="102">
        <f t="shared" si="41"/>
        <v>0.55000000000000004</v>
      </c>
      <c r="U118" s="102">
        <v>6</v>
      </c>
      <c r="V118" s="99">
        <v>80</v>
      </c>
      <c r="W118" s="55">
        <f t="shared" si="70"/>
        <v>45645</v>
      </c>
      <c r="X118" s="55"/>
      <c r="Y118" s="56">
        <f t="shared" ca="1" si="43"/>
        <v>-195</v>
      </c>
      <c r="Z118" s="55">
        <f t="shared" si="44"/>
        <v>45661</v>
      </c>
      <c r="AA118" s="55"/>
      <c r="AB118" s="56">
        <f t="shared" ca="1" si="45"/>
        <v>-179</v>
      </c>
      <c r="AC118" s="55"/>
      <c r="AD118" s="57"/>
      <c r="AE118" s="58" t="str">
        <f t="shared" si="46"/>
        <v>-</v>
      </c>
      <c r="AF118" s="59"/>
      <c r="AG118" s="58" t="str">
        <f t="shared" si="47"/>
        <v/>
      </c>
      <c r="AH118" s="59"/>
      <c r="AI118" s="58" t="str">
        <f t="shared" si="48"/>
        <v/>
      </c>
      <c r="AJ118" s="59"/>
      <c r="AK118" s="58" t="str">
        <f t="shared" si="49"/>
        <v/>
      </c>
      <c r="AL118" s="59"/>
      <c r="AM118" s="58" t="str">
        <f t="shared" si="50"/>
        <v/>
      </c>
      <c r="AN118" s="59"/>
      <c r="AO118" s="58" t="str">
        <f t="shared" si="51"/>
        <v/>
      </c>
      <c r="AP118" s="59"/>
      <c r="AQ118" s="58" t="str">
        <f t="shared" si="52"/>
        <v/>
      </c>
      <c r="AR118" s="59"/>
      <c r="AS118" s="58" t="str">
        <f t="shared" si="53"/>
        <v/>
      </c>
      <c r="AT118" s="59"/>
      <c r="AU118" s="58" t="str">
        <f t="shared" si="54"/>
        <v/>
      </c>
      <c r="AV118" s="59"/>
      <c r="AW118" s="58" t="str">
        <f t="shared" si="55"/>
        <v/>
      </c>
      <c r="AX118" s="59"/>
      <c r="AY118" s="58">
        <f t="shared" si="56"/>
        <v>264</v>
      </c>
      <c r="AZ118" s="59"/>
      <c r="BA118" s="58" t="str">
        <f t="shared" si="57"/>
        <v/>
      </c>
      <c r="BB118" s="59"/>
      <c r="BC118" s="58" t="str">
        <f t="shared" si="58"/>
        <v/>
      </c>
      <c r="BD118" s="59"/>
      <c r="BE118" s="58" t="str">
        <f t="shared" si="59"/>
        <v/>
      </c>
      <c r="BF118" s="59"/>
      <c r="BG118" s="58" t="str">
        <f t="shared" si="60"/>
        <v/>
      </c>
      <c r="BH118" s="59"/>
      <c r="BI118" s="58" t="str">
        <f t="shared" si="61"/>
        <v/>
      </c>
      <c r="BJ118" s="59"/>
      <c r="BK118" s="58" t="str">
        <f t="shared" si="62"/>
        <v/>
      </c>
      <c r="BL118" s="59"/>
      <c r="BM118" s="58" t="str">
        <f t="shared" si="63"/>
        <v/>
      </c>
      <c r="BN118" s="59"/>
      <c r="BO118" s="58" t="str">
        <f t="shared" si="64"/>
        <v/>
      </c>
      <c r="BP118" s="59"/>
      <c r="BQ118" s="58" t="str">
        <f t="shared" si="65"/>
        <v/>
      </c>
      <c r="BR118" s="59"/>
      <c r="BS118" s="58" t="str">
        <f t="shared" si="66"/>
        <v/>
      </c>
      <c r="BT118" s="59"/>
      <c r="BU118" s="58" t="str">
        <f t="shared" si="67"/>
        <v/>
      </c>
      <c r="BV118" s="59"/>
      <c r="BW118" s="58" t="str">
        <f t="shared" si="68"/>
        <v/>
      </c>
      <c r="BX118" s="59"/>
      <c r="BY118" s="58" t="str">
        <f t="shared" si="69"/>
        <v/>
      </c>
      <c r="BZ118" s="59"/>
    </row>
    <row r="119" spans="1:78" ht="14.5" hidden="1">
      <c r="A119" s="51" t="s">
        <v>466</v>
      </c>
      <c r="B119" s="52">
        <v>367</v>
      </c>
      <c r="C119" s="52" t="s">
        <v>518</v>
      </c>
      <c r="D119" s="41">
        <f t="shared" si="38"/>
        <v>4</v>
      </c>
      <c r="E119" s="41"/>
      <c r="F119" s="41"/>
      <c r="G119" s="52" t="s">
        <v>196</v>
      </c>
      <c r="H119" s="52" t="s">
        <v>530</v>
      </c>
      <c r="I119" s="52" t="s">
        <v>528</v>
      </c>
      <c r="J119" s="52" t="s">
        <v>531</v>
      </c>
      <c r="K119" s="53">
        <v>45677</v>
      </c>
      <c r="L119" s="108">
        <v>264</v>
      </c>
      <c r="M119" s="101"/>
      <c r="N119" s="101"/>
      <c r="O119" s="101">
        <f t="shared" si="39"/>
        <v>264</v>
      </c>
      <c r="P119" s="54">
        <f t="shared" si="40"/>
        <v>264</v>
      </c>
      <c r="Q119" s="101" t="s">
        <v>178</v>
      </c>
      <c r="R119" s="101"/>
      <c r="S119" s="101"/>
      <c r="T119" s="102">
        <f t="shared" si="41"/>
        <v>0.55000000000000004</v>
      </c>
      <c r="U119" s="102">
        <v>6</v>
      </c>
      <c r="V119" s="99">
        <v>80</v>
      </c>
      <c r="W119" s="55">
        <f t="shared" si="70"/>
        <v>45645</v>
      </c>
      <c r="X119" s="55"/>
      <c r="Y119" s="56">
        <f t="shared" ca="1" si="43"/>
        <v>-195</v>
      </c>
      <c r="Z119" s="55">
        <f t="shared" si="44"/>
        <v>45661</v>
      </c>
      <c r="AA119" s="55"/>
      <c r="AB119" s="56">
        <f t="shared" ca="1" si="45"/>
        <v>-179</v>
      </c>
      <c r="AC119" s="55"/>
      <c r="AD119" s="57"/>
      <c r="AE119" s="58" t="str">
        <f t="shared" si="46"/>
        <v>-</v>
      </c>
      <c r="AF119" s="59"/>
      <c r="AG119" s="58" t="str">
        <f t="shared" si="47"/>
        <v/>
      </c>
      <c r="AH119" s="59"/>
      <c r="AI119" s="58" t="str">
        <f t="shared" si="48"/>
        <v/>
      </c>
      <c r="AJ119" s="59"/>
      <c r="AK119" s="58" t="str">
        <f t="shared" si="49"/>
        <v/>
      </c>
      <c r="AL119" s="59"/>
      <c r="AM119" s="58" t="str">
        <f t="shared" si="50"/>
        <v/>
      </c>
      <c r="AN119" s="59"/>
      <c r="AO119" s="58" t="str">
        <f t="shared" si="51"/>
        <v/>
      </c>
      <c r="AP119" s="59"/>
      <c r="AQ119" s="58" t="str">
        <f t="shared" si="52"/>
        <v/>
      </c>
      <c r="AR119" s="59"/>
      <c r="AS119" s="58" t="str">
        <f t="shared" si="53"/>
        <v/>
      </c>
      <c r="AT119" s="59"/>
      <c r="AU119" s="58" t="str">
        <f t="shared" si="54"/>
        <v/>
      </c>
      <c r="AV119" s="59"/>
      <c r="AW119" s="58" t="str">
        <f t="shared" si="55"/>
        <v/>
      </c>
      <c r="AX119" s="59"/>
      <c r="AY119" s="58">
        <f t="shared" si="56"/>
        <v>264</v>
      </c>
      <c r="AZ119" s="59"/>
      <c r="BA119" s="58" t="str">
        <f t="shared" si="57"/>
        <v/>
      </c>
      <c r="BB119" s="59"/>
      <c r="BC119" s="58" t="str">
        <f t="shared" si="58"/>
        <v/>
      </c>
      <c r="BD119" s="59"/>
      <c r="BE119" s="58" t="str">
        <f t="shared" si="59"/>
        <v/>
      </c>
      <c r="BF119" s="59"/>
      <c r="BG119" s="58" t="str">
        <f t="shared" si="60"/>
        <v/>
      </c>
      <c r="BH119" s="59"/>
      <c r="BI119" s="58" t="str">
        <f t="shared" si="61"/>
        <v/>
      </c>
      <c r="BJ119" s="59"/>
      <c r="BK119" s="58" t="str">
        <f t="shared" si="62"/>
        <v/>
      </c>
      <c r="BL119" s="59"/>
      <c r="BM119" s="58" t="str">
        <f t="shared" si="63"/>
        <v/>
      </c>
      <c r="BN119" s="59"/>
      <c r="BO119" s="58" t="str">
        <f t="shared" si="64"/>
        <v/>
      </c>
      <c r="BP119" s="59"/>
      <c r="BQ119" s="58" t="str">
        <f t="shared" si="65"/>
        <v/>
      </c>
      <c r="BR119" s="59"/>
      <c r="BS119" s="58" t="str">
        <f t="shared" si="66"/>
        <v/>
      </c>
      <c r="BT119" s="59"/>
      <c r="BU119" s="58" t="str">
        <f t="shared" si="67"/>
        <v/>
      </c>
      <c r="BV119" s="59"/>
      <c r="BW119" s="58" t="str">
        <f t="shared" si="68"/>
        <v/>
      </c>
      <c r="BX119" s="59"/>
      <c r="BY119" s="58" t="str">
        <f t="shared" si="69"/>
        <v/>
      </c>
      <c r="BZ119" s="59"/>
    </row>
    <row r="120" spans="1:78" ht="14.5" hidden="1">
      <c r="A120" s="51" t="s">
        <v>466</v>
      </c>
      <c r="B120" s="52">
        <v>367</v>
      </c>
      <c r="C120" s="52" t="s">
        <v>518</v>
      </c>
      <c r="D120" s="41">
        <f t="shared" si="38"/>
        <v>4</v>
      </c>
      <c r="E120" s="41"/>
      <c r="F120" s="41"/>
      <c r="G120" s="52" t="s">
        <v>410</v>
      </c>
      <c r="H120" s="52" t="s">
        <v>532</v>
      </c>
      <c r="I120" s="52" t="s">
        <v>533</v>
      </c>
      <c r="J120" s="52" t="s">
        <v>534</v>
      </c>
      <c r="K120" s="53">
        <v>45677</v>
      </c>
      <c r="L120" s="108">
        <v>96</v>
      </c>
      <c r="M120" s="101"/>
      <c r="N120" s="101"/>
      <c r="O120" s="101">
        <f t="shared" si="39"/>
        <v>96</v>
      </c>
      <c r="P120" s="54">
        <f t="shared" si="40"/>
        <v>96</v>
      </c>
      <c r="Q120" s="101" t="s">
        <v>178</v>
      </c>
      <c r="R120" s="101"/>
      <c r="S120" s="101"/>
      <c r="T120" s="102">
        <f t="shared" si="41"/>
        <v>0.2</v>
      </c>
      <c r="U120" s="102">
        <v>6</v>
      </c>
      <c r="V120" s="99">
        <v>80</v>
      </c>
      <c r="W120" s="55">
        <f t="shared" si="70"/>
        <v>45645</v>
      </c>
      <c r="X120" s="55"/>
      <c r="Y120" s="56">
        <f t="shared" ca="1" si="43"/>
        <v>-195</v>
      </c>
      <c r="Z120" s="55">
        <f t="shared" si="44"/>
        <v>45661</v>
      </c>
      <c r="AA120" s="55"/>
      <c r="AB120" s="56">
        <f t="shared" ca="1" si="45"/>
        <v>-179</v>
      </c>
      <c r="AC120" s="55"/>
      <c r="AD120" s="57"/>
      <c r="AE120" s="58" t="str">
        <f t="shared" si="46"/>
        <v>-</v>
      </c>
      <c r="AF120" s="59"/>
      <c r="AG120" s="58" t="str">
        <f t="shared" si="47"/>
        <v/>
      </c>
      <c r="AH120" s="59"/>
      <c r="AI120" s="58" t="str">
        <f t="shared" si="48"/>
        <v/>
      </c>
      <c r="AJ120" s="59"/>
      <c r="AK120" s="58" t="str">
        <f t="shared" si="49"/>
        <v/>
      </c>
      <c r="AL120" s="59"/>
      <c r="AM120" s="58" t="str">
        <f t="shared" si="50"/>
        <v/>
      </c>
      <c r="AN120" s="59"/>
      <c r="AO120" s="58" t="str">
        <f t="shared" si="51"/>
        <v/>
      </c>
      <c r="AP120" s="59"/>
      <c r="AQ120" s="58" t="str">
        <f t="shared" si="52"/>
        <v/>
      </c>
      <c r="AR120" s="59"/>
      <c r="AS120" s="58" t="str">
        <f t="shared" si="53"/>
        <v/>
      </c>
      <c r="AT120" s="59"/>
      <c r="AU120" s="58" t="str">
        <f t="shared" si="54"/>
        <v/>
      </c>
      <c r="AV120" s="59"/>
      <c r="AW120" s="58" t="str">
        <f t="shared" si="55"/>
        <v/>
      </c>
      <c r="AX120" s="59"/>
      <c r="AY120" s="58">
        <f t="shared" si="56"/>
        <v>96</v>
      </c>
      <c r="AZ120" s="59"/>
      <c r="BA120" s="58" t="str">
        <f t="shared" si="57"/>
        <v/>
      </c>
      <c r="BB120" s="59"/>
      <c r="BC120" s="58" t="str">
        <f t="shared" si="58"/>
        <v/>
      </c>
      <c r="BD120" s="59"/>
      <c r="BE120" s="58" t="str">
        <f t="shared" si="59"/>
        <v/>
      </c>
      <c r="BF120" s="59"/>
      <c r="BG120" s="58" t="str">
        <f t="shared" si="60"/>
        <v/>
      </c>
      <c r="BH120" s="59"/>
      <c r="BI120" s="58" t="str">
        <f t="shared" si="61"/>
        <v/>
      </c>
      <c r="BJ120" s="59"/>
      <c r="BK120" s="58" t="str">
        <f t="shared" si="62"/>
        <v/>
      </c>
      <c r="BL120" s="59"/>
      <c r="BM120" s="58" t="str">
        <f t="shared" si="63"/>
        <v/>
      </c>
      <c r="BN120" s="59"/>
      <c r="BO120" s="58" t="str">
        <f t="shared" si="64"/>
        <v/>
      </c>
      <c r="BP120" s="59"/>
      <c r="BQ120" s="58" t="str">
        <f t="shared" si="65"/>
        <v/>
      </c>
      <c r="BR120" s="59"/>
      <c r="BS120" s="58" t="str">
        <f t="shared" si="66"/>
        <v/>
      </c>
      <c r="BT120" s="59"/>
      <c r="BU120" s="58" t="str">
        <f t="shared" si="67"/>
        <v/>
      </c>
      <c r="BV120" s="59"/>
      <c r="BW120" s="58" t="str">
        <f t="shared" si="68"/>
        <v/>
      </c>
      <c r="BX120" s="59"/>
      <c r="BY120" s="58" t="str">
        <f t="shared" si="69"/>
        <v/>
      </c>
      <c r="BZ120" s="59"/>
    </row>
    <row r="121" spans="1:78" ht="14.5" hidden="1">
      <c r="A121" s="51" t="s">
        <v>58</v>
      </c>
      <c r="B121" s="52">
        <v>340</v>
      </c>
      <c r="C121" s="52" t="s">
        <v>188</v>
      </c>
      <c r="D121" s="41">
        <f t="shared" si="38"/>
        <v>4</v>
      </c>
      <c r="E121" s="170" t="s">
        <v>631</v>
      </c>
      <c r="F121" s="41" t="s">
        <v>631</v>
      </c>
      <c r="G121" s="52" t="s">
        <v>158</v>
      </c>
      <c r="H121" s="52" t="s">
        <v>242</v>
      </c>
      <c r="I121" s="52" t="s">
        <v>255</v>
      </c>
      <c r="J121" s="52" t="s">
        <v>432</v>
      </c>
      <c r="K121" s="53">
        <v>45678</v>
      </c>
      <c r="L121" s="108">
        <v>512</v>
      </c>
      <c r="M121" s="101">
        <v>512</v>
      </c>
      <c r="N121" s="101">
        <v>512</v>
      </c>
      <c r="O121" s="107">
        <f t="shared" si="39"/>
        <v>0</v>
      </c>
      <c r="P121" s="54">
        <f t="shared" si="40"/>
        <v>0</v>
      </c>
      <c r="Q121" s="101" t="s">
        <v>437</v>
      </c>
      <c r="R121" s="101" t="s">
        <v>632</v>
      </c>
      <c r="S121" s="101"/>
      <c r="T121" s="102">
        <f t="shared" si="41"/>
        <v>0.71111111111111114</v>
      </c>
      <c r="U121" s="102">
        <v>6</v>
      </c>
      <c r="V121" s="99">
        <v>120</v>
      </c>
      <c r="W121" s="55">
        <f t="shared" ref="W121:W182" si="71">+K121-(20)</f>
        <v>45658</v>
      </c>
      <c r="X121" s="55">
        <v>45620</v>
      </c>
      <c r="Y121" s="56">
        <f t="shared" ca="1" si="43"/>
        <v>38</v>
      </c>
      <c r="Z121" s="55">
        <f t="shared" si="44"/>
        <v>45674</v>
      </c>
      <c r="AA121" s="55"/>
      <c r="AB121" s="56">
        <f t="shared" ca="1" si="45"/>
        <v>-166</v>
      </c>
      <c r="AC121" s="55"/>
      <c r="AD121" s="57"/>
      <c r="AE121" s="58" t="str">
        <f t="shared" si="46"/>
        <v>-</v>
      </c>
      <c r="AF121" s="59"/>
      <c r="AG121" s="58" t="str">
        <f t="shared" si="47"/>
        <v/>
      </c>
      <c r="AH121" s="59"/>
      <c r="AI121" s="58" t="str">
        <f t="shared" si="48"/>
        <v/>
      </c>
      <c r="AJ121" s="59"/>
      <c r="AK121" s="58" t="str">
        <f t="shared" si="49"/>
        <v/>
      </c>
      <c r="AL121" s="59"/>
      <c r="AM121" s="58" t="str">
        <f t="shared" si="50"/>
        <v/>
      </c>
      <c r="AN121" s="59"/>
      <c r="AO121" s="58" t="str">
        <f t="shared" si="51"/>
        <v/>
      </c>
      <c r="AP121" s="59"/>
      <c r="AQ121" s="58" t="str">
        <f t="shared" si="52"/>
        <v/>
      </c>
      <c r="AR121" s="59"/>
      <c r="AS121" s="58" t="str">
        <f t="shared" si="53"/>
        <v/>
      </c>
      <c r="AT121" s="59"/>
      <c r="AU121" s="58" t="str">
        <f t="shared" si="54"/>
        <v/>
      </c>
      <c r="AV121" s="59"/>
      <c r="AW121" s="58" t="str">
        <f t="shared" si="55"/>
        <v/>
      </c>
      <c r="AX121" s="59"/>
      <c r="AY121" s="58" t="str">
        <f t="shared" si="56"/>
        <v/>
      </c>
      <c r="AZ121" s="59"/>
      <c r="BA121" s="58" t="str">
        <f t="shared" si="57"/>
        <v/>
      </c>
      <c r="BB121" s="59"/>
      <c r="BC121" s="58">
        <f t="shared" si="58"/>
        <v>512</v>
      </c>
      <c r="BD121" s="59"/>
      <c r="BE121" s="58" t="str">
        <f t="shared" si="59"/>
        <v/>
      </c>
      <c r="BF121" s="59"/>
      <c r="BG121" s="58" t="str">
        <f t="shared" si="60"/>
        <v/>
      </c>
      <c r="BH121" s="59"/>
      <c r="BI121" s="58" t="str">
        <f t="shared" si="61"/>
        <v/>
      </c>
      <c r="BJ121" s="59"/>
      <c r="BK121" s="58" t="str">
        <f t="shared" si="62"/>
        <v/>
      </c>
      <c r="BL121" s="59"/>
      <c r="BM121" s="58" t="str">
        <f t="shared" si="63"/>
        <v/>
      </c>
      <c r="BN121" s="59"/>
      <c r="BO121" s="58" t="str">
        <f t="shared" si="64"/>
        <v/>
      </c>
      <c r="BP121" s="59"/>
      <c r="BQ121" s="58" t="str">
        <f t="shared" si="65"/>
        <v/>
      </c>
      <c r="BR121" s="59"/>
      <c r="BS121" s="58" t="str">
        <f t="shared" si="66"/>
        <v/>
      </c>
      <c r="BT121" s="59"/>
      <c r="BU121" s="58" t="str">
        <f t="shared" si="67"/>
        <v/>
      </c>
      <c r="BV121" s="59"/>
      <c r="BW121" s="58" t="str">
        <f t="shared" si="68"/>
        <v/>
      </c>
      <c r="BX121" s="59"/>
      <c r="BY121" s="58" t="str">
        <f t="shared" si="69"/>
        <v/>
      </c>
      <c r="BZ121" s="59"/>
    </row>
    <row r="122" spans="1:78" ht="14.5" hidden="1">
      <c r="A122" s="51" t="s">
        <v>58</v>
      </c>
      <c r="B122" s="52">
        <v>344</v>
      </c>
      <c r="C122" s="52" t="s">
        <v>188</v>
      </c>
      <c r="D122" s="41">
        <f t="shared" si="38"/>
        <v>4</v>
      </c>
      <c r="E122" s="170" t="s">
        <v>631</v>
      </c>
      <c r="F122" s="41" t="s">
        <v>631</v>
      </c>
      <c r="G122" s="52" t="s">
        <v>189</v>
      </c>
      <c r="H122" s="52" t="s">
        <v>242</v>
      </c>
      <c r="I122" s="52" t="s">
        <v>162</v>
      </c>
      <c r="J122" s="52" t="s">
        <v>432</v>
      </c>
      <c r="K122" s="53">
        <v>45682</v>
      </c>
      <c r="L122" s="108">
        <v>3792</v>
      </c>
      <c r="M122" s="101">
        <v>0</v>
      </c>
      <c r="N122" s="101"/>
      <c r="O122" s="107">
        <f t="shared" si="39"/>
        <v>3792</v>
      </c>
      <c r="P122" s="54">
        <f t="shared" si="40"/>
        <v>3792</v>
      </c>
      <c r="Q122" s="101" t="s">
        <v>178</v>
      </c>
      <c r="R122" s="166">
        <v>45694</v>
      </c>
      <c r="S122" s="101" t="s">
        <v>642</v>
      </c>
      <c r="T122" s="102">
        <f t="shared" si="41"/>
        <v>5.2666666666666666</v>
      </c>
      <c r="U122" s="102">
        <v>6</v>
      </c>
      <c r="V122" s="99">
        <v>120</v>
      </c>
      <c r="W122" s="55">
        <f t="shared" si="71"/>
        <v>45662</v>
      </c>
      <c r="X122" s="55">
        <v>45620</v>
      </c>
      <c r="Y122" s="56">
        <f t="shared" ca="1" si="43"/>
        <v>42</v>
      </c>
      <c r="Z122" s="55">
        <f t="shared" si="44"/>
        <v>45678</v>
      </c>
      <c r="AA122" s="55"/>
      <c r="AB122" s="56">
        <f t="shared" ca="1" si="45"/>
        <v>-162</v>
      </c>
      <c r="AC122" s="55"/>
      <c r="AD122" s="57"/>
      <c r="AE122" s="58" t="str">
        <f t="shared" si="46"/>
        <v>-</v>
      </c>
      <c r="AF122" s="59"/>
      <c r="AG122" s="58" t="str">
        <f t="shared" si="47"/>
        <v/>
      </c>
      <c r="AH122" s="59"/>
      <c r="AI122" s="58" t="str">
        <f t="shared" si="48"/>
        <v/>
      </c>
      <c r="AJ122" s="59"/>
      <c r="AK122" s="58" t="str">
        <f t="shared" si="49"/>
        <v/>
      </c>
      <c r="AL122" s="59"/>
      <c r="AM122" s="58" t="str">
        <f t="shared" si="50"/>
        <v/>
      </c>
      <c r="AN122" s="59"/>
      <c r="AO122" s="58" t="str">
        <f t="shared" si="51"/>
        <v/>
      </c>
      <c r="AP122" s="59"/>
      <c r="AQ122" s="58" t="str">
        <f t="shared" si="52"/>
        <v/>
      </c>
      <c r="AR122" s="59"/>
      <c r="AS122" s="58" t="str">
        <f t="shared" si="53"/>
        <v/>
      </c>
      <c r="AT122" s="59"/>
      <c r="AU122" s="58" t="str">
        <f t="shared" si="54"/>
        <v/>
      </c>
      <c r="AV122" s="59"/>
      <c r="AW122" s="58" t="str">
        <f t="shared" si="55"/>
        <v/>
      </c>
      <c r="AX122" s="59"/>
      <c r="AY122" s="58" t="str">
        <f t="shared" si="56"/>
        <v/>
      </c>
      <c r="AZ122" s="59"/>
      <c r="BA122" s="58" t="str">
        <f t="shared" si="57"/>
        <v/>
      </c>
      <c r="BB122" s="59"/>
      <c r="BC122" s="58" t="str">
        <f t="shared" si="58"/>
        <v/>
      </c>
      <c r="BD122" s="59"/>
      <c r="BE122" s="58">
        <f t="shared" si="59"/>
        <v>3792</v>
      </c>
      <c r="BF122" s="59"/>
      <c r="BG122" s="58" t="str">
        <f t="shared" si="60"/>
        <v/>
      </c>
      <c r="BH122" s="59"/>
      <c r="BI122" s="58" t="str">
        <f t="shared" si="61"/>
        <v/>
      </c>
      <c r="BJ122" s="59"/>
      <c r="BK122" s="58" t="str">
        <f t="shared" si="62"/>
        <v/>
      </c>
      <c r="BL122" s="59"/>
      <c r="BM122" s="58" t="str">
        <f t="shared" si="63"/>
        <v/>
      </c>
      <c r="BN122" s="59"/>
      <c r="BO122" s="58" t="str">
        <f t="shared" si="64"/>
        <v/>
      </c>
      <c r="BP122" s="59"/>
      <c r="BQ122" s="58" t="str">
        <f t="shared" si="65"/>
        <v/>
      </c>
      <c r="BR122" s="59"/>
      <c r="BS122" s="58" t="str">
        <f t="shared" si="66"/>
        <v/>
      </c>
      <c r="BT122" s="59"/>
      <c r="BU122" s="58" t="str">
        <f t="shared" si="67"/>
        <v/>
      </c>
      <c r="BV122" s="59"/>
      <c r="BW122" s="58" t="str">
        <f t="shared" si="68"/>
        <v/>
      </c>
      <c r="BX122" s="59"/>
      <c r="BY122" s="58" t="str">
        <f t="shared" si="69"/>
        <v/>
      </c>
      <c r="BZ122" s="59"/>
    </row>
    <row r="123" spans="1:78" ht="14.5" hidden="1">
      <c r="A123" s="51" t="s">
        <v>58</v>
      </c>
      <c r="B123" s="52">
        <v>350</v>
      </c>
      <c r="C123" s="52" t="s">
        <v>188</v>
      </c>
      <c r="D123" s="41">
        <f t="shared" si="38"/>
        <v>4</v>
      </c>
      <c r="E123" s="170">
        <v>45667</v>
      </c>
      <c r="F123" s="41" t="s">
        <v>631</v>
      </c>
      <c r="G123" s="52" t="s">
        <v>193</v>
      </c>
      <c r="H123" s="52" t="s">
        <v>300</v>
      </c>
      <c r="I123" s="52" t="s">
        <v>162</v>
      </c>
      <c r="J123" s="52" t="s">
        <v>440</v>
      </c>
      <c r="K123" s="53">
        <v>45682</v>
      </c>
      <c r="L123" s="108">
        <v>2080</v>
      </c>
      <c r="M123" s="101">
        <v>2080</v>
      </c>
      <c r="N123" s="101"/>
      <c r="O123" s="107">
        <f t="shared" si="39"/>
        <v>2080</v>
      </c>
      <c r="P123" s="54">
        <f t="shared" si="40"/>
        <v>0</v>
      </c>
      <c r="Q123" s="101" t="s">
        <v>178</v>
      </c>
      <c r="R123" s="166">
        <v>45682</v>
      </c>
      <c r="S123" s="101"/>
      <c r="T123" s="102">
        <f t="shared" si="41"/>
        <v>2.8888888888888888</v>
      </c>
      <c r="U123" s="102">
        <v>6</v>
      </c>
      <c r="V123" s="99">
        <v>120</v>
      </c>
      <c r="W123" s="55">
        <f t="shared" si="71"/>
        <v>45662</v>
      </c>
      <c r="X123" s="55">
        <v>45620</v>
      </c>
      <c r="Y123" s="56">
        <f t="shared" ca="1" si="43"/>
        <v>42</v>
      </c>
      <c r="Z123" s="55">
        <f t="shared" si="44"/>
        <v>45678</v>
      </c>
      <c r="AA123" s="55"/>
      <c r="AB123" s="56">
        <f t="shared" ca="1" si="45"/>
        <v>-162</v>
      </c>
      <c r="AC123" s="55"/>
      <c r="AD123" s="57"/>
      <c r="AE123" s="58" t="str">
        <f t="shared" si="46"/>
        <v>-</v>
      </c>
      <c r="AF123" s="59"/>
      <c r="AG123" s="58" t="str">
        <f t="shared" si="47"/>
        <v/>
      </c>
      <c r="AH123" s="59"/>
      <c r="AI123" s="58" t="str">
        <f t="shared" si="48"/>
        <v/>
      </c>
      <c r="AJ123" s="59"/>
      <c r="AK123" s="58" t="str">
        <f t="shared" si="49"/>
        <v/>
      </c>
      <c r="AL123" s="59"/>
      <c r="AM123" s="58" t="str">
        <f t="shared" si="50"/>
        <v/>
      </c>
      <c r="AN123" s="59"/>
      <c r="AO123" s="58" t="str">
        <f t="shared" si="51"/>
        <v/>
      </c>
      <c r="AP123" s="59"/>
      <c r="AQ123" s="58" t="str">
        <f t="shared" si="52"/>
        <v/>
      </c>
      <c r="AR123" s="59"/>
      <c r="AS123" s="58" t="str">
        <f t="shared" si="53"/>
        <v/>
      </c>
      <c r="AT123" s="59"/>
      <c r="AU123" s="58" t="str">
        <f t="shared" si="54"/>
        <v/>
      </c>
      <c r="AV123" s="59"/>
      <c r="AW123" s="58" t="str">
        <f t="shared" si="55"/>
        <v/>
      </c>
      <c r="AX123" s="59"/>
      <c r="AY123" s="58" t="str">
        <f t="shared" si="56"/>
        <v/>
      </c>
      <c r="AZ123" s="59"/>
      <c r="BA123" s="58" t="str">
        <f t="shared" si="57"/>
        <v/>
      </c>
      <c r="BB123" s="59"/>
      <c r="BC123" s="58" t="str">
        <f t="shared" si="58"/>
        <v/>
      </c>
      <c r="BD123" s="59"/>
      <c r="BE123" s="58">
        <f t="shared" si="59"/>
        <v>2080</v>
      </c>
      <c r="BF123" s="59"/>
      <c r="BG123" s="58" t="str">
        <f t="shared" si="60"/>
        <v/>
      </c>
      <c r="BH123" s="59"/>
      <c r="BI123" s="58" t="str">
        <f t="shared" si="61"/>
        <v/>
      </c>
      <c r="BJ123" s="59"/>
      <c r="BK123" s="58" t="str">
        <f t="shared" si="62"/>
        <v/>
      </c>
      <c r="BL123" s="59"/>
      <c r="BM123" s="58" t="str">
        <f t="shared" si="63"/>
        <v/>
      </c>
      <c r="BN123" s="59"/>
      <c r="BO123" s="58" t="str">
        <f t="shared" si="64"/>
        <v/>
      </c>
      <c r="BP123" s="59"/>
      <c r="BQ123" s="58" t="str">
        <f t="shared" si="65"/>
        <v/>
      </c>
      <c r="BR123" s="59"/>
      <c r="BS123" s="58" t="str">
        <f t="shared" si="66"/>
        <v/>
      </c>
      <c r="BT123" s="59"/>
      <c r="BU123" s="58" t="str">
        <f t="shared" si="67"/>
        <v/>
      </c>
      <c r="BV123" s="59"/>
      <c r="BW123" s="58" t="str">
        <f t="shared" si="68"/>
        <v/>
      </c>
      <c r="BX123" s="59"/>
      <c r="BY123" s="58" t="str">
        <f t="shared" si="69"/>
        <v/>
      </c>
      <c r="BZ123" s="59"/>
    </row>
    <row r="124" spans="1:78" ht="14.5" hidden="1">
      <c r="A124" s="51" t="s">
        <v>58</v>
      </c>
      <c r="B124" s="52">
        <v>350</v>
      </c>
      <c r="C124" s="52" t="s">
        <v>188</v>
      </c>
      <c r="D124" s="41">
        <f t="shared" si="38"/>
        <v>4</v>
      </c>
      <c r="E124" s="170">
        <v>45667</v>
      </c>
      <c r="F124" s="41" t="s">
        <v>631</v>
      </c>
      <c r="G124" s="52" t="s">
        <v>502</v>
      </c>
      <c r="H124" s="52" t="s">
        <v>289</v>
      </c>
      <c r="I124" s="52" t="s">
        <v>155</v>
      </c>
      <c r="J124" s="52" t="s">
        <v>503</v>
      </c>
      <c r="K124" s="53">
        <v>45682</v>
      </c>
      <c r="L124" s="108">
        <v>2160</v>
      </c>
      <c r="M124" s="101"/>
      <c r="N124" s="101"/>
      <c r="O124" s="107">
        <f t="shared" si="39"/>
        <v>2160</v>
      </c>
      <c r="P124" s="54">
        <f t="shared" si="40"/>
        <v>2160</v>
      </c>
      <c r="Q124" s="101" t="s">
        <v>504</v>
      </c>
      <c r="R124" s="166">
        <v>45682</v>
      </c>
      <c r="S124" s="101"/>
      <c r="T124" s="102">
        <f t="shared" si="41"/>
        <v>11.25</v>
      </c>
      <c r="U124" s="102">
        <v>6</v>
      </c>
      <c r="V124" s="99">
        <f>480/15</f>
        <v>32</v>
      </c>
      <c r="W124" s="55">
        <f t="shared" si="71"/>
        <v>45662</v>
      </c>
      <c r="X124" s="55"/>
      <c r="Y124" s="56">
        <f t="shared" ca="1" si="43"/>
        <v>-178</v>
      </c>
      <c r="Z124" s="55">
        <f t="shared" si="44"/>
        <v>45678</v>
      </c>
      <c r="AA124" s="55"/>
      <c r="AB124" s="56">
        <f t="shared" ca="1" si="45"/>
        <v>-162</v>
      </c>
      <c r="AC124" s="55"/>
      <c r="AD124" s="57"/>
      <c r="AE124" s="58" t="str">
        <f t="shared" si="46"/>
        <v>-</v>
      </c>
      <c r="AF124" s="59"/>
      <c r="AG124" s="58" t="str">
        <f t="shared" si="47"/>
        <v/>
      </c>
      <c r="AH124" s="59"/>
      <c r="AI124" s="58" t="str">
        <f t="shared" si="48"/>
        <v/>
      </c>
      <c r="AJ124" s="59"/>
      <c r="AK124" s="58" t="str">
        <f t="shared" si="49"/>
        <v/>
      </c>
      <c r="AL124" s="59"/>
      <c r="AM124" s="58" t="str">
        <f t="shared" si="50"/>
        <v/>
      </c>
      <c r="AN124" s="59"/>
      <c r="AO124" s="58" t="str">
        <f t="shared" si="51"/>
        <v/>
      </c>
      <c r="AP124" s="59"/>
      <c r="AQ124" s="58" t="str">
        <f t="shared" si="52"/>
        <v/>
      </c>
      <c r="AR124" s="59"/>
      <c r="AS124" s="58" t="str">
        <f t="shared" si="53"/>
        <v/>
      </c>
      <c r="AT124" s="59"/>
      <c r="AU124" s="58" t="str">
        <f t="shared" si="54"/>
        <v/>
      </c>
      <c r="AV124" s="59"/>
      <c r="AW124" s="58" t="str">
        <f t="shared" si="55"/>
        <v/>
      </c>
      <c r="AX124" s="59"/>
      <c r="AY124" s="58" t="str">
        <f t="shared" si="56"/>
        <v/>
      </c>
      <c r="AZ124" s="59"/>
      <c r="BA124" s="58" t="str">
        <f t="shared" si="57"/>
        <v/>
      </c>
      <c r="BB124" s="59"/>
      <c r="BC124" s="58" t="str">
        <f t="shared" si="58"/>
        <v/>
      </c>
      <c r="BD124" s="59"/>
      <c r="BE124" s="58">
        <f t="shared" si="59"/>
        <v>2160</v>
      </c>
      <c r="BF124" s="59"/>
      <c r="BG124" s="58" t="str">
        <f t="shared" si="60"/>
        <v/>
      </c>
      <c r="BH124" s="59"/>
      <c r="BI124" s="58" t="str">
        <f t="shared" si="61"/>
        <v/>
      </c>
      <c r="BJ124" s="59"/>
      <c r="BK124" s="58" t="str">
        <f t="shared" si="62"/>
        <v/>
      </c>
      <c r="BL124" s="59"/>
      <c r="BM124" s="58" t="str">
        <f t="shared" si="63"/>
        <v/>
      </c>
      <c r="BN124" s="59"/>
      <c r="BO124" s="58" t="str">
        <f t="shared" si="64"/>
        <v/>
      </c>
      <c r="BP124" s="59"/>
      <c r="BQ124" s="58" t="str">
        <f t="shared" si="65"/>
        <v/>
      </c>
      <c r="BR124" s="59"/>
      <c r="BS124" s="58" t="str">
        <f t="shared" si="66"/>
        <v/>
      </c>
      <c r="BT124" s="59"/>
      <c r="BU124" s="58" t="str">
        <f t="shared" si="67"/>
        <v/>
      </c>
      <c r="BV124" s="59"/>
      <c r="BW124" s="58" t="str">
        <f t="shared" si="68"/>
        <v/>
      </c>
      <c r="BX124" s="59"/>
      <c r="BY124" s="58" t="str">
        <f t="shared" si="69"/>
        <v/>
      </c>
      <c r="BZ124" s="59"/>
    </row>
    <row r="125" spans="1:78" ht="14.5" hidden="1">
      <c r="A125" s="51" t="s">
        <v>58</v>
      </c>
      <c r="B125" s="52">
        <v>350</v>
      </c>
      <c r="C125" s="52" t="s">
        <v>188</v>
      </c>
      <c r="D125" s="41">
        <f t="shared" si="38"/>
        <v>4</v>
      </c>
      <c r="E125" s="170">
        <v>45677</v>
      </c>
      <c r="F125" s="41" t="s">
        <v>631</v>
      </c>
      <c r="G125" s="52" t="s">
        <v>502</v>
      </c>
      <c r="H125" s="52" t="s">
        <v>289</v>
      </c>
      <c r="I125" s="52" t="s">
        <v>154</v>
      </c>
      <c r="J125" s="52" t="s">
        <v>503</v>
      </c>
      <c r="K125" s="53">
        <v>45682</v>
      </c>
      <c r="L125" s="108">
        <v>1800</v>
      </c>
      <c r="M125" s="101"/>
      <c r="N125" s="101"/>
      <c r="O125" s="107">
        <f t="shared" si="39"/>
        <v>1800</v>
      </c>
      <c r="P125" s="54">
        <f t="shared" si="40"/>
        <v>1800</v>
      </c>
      <c r="Q125" s="101" t="s">
        <v>505</v>
      </c>
      <c r="R125" s="166">
        <v>45682</v>
      </c>
      <c r="S125" s="101"/>
      <c r="T125" s="102">
        <f t="shared" si="41"/>
        <v>9.375</v>
      </c>
      <c r="U125" s="102">
        <v>6</v>
      </c>
      <c r="V125" s="99">
        <f>480/15</f>
        <v>32</v>
      </c>
      <c r="W125" s="55">
        <f t="shared" si="71"/>
        <v>45662</v>
      </c>
      <c r="X125" s="55"/>
      <c r="Y125" s="56">
        <f t="shared" ca="1" si="43"/>
        <v>-178</v>
      </c>
      <c r="Z125" s="55">
        <f t="shared" si="44"/>
        <v>45678</v>
      </c>
      <c r="AA125" s="55"/>
      <c r="AB125" s="56">
        <f t="shared" ca="1" si="45"/>
        <v>-162</v>
      </c>
      <c r="AC125" s="55"/>
      <c r="AD125" s="57"/>
      <c r="AE125" s="58" t="str">
        <f t="shared" si="46"/>
        <v>-</v>
      </c>
      <c r="AF125" s="59"/>
      <c r="AG125" s="58" t="str">
        <f t="shared" si="47"/>
        <v/>
      </c>
      <c r="AH125" s="59"/>
      <c r="AI125" s="58" t="str">
        <f t="shared" si="48"/>
        <v/>
      </c>
      <c r="AJ125" s="59"/>
      <c r="AK125" s="58" t="str">
        <f t="shared" si="49"/>
        <v/>
      </c>
      <c r="AL125" s="59"/>
      <c r="AM125" s="58" t="str">
        <f t="shared" si="50"/>
        <v/>
      </c>
      <c r="AN125" s="59"/>
      <c r="AO125" s="58" t="str">
        <f t="shared" si="51"/>
        <v/>
      </c>
      <c r="AP125" s="59"/>
      <c r="AQ125" s="58" t="str">
        <f t="shared" si="52"/>
        <v/>
      </c>
      <c r="AR125" s="59"/>
      <c r="AS125" s="58" t="str">
        <f t="shared" si="53"/>
        <v/>
      </c>
      <c r="AT125" s="59"/>
      <c r="AU125" s="58" t="str">
        <f t="shared" si="54"/>
        <v/>
      </c>
      <c r="AV125" s="59"/>
      <c r="AW125" s="58" t="str">
        <f t="shared" si="55"/>
        <v/>
      </c>
      <c r="AX125" s="59"/>
      <c r="AY125" s="58" t="str">
        <f t="shared" si="56"/>
        <v/>
      </c>
      <c r="AZ125" s="59"/>
      <c r="BA125" s="58" t="str">
        <f t="shared" si="57"/>
        <v/>
      </c>
      <c r="BB125" s="59"/>
      <c r="BC125" s="58" t="str">
        <f t="shared" si="58"/>
        <v/>
      </c>
      <c r="BD125" s="59"/>
      <c r="BE125" s="58">
        <f t="shared" si="59"/>
        <v>1800</v>
      </c>
      <c r="BF125" s="59"/>
      <c r="BG125" s="58" t="str">
        <f t="shared" si="60"/>
        <v/>
      </c>
      <c r="BH125" s="59"/>
      <c r="BI125" s="58" t="str">
        <f t="shared" si="61"/>
        <v/>
      </c>
      <c r="BJ125" s="59"/>
      <c r="BK125" s="58" t="str">
        <f t="shared" si="62"/>
        <v/>
      </c>
      <c r="BL125" s="59"/>
      <c r="BM125" s="58" t="str">
        <f t="shared" si="63"/>
        <v/>
      </c>
      <c r="BN125" s="59"/>
      <c r="BO125" s="58" t="str">
        <f t="shared" si="64"/>
        <v/>
      </c>
      <c r="BP125" s="59"/>
      <c r="BQ125" s="58" t="str">
        <f t="shared" si="65"/>
        <v/>
      </c>
      <c r="BR125" s="59"/>
      <c r="BS125" s="58" t="str">
        <f t="shared" si="66"/>
        <v/>
      </c>
      <c r="BT125" s="59"/>
      <c r="BU125" s="58" t="str">
        <f t="shared" si="67"/>
        <v/>
      </c>
      <c r="BV125" s="59"/>
      <c r="BW125" s="58" t="str">
        <f t="shared" si="68"/>
        <v/>
      </c>
      <c r="BX125" s="59"/>
      <c r="BY125" s="58" t="str">
        <f t="shared" si="69"/>
        <v/>
      </c>
      <c r="BZ125" s="59"/>
    </row>
    <row r="126" spans="1:78" ht="14.5" hidden="1">
      <c r="A126" s="51" t="s">
        <v>58</v>
      </c>
      <c r="B126" s="52">
        <v>350</v>
      </c>
      <c r="C126" s="52" t="s">
        <v>188</v>
      </c>
      <c r="D126" s="41">
        <f t="shared" si="38"/>
        <v>4</v>
      </c>
      <c r="E126" s="170">
        <v>45675</v>
      </c>
      <c r="F126" s="41" t="s">
        <v>631</v>
      </c>
      <c r="G126" s="52" t="s">
        <v>502</v>
      </c>
      <c r="H126" s="52" t="s">
        <v>289</v>
      </c>
      <c r="I126" s="52" t="s">
        <v>156</v>
      </c>
      <c r="J126" s="52" t="s">
        <v>503</v>
      </c>
      <c r="K126" s="53">
        <v>45682</v>
      </c>
      <c r="L126" s="108">
        <v>1440</v>
      </c>
      <c r="M126" s="101"/>
      <c r="N126" s="101"/>
      <c r="O126" s="107">
        <f t="shared" si="39"/>
        <v>1440</v>
      </c>
      <c r="P126" s="54">
        <f t="shared" si="40"/>
        <v>1440</v>
      </c>
      <c r="Q126" s="101" t="s">
        <v>506</v>
      </c>
      <c r="R126" s="166">
        <v>45682</v>
      </c>
      <c r="S126" s="101"/>
      <c r="T126" s="102">
        <f t="shared" si="41"/>
        <v>7.5</v>
      </c>
      <c r="U126" s="102">
        <v>6</v>
      </c>
      <c r="V126" s="99">
        <f>480/15</f>
        <v>32</v>
      </c>
      <c r="W126" s="55">
        <f t="shared" si="71"/>
        <v>45662</v>
      </c>
      <c r="X126" s="55"/>
      <c r="Y126" s="56">
        <f t="shared" ca="1" si="43"/>
        <v>-178</v>
      </c>
      <c r="Z126" s="55">
        <f t="shared" si="44"/>
        <v>45678</v>
      </c>
      <c r="AA126" s="55"/>
      <c r="AB126" s="56">
        <f t="shared" ca="1" si="45"/>
        <v>-162</v>
      </c>
      <c r="AC126" s="55"/>
      <c r="AD126" s="57"/>
      <c r="AE126" s="58" t="str">
        <f t="shared" si="46"/>
        <v>-</v>
      </c>
      <c r="AF126" s="59"/>
      <c r="AG126" s="58" t="str">
        <f t="shared" si="47"/>
        <v/>
      </c>
      <c r="AH126" s="59"/>
      <c r="AI126" s="58" t="str">
        <f t="shared" si="48"/>
        <v/>
      </c>
      <c r="AJ126" s="59"/>
      <c r="AK126" s="58" t="str">
        <f t="shared" si="49"/>
        <v/>
      </c>
      <c r="AL126" s="59"/>
      <c r="AM126" s="58" t="str">
        <f t="shared" si="50"/>
        <v/>
      </c>
      <c r="AN126" s="59"/>
      <c r="AO126" s="58" t="str">
        <f t="shared" si="51"/>
        <v/>
      </c>
      <c r="AP126" s="59"/>
      <c r="AQ126" s="58" t="str">
        <f t="shared" si="52"/>
        <v/>
      </c>
      <c r="AR126" s="59"/>
      <c r="AS126" s="58" t="str">
        <f t="shared" si="53"/>
        <v/>
      </c>
      <c r="AT126" s="59"/>
      <c r="AU126" s="58" t="str">
        <f t="shared" si="54"/>
        <v/>
      </c>
      <c r="AV126" s="59"/>
      <c r="AW126" s="58" t="str">
        <f t="shared" si="55"/>
        <v/>
      </c>
      <c r="AX126" s="59"/>
      <c r="AY126" s="58" t="str">
        <f t="shared" si="56"/>
        <v/>
      </c>
      <c r="AZ126" s="59"/>
      <c r="BA126" s="58" t="str">
        <f t="shared" si="57"/>
        <v/>
      </c>
      <c r="BB126" s="59"/>
      <c r="BC126" s="58" t="str">
        <f t="shared" si="58"/>
        <v/>
      </c>
      <c r="BD126" s="59"/>
      <c r="BE126" s="58">
        <f t="shared" si="59"/>
        <v>1440</v>
      </c>
      <c r="BF126" s="59"/>
      <c r="BG126" s="58" t="str">
        <f t="shared" si="60"/>
        <v/>
      </c>
      <c r="BH126" s="59"/>
      <c r="BI126" s="58" t="str">
        <f t="shared" si="61"/>
        <v/>
      </c>
      <c r="BJ126" s="59"/>
      <c r="BK126" s="58" t="str">
        <f t="shared" si="62"/>
        <v/>
      </c>
      <c r="BL126" s="59"/>
      <c r="BM126" s="58" t="str">
        <f t="shared" si="63"/>
        <v/>
      </c>
      <c r="BN126" s="59"/>
      <c r="BO126" s="58" t="str">
        <f t="shared" si="64"/>
        <v/>
      </c>
      <c r="BP126" s="59"/>
      <c r="BQ126" s="58" t="str">
        <f t="shared" si="65"/>
        <v/>
      </c>
      <c r="BR126" s="59"/>
      <c r="BS126" s="58" t="str">
        <f t="shared" si="66"/>
        <v/>
      </c>
      <c r="BT126" s="59"/>
      <c r="BU126" s="58" t="str">
        <f t="shared" si="67"/>
        <v/>
      </c>
      <c r="BV126" s="59"/>
      <c r="BW126" s="58" t="str">
        <f t="shared" si="68"/>
        <v/>
      </c>
      <c r="BX126" s="59"/>
      <c r="BY126" s="58" t="str">
        <f t="shared" si="69"/>
        <v/>
      </c>
      <c r="BZ126" s="59"/>
    </row>
    <row r="127" spans="1:78" ht="14.5" hidden="1">
      <c r="A127" s="51" t="s">
        <v>58</v>
      </c>
      <c r="B127" s="52">
        <v>350</v>
      </c>
      <c r="C127" s="52" t="s">
        <v>188</v>
      </c>
      <c r="D127" s="41">
        <f t="shared" si="38"/>
        <v>4</v>
      </c>
      <c r="E127" s="170">
        <v>45660</v>
      </c>
      <c r="F127" s="41" t="s">
        <v>631</v>
      </c>
      <c r="G127" s="52" t="s">
        <v>157</v>
      </c>
      <c r="H127" s="52" t="s">
        <v>243</v>
      </c>
      <c r="I127" s="52" t="s">
        <v>155</v>
      </c>
      <c r="J127" s="52" t="s">
        <v>549</v>
      </c>
      <c r="K127" s="53">
        <v>45682</v>
      </c>
      <c r="L127" s="108">
        <v>3708</v>
      </c>
      <c r="M127" s="101">
        <v>3708</v>
      </c>
      <c r="N127" s="101">
        <v>3708</v>
      </c>
      <c r="O127" s="107">
        <f t="shared" si="39"/>
        <v>0</v>
      </c>
      <c r="P127" s="54">
        <f t="shared" si="40"/>
        <v>0</v>
      </c>
      <c r="Q127" s="101" t="s">
        <v>429</v>
      </c>
      <c r="R127" s="166">
        <v>45682</v>
      </c>
      <c r="S127" s="101"/>
      <c r="T127" s="102">
        <f t="shared" si="41"/>
        <v>0.61799999999999999</v>
      </c>
      <c r="U127" s="102">
        <v>6</v>
      </c>
      <c r="V127" s="99">
        <v>1000</v>
      </c>
      <c r="W127" s="55">
        <f t="shared" si="71"/>
        <v>45662</v>
      </c>
      <c r="X127" s="55">
        <v>45620</v>
      </c>
      <c r="Y127" s="56">
        <f t="shared" ca="1" si="43"/>
        <v>42</v>
      </c>
      <c r="Z127" s="55">
        <f t="shared" si="44"/>
        <v>45678</v>
      </c>
      <c r="AA127" s="55"/>
      <c r="AB127" s="56">
        <f t="shared" ca="1" si="45"/>
        <v>-162</v>
      </c>
      <c r="AC127" s="55"/>
      <c r="AD127" s="57"/>
      <c r="AE127" s="58" t="str">
        <f t="shared" si="46"/>
        <v>-</v>
      </c>
      <c r="AF127" s="59"/>
      <c r="AG127" s="58" t="str">
        <f t="shared" si="47"/>
        <v/>
      </c>
      <c r="AH127" s="59"/>
      <c r="AI127" s="58" t="str">
        <f t="shared" si="48"/>
        <v/>
      </c>
      <c r="AJ127" s="59"/>
      <c r="AK127" s="58" t="str">
        <f t="shared" si="49"/>
        <v/>
      </c>
      <c r="AL127" s="59"/>
      <c r="AM127" s="58" t="str">
        <f t="shared" si="50"/>
        <v/>
      </c>
      <c r="AN127" s="59"/>
      <c r="AO127" s="58" t="str">
        <f t="shared" si="51"/>
        <v/>
      </c>
      <c r="AP127" s="59"/>
      <c r="AQ127" s="58" t="str">
        <f t="shared" si="52"/>
        <v/>
      </c>
      <c r="AR127" s="59"/>
      <c r="AS127" s="58" t="str">
        <f t="shared" si="53"/>
        <v/>
      </c>
      <c r="AT127" s="59"/>
      <c r="AU127" s="58" t="str">
        <f t="shared" si="54"/>
        <v/>
      </c>
      <c r="AV127" s="59"/>
      <c r="AW127" s="58" t="str">
        <f t="shared" si="55"/>
        <v/>
      </c>
      <c r="AX127" s="59"/>
      <c r="AY127" s="58" t="str">
        <f t="shared" si="56"/>
        <v/>
      </c>
      <c r="AZ127" s="59"/>
      <c r="BA127" s="58" t="str">
        <f t="shared" si="57"/>
        <v/>
      </c>
      <c r="BB127" s="59"/>
      <c r="BC127" s="58" t="str">
        <f t="shared" si="58"/>
        <v/>
      </c>
      <c r="BD127" s="59"/>
      <c r="BE127" s="58">
        <f t="shared" si="59"/>
        <v>3708</v>
      </c>
      <c r="BF127" s="59"/>
      <c r="BG127" s="58" t="str">
        <f t="shared" si="60"/>
        <v/>
      </c>
      <c r="BH127" s="59"/>
      <c r="BI127" s="58" t="str">
        <f t="shared" si="61"/>
        <v/>
      </c>
      <c r="BJ127" s="59"/>
      <c r="BK127" s="58" t="str">
        <f t="shared" si="62"/>
        <v/>
      </c>
      <c r="BL127" s="59"/>
      <c r="BM127" s="58" t="str">
        <f t="shared" si="63"/>
        <v/>
      </c>
      <c r="BN127" s="59"/>
      <c r="BO127" s="58" t="str">
        <f t="shared" si="64"/>
        <v/>
      </c>
      <c r="BP127" s="59"/>
      <c r="BQ127" s="58" t="str">
        <f t="shared" si="65"/>
        <v/>
      </c>
      <c r="BR127" s="59"/>
      <c r="BS127" s="58" t="str">
        <f t="shared" si="66"/>
        <v/>
      </c>
      <c r="BT127" s="59"/>
      <c r="BU127" s="58" t="str">
        <f t="shared" si="67"/>
        <v/>
      </c>
      <c r="BV127" s="59"/>
      <c r="BW127" s="58" t="str">
        <f t="shared" si="68"/>
        <v/>
      </c>
      <c r="BX127" s="59"/>
      <c r="BY127" s="58" t="str">
        <f t="shared" si="69"/>
        <v/>
      </c>
      <c r="BZ127" s="59"/>
    </row>
    <row r="128" spans="1:78" ht="14.5" hidden="1">
      <c r="A128" s="51" t="s">
        <v>58</v>
      </c>
      <c r="B128" s="52">
        <v>350</v>
      </c>
      <c r="C128" s="52" t="s">
        <v>188</v>
      </c>
      <c r="D128" s="41">
        <f t="shared" si="38"/>
        <v>4</v>
      </c>
      <c r="E128" s="170" t="s">
        <v>631</v>
      </c>
      <c r="F128" s="41" t="s">
        <v>631</v>
      </c>
      <c r="G128" s="52" t="s">
        <v>158</v>
      </c>
      <c r="H128" s="52" t="s">
        <v>242</v>
      </c>
      <c r="I128" s="52" t="s">
        <v>154</v>
      </c>
      <c r="J128" s="52" t="s">
        <v>432</v>
      </c>
      <c r="K128" s="53">
        <v>45682</v>
      </c>
      <c r="L128" s="108">
        <v>448</v>
      </c>
      <c r="M128" s="101">
        <v>448</v>
      </c>
      <c r="N128" s="101">
        <v>448</v>
      </c>
      <c r="O128" s="107">
        <f t="shared" si="39"/>
        <v>0</v>
      </c>
      <c r="P128" s="54">
        <f t="shared" si="40"/>
        <v>0</v>
      </c>
      <c r="Q128" s="101" t="s">
        <v>437</v>
      </c>
      <c r="R128" s="166">
        <v>45682</v>
      </c>
      <c r="S128" s="101"/>
      <c r="T128" s="102">
        <f t="shared" si="41"/>
        <v>0.62222222222222223</v>
      </c>
      <c r="U128" s="102">
        <v>6</v>
      </c>
      <c r="V128" s="99">
        <v>120</v>
      </c>
      <c r="W128" s="55">
        <f t="shared" si="71"/>
        <v>45662</v>
      </c>
      <c r="X128" s="55">
        <v>45620</v>
      </c>
      <c r="Y128" s="56">
        <f t="shared" ca="1" si="43"/>
        <v>42</v>
      </c>
      <c r="Z128" s="55">
        <f t="shared" si="44"/>
        <v>45678</v>
      </c>
      <c r="AA128" s="55"/>
      <c r="AB128" s="56">
        <f t="shared" ca="1" si="45"/>
        <v>-162</v>
      </c>
      <c r="AC128" s="55"/>
      <c r="AD128" s="57"/>
      <c r="AE128" s="58" t="str">
        <f t="shared" si="46"/>
        <v>-</v>
      </c>
      <c r="AF128" s="59"/>
      <c r="AG128" s="58" t="str">
        <f t="shared" si="47"/>
        <v/>
      </c>
      <c r="AH128" s="59"/>
      <c r="AI128" s="58" t="str">
        <f t="shared" si="48"/>
        <v/>
      </c>
      <c r="AJ128" s="59"/>
      <c r="AK128" s="58" t="str">
        <f t="shared" si="49"/>
        <v/>
      </c>
      <c r="AL128" s="59"/>
      <c r="AM128" s="58" t="str">
        <f t="shared" si="50"/>
        <v/>
      </c>
      <c r="AN128" s="59"/>
      <c r="AO128" s="58" t="str">
        <f t="shared" si="51"/>
        <v/>
      </c>
      <c r="AP128" s="59"/>
      <c r="AQ128" s="58" t="str">
        <f t="shared" si="52"/>
        <v/>
      </c>
      <c r="AR128" s="59"/>
      <c r="AS128" s="58" t="str">
        <f t="shared" si="53"/>
        <v/>
      </c>
      <c r="AT128" s="59"/>
      <c r="AU128" s="58" t="str">
        <f t="shared" si="54"/>
        <v/>
      </c>
      <c r="AV128" s="59"/>
      <c r="AW128" s="58" t="str">
        <f t="shared" si="55"/>
        <v/>
      </c>
      <c r="AX128" s="59"/>
      <c r="AY128" s="58" t="str">
        <f t="shared" si="56"/>
        <v/>
      </c>
      <c r="AZ128" s="59"/>
      <c r="BA128" s="58" t="str">
        <f t="shared" si="57"/>
        <v/>
      </c>
      <c r="BB128" s="59"/>
      <c r="BC128" s="58" t="str">
        <f t="shared" si="58"/>
        <v/>
      </c>
      <c r="BD128" s="59"/>
      <c r="BE128" s="58">
        <f t="shared" si="59"/>
        <v>448</v>
      </c>
      <c r="BF128" s="59"/>
      <c r="BG128" s="58" t="str">
        <f t="shared" si="60"/>
        <v/>
      </c>
      <c r="BH128" s="59"/>
      <c r="BI128" s="58" t="str">
        <f t="shared" si="61"/>
        <v/>
      </c>
      <c r="BJ128" s="59"/>
      <c r="BK128" s="58" t="str">
        <f t="shared" si="62"/>
        <v/>
      </c>
      <c r="BL128" s="59"/>
      <c r="BM128" s="58" t="str">
        <f t="shared" si="63"/>
        <v/>
      </c>
      <c r="BN128" s="59"/>
      <c r="BO128" s="58" t="str">
        <f t="shared" si="64"/>
        <v/>
      </c>
      <c r="BP128" s="59"/>
      <c r="BQ128" s="58" t="str">
        <f t="shared" si="65"/>
        <v/>
      </c>
      <c r="BR128" s="59"/>
      <c r="BS128" s="58" t="str">
        <f t="shared" si="66"/>
        <v/>
      </c>
      <c r="BT128" s="59"/>
      <c r="BU128" s="58" t="str">
        <f t="shared" si="67"/>
        <v/>
      </c>
      <c r="BV128" s="59"/>
      <c r="BW128" s="58" t="str">
        <f t="shared" si="68"/>
        <v/>
      </c>
      <c r="BX128" s="59"/>
      <c r="BY128" s="58" t="str">
        <f t="shared" si="69"/>
        <v/>
      </c>
      <c r="BZ128" s="59"/>
    </row>
    <row r="129" spans="1:78" ht="14.5" hidden="1">
      <c r="A129" s="51" t="s">
        <v>58</v>
      </c>
      <c r="B129" s="52">
        <v>350</v>
      </c>
      <c r="C129" s="52" t="s">
        <v>188</v>
      </c>
      <c r="D129" s="41">
        <f t="shared" si="38"/>
        <v>4</v>
      </c>
      <c r="E129" s="170" t="s">
        <v>631</v>
      </c>
      <c r="F129" s="41" t="s">
        <v>631</v>
      </c>
      <c r="G129" s="52" t="s">
        <v>195</v>
      </c>
      <c r="H129" s="52" t="s">
        <v>286</v>
      </c>
      <c r="I129" s="52" t="s">
        <v>162</v>
      </c>
      <c r="J129" s="52" t="s">
        <v>434</v>
      </c>
      <c r="K129" s="53">
        <v>45682</v>
      </c>
      <c r="L129" s="108">
        <v>4464</v>
      </c>
      <c r="M129" s="101">
        <v>4464</v>
      </c>
      <c r="N129" s="101">
        <v>4464</v>
      </c>
      <c r="O129" s="107">
        <f t="shared" si="39"/>
        <v>0</v>
      </c>
      <c r="P129" s="54">
        <f t="shared" si="40"/>
        <v>0</v>
      </c>
      <c r="Q129" s="101" t="s">
        <v>431</v>
      </c>
      <c r="R129" s="166">
        <v>45682</v>
      </c>
      <c r="S129" s="101"/>
      <c r="T129" s="102">
        <f t="shared" si="41"/>
        <v>6.2</v>
      </c>
      <c r="U129" s="102">
        <v>6</v>
      </c>
      <c r="V129" s="99">
        <v>120</v>
      </c>
      <c r="W129" s="55">
        <f t="shared" si="71"/>
        <v>45662</v>
      </c>
      <c r="X129" s="55">
        <v>45620</v>
      </c>
      <c r="Y129" s="56">
        <f t="shared" ca="1" si="43"/>
        <v>42</v>
      </c>
      <c r="Z129" s="55">
        <f t="shared" si="44"/>
        <v>45678</v>
      </c>
      <c r="AA129" s="55"/>
      <c r="AB129" s="56">
        <f t="shared" ca="1" si="45"/>
        <v>-162</v>
      </c>
      <c r="AC129" s="55"/>
      <c r="AD129" s="57"/>
      <c r="AE129" s="58" t="str">
        <f t="shared" si="46"/>
        <v>-</v>
      </c>
      <c r="AF129" s="59"/>
      <c r="AG129" s="58" t="str">
        <f t="shared" si="47"/>
        <v/>
      </c>
      <c r="AH129" s="59"/>
      <c r="AI129" s="58" t="str">
        <f t="shared" si="48"/>
        <v/>
      </c>
      <c r="AJ129" s="59"/>
      <c r="AK129" s="58" t="str">
        <f t="shared" si="49"/>
        <v/>
      </c>
      <c r="AL129" s="59"/>
      <c r="AM129" s="58" t="str">
        <f t="shared" si="50"/>
        <v/>
      </c>
      <c r="AN129" s="59"/>
      <c r="AO129" s="58" t="str">
        <f t="shared" si="51"/>
        <v/>
      </c>
      <c r="AP129" s="59"/>
      <c r="AQ129" s="58" t="str">
        <f t="shared" si="52"/>
        <v/>
      </c>
      <c r="AR129" s="59"/>
      <c r="AS129" s="58" t="str">
        <f t="shared" si="53"/>
        <v/>
      </c>
      <c r="AT129" s="59"/>
      <c r="AU129" s="58" t="str">
        <f t="shared" si="54"/>
        <v/>
      </c>
      <c r="AV129" s="59"/>
      <c r="AW129" s="58" t="str">
        <f t="shared" si="55"/>
        <v/>
      </c>
      <c r="AX129" s="59"/>
      <c r="AY129" s="58" t="str">
        <f t="shared" si="56"/>
        <v/>
      </c>
      <c r="AZ129" s="59"/>
      <c r="BA129" s="58" t="str">
        <f t="shared" si="57"/>
        <v/>
      </c>
      <c r="BB129" s="59"/>
      <c r="BC129" s="58" t="str">
        <f t="shared" si="58"/>
        <v/>
      </c>
      <c r="BD129" s="59"/>
      <c r="BE129" s="58">
        <f t="shared" si="59"/>
        <v>4464</v>
      </c>
      <c r="BF129" s="59"/>
      <c r="BG129" s="58" t="str">
        <f t="shared" si="60"/>
        <v/>
      </c>
      <c r="BH129" s="59"/>
      <c r="BI129" s="58" t="str">
        <f t="shared" si="61"/>
        <v/>
      </c>
      <c r="BJ129" s="59"/>
      <c r="BK129" s="58" t="str">
        <f t="shared" si="62"/>
        <v/>
      </c>
      <c r="BL129" s="59"/>
      <c r="BM129" s="58" t="str">
        <f t="shared" si="63"/>
        <v/>
      </c>
      <c r="BN129" s="59"/>
      <c r="BO129" s="58" t="str">
        <f t="shared" si="64"/>
        <v/>
      </c>
      <c r="BP129" s="59"/>
      <c r="BQ129" s="58" t="str">
        <f t="shared" si="65"/>
        <v/>
      </c>
      <c r="BR129" s="59"/>
      <c r="BS129" s="58" t="str">
        <f t="shared" si="66"/>
        <v/>
      </c>
      <c r="BT129" s="59"/>
      <c r="BU129" s="58" t="str">
        <f t="shared" si="67"/>
        <v/>
      </c>
      <c r="BV129" s="59"/>
      <c r="BW129" s="58" t="str">
        <f t="shared" si="68"/>
        <v/>
      </c>
      <c r="BX129" s="59"/>
      <c r="BY129" s="58" t="str">
        <f t="shared" si="69"/>
        <v/>
      </c>
      <c r="BZ129" s="59"/>
    </row>
    <row r="130" spans="1:78" ht="14.5" hidden="1">
      <c r="A130" s="51" t="s">
        <v>58</v>
      </c>
      <c r="B130" s="52">
        <v>350</v>
      </c>
      <c r="C130" s="52" t="s">
        <v>188</v>
      </c>
      <c r="D130" s="41">
        <f t="shared" si="38"/>
        <v>4</v>
      </c>
      <c r="E130" s="170" t="s">
        <v>631</v>
      </c>
      <c r="F130" s="41" t="s">
        <v>631</v>
      </c>
      <c r="G130" s="52" t="s">
        <v>189</v>
      </c>
      <c r="H130" s="52" t="s">
        <v>242</v>
      </c>
      <c r="I130" s="52" t="s">
        <v>162</v>
      </c>
      <c r="J130" s="52" t="s">
        <v>550</v>
      </c>
      <c r="K130" s="53">
        <v>45682</v>
      </c>
      <c r="L130" s="108">
        <v>76</v>
      </c>
      <c r="M130" s="101">
        <v>76</v>
      </c>
      <c r="N130" s="101"/>
      <c r="O130" s="107">
        <f t="shared" si="39"/>
        <v>76</v>
      </c>
      <c r="P130" s="54">
        <f t="shared" si="40"/>
        <v>0</v>
      </c>
      <c r="Q130" s="101" t="s">
        <v>659</v>
      </c>
      <c r="R130" s="166">
        <v>45682</v>
      </c>
      <c r="S130" s="101" t="s">
        <v>642</v>
      </c>
      <c r="T130" s="102">
        <f t="shared" si="41"/>
        <v>0.10555555555555556</v>
      </c>
      <c r="U130" s="102">
        <v>6</v>
      </c>
      <c r="V130" s="99">
        <v>120</v>
      </c>
      <c r="W130" s="55">
        <f t="shared" si="71"/>
        <v>45662</v>
      </c>
      <c r="X130" s="55">
        <v>45620</v>
      </c>
      <c r="Y130" s="56">
        <f t="shared" ca="1" si="43"/>
        <v>42</v>
      </c>
      <c r="Z130" s="55">
        <f t="shared" si="44"/>
        <v>45678</v>
      </c>
      <c r="AA130" s="55"/>
      <c r="AB130" s="56">
        <f t="shared" ca="1" si="45"/>
        <v>-162</v>
      </c>
      <c r="AC130" s="55"/>
      <c r="AD130" s="57"/>
      <c r="AE130" s="58" t="str">
        <f t="shared" si="46"/>
        <v>-</v>
      </c>
      <c r="AF130" s="59"/>
      <c r="AG130" s="58" t="str">
        <f t="shared" si="47"/>
        <v/>
      </c>
      <c r="AH130" s="59"/>
      <c r="AI130" s="58" t="str">
        <f t="shared" si="48"/>
        <v/>
      </c>
      <c r="AJ130" s="59"/>
      <c r="AK130" s="58" t="str">
        <f t="shared" si="49"/>
        <v/>
      </c>
      <c r="AL130" s="59"/>
      <c r="AM130" s="58" t="str">
        <f t="shared" si="50"/>
        <v/>
      </c>
      <c r="AN130" s="59"/>
      <c r="AO130" s="58" t="str">
        <f t="shared" si="51"/>
        <v/>
      </c>
      <c r="AP130" s="59"/>
      <c r="AQ130" s="58" t="str">
        <f t="shared" si="52"/>
        <v/>
      </c>
      <c r="AR130" s="59"/>
      <c r="AS130" s="58" t="str">
        <f t="shared" si="53"/>
        <v/>
      </c>
      <c r="AT130" s="59"/>
      <c r="AU130" s="58" t="str">
        <f t="shared" si="54"/>
        <v/>
      </c>
      <c r="AV130" s="59"/>
      <c r="AW130" s="58" t="str">
        <f t="shared" si="55"/>
        <v/>
      </c>
      <c r="AX130" s="59"/>
      <c r="AY130" s="58" t="str">
        <f t="shared" si="56"/>
        <v/>
      </c>
      <c r="AZ130" s="59"/>
      <c r="BA130" s="58" t="str">
        <f t="shared" si="57"/>
        <v/>
      </c>
      <c r="BB130" s="59"/>
      <c r="BC130" s="58" t="str">
        <f t="shared" si="58"/>
        <v/>
      </c>
      <c r="BD130" s="59"/>
      <c r="BE130" s="58">
        <f t="shared" si="59"/>
        <v>76</v>
      </c>
      <c r="BF130" s="59"/>
      <c r="BG130" s="58" t="str">
        <f t="shared" si="60"/>
        <v/>
      </c>
      <c r="BH130" s="59"/>
      <c r="BI130" s="58" t="str">
        <f t="shared" si="61"/>
        <v/>
      </c>
      <c r="BJ130" s="59"/>
      <c r="BK130" s="58" t="str">
        <f t="shared" si="62"/>
        <v/>
      </c>
      <c r="BL130" s="59"/>
      <c r="BM130" s="58" t="str">
        <f t="shared" si="63"/>
        <v/>
      </c>
      <c r="BN130" s="59"/>
      <c r="BO130" s="58" t="str">
        <f t="shared" si="64"/>
        <v/>
      </c>
      <c r="BP130" s="59"/>
      <c r="BQ130" s="58" t="str">
        <f t="shared" si="65"/>
        <v/>
      </c>
      <c r="BR130" s="59"/>
      <c r="BS130" s="58" t="str">
        <f t="shared" si="66"/>
        <v/>
      </c>
      <c r="BT130" s="59"/>
      <c r="BU130" s="58" t="str">
        <f t="shared" si="67"/>
        <v/>
      </c>
      <c r="BV130" s="59"/>
      <c r="BW130" s="58" t="str">
        <f t="shared" si="68"/>
        <v/>
      </c>
      <c r="BX130" s="59"/>
      <c r="BY130" s="58" t="str">
        <f t="shared" si="69"/>
        <v/>
      </c>
      <c r="BZ130" s="59"/>
    </row>
    <row r="131" spans="1:78" ht="14.5" hidden="1">
      <c r="A131" s="51" t="s">
        <v>58</v>
      </c>
      <c r="B131" s="52">
        <v>350</v>
      </c>
      <c r="C131" s="52" t="s">
        <v>188</v>
      </c>
      <c r="D131" s="41">
        <f t="shared" si="38"/>
        <v>4</v>
      </c>
      <c r="E131" s="170">
        <v>45667</v>
      </c>
      <c r="F131" s="41" t="s">
        <v>631</v>
      </c>
      <c r="G131" s="52" t="s">
        <v>190</v>
      </c>
      <c r="H131" s="52" t="s">
        <v>242</v>
      </c>
      <c r="I131" s="52" t="s">
        <v>244</v>
      </c>
      <c r="J131" s="52" t="s">
        <v>438</v>
      </c>
      <c r="K131" s="53">
        <v>45682</v>
      </c>
      <c r="L131" s="108">
        <v>1124</v>
      </c>
      <c r="M131" s="101">
        <v>1124</v>
      </c>
      <c r="N131" s="101">
        <v>1124</v>
      </c>
      <c r="O131" s="107">
        <f t="shared" si="39"/>
        <v>0</v>
      </c>
      <c r="P131" s="54">
        <f t="shared" si="40"/>
        <v>0</v>
      </c>
      <c r="Q131" s="101" t="s">
        <v>431</v>
      </c>
      <c r="R131" s="166">
        <v>45682</v>
      </c>
      <c r="S131" s="101"/>
      <c r="T131" s="102">
        <f t="shared" si="41"/>
        <v>1.5611111111111111</v>
      </c>
      <c r="U131" s="102">
        <v>6</v>
      </c>
      <c r="V131" s="99">
        <v>120</v>
      </c>
      <c r="W131" s="55">
        <f t="shared" si="71"/>
        <v>45662</v>
      </c>
      <c r="X131" s="55">
        <v>45620</v>
      </c>
      <c r="Y131" s="56">
        <f t="shared" ca="1" si="43"/>
        <v>42</v>
      </c>
      <c r="Z131" s="55">
        <f t="shared" si="44"/>
        <v>45678</v>
      </c>
      <c r="AA131" s="55"/>
      <c r="AB131" s="56">
        <f t="shared" ca="1" si="45"/>
        <v>-162</v>
      </c>
      <c r="AC131" s="55"/>
      <c r="AD131" s="57"/>
      <c r="AE131" s="58" t="str">
        <f t="shared" si="46"/>
        <v>-</v>
      </c>
      <c r="AF131" s="59"/>
      <c r="AG131" s="58" t="str">
        <f t="shared" si="47"/>
        <v/>
      </c>
      <c r="AH131" s="59"/>
      <c r="AI131" s="58" t="str">
        <f t="shared" si="48"/>
        <v/>
      </c>
      <c r="AJ131" s="59"/>
      <c r="AK131" s="58" t="str">
        <f t="shared" si="49"/>
        <v/>
      </c>
      <c r="AL131" s="59"/>
      <c r="AM131" s="58" t="str">
        <f t="shared" si="50"/>
        <v/>
      </c>
      <c r="AN131" s="59"/>
      <c r="AO131" s="58" t="str">
        <f t="shared" si="51"/>
        <v/>
      </c>
      <c r="AP131" s="59"/>
      <c r="AQ131" s="58" t="str">
        <f t="shared" si="52"/>
        <v/>
      </c>
      <c r="AR131" s="59"/>
      <c r="AS131" s="58" t="str">
        <f t="shared" si="53"/>
        <v/>
      </c>
      <c r="AT131" s="59"/>
      <c r="AU131" s="58" t="str">
        <f t="shared" si="54"/>
        <v/>
      </c>
      <c r="AV131" s="59"/>
      <c r="AW131" s="58" t="str">
        <f t="shared" si="55"/>
        <v/>
      </c>
      <c r="AX131" s="59"/>
      <c r="AY131" s="58" t="str">
        <f t="shared" si="56"/>
        <v/>
      </c>
      <c r="AZ131" s="59"/>
      <c r="BA131" s="58" t="str">
        <f t="shared" si="57"/>
        <v/>
      </c>
      <c r="BB131" s="59"/>
      <c r="BC131" s="58" t="str">
        <f t="shared" si="58"/>
        <v/>
      </c>
      <c r="BD131" s="59"/>
      <c r="BE131" s="58">
        <f t="shared" si="59"/>
        <v>1124</v>
      </c>
      <c r="BF131" s="59"/>
      <c r="BG131" s="58" t="str">
        <f t="shared" si="60"/>
        <v/>
      </c>
      <c r="BH131" s="59"/>
      <c r="BI131" s="58" t="str">
        <f t="shared" si="61"/>
        <v/>
      </c>
      <c r="BJ131" s="59"/>
      <c r="BK131" s="58" t="str">
        <f t="shared" si="62"/>
        <v/>
      </c>
      <c r="BL131" s="59"/>
      <c r="BM131" s="58" t="str">
        <f t="shared" si="63"/>
        <v/>
      </c>
      <c r="BN131" s="59"/>
      <c r="BO131" s="58" t="str">
        <f t="shared" si="64"/>
        <v/>
      </c>
      <c r="BP131" s="59"/>
      <c r="BQ131" s="58" t="str">
        <f t="shared" si="65"/>
        <v/>
      </c>
      <c r="BR131" s="59"/>
      <c r="BS131" s="58" t="str">
        <f t="shared" si="66"/>
        <v/>
      </c>
      <c r="BT131" s="59"/>
      <c r="BU131" s="58" t="str">
        <f t="shared" si="67"/>
        <v/>
      </c>
      <c r="BV131" s="59"/>
      <c r="BW131" s="58" t="str">
        <f t="shared" si="68"/>
        <v/>
      </c>
      <c r="BX131" s="59"/>
      <c r="BY131" s="58" t="str">
        <f t="shared" si="69"/>
        <v/>
      </c>
      <c r="BZ131" s="59"/>
    </row>
    <row r="132" spans="1:78" ht="14.5" hidden="1">
      <c r="A132" s="51" t="s">
        <v>58</v>
      </c>
      <c r="B132" s="52">
        <v>352</v>
      </c>
      <c r="C132" s="52" t="s">
        <v>188</v>
      </c>
      <c r="D132" s="41">
        <f t="shared" si="38"/>
        <v>4</v>
      </c>
      <c r="E132" s="170" t="s">
        <v>631</v>
      </c>
      <c r="F132" s="41" t="s">
        <v>631</v>
      </c>
      <c r="G132" s="52" t="s">
        <v>193</v>
      </c>
      <c r="H132" s="52" t="s">
        <v>246</v>
      </c>
      <c r="I132" s="52" t="s">
        <v>162</v>
      </c>
      <c r="J132" s="52" t="s">
        <v>434</v>
      </c>
      <c r="K132" s="53">
        <v>45679</v>
      </c>
      <c r="L132" s="108">
        <f>7800*2</f>
        <v>15600</v>
      </c>
      <c r="M132" s="101">
        <v>15600</v>
      </c>
      <c r="N132" s="101">
        <v>1640</v>
      </c>
      <c r="O132" s="107">
        <f t="shared" si="39"/>
        <v>13960</v>
      </c>
      <c r="P132" s="54">
        <f t="shared" si="40"/>
        <v>0</v>
      </c>
      <c r="Q132" s="101" t="s">
        <v>660</v>
      </c>
      <c r="R132" s="166">
        <v>45679</v>
      </c>
      <c r="S132" s="101" t="s">
        <v>661</v>
      </c>
      <c r="T132" s="102">
        <f t="shared" si="41"/>
        <v>44.571428571428569</v>
      </c>
      <c r="U132" s="102">
        <v>1</v>
      </c>
      <c r="V132" s="99">
        <v>350</v>
      </c>
      <c r="W132" s="55">
        <f t="shared" si="71"/>
        <v>45659</v>
      </c>
      <c r="X132" s="55">
        <v>45627</v>
      </c>
      <c r="Y132" s="56">
        <f t="shared" ca="1" si="43"/>
        <v>32</v>
      </c>
      <c r="Z132" s="55">
        <f t="shared" si="44"/>
        <v>45675</v>
      </c>
      <c r="AA132" s="55"/>
      <c r="AB132" s="56">
        <f t="shared" ca="1" si="45"/>
        <v>-165</v>
      </c>
      <c r="AC132" s="55"/>
      <c r="AD132" s="57"/>
      <c r="AE132" s="58" t="str">
        <f t="shared" si="46"/>
        <v>-</v>
      </c>
      <c r="AF132" s="59"/>
      <c r="AG132" s="58" t="str">
        <f t="shared" si="47"/>
        <v/>
      </c>
      <c r="AH132" s="59"/>
      <c r="AI132" s="58" t="str">
        <f t="shared" si="48"/>
        <v/>
      </c>
      <c r="AJ132" s="59"/>
      <c r="AK132" s="58" t="str">
        <f t="shared" si="49"/>
        <v/>
      </c>
      <c r="AL132" s="59"/>
      <c r="AM132" s="58" t="str">
        <f t="shared" si="50"/>
        <v/>
      </c>
      <c r="AN132" s="59"/>
      <c r="AO132" s="58" t="str">
        <f t="shared" si="51"/>
        <v/>
      </c>
      <c r="AP132" s="59"/>
      <c r="AQ132" s="58" t="str">
        <f t="shared" si="52"/>
        <v/>
      </c>
      <c r="AR132" s="59"/>
      <c r="AS132" s="58" t="str">
        <f t="shared" si="53"/>
        <v/>
      </c>
      <c r="AT132" s="59"/>
      <c r="AU132" s="58" t="str">
        <f t="shared" si="54"/>
        <v/>
      </c>
      <c r="AV132" s="59"/>
      <c r="AW132" s="58" t="str">
        <f t="shared" si="55"/>
        <v/>
      </c>
      <c r="AX132" s="59"/>
      <c r="AY132" s="58" t="str">
        <f t="shared" si="56"/>
        <v/>
      </c>
      <c r="AZ132" s="59"/>
      <c r="BA132" s="58" t="str">
        <f t="shared" si="57"/>
        <v/>
      </c>
      <c r="BB132" s="59"/>
      <c r="BC132" s="58">
        <f t="shared" si="58"/>
        <v>15600</v>
      </c>
      <c r="BD132" s="59"/>
      <c r="BE132" s="58" t="str">
        <f t="shared" si="59"/>
        <v/>
      </c>
      <c r="BF132" s="59"/>
      <c r="BG132" s="58" t="str">
        <f t="shared" si="60"/>
        <v/>
      </c>
      <c r="BH132" s="59"/>
      <c r="BI132" s="58" t="str">
        <f t="shared" si="61"/>
        <v/>
      </c>
      <c r="BJ132" s="59"/>
      <c r="BK132" s="58" t="str">
        <f t="shared" si="62"/>
        <v/>
      </c>
      <c r="BL132" s="59"/>
      <c r="BM132" s="58" t="str">
        <f t="shared" si="63"/>
        <v/>
      </c>
      <c r="BN132" s="59"/>
      <c r="BO132" s="58" t="str">
        <f t="shared" si="64"/>
        <v/>
      </c>
      <c r="BP132" s="59"/>
      <c r="BQ132" s="58" t="str">
        <f t="shared" si="65"/>
        <v/>
      </c>
      <c r="BR132" s="59"/>
      <c r="BS132" s="58" t="str">
        <f t="shared" si="66"/>
        <v/>
      </c>
      <c r="BT132" s="59"/>
      <c r="BU132" s="58" t="str">
        <f t="shared" si="67"/>
        <v/>
      </c>
      <c r="BV132" s="59"/>
      <c r="BW132" s="58" t="str">
        <f t="shared" si="68"/>
        <v/>
      </c>
      <c r="BX132" s="59"/>
      <c r="BY132" s="58" t="str">
        <f t="shared" si="69"/>
        <v/>
      </c>
      <c r="BZ132" s="59"/>
    </row>
    <row r="133" spans="1:78" ht="14.5" hidden="1">
      <c r="A133" s="51" t="s">
        <v>58</v>
      </c>
      <c r="B133" s="52">
        <v>352</v>
      </c>
      <c r="C133" s="52" t="s">
        <v>188</v>
      </c>
      <c r="D133" s="41">
        <f t="shared" si="38"/>
        <v>4</v>
      </c>
      <c r="E133" s="41" t="s">
        <v>631</v>
      </c>
      <c r="F133" s="41" t="s">
        <v>631</v>
      </c>
      <c r="G133" s="159" t="s">
        <v>189</v>
      </c>
      <c r="H133" s="52" t="s">
        <v>242</v>
      </c>
      <c r="I133" s="52" t="s">
        <v>162</v>
      </c>
      <c r="J133" s="52" t="s">
        <v>432</v>
      </c>
      <c r="K133" s="53">
        <v>45679</v>
      </c>
      <c r="L133" s="108">
        <v>1932</v>
      </c>
      <c r="M133" s="101">
        <v>1932</v>
      </c>
      <c r="N133" s="101"/>
      <c r="O133" s="107">
        <f t="shared" si="39"/>
        <v>1932</v>
      </c>
      <c r="P133" s="54">
        <f t="shared" si="40"/>
        <v>0</v>
      </c>
      <c r="Q133" s="101" t="s">
        <v>431</v>
      </c>
      <c r="R133" s="166">
        <v>45680</v>
      </c>
      <c r="S133" s="101" t="s">
        <v>642</v>
      </c>
      <c r="T133" s="102">
        <f t="shared" si="41"/>
        <v>2.6833333333333331</v>
      </c>
      <c r="U133" s="102">
        <v>6</v>
      </c>
      <c r="V133" s="99">
        <v>120</v>
      </c>
      <c r="W133" s="55">
        <f t="shared" si="71"/>
        <v>45659</v>
      </c>
      <c r="X133" s="55">
        <v>45627</v>
      </c>
      <c r="Y133" s="56">
        <f t="shared" ca="1" si="43"/>
        <v>32</v>
      </c>
      <c r="Z133" s="55">
        <f t="shared" si="44"/>
        <v>45675</v>
      </c>
      <c r="AA133" s="55"/>
      <c r="AB133" s="56">
        <f t="shared" ca="1" si="45"/>
        <v>-165</v>
      </c>
      <c r="AC133" s="55"/>
      <c r="AD133" s="57"/>
      <c r="AE133" s="58" t="str">
        <f t="shared" si="46"/>
        <v>-</v>
      </c>
      <c r="AF133" s="59"/>
      <c r="AG133" s="58" t="str">
        <f t="shared" si="47"/>
        <v/>
      </c>
      <c r="AH133" s="59"/>
      <c r="AI133" s="58" t="str">
        <f t="shared" si="48"/>
        <v/>
      </c>
      <c r="AJ133" s="59"/>
      <c r="AK133" s="58" t="str">
        <f t="shared" si="49"/>
        <v/>
      </c>
      <c r="AL133" s="59"/>
      <c r="AM133" s="58" t="str">
        <f t="shared" si="50"/>
        <v/>
      </c>
      <c r="AN133" s="59"/>
      <c r="AO133" s="58" t="str">
        <f t="shared" si="51"/>
        <v/>
      </c>
      <c r="AP133" s="59"/>
      <c r="AQ133" s="58" t="str">
        <f t="shared" si="52"/>
        <v/>
      </c>
      <c r="AR133" s="59"/>
      <c r="AS133" s="58" t="str">
        <f t="shared" si="53"/>
        <v/>
      </c>
      <c r="AT133" s="59"/>
      <c r="AU133" s="58" t="str">
        <f t="shared" si="54"/>
        <v/>
      </c>
      <c r="AV133" s="59"/>
      <c r="AW133" s="58" t="str">
        <f t="shared" si="55"/>
        <v/>
      </c>
      <c r="AX133" s="59"/>
      <c r="AY133" s="58" t="str">
        <f t="shared" si="56"/>
        <v/>
      </c>
      <c r="AZ133" s="59"/>
      <c r="BA133" s="58" t="str">
        <f t="shared" si="57"/>
        <v/>
      </c>
      <c r="BB133" s="59"/>
      <c r="BC133" s="58">
        <f t="shared" si="58"/>
        <v>1932</v>
      </c>
      <c r="BD133" s="59"/>
      <c r="BE133" s="58" t="str">
        <f t="shared" si="59"/>
        <v/>
      </c>
      <c r="BF133" s="59"/>
      <c r="BG133" s="58" t="str">
        <f t="shared" si="60"/>
        <v/>
      </c>
      <c r="BH133" s="59"/>
      <c r="BI133" s="58" t="str">
        <f t="shared" si="61"/>
        <v/>
      </c>
      <c r="BJ133" s="59"/>
      <c r="BK133" s="58" t="str">
        <f t="shared" si="62"/>
        <v/>
      </c>
      <c r="BL133" s="59"/>
      <c r="BM133" s="58" t="str">
        <f t="shared" si="63"/>
        <v/>
      </c>
      <c r="BN133" s="59"/>
      <c r="BO133" s="58" t="str">
        <f t="shared" si="64"/>
        <v/>
      </c>
      <c r="BP133" s="59"/>
      <c r="BQ133" s="58" t="str">
        <f t="shared" si="65"/>
        <v/>
      </c>
      <c r="BR133" s="59"/>
      <c r="BS133" s="58" t="str">
        <f t="shared" si="66"/>
        <v/>
      </c>
      <c r="BT133" s="59"/>
      <c r="BU133" s="58" t="str">
        <f t="shared" si="67"/>
        <v/>
      </c>
      <c r="BV133" s="59"/>
      <c r="BW133" s="58" t="str">
        <f t="shared" si="68"/>
        <v/>
      </c>
      <c r="BX133" s="59"/>
      <c r="BY133" s="58" t="str">
        <f t="shared" si="69"/>
        <v/>
      </c>
      <c r="BZ133" s="59"/>
    </row>
    <row r="134" spans="1:78" ht="14.5" hidden="1">
      <c r="A134" s="51" t="s">
        <v>58</v>
      </c>
      <c r="B134" s="52">
        <v>352</v>
      </c>
      <c r="C134" s="52" t="s">
        <v>188</v>
      </c>
      <c r="D134" s="41">
        <f t="shared" si="38"/>
        <v>4</v>
      </c>
      <c r="E134" s="41" t="s">
        <v>631</v>
      </c>
      <c r="F134" s="41" t="s">
        <v>631</v>
      </c>
      <c r="G134" s="52" t="s">
        <v>158</v>
      </c>
      <c r="H134" s="52" t="s">
        <v>242</v>
      </c>
      <c r="I134" s="52" t="s">
        <v>156</v>
      </c>
      <c r="J134" s="52" t="s">
        <v>432</v>
      </c>
      <c r="K134" s="53">
        <v>45679</v>
      </c>
      <c r="L134" s="108">
        <v>744</v>
      </c>
      <c r="M134" s="101">
        <v>744</v>
      </c>
      <c r="N134" s="101">
        <v>744</v>
      </c>
      <c r="O134" s="107">
        <f t="shared" si="39"/>
        <v>0</v>
      </c>
      <c r="P134" s="54">
        <f t="shared" si="40"/>
        <v>0</v>
      </c>
      <c r="Q134" s="101" t="s">
        <v>431</v>
      </c>
      <c r="R134" s="101" t="s">
        <v>632</v>
      </c>
      <c r="S134" s="101"/>
      <c r="T134" s="102">
        <f t="shared" si="41"/>
        <v>1.0333333333333334</v>
      </c>
      <c r="U134" s="102">
        <v>6</v>
      </c>
      <c r="V134" s="99">
        <v>120</v>
      </c>
      <c r="W134" s="55">
        <f t="shared" si="71"/>
        <v>45659</v>
      </c>
      <c r="X134" s="55">
        <v>45627</v>
      </c>
      <c r="Y134" s="56">
        <f t="shared" ca="1" si="43"/>
        <v>32</v>
      </c>
      <c r="Z134" s="55">
        <f t="shared" si="44"/>
        <v>45675</v>
      </c>
      <c r="AA134" s="55"/>
      <c r="AB134" s="56">
        <f t="shared" ca="1" si="45"/>
        <v>-165</v>
      </c>
      <c r="AC134" s="55"/>
      <c r="AD134" s="57"/>
      <c r="AE134" s="58" t="str">
        <f t="shared" si="46"/>
        <v>-</v>
      </c>
      <c r="AF134" s="59"/>
      <c r="AG134" s="58" t="str">
        <f t="shared" si="47"/>
        <v/>
      </c>
      <c r="AH134" s="59"/>
      <c r="AI134" s="58" t="str">
        <f t="shared" si="48"/>
        <v/>
      </c>
      <c r="AJ134" s="59"/>
      <c r="AK134" s="58" t="str">
        <f t="shared" si="49"/>
        <v/>
      </c>
      <c r="AL134" s="59"/>
      <c r="AM134" s="58" t="str">
        <f t="shared" si="50"/>
        <v/>
      </c>
      <c r="AN134" s="59"/>
      <c r="AO134" s="58" t="str">
        <f t="shared" si="51"/>
        <v/>
      </c>
      <c r="AP134" s="59"/>
      <c r="AQ134" s="58" t="str">
        <f t="shared" si="52"/>
        <v/>
      </c>
      <c r="AR134" s="59"/>
      <c r="AS134" s="58" t="str">
        <f t="shared" si="53"/>
        <v/>
      </c>
      <c r="AT134" s="59"/>
      <c r="AU134" s="58" t="str">
        <f t="shared" si="54"/>
        <v/>
      </c>
      <c r="AV134" s="59"/>
      <c r="AW134" s="58" t="str">
        <f t="shared" si="55"/>
        <v/>
      </c>
      <c r="AX134" s="59"/>
      <c r="AY134" s="58" t="str">
        <f t="shared" si="56"/>
        <v/>
      </c>
      <c r="AZ134" s="59"/>
      <c r="BA134" s="58" t="str">
        <f t="shared" si="57"/>
        <v/>
      </c>
      <c r="BB134" s="59"/>
      <c r="BC134" s="58">
        <f t="shared" si="58"/>
        <v>744</v>
      </c>
      <c r="BD134" s="59"/>
      <c r="BE134" s="58" t="str">
        <f t="shared" si="59"/>
        <v/>
      </c>
      <c r="BF134" s="59"/>
      <c r="BG134" s="58" t="str">
        <f t="shared" si="60"/>
        <v/>
      </c>
      <c r="BH134" s="59"/>
      <c r="BI134" s="58" t="str">
        <f t="shared" si="61"/>
        <v/>
      </c>
      <c r="BJ134" s="59"/>
      <c r="BK134" s="58" t="str">
        <f t="shared" si="62"/>
        <v/>
      </c>
      <c r="BL134" s="59"/>
      <c r="BM134" s="58" t="str">
        <f t="shared" si="63"/>
        <v/>
      </c>
      <c r="BN134" s="59"/>
      <c r="BO134" s="58" t="str">
        <f t="shared" si="64"/>
        <v/>
      </c>
      <c r="BP134" s="59"/>
      <c r="BQ134" s="58" t="str">
        <f t="shared" si="65"/>
        <v/>
      </c>
      <c r="BR134" s="59"/>
      <c r="BS134" s="58" t="str">
        <f t="shared" si="66"/>
        <v/>
      </c>
      <c r="BT134" s="59"/>
      <c r="BU134" s="58" t="str">
        <f t="shared" si="67"/>
        <v/>
      </c>
      <c r="BV134" s="59"/>
      <c r="BW134" s="58" t="str">
        <f t="shared" si="68"/>
        <v/>
      </c>
      <c r="BX134" s="59"/>
      <c r="BY134" s="58" t="str">
        <f t="shared" si="69"/>
        <v/>
      </c>
      <c r="BZ134" s="59"/>
    </row>
    <row r="135" spans="1:78" ht="14.5" hidden="1">
      <c r="A135" s="51" t="s">
        <v>58</v>
      </c>
      <c r="B135" s="52">
        <v>352</v>
      </c>
      <c r="C135" s="52" t="s">
        <v>188</v>
      </c>
      <c r="D135" s="41">
        <f t="shared" ref="D135:D198" si="72">+WEEKNUM(K135)</f>
        <v>4</v>
      </c>
      <c r="E135" s="41" t="s">
        <v>631</v>
      </c>
      <c r="F135" s="41" t="s">
        <v>631</v>
      </c>
      <c r="G135" s="52" t="s">
        <v>517</v>
      </c>
      <c r="H135" s="52" t="s">
        <v>242</v>
      </c>
      <c r="I135" s="52" t="s">
        <v>244</v>
      </c>
      <c r="J135" s="52" t="s">
        <v>438</v>
      </c>
      <c r="K135" s="53">
        <v>45679</v>
      </c>
      <c r="L135" s="108">
        <v>836</v>
      </c>
      <c r="M135" s="101">
        <v>836</v>
      </c>
      <c r="N135" s="101"/>
      <c r="O135" s="107">
        <f t="shared" ref="O135:O182" si="73">+L135-N135</f>
        <v>836</v>
      </c>
      <c r="P135" s="54">
        <f t="shared" ref="P135:P182" si="74">+L135-M135</f>
        <v>0</v>
      </c>
      <c r="Q135" s="101" t="s">
        <v>178</v>
      </c>
      <c r="R135" s="166">
        <v>45680</v>
      </c>
      <c r="S135" s="101"/>
      <c r="T135" s="102">
        <f t="shared" ref="T135:T198" si="75">L135/(V135*U135)</f>
        <v>1.1611111111111112</v>
      </c>
      <c r="U135" s="102">
        <v>6</v>
      </c>
      <c r="V135" s="99">
        <v>120</v>
      </c>
      <c r="W135" s="55">
        <f t="shared" si="71"/>
        <v>45659</v>
      </c>
      <c r="X135" s="55">
        <v>45627</v>
      </c>
      <c r="Y135" s="56">
        <f t="shared" ref="Y135:Y182" ca="1" si="76">+IF(X135="",W135-TODAY(),W135-X135)</f>
        <v>32</v>
      </c>
      <c r="Z135" s="55">
        <f t="shared" ref="Z135:Z182" si="77">+W135+16</f>
        <v>45675</v>
      </c>
      <c r="AA135" s="55"/>
      <c r="AB135" s="56">
        <f t="shared" ref="AB135:AB182" ca="1" si="78">+IF(AA135="",Z135-TODAY(),Z135-AA135)</f>
        <v>-165</v>
      </c>
      <c r="AC135" s="55"/>
      <c r="AD135" s="57"/>
      <c r="AE135" s="58" t="str">
        <f t="shared" ref="AE135:AE198" si="79">+IF($AE$4=WEEKNUM(W135),L135,"-")</f>
        <v>-</v>
      </c>
      <c r="AF135" s="59"/>
      <c r="AG135" s="58" t="str">
        <f t="shared" ref="AG135:AG198" si="80">+IF($AG$4=WEEKNUM(W135),L135,"")</f>
        <v/>
      </c>
      <c r="AH135" s="59"/>
      <c r="AI135" s="58" t="str">
        <f t="shared" ref="AI135:AI198" si="81">+IF($AI$4=WEEKNUM(W135),L135,"")</f>
        <v/>
      </c>
      <c r="AJ135" s="59"/>
      <c r="AK135" s="58" t="str">
        <f t="shared" ref="AK135:AK198" si="82">+IF($AK$4=WEEKNUM(W135),L135,"")</f>
        <v/>
      </c>
      <c r="AL135" s="59"/>
      <c r="AM135" s="58" t="str">
        <f t="shared" ref="AM135:AM198" si="83">+IF($AM$4=WEEKNUM(W135),L135,"")</f>
        <v/>
      </c>
      <c r="AN135" s="59"/>
      <c r="AO135" s="58" t="str">
        <f t="shared" ref="AO135:AO198" si="84">+IF($AO$4=WEEKNUM(W135),L135,"")</f>
        <v/>
      </c>
      <c r="AP135" s="59"/>
      <c r="AQ135" s="58" t="str">
        <f t="shared" ref="AQ135:AQ198" si="85">+IF($AQ$4=WEEKNUM(W135),L135,"")</f>
        <v/>
      </c>
      <c r="AR135" s="59"/>
      <c r="AS135" s="58" t="str">
        <f t="shared" ref="AS135:AS198" si="86">+IF($AS$4=WEEKNUM(W135),L135,"")</f>
        <v/>
      </c>
      <c r="AT135" s="59"/>
      <c r="AU135" s="58" t="str">
        <f t="shared" ref="AU135:AU198" si="87">+IF($AU$4=WEEKNUM(W135),L135,"")</f>
        <v/>
      </c>
      <c r="AV135" s="59"/>
      <c r="AW135" s="58" t="str">
        <f t="shared" ref="AW135:AW198" si="88">+IF($AW$4=WEEKNUM(W135),L135,"")</f>
        <v/>
      </c>
      <c r="AX135" s="59"/>
      <c r="AY135" s="58" t="str">
        <f t="shared" ref="AY135:AY198" si="89">+IF($AY$4=WEEKNUM(W135),L135,"")</f>
        <v/>
      </c>
      <c r="AZ135" s="59"/>
      <c r="BA135" s="58" t="str">
        <f t="shared" ref="BA135:BA198" si="90">+IF($BA$4=WEEKNUM(W135),L135,"")</f>
        <v/>
      </c>
      <c r="BB135" s="59"/>
      <c r="BC135" s="58">
        <f t="shared" ref="BC135:BC198" si="91">+IF($BC$4=WEEKNUM(W135),L135,"")</f>
        <v>836</v>
      </c>
      <c r="BD135" s="59"/>
      <c r="BE135" s="58" t="str">
        <f t="shared" ref="BE135:BE198" si="92">+IF($BE$4=WEEKNUM(W135),L135,"")</f>
        <v/>
      </c>
      <c r="BF135" s="59"/>
      <c r="BG135" s="58" t="str">
        <f t="shared" ref="BG135:BG198" si="93">+IF($BG$4=WEEKNUM(W135),L135,"")</f>
        <v/>
      </c>
      <c r="BH135" s="59"/>
      <c r="BI135" s="58" t="str">
        <f t="shared" ref="BI135:BI198" si="94">+IF($BI$4=WEEKNUM(W135),L135,"")</f>
        <v/>
      </c>
      <c r="BJ135" s="59"/>
      <c r="BK135" s="58" t="str">
        <f t="shared" ref="BK135:BK198" si="95">+IF($BK$4=WEEKNUM(W135),L135,"")</f>
        <v/>
      </c>
      <c r="BL135" s="59"/>
      <c r="BM135" s="58" t="str">
        <f t="shared" ref="BM135:BM198" si="96">+IF($BM$4=WEEKNUM(W135),L135,"")</f>
        <v/>
      </c>
      <c r="BN135" s="59"/>
      <c r="BO135" s="58" t="str">
        <f t="shared" ref="BO135:BO198" si="97">+IF($BO$4=WEEKNUM(W135),L135,"")</f>
        <v/>
      </c>
      <c r="BP135" s="59"/>
      <c r="BQ135" s="58" t="str">
        <f t="shared" ref="BQ135:BQ198" si="98">+IF($BQ$4=WEEKNUM(W135),L135,"")</f>
        <v/>
      </c>
      <c r="BR135" s="59"/>
      <c r="BS135" s="58" t="str">
        <f t="shared" ref="BS135:BS198" si="99">+IF($BS$4=WEEKNUM(W135),L135,"")</f>
        <v/>
      </c>
      <c r="BT135" s="59"/>
      <c r="BU135" s="58" t="str">
        <f t="shared" ref="BU135:BU198" si="100">+IF($BU$4=WEEKNUM(W135),L135,"")</f>
        <v/>
      </c>
      <c r="BV135" s="59"/>
      <c r="BW135" s="58" t="str">
        <f t="shared" ref="BW135:BW198" si="101">+IF($BW$4=WEEKNUM(W135),L135,"")</f>
        <v/>
      </c>
      <c r="BX135" s="59"/>
      <c r="BY135" s="58" t="str">
        <f t="shared" ref="BY135:BY198" si="102">+IF($BY$4=WEEKNUM(W135),L135,"")</f>
        <v/>
      </c>
      <c r="BZ135" s="59"/>
    </row>
    <row r="136" spans="1:78" ht="14.5" hidden="1">
      <c r="A136" s="51" t="s">
        <v>58</v>
      </c>
      <c r="B136" s="52">
        <v>353</v>
      </c>
      <c r="C136" s="52" t="s">
        <v>188</v>
      </c>
      <c r="D136" s="41">
        <f t="shared" si="72"/>
        <v>4</v>
      </c>
      <c r="E136" s="41" t="s">
        <v>631</v>
      </c>
      <c r="F136" s="41" t="s">
        <v>631</v>
      </c>
      <c r="G136" s="52" t="s">
        <v>136</v>
      </c>
      <c r="H136" s="52" t="s">
        <v>247</v>
      </c>
      <c r="I136" s="52" t="s">
        <v>162</v>
      </c>
      <c r="J136" s="52" t="s">
        <v>442</v>
      </c>
      <c r="K136" s="53">
        <v>45679</v>
      </c>
      <c r="L136" s="108">
        <v>3008</v>
      </c>
      <c r="M136" s="108">
        <v>3008</v>
      </c>
      <c r="N136" s="101">
        <v>3008</v>
      </c>
      <c r="O136" s="107">
        <f t="shared" si="73"/>
        <v>0</v>
      </c>
      <c r="P136" s="54">
        <f t="shared" si="74"/>
        <v>0</v>
      </c>
      <c r="Q136" s="101" t="s">
        <v>443</v>
      </c>
      <c r="R136" s="166">
        <v>45664</v>
      </c>
      <c r="S136" s="101" t="s">
        <v>662</v>
      </c>
      <c r="T136" s="102">
        <f t="shared" si="75"/>
        <v>1.7188571428571429</v>
      </c>
      <c r="U136" s="102">
        <v>5</v>
      </c>
      <c r="V136" s="99">
        <v>350</v>
      </c>
      <c r="W136" s="55">
        <f t="shared" si="71"/>
        <v>45659</v>
      </c>
      <c r="X136" s="55">
        <v>45627</v>
      </c>
      <c r="Y136" s="56">
        <f t="shared" ca="1" si="76"/>
        <v>32</v>
      </c>
      <c r="Z136" s="55">
        <f t="shared" si="77"/>
        <v>45675</v>
      </c>
      <c r="AA136" s="55"/>
      <c r="AB136" s="56">
        <f t="shared" ca="1" si="78"/>
        <v>-165</v>
      </c>
      <c r="AC136" s="55"/>
      <c r="AD136" s="57"/>
      <c r="AE136" s="58" t="str">
        <f t="shared" si="79"/>
        <v>-</v>
      </c>
      <c r="AF136" s="59"/>
      <c r="AG136" s="58" t="str">
        <f t="shared" si="80"/>
        <v/>
      </c>
      <c r="AH136" s="59"/>
      <c r="AI136" s="58" t="str">
        <f t="shared" si="81"/>
        <v/>
      </c>
      <c r="AJ136" s="59"/>
      <c r="AK136" s="58" t="str">
        <f t="shared" si="82"/>
        <v/>
      </c>
      <c r="AL136" s="59"/>
      <c r="AM136" s="58" t="str">
        <f t="shared" si="83"/>
        <v/>
      </c>
      <c r="AN136" s="59"/>
      <c r="AO136" s="58" t="str">
        <f t="shared" si="84"/>
        <v/>
      </c>
      <c r="AP136" s="59"/>
      <c r="AQ136" s="58" t="str">
        <f t="shared" si="85"/>
        <v/>
      </c>
      <c r="AR136" s="59"/>
      <c r="AS136" s="58" t="str">
        <f t="shared" si="86"/>
        <v/>
      </c>
      <c r="AT136" s="59"/>
      <c r="AU136" s="58" t="str">
        <f t="shared" si="87"/>
        <v/>
      </c>
      <c r="AV136" s="59"/>
      <c r="AW136" s="58" t="str">
        <f t="shared" si="88"/>
        <v/>
      </c>
      <c r="AX136" s="59"/>
      <c r="AY136" s="58" t="str">
        <f t="shared" si="89"/>
        <v/>
      </c>
      <c r="AZ136" s="59"/>
      <c r="BA136" s="58" t="str">
        <f t="shared" si="90"/>
        <v/>
      </c>
      <c r="BB136" s="59"/>
      <c r="BC136" s="58">
        <f t="shared" si="91"/>
        <v>3008</v>
      </c>
      <c r="BD136" s="59"/>
      <c r="BE136" s="58" t="str">
        <f t="shared" si="92"/>
        <v/>
      </c>
      <c r="BF136" s="59"/>
      <c r="BG136" s="58" t="str">
        <f t="shared" si="93"/>
        <v/>
      </c>
      <c r="BH136" s="59"/>
      <c r="BI136" s="58" t="str">
        <f t="shared" si="94"/>
        <v/>
      </c>
      <c r="BJ136" s="59"/>
      <c r="BK136" s="58" t="str">
        <f t="shared" si="95"/>
        <v/>
      </c>
      <c r="BL136" s="59"/>
      <c r="BM136" s="58" t="str">
        <f t="shared" si="96"/>
        <v/>
      </c>
      <c r="BN136" s="59"/>
      <c r="BO136" s="58" t="str">
        <f t="shared" si="97"/>
        <v/>
      </c>
      <c r="BP136" s="59"/>
      <c r="BQ136" s="58" t="str">
        <f t="shared" si="98"/>
        <v/>
      </c>
      <c r="BR136" s="59"/>
      <c r="BS136" s="58" t="str">
        <f t="shared" si="99"/>
        <v/>
      </c>
      <c r="BT136" s="59"/>
      <c r="BU136" s="58" t="str">
        <f t="shared" si="100"/>
        <v/>
      </c>
      <c r="BV136" s="59"/>
      <c r="BW136" s="58" t="str">
        <f t="shared" si="101"/>
        <v/>
      </c>
      <c r="BX136" s="59"/>
      <c r="BY136" s="58" t="str">
        <f t="shared" si="102"/>
        <v/>
      </c>
      <c r="BZ136" s="59"/>
    </row>
    <row r="137" spans="1:78" ht="14.5" hidden="1">
      <c r="A137" s="51" t="s">
        <v>58</v>
      </c>
      <c r="B137" s="52">
        <v>353</v>
      </c>
      <c r="C137" s="52" t="s">
        <v>188</v>
      </c>
      <c r="D137" s="41">
        <f t="shared" si="72"/>
        <v>4</v>
      </c>
      <c r="E137" s="41" t="s">
        <v>631</v>
      </c>
      <c r="F137" s="41" t="s">
        <v>631</v>
      </c>
      <c r="G137" s="52" t="s">
        <v>136</v>
      </c>
      <c r="H137" s="52" t="s">
        <v>247</v>
      </c>
      <c r="I137" s="52" t="s">
        <v>163</v>
      </c>
      <c r="J137" s="52" t="s">
        <v>442</v>
      </c>
      <c r="K137" s="53">
        <v>45679</v>
      </c>
      <c r="L137" s="108">
        <v>3008</v>
      </c>
      <c r="M137" s="108">
        <v>3008</v>
      </c>
      <c r="N137" s="108">
        <v>3008</v>
      </c>
      <c r="O137" s="107">
        <f t="shared" si="73"/>
        <v>0</v>
      </c>
      <c r="P137" s="54">
        <f t="shared" si="74"/>
        <v>0</v>
      </c>
      <c r="Q137" s="101" t="s">
        <v>443</v>
      </c>
      <c r="R137" s="166">
        <v>45664</v>
      </c>
      <c r="S137" s="101" t="s">
        <v>663</v>
      </c>
      <c r="T137" s="102">
        <f t="shared" si="75"/>
        <v>1.7188571428571429</v>
      </c>
      <c r="U137" s="102">
        <v>5</v>
      </c>
      <c r="V137" s="99">
        <v>350</v>
      </c>
      <c r="W137" s="55">
        <f t="shared" si="71"/>
        <v>45659</v>
      </c>
      <c r="X137" s="55">
        <v>45627</v>
      </c>
      <c r="Y137" s="56">
        <f t="shared" ca="1" si="76"/>
        <v>32</v>
      </c>
      <c r="Z137" s="55">
        <f t="shared" si="77"/>
        <v>45675</v>
      </c>
      <c r="AA137" s="55"/>
      <c r="AB137" s="56">
        <f t="shared" ca="1" si="78"/>
        <v>-165</v>
      </c>
      <c r="AC137" s="55"/>
      <c r="AD137" s="57"/>
      <c r="AE137" s="58" t="str">
        <f t="shared" si="79"/>
        <v>-</v>
      </c>
      <c r="AF137" s="59"/>
      <c r="AG137" s="58" t="str">
        <f t="shared" si="80"/>
        <v/>
      </c>
      <c r="AH137" s="59"/>
      <c r="AI137" s="58" t="str">
        <f t="shared" si="81"/>
        <v/>
      </c>
      <c r="AJ137" s="59"/>
      <c r="AK137" s="58" t="str">
        <f t="shared" si="82"/>
        <v/>
      </c>
      <c r="AL137" s="59"/>
      <c r="AM137" s="58" t="str">
        <f t="shared" si="83"/>
        <v/>
      </c>
      <c r="AN137" s="59"/>
      <c r="AO137" s="58" t="str">
        <f t="shared" si="84"/>
        <v/>
      </c>
      <c r="AP137" s="59"/>
      <c r="AQ137" s="58" t="str">
        <f t="shared" si="85"/>
        <v/>
      </c>
      <c r="AR137" s="59"/>
      <c r="AS137" s="58" t="str">
        <f t="shared" si="86"/>
        <v/>
      </c>
      <c r="AT137" s="59"/>
      <c r="AU137" s="58" t="str">
        <f t="shared" si="87"/>
        <v/>
      </c>
      <c r="AV137" s="59"/>
      <c r="AW137" s="58" t="str">
        <f t="shared" si="88"/>
        <v/>
      </c>
      <c r="AX137" s="59"/>
      <c r="AY137" s="58" t="str">
        <f t="shared" si="89"/>
        <v/>
      </c>
      <c r="AZ137" s="59"/>
      <c r="BA137" s="58" t="str">
        <f t="shared" si="90"/>
        <v/>
      </c>
      <c r="BB137" s="59"/>
      <c r="BC137" s="58">
        <f t="shared" si="91"/>
        <v>3008</v>
      </c>
      <c r="BD137" s="59"/>
      <c r="BE137" s="58" t="str">
        <f t="shared" si="92"/>
        <v/>
      </c>
      <c r="BF137" s="59"/>
      <c r="BG137" s="58" t="str">
        <f t="shared" si="93"/>
        <v/>
      </c>
      <c r="BH137" s="59"/>
      <c r="BI137" s="58" t="str">
        <f t="shared" si="94"/>
        <v/>
      </c>
      <c r="BJ137" s="59"/>
      <c r="BK137" s="58" t="str">
        <f t="shared" si="95"/>
        <v/>
      </c>
      <c r="BL137" s="59"/>
      <c r="BM137" s="58" t="str">
        <f t="shared" si="96"/>
        <v/>
      </c>
      <c r="BN137" s="59"/>
      <c r="BO137" s="58" t="str">
        <f t="shared" si="97"/>
        <v/>
      </c>
      <c r="BP137" s="59"/>
      <c r="BQ137" s="58" t="str">
        <f t="shared" si="98"/>
        <v/>
      </c>
      <c r="BR137" s="59"/>
      <c r="BS137" s="58" t="str">
        <f t="shared" si="99"/>
        <v/>
      </c>
      <c r="BT137" s="59"/>
      <c r="BU137" s="58" t="str">
        <f t="shared" si="100"/>
        <v/>
      </c>
      <c r="BV137" s="59"/>
      <c r="BW137" s="58" t="str">
        <f t="shared" si="101"/>
        <v/>
      </c>
      <c r="BX137" s="59"/>
      <c r="BY137" s="58" t="str">
        <f t="shared" si="102"/>
        <v/>
      </c>
      <c r="BZ137" s="59"/>
    </row>
    <row r="138" spans="1:78" ht="14.5" hidden="1">
      <c r="A138" s="51" t="s">
        <v>58</v>
      </c>
      <c r="B138" s="52">
        <v>353</v>
      </c>
      <c r="C138" s="52" t="s">
        <v>188</v>
      </c>
      <c r="D138" s="41">
        <f t="shared" si="72"/>
        <v>4</v>
      </c>
      <c r="E138" s="41" t="s">
        <v>631</v>
      </c>
      <c r="F138" s="41" t="s">
        <v>631</v>
      </c>
      <c r="G138" s="52" t="s">
        <v>136</v>
      </c>
      <c r="H138" s="52" t="s">
        <v>247</v>
      </c>
      <c r="I138" s="52" t="s">
        <v>164</v>
      </c>
      <c r="J138" s="52" t="s">
        <v>442</v>
      </c>
      <c r="K138" s="53">
        <v>45679</v>
      </c>
      <c r="L138" s="108">
        <v>3008</v>
      </c>
      <c r="M138" s="108">
        <v>3008</v>
      </c>
      <c r="N138" s="101">
        <v>3008</v>
      </c>
      <c r="O138" s="107">
        <f t="shared" si="73"/>
        <v>0</v>
      </c>
      <c r="P138" s="54">
        <f t="shared" si="74"/>
        <v>0</v>
      </c>
      <c r="Q138" s="101" t="s">
        <v>443</v>
      </c>
      <c r="R138" s="166">
        <v>45664</v>
      </c>
      <c r="S138" s="101" t="s">
        <v>662</v>
      </c>
      <c r="T138" s="102">
        <f t="shared" si="75"/>
        <v>1.7188571428571429</v>
      </c>
      <c r="U138" s="102">
        <v>5</v>
      </c>
      <c r="V138" s="99">
        <v>350</v>
      </c>
      <c r="W138" s="55">
        <f t="shared" si="71"/>
        <v>45659</v>
      </c>
      <c r="X138" s="55">
        <v>45627</v>
      </c>
      <c r="Y138" s="56">
        <f t="shared" ca="1" si="76"/>
        <v>32</v>
      </c>
      <c r="Z138" s="55">
        <f t="shared" si="77"/>
        <v>45675</v>
      </c>
      <c r="AA138" s="55"/>
      <c r="AB138" s="56">
        <f t="shared" ca="1" si="78"/>
        <v>-165</v>
      </c>
      <c r="AC138" s="55"/>
      <c r="AD138" s="57"/>
      <c r="AE138" s="58" t="str">
        <f t="shared" si="79"/>
        <v>-</v>
      </c>
      <c r="AF138" s="59"/>
      <c r="AG138" s="58" t="str">
        <f t="shared" si="80"/>
        <v/>
      </c>
      <c r="AH138" s="59"/>
      <c r="AI138" s="58" t="str">
        <f t="shared" si="81"/>
        <v/>
      </c>
      <c r="AJ138" s="59"/>
      <c r="AK138" s="58" t="str">
        <f t="shared" si="82"/>
        <v/>
      </c>
      <c r="AL138" s="59"/>
      <c r="AM138" s="58" t="str">
        <f t="shared" si="83"/>
        <v/>
      </c>
      <c r="AN138" s="59"/>
      <c r="AO138" s="58" t="str">
        <f t="shared" si="84"/>
        <v/>
      </c>
      <c r="AP138" s="59"/>
      <c r="AQ138" s="58" t="str">
        <f t="shared" si="85"/>
        <v/>
      </c>
      <c r="AR138" s="59"/>
      <c r="AS138" s="58" t="str">
        <f t="shared" si="86"/>
        <v/>
      </c>
      <c r="AT138" s="59"/>
      <c r="AU138" s="58" t="str">
        <f t="shared" si="87"/>
        <v/>
      </c>
      <c r="AV138" s="59"/>
      <c r="AW138" s="58" t="str">
        <f t="shared" si="88"/>
        <v/>
      </c>
      <c r="AX138" s="59"/>
      <c r="AY138" s="58" t="str">
        <f t="shared" si="89"/>
        <v/>
      </c>
      <c r="AZ138" s="59"/>
      <c r="BA138" s="58" t="str">
        <f t="shared" si="90"/>
        <v/>
      </c>
      <c r="BB138" s="59"/>
      <c r="BC138" s="58">
        <f t="shared" si="91"/>
        <v>3008</v>
      </c>
      <c r="BD138" s="59"/>
      <c r="BE138" s="58" t="str">
        <f t="shared" si="92"/>
        <v/>
      </c>
      <c r="BF138" s="59"/>
      <c r="BG138" s="58" t="str">
        <f t="shared" si="93"/>
        <v/>
      </c>
      <c r="BH138" s="59"/>
      <c r="BI138" s="58" t="str">
        <f t="shared" si="94"/>
        <v/>
      </c>
      <c r="BJ138" s="59"/>
      <c r="BK138" s="58" t="str">
        <f t="shared" si="95"/>
        <v/>
      </c>
      <c r="BL138" s="59"/>
      <c r="BM138" s="58" t="str">
        <f t="shared" si="96"/>
        <v/>
      </c>
      <c r="BN138" s="59"/>
      <c r="BO138" s="58" t="str">
        <f t="shared" si="97"/>
        <v/>
      </c>
      <c r="BP138" s="59"/>
      <c r="BQ138" s="58" t="str">
        <f t="shared" si="98"/>
        <v/>
      </c>
      <c r="BR138" s="59"/>
      <c r="BS138" s="58" t="str">
        <f t="shared" si="99"/>
        <v/>
      </c>
      <c r="BT138" s="59"/>
      <c r="BU138" s="58" t="str">
        <f t="shared" si="100"/>
        <v/>
      </c>
      <c r="BV138" s="59"/>
      <c r="BW138" s="58" t="str">
        <f t="shared" si="101"/>
        <v/>
      </c>
      <c r="BX138" s="59"/>
      <c r="BY138" s="58" t="str">
        <f t="shared" si="102"/>
        <v/>
      </c>
      <c r="BZ138" s="59"/>
    </row>
    <row r="139" spans="1:78" ht="14.5" hidden="1">
      <c r="A139" s="51" t="s">
        <v>58</v>
      </c>
      <c r="B139" s="52">
        <v>353</v>
      </c>
      <c r="C139" s="52" t="s">
        <v>188</v>
      </c>
      <c r="D139" s="41">
        <f t="shared" si="72"/>
        <v>4</v>
      </c>
      <c r="E139" s="41" t="s">
        <v>631</v>
      </c>
      <c r="F139" s="41" t="s">
        <v>631</v>
      </c>
      <c r="G139" s="52" t="s">
        <v>195</v>
      </c>
      <c r="H139" s="52" t="s">
        <v>454</v>
      </c>
      <c r="I139" s="52" t="s">
        <v>162</v>
      </c>
      <c r="J139" s="52" t="s">
        <v>455</v>
      </c>
      <c r="K139" s="53">
        <v>45679</v>
      </c>
      <c r="L139" s="108">
        <v>1320</v>
      </c>
      <c r="M139" s="101">
        <v>1320</v>
      </c>
      <c r="N139" s="101">
        <v>1320</v>
      </c>
      <c r="O139" s="107">
        <f t="shared" si="73"/>
        <v>0</v>
      </c>
      <c r="P139" s="54">
        <f t="shared" si="74"/>
        <v>0</v>
      </c>
      <c r="Q139" s="101" t="s">
        <v>178</v>
      </c>
      <c r="R139" s="101" t="s">
        <v>632</v>
      </c>
      <c r="S139" s="101"/>
      <c r="T139" s="102">
        <f t="shared" si="75"/>
        <v>1.8333333333333333</v>
      </c>
      <c r="U139" s="102">
        <v>6</v>
      </c>
      <c r="V139" s="99">
        <v>120</v>
      </c>
      <c r="W139" s="55">
        <f t="shared" si="71"/>
        <v>45659</v>
      </c>
      <c r="X139" s="55">
        <v>45627</v>
      </c>
      <c r="Y139" s="56">
        <f t="shared" ca="1" si="76"/>
        <v>32</v>
      </c>
      <c r="Z139" s="55">
        <f t="shared" si="77"/>
        <v>45675</v>
      </c>
      <c r="AA139" s="55"/>
      <c r="AB139" s="56">
        <f t="shared" ca="1" si="78"/>
        <v>-165</v>
      </c>
      <c r="AC139" s="55"/>
      <c r="AD139" s="57"/>
      <c r="AE139" s="58" t="str">
        <f t="shared" si="79"/>
        <v>-</v>
      </c>
      <c r="AF139" s="59"/>
      <c r="AG139" s="58" t="str">
        <f t="shared" si="80"/>
        <v/>
      </c>
      <c r="AH139" s="59"/>
      <c r="AI139" s="58" t="str">
        <f t="shared" si="81"/>
        <v/>
      </c>
      <c r="AJ139" s="59"/>
      <c r="AK139" s="58" t="str">
        <f t="shared" si="82"/>
        <v/>
      </c>
      <c r="AL139" s="59"/>
      <c r="AM139" s="58" t="str">
        <f t="shared" si="83"/>
        <v/>
      </c>
      <c r="AN139" s="59"/>
      <c r="AO139" s="58" t="str">
        <f t="shared" si="84"/>
        <v/>
      </c>
      <c r="AP139" s="59"/>
      <c r="AQ139" s="58" t="str">
        <f t="shared" si="85"/>
        <v/>
      </c>
      <c r="AR139" s="59"/>
      <c r="AS139" s="58" t="str">
        <f t="shared" si="86"/>
        <v/>
      </c>
      <c r="AT139" s="59"/>
      <c r="AU139" s="58" t="str">
        <f t="shared" si="87"/>
        <v/>
      </c>
      <c r="AV139" s="59"/>
      <c r="AW139" s="58" t="str">
        <f t="shared" si="88"/>
        <v/>
      </c>
      <c r="AX139" s="59"/>
      <c r="AY139" s="58" t="str">
        <f t="shared" si="89"/>
        <v/>
      </c>
      <c r="AZ139" s="59"/>
      <c r="BA139" s="58" t="str">
        <f t="shared" si="90"/>
        <v/>
      </c>
      <c r="BB139" s="59"/>
      <c r="BC139" s="58">
        <f t="shared" si="91"/>
        <v>1320</v>
      </c>
      <c r="BD139" s="59"/>
      <c r="BE139" s="58" t="str">
        <f t="shared" si="92"/>
        <v/>
      </c>
      <c r="BF139" s="59"/>
      <c r="BG139" s="58" t="str">
        <f t="shared" si="93"/>
        <v/>
      </c>
      <c r="BH139" s="59"/>
      <c r="BI139" s="58" t="str">
        <f t="shared" si="94"/>
        <v/>
      </c>
      <c r="BJ139" s="59"/>
      <c r="BK139" s="58" t="str">
        <f t="shared" si="95"/>
        <v/>
      </c>
      <c r="BL139" s="59"/>
      <c r="BM139" s="58" t="str">
        <f t="shared" si="96"/>
        <v/>
      </c>
      <c r="BN139" s="59"/>
      <c r="BO139" s="58" t="str">
        <f t="shared" si="97"/>
        <v/>
      </c>
      <c r="BP139" s="59"/>
      <c r="BQ139" s="58" t="str">
        <f t="shared" si="98"/>
        <v/>
      </c>
      <c r="BR139" s="59"/>
      <c r="BS139" s="58" t="str">
        <f t="shared" si="99"/>
        <v/>
      </c>
      <c r="BT139" s="59"/>
      <c r="BU139" s="58" t="str">
        <f t="shared" si="100"/>
        <v/>
      </c>
      <c r="BV139" s="59"/>
      <c r="BW139" s="58" t="str">
        <f t="shared" si="101"/>
        <v/>
      </c>
      <c r="BX139" s="59"/>
      <c r="BY139" s="58" t="str">
        <f t="shared" si="102"/>
        <v/>
      </c>
      <c r="BZ139" s="59"/>
    </row>
    <row r="140" spans="1:78" ht="14.5" hidden="1">
      <c r="A140" s="51" t="s">
        <v>58</v>
      </c>
      <c r="B140" s="52">
        <v>353</v>
      </c>
      <c r="C140" s="52" t="s">
        <v>188</v>
      </c>
      <c r="D140" s="41">
        <f t="shared" si="72"/>
        <v>4</v>
      </c>
      <c r="E140" s="41" t="s">
        <v>631</v>
      </c>
      <c r="F140" s="41" t="s">
        <v>631</v>
      </c>
      <c r="G140" s="52" t="s">
        <v>390</v>
      </c>
      <c r="H140" s="52" t="s">
        <v>242</v>
      </c>
      <c r="I140" s="52" t="s">
        <v>162</v>
      </c>
      <c r="J140" s="52" t="s">
        <v>430</v>
      </c>
      <c r="K140" s="53">
        <v>45679</v>
      </c>
      <c r="L140" s="108">
        <v>468</v>
      </c>
      <c r="M140" s="101">
        <v>468</v>
      </c>
      <c r="N140" s="101">
        <v>468</v>
      </c>
      <c r="O140" s="107">
        <f t="shared" si="73"/>
        <v>0</v>
      </c>
      <c r="P140" s="54">
        <f t="shared" si="74"/>
        <v>0</v>
      </c>
      <c r="Q140" s="101" t="s">
        <v>178</v>
      </c>
      <c r="R140" s="166">
        <v>45664</v>
      </c>
      <c r="S140" s="101" t="s">
        <v>664</v>
      </c>
      <c r="T140" s="102">
        <f t="shared" si="75"/>
        <v>0.65</v>
      </c>
      <c r="U140" s="102">
        <v>6</v>
      </c>
      <c r="V140" s="99">
        <v>120</v>
      </c>
      <c r="W140" s="55">
        <f t="shared" si="71"/>
        <v>45659</v>
      </c>
      <c r="X140" s="55">
        <v>45627</v>
      </c>
      <c r="Y140" s="56">
        <f t="shared" ca="1" si="76"/>
        <v>32</v>
      </c>
      <c r="Z140" s="55">
        <f t="shared" si="77"/>
        <v>45675</v>
      </c>
      <c r="AA140" s="55"/>
      <c r="AB140" s="56">
        <f t="shared" ca="1" si="78"/>
        <v>-165</v>
      </c>
      <c r="AC140" s="55"/>
      <c r="AD140" s="57"/>
      <c r="AE140" s="58" t="str">
        <f t="shared" si="79"/>
        <v>-</v>
      </c>
      <c r="AF140" s="59"/>
      <c r="AG140" s="58" t="str">
        <f t="shared" si="80"/>
        <v/>
      </c>
      <c r="AH140" s="59"/>
      <c r="AI140" s="58" t="str">
        <f t="shared" si="81"/>
        <v/>
      </c>
      <c r="AJ140" s="59"/>
      <c r="AK140" s="58" t="str">
        <f t="shared" si="82"/>
        <v/>
      </c>
      <c r="AL140" s="59"/>
      <c r="AM140" s="58" t="str">
        <f t="shared" si="83"/>
        <v/>
      </c>
      <c r="AN140" s="59"/>
      <c r="AO140" s="58" t="str">
        <f t="shared" si="84"/>
        <v/>
      </c>
      <c r="AP140" s="59"/>
      <c r="AQ140" s="58" t="str">
        <f t="shared" si="85"/>
        <v/>
      </c>
      <c r="AR140" s="59"/>
      <c r="AS140" s="58" t="str">
        <f t="shared" si="86"/>
        <v/>
      </c>
      <c r="AT140" s="59"/>
      <c r="AU140" s="58" t="str">
        <f t="shared" si="87"/>
        <v/>
      </c>
      <c r="AV140" s="59"/>
      <c r="AW140" s="58" t="str">
        <f t="shared" si="88"/>
        <v/>
      </c>
      <c r="AX140" s="59"/>
      <c r="AY140" s="58" t="str">
        <f t="shared" si="89"/>
        <v/>
      </c>
      <c r="AZ140" s="59"/>
      <c r="BA140" s="58" t="str">
        <f t="shared" si="90"/>
        <v/>
      </c>
      <c r="BB140" s="59"/>
      <c r="BC140" s="58">
        <f t="shared" si="91"/>
        <v>468</v>
      </c>
      <c r="BD140" s="59"/>
      <c r="BE140" s="58" t="str">
        <f t="shared" si="92"/>
        <v/>
      </c>
      <c r="BF140" s="59"/>
      <c r="BG140" s="58" t="str">
        <f t="shared" si="93"/>
        <v/>
      </c>
      <c r="BH140" s="59"/>
      <c r="BI140" s="58" t="str">
        <f t="shared" si="94"/>
        <v/>
      </c>
      <c r="BJ140" s="59"/>
      <c r="BK140" s="58" t="str">
        <f t="shared" si="95"/>
        <v/>
      </c>
      <c r="BL140" s="59"/>
      <c r="BM140" s="58" t="str">
        <f t="shared" si="96"/>
        <v/>
      </c>
      <c r="BN140" s="59"/>
      <c r="BO140" s="58" t="str">
        <f t="shared" si="97"/>
        <v/>
      </c>
      <c r="BP140" s="59"/>
      <c r="BQ140" s="58" t="str">
        <f t="shared" si="98"/>
        <v/>
      </c>
      <c r="BR140" s="59"/>
      <c r="BS140" s="58" t="str">
        <f t="shared" si="99"/>
        <v/>
      </c>
      <c r="BT140" s="59"/>
      <c r="BU140" s="58" t="str">
        <f t="shared" si="100"/>
        <v/>
      </c>
      <c r="BV140" s="59"/>
      <c r="BW140" s="58" t="str">
        <f t="shared" si="101"/>
        <v/>
      </c>
      <c r="BX140" s="59"/>
      <c r="BY140" s="58" t="str">
        <f t="shared" si="102"/>
        <v/>
      </c>
      <c r="BZ140" s="59"/>
    </row>
    <row r="141" spans="1:78" ht="14.5" hidden="1">
      <c r="A141" s="51" t="s">
        <v>58</v>
      </c>
      <c r="B141" s="52">
        <v>353</v>
      </c>
      <c r="C141" s="52" t="s">
        <v>188</v>
      </c>
      <c r="D141" s="41">
        <f t="shared" si="72"/>
        <v>4</v>
      </c>
      <c r="E141" s="41" t="s">
        <v>631</v>
      </c>
      <c r="F141" s="41" t="s">
        <v>631</v>
      </c>
      <c r="G141" s="52" t="s">
        <v>189</v>
      </c>
      <c r="H141" s="52" t="s">
        <v>242</v>
      </c>
      <c r="I141" s="52" t="s">
        <v>162</v>
      </c>
      <c r="J141" s="52" t="s">
        <v>432</v>
      </c>
      <c r="K141" s="53">
        <v>45679</v>
      </c>
      <c r="L141" s="108">
        <v>3044</v>
      </c>
      <c r="M141" s="101">
        <v>3044</v>
      </c>
      <c r="N141" s="101">
        <v>3044</v>
      </c>
      <c r="O141" s="107">
        <f t="shared" si="73"/>
        <v>0</v>
      </c>
      <c r="P141" s="54">
        <f t="shared" si="74"/>
        <v>0</v>
      </c>
      <c r="Q141" s="101" t="s">
        <v>178</v>
      </c>
      <c r="R141" s="175">
        <v>45678</v>
      </c>
      <c r="S141" s="176" t="s">
        <v>665</v>
      </c>
      <c r="T141" s="102">
        <f t="shared" si="75"/>
        <v>4.2277777777777779</v>
      </c>
      <c r="U141" s="102">
        <v>6</v>
      </c>
      <c r="V141" s="99">
        <v>120</v>
      </c>
      <c r="W141" s="55">
        <f t="shared" si="71"/>
        <v>45659</v>
      </c>
      <c r="X141" s="55">
        <v>45627</v>
      </c>
      <c r="Y141" s="56">
        <f t="shared" ca="1" si="76"/>
        <v>32</v>
      </c>
      <c r="Z141" s="55">
        <f t="shared" si="77"/>
        <v>45675</v>
      </c>
      <c r="AA141" s="55"/>
      <c r="AB141" s="56">
        <f t="shared" ca="1" si="78"/>
        <v>-165</v>
      </c>
      <c r="AC141" s="55"/>
      <c r="AD141" s="57"/>
      <c r="AE141" s="58" t="str">
        <f t="shared" si="79"/>
        <v>-</v>
      </c>
      <c r="AF141" s="59"/>
      <c r="AG141" s="58" t="str">
        <f t="shared" si="80"/>
        <v/>
      </c>
      <c r="AH141" s="59"/>
      <c r="AI141" s="58" t="str">
        <f t="shared" si="81"/>
        <v/>
      </c>
      <c r="AJ141" s="59"/>
      <c r="AK141" s="58" t="str">
        <f t="shared" si="82"/>
        <v/>
      </c>
      <c r="AL141" s="59"/>
      <c r="AM141" s="58" t="str">
        <f t="shared" si="83"/>
        <v/>
      </c>
      <c r="AN141" s="59"/>
      <c r="AO141" s="58" t="str">
        <f t="shared" si="84"/>
        <v/>
      </c>
      <c r="AP141" s="59"/>
      <c r="AQ141" s="58" t="str">
        <f t="shared" si="85"/>
        <v/>
      </c>
      <c r="AR141" s="59"/>
      <c r="AS141" s="58" t="str">
        <f t="shared" si="86"/>
        <v/>
      </c>
      <c r="AT141" s="59"/>
      <c r="AU141" s="58" t="str">
        <f t="shared" si="87"/>
        <v/>
      </c>
      <c r="AV141" s="59"/>
      <c r="AW141" s="58" t="str">
        <f t="shared" si="88"/>
        <v/>
      </c>
      <c r="AX141" s="59"/>
      <c r="AY141" s="58" t="str">
        <f t="shared" si="89"/>
        <v/>
      </c>
      <c r="AZ141" s="59"/>
      <c r="BA141" s="58" t="str">
        <f t="shared" si="90"/>
        <v/>
      </c>
      <c r="BB141" s="59"/>
      <c r="BC141" s="58">
        <f t="shared" si="91"/>
        <v>3044</v>
      </c>
      <c r="BD141" s="59"/>
      <c r="BE141" s="58" t="str">
        <f t="shared" si="92"/>
        <v/>
      </c>
      <c r="BF141" s="59"/>
      <c r="BG141" s="58" t="str">
        <f t="shared" si="93"/>
        <v/>
      </c>
      <c r="BH141" s="59"/>
      <c r="BI141" s="58" t="str">
        <f t="shared" si="94"/>
        <v/>
      </c>
      <c r="BJ141" s="59"/>
      <c r="BK141" s="58" t="str">
        <f t="shared" si="95"/>
        <v/>
      </c>
      <c r="BL141" s="59"/>
      <c r="BM141" s="58" t="str">
        <f t="shared" si="96"/>
        <v/>
      </c>
      <c r="BN141" s="59"/>
      <c r="BO141" s="58" t="str">
        <f t="shared" si="97"/>
        <v/>
      </c>
      <c r="BP141" s="59"/>
      <c r="BQ141" s="58" t="str">
        <f t="shared" si="98"/>
        <v/>
      </c>
      <c r="BR141" s="59"/>
      <c r="BS141" s="58" t="str">
        <f t="shared" si="99"/>
        <v/>
      </c>
      <c r="BT141" s="59"/>
      <c r="BU141" s="58" t="str">
        <f t="shared" si="100"/>
        <v/>
      </c>
      <c r="BV141" s="59"/>
      <c r="BW141" s="58" t="str">
        <f t="shared" si="101"/>
        <v/>
      </c>
      <c r="BX141" s="59"/>
      <c r="BY141" s="58" t="str">
        <f t="shared" si="102"/>
        <v/>
      </c>
      <c r="BZ141" s="59"/>
    </row>
    <row r="142" spans="1:78" ht="14.5" hidden="1">
      <c r="A142" s="51" t="s">
        <v>58</v>
      </c>
      <c r="B142" s="52">
        <v>360</v>
      </c>
      <c r="C142" s="52" t="s">
        <v>188</v>
      </c>
      <c r="D142" s="41">
        <f t="shared" si="72"/>
        <v>4</v>
      </c>
      <c r="E142" s="170">
        <v>45667</v>
      </c>
      <c r="F142" s="41" t="s">
        <v>631</v>
      </c>
      <c r="G142" s="52" t="s">
        <v>502</v>
      </c>
      <c r="H142" s="52" t="s">
        <v>289</v>
      </c>
      <c r="I142" s="52" t="s">
        <v>155</v>
      </c>
      <c r="J142" s="52" t="s">
        <v>503</v>
      </c>
      <c r="K142" s="53">
        <v>45682</v>
      </c>
      <c r="L142" s="108">
        <v>2208</v>
      </c>
      <c r="M142" s="101"/>
      <c r="N142" s="101"/>
      <c r="O142" s="107">
        <f t="shared" si="73"/>
        <v>2208</v>
      </c>
      <c r="P142" s="54">
        <f t="shared" si="74"/>
        <v>2208</v>
      </c>
      <c r="Q142" s="199" t="s">
        <v>504</v>
      </c>
      <c r="R142" s="166">
        <v>45682</v>
      </c>
      <c r="S142" s="101"/>
      <c r="T142" s="102">
        <f t="shared" si="75"/>
        <v>11.5</v>
      </c>
      <c r="U142" s="102">
        <v>6</v>
      </c>
      <c r="V142" s="99">
        <f>480/15</f>
        <v>32</v>
      </c>
      <c r="W142" s="55">
        <f t="shared" si="71"/>
        <v>45662</v>
      </c>
      <c r="X142" s="55"/>
      <c r="Y142" s="56">
        <f t="shared" ca="1" si="76"/>
        <v>-178</v>
      </c>
      <c r="Z142" s="55">
        <f t="shared" si="77"/>
        <v>45678</v>
      </c>
      <c r="AA142" s="55"/>
      <c r="AB142" s="56">
        <f t="shared" ca="1" si="78"/>
        <v>-162</v>
      </c>
      <c r="AC142" s="55"/>
      <c r="AD142" s="57"/>
      <c r="AE142" s="58" t="str">
        <f t="shared" si="79"/>
        <v>-</v>
      </c>
      <c r="AF142" s="59"/>
      <c r="AG142" s="58" t="str">
        <f t="shared" si="80"/>
        <v/>
      </c>
      <c r="AH142" s="59"/>
      <c r="AI142" s="58" t="str">
        <f t="shared" si="81"/>
        <v/>
      </c>
      <c r="AJ142" s="59"/>
      <c r="AK142" s="58" t="str">
        <f t="shared" si="82"/>
        <v/>
      </c>
      <c r="AL142" s="59"/>
      <c r="AM142" s="58" t="str">
        <f t="shared" si="83"/>
        <v/>
      </c>
      <c r="AN142" s="59"/>
      <c r="AO142" s="58" t="str">
        <f t="shared" si="84"/>
        <v/>
      </c>
      <c r="AP142" s="59"/>
      <c r="AQ142" s="58" t="str">
        <f t="shared" si="85"/>
        <v/>
      </c>
      <c r="AR142" s="59"/>
      <c r="AS142" s="58" t="str">
        <f t="shared" si="86"/>
        <v/>
      </c>
      <c r="AT142" s="59"/>
      <c r="AU142" s="58" t="str">
        <f t="shared" si="87"/>
        <v/>
      </c>
      <c r="AV142" s="59"/>
      <c r="AW142" s="58" t="str">
        <f t="shared" si="88"/>
        <v/>
      </c>
      <c r="AX142" s="59"/>
      <c r="AY142" s="58" t="str">
        <f t="shared" si="89"/>
        <v/>
      </c>
      <c r="AZ142" s="59"/>
      <c r="BA142" s="58" t="str">
        <f t="shared" si="90"/>
        <v/>
      </c>
      <c r="BB142" s="59"/>
      <c r="BC142" s="58" t="str">
        <f t="shared" si="91"/>
        <v/>
      </c>
      <c r="BD142" s="59"/>
      <c r="BE142" s="58">
        <f t="shared" si="92"/>
        <v>2208</v>
      </c>
      <c r="BF142" s="59"/>
      <c r="BG142" s="58" t="str">
        <f t="shared" si="93"/>
        <v/>
      </c>
      <c r="BH142" s="59"/>
      <c r="BI142" s="58" t="str">
        <f t="shared" si="94"/>
        <v/>
      </c>
      <c r="BJ142" s="59"/>
      <c r="BK142" s="58" t="str">
        <f t="shared" si="95"/>
        <v/>
      </c>
      <c r="BL142" s="59"/>
      <c r="BM142" s="58" t="str">
        <f t="shared" si="96"/>
        <v/>
      </c>
      <c r="BN142" s="59"/>
      <c r="BO142" s="58" t="str">
        <f t="shared" si="97"/>
        <v/>
      </c>
      <c r="BP142" s="59"/>
      <c r="BQ142" s="58" t="str">
        <f t="shared" si="98"/>
        <v/>
      </c>
      <c r="BR142" s="59"/>
      <c r="BS142" s="58" t="str">
        <f t="shared" si="99"/>
        <v/>
      </c>
      <c r="BT142" s="59"/>
      <c r="BU142" s="58" t="str">
        <f t="shared" si="100"/>
        <v/>
      </c>
      <c r="BV142" s="59"/>
      <c r="BW142" s="58" t="str">
        <f t="shared" si="101"/>
        <v/>
      </c>
      <c r="BX142" s="59"/>
      <c r="BY142" s="58" t="str">
        <f t="shared" si="102"/>
        <v/>
      </c>
      <c r="BZ142" s="59"/>
    </row>
    <row r="143" spans="1:78" ht="14.5" hidden="1">
      <c r="A143" s="51" t="s">
        <v>58</v>
      </c>
      <c r="B143" s="52">
        <v>360</v>
      </c>
      <c r="C143" s="52" t="s">
        <v>188</v>
      </c>
      <c r="D143" s="41">
        <f t="shared" si="72"/>
        <v>4</v>
      </c>
      <c r="E143" s="170">
        <v>45667</v>
      </c>
      <c r="F143" s="41" t="s">
        <v>631</v>
      </c>
      <c r="G143" s="52" t="s">
        <v>502</v>
      </c>
      <c r="H143" s="52" t="s">
        <v>289</v>
      </c>
      <c r="I143" s="52" t="s">
        <v>154</v>
      </c>
      <c r="J143" s="52" t="s">
        <v>503</v>
      </c>
      <c r="K143" s="53">
        <v>45682</v>
      </c>
      <c r="L143" s="108">
        <v>1840</v>
      </c>
      <c r="M143" s="101"/>
      <c r="N143" s="101"/>
      <c r="O143" s="107">
        <f t="shared" si="73"/>
        <v>1840</v>
      </c>
      <c r="P143" s="54">
        <f t="shared" si="74"/>
        <v>1840</v>
      </c>
      <c r="Q143" s="199" t="s">
        <v>505</v>
      </c>
      <c r="R143" s="166">
        <v>45682</v>
      </c>
      <c r="S143" s="101"/>
      <c r="T143" s="102">
        <f t="shared" si="75"/>
        <v>9.5833333333333339</v>
      </c>
      <c r="U143" s="102">
        <v>6</v>
      </c>
      <c r="V143" s="99">
        <f>480/15</f>
        <v>32</v>
      </c>
      <c r="W143" s="55">
        <f t="shared" si="71"/>
        <v>45662</v>
      </c>
      <c r="X143" s="55"/>
      <c r="Y143" s="56">
        <f t="shared" ca="1" si="76"/>
        <v>-178</v>
      </c>
      <c r="Z143" s="55">
        <f t="shared" si="77"/>
        <v>45678</v>
      </c>
      <c r="AA143" s="55"/>
      <c r="AB143" s="56">
        <f t="shared" ca="1" si="78"/>
        <v>-162</v>
      </c>
      <c r="AC143" s="55"/>
      <c r="AD143" s="57"/>
      <c r="AE143" s="58" t="str">
        <f t="shared" si="79"/>
        <v>-</v>
      </c>
      <c r="AF143" s="59"/>
      <c r="AG143" s="58" t="str">
        <f t="shared" si="80"/>
        <v/>
      </c>
      <c r="AH143" s="59"/>
      <c r="AI143" s="58" t="str">
        <f t="shared" si="81"/>
        <v/>
      </c>
      <c r="AJ143" s="59"/>
      <c r="AK143" s="58" t="str">
        <f t="shared" si="82"/>
        <v/>
      </c>
      <c r="AL143" s="59"/>
      <c r="AM143" s="58" t="str">
        <f t="shared" si="83"/>
        <v/>
      </c>
      <c r="AN143" s="59"/>
      <c r="AO143" s="58" t="str">
        <f t="shared" si="84"/>
        <v/>
      </c>
      <c r="AP143" s="59"/>
      <c r="AQ143" s="58" t="str">
        <f t="shared" si="85"/>
        <v/>
      </c>
      <c r="AR143" s="59"/>
      <c r="AS143" s="58" t="str">
        <f t="shared" si="86"/>
        <v/>
      </c>
      <c r="AT143" s="59"/>
      <c r="AU143" s="58" t="str">
        <f t="shared" si="87"/>
        <v/>
      </c>
      <c r="AV143" s="59"/>
      <c r="AW143" s="58" t="str">
        <f t="shared" si="88"/>
        <v/>
      </c>
      <c r="AX143" s="59"/>
      <c r="AY143" s="58" t="str">
        <f t="shared" si="89"/>
        <v/>
      </c>
      <c r="AZ143" s="59"/>
      <c r="BA143" s="58" t="str">
        <f t="shared" si="90"/>
        <v/>
      </c>
      <c r="BB143" s="59"/>
      <c r="BC143" s="58" t="str">
        <f t="shared" si="91"/>
        <v/>
      </c>
      <c r="BD143" s="59"/>
      <c r="BE143" s="58">
        <f t="shared" si="92"/>
        <v>1840</v>
      </c>
      <c r="BF143" s="59"/>
      <c r="BG143" s="58" t="str">
        <f t="shared" si="93"/>
        <v/>
      </c>
      <c r="BH143" s="59"/>
      <c r="BI143" s="58" t="str">
        <f t="shared" si="94"/>
        <v/>
      </c>
      <c r="BJ143" s="59"/>
      <c r="BK143" s="58" t="str">
        <f t="shared" si="95"/>
        <v/>
      </c>
      <c r="BL143" s="59"/>
      <c r="BM143" s="58" t="str">
        <f t="shared" si="96"/>
        <v/>
      </c>
      <c r="BN143" s="59"/>
      <c r="BO143" s="58" t="str">
        <f t="shared" si="97"/>
        <v/>
      </c>
      <c r="BP143" s="59"/>
      <c r="BQ143" s="58" t="str">
        <f t="shared" si="98"/>
        <v/>
      </c>
      <c r="BR143" s="59"/>
      <c r="BS143" s="58" t="str">
        <f t="shared" si="99"/>
        <v/>
      </c>
      <c r="BT143" s="59"/>
      <c r="BU143" s="58" t="str">
        <f t="shared" si="100"/>
        <v/>
      </c>
      <c r="BV143" s="59"/>
      <c r="BW143" s="58" t="str">
        <f t="shared" si="101"/>
        <v/>
      </c>
      <c r="BX143" s="59"/>
      <c r="BY143" s="58" t="str">
        <f t="shared" si="102"/>
        <v/>
      </c>
      <c r="BZ143" s="59"/>
    </row>
    <row r="144" spans="1:78" ht="14.5" hidden="1">
      <c r="A144" s="51" t="s">
        <v>58</v>
      </c>
      <c r="B144" s="52">
        <v>360</v>
      </c>
      <c r="C144" s="52" t="s">
        <v>188</v>
      </c>
      <c r="D144" s="41">
        <f t="shared" si="72"/>
        <v>4</v>
      </c>
      <c r="E144" s="170">
        <v>45667</v>
      </c>
      <c r="F144" s="41" t="s">
        <v>631</v>
      </c>
      <c r="G144" s="52" t="s">
        <v>502</v>
      </c>
      <c r="H144" s="52" t="s">
        <v>289</v>
      </c>
      <c r="I144" s="52" t="s">
        <v>156</v>
      </c>
      <c r="J144" s="52" t="s">
        <v>503</v>
      </c>
      <c r="K144" s="53">
        <v>45682</v>
      </c>
      <c r="L144" s="108">
        <v>1472</v>
      </c>
      <c r="M144" s="101"/>
      <c r="N144" s="101"/>
      <c r="O144" s="107">
        <f t="shared" si="73"/>
        <v>1472</v>
      </c>
      <c r="P144" s="54">
        <f t="shared" si="74"/>
        <v>1472</v>
      </c>
      <c r="Q144" s="199" t="s">
        <v>506</v>
      </c>
      <c r="R144" s="166">
        <v>45682</v>
      </c>
      <c r="S144" s="101"/>
      <c r="T144" s="102">
        <f t="shared" si="75"/>
        <v>7.666666666666667</v>
      </c>
      <c r="U144" s="102">
        <v>6</v>
      </c>
      <c r="V144" s="99">
        <f>480/15</f>
        <v>32</v>
      </c>
      <c r="W144" s="55">
        <f t="shared" si="71"/>
        <v>45662</v>
      </c>
      <c r="X144" s="55"/>
      <c r="Y144" s="56">
        <f t="shared" ca="1" si="76"/>
        <v>-178</v>
      </c>
      <c r="Z144" s="55">
        <f t="shared" si="77"/>
        <v>45678</v>
      </c>
      <c r="AA144" s="55"/>
      <c r="AB144" s="56">
        <f t="shared" ca="1" si="78"/>
        <v>-162</v>
      </c>
      <c r="AC144" s="55"/>
      <c r="AD144" s="57"/>
      <c r="AE144" s="58" t="str">
        <f t="shared" si="79"/>
        <v>-</v>
      </c>
      <c r="AF144" s="59"/>
      <c r="AG144" s="58" t="str">
        <f t="shared" si="80"/>
        <v/>
      </c>
      <c r="AH144" s="59"/>
      <c r="AI144" s="58" t="str">
        <f t="shared" si="81"/>
        <v/>
      </c>
      <c r="AJ144" s="59"/>
      <c r="AK144" s="58" t="str">
        <f t="shared" si="82"/>
        <v/>
      </c>
      <c r="AL144" s="59"/>
      <c r="AM144" s="58" t="str">
        <f t="shared" si="83"/>
        <v/>
      </c>
      <c r="AN144" s="59"/>
      <c r="AO144" s="58" t="str">
        <f t="shared" si="84"/>
        <v/>
      </c>
      <c r="AP144" s="59"/>
      <c r="AQ144" s="58" t="str">
        <f t="shared" si="85"/>
        <v/>
      </c>
      <c r="AR144" s="59"/>
      <c r="AS144" s="58" t="str">
        <f t="shared" si="86"/>
        <v/>
      </c>
      <c r="AT144" s="59"/>
      <c r="AU144" s="58" t="str">
        <f t="shared" si="87"/>
        <v/>
      </c>
      <c r="AV144" s="59"/>
      <c r="AW144" s="58" t="str">
        <f t="shared" si="88"/>
        <v/>
      </c>
      <c r="AX144" s="59"/>
      <c r="AY144" s="58" t="str">
        <f t="shared" si="89"/>
        <v/>
      </c>
      <c r="AZ144" s="59"/>
      <c r="BA144" s="58" t="str">
        <f t="shared" si="90"/>
        <v/>
      </c>
      <c r="BB144" s="59"/>
      <c r="BC144" s="58" t="str">
        <f t="shared" si="91"/>
        <v/>
      </c>
      <c r="BD144" s="59"/>
      <c r="BE144" s="58">
        <f t="shared" si="92"/>
        <v>1472</v>
      </c>
      <c r="BF144" s="59"/>
      <c r="BG144" s="58" t="str">
        <f t="shared" si="93"/>
        <v/>
      </c>
      <c r="BH144" s="59"/>
      <c r="BI144" s="58" t="str">
        <f t="shared" si="94"/>
        <v/>
      </c>
      <c r="BJ144" s="59"/>
      <c r="BK144" s="58" t="str">
        <f t="shared" si="95"/>
        <v/>
      </c>
      <c r="BL144" s="59"/>
      <c r="BM144" s="58" t="str">
        <f t="shared" si="96"/>
        <v/>
      </c>
      <c r="BN144" s="59"/>
      <c r="BO144" s="58" t="str">
        <f t="shared" si="97"/>
        <v/>
      </c>
      <c r="BP144" s="59"/>
      <c r="BQ144" s="58" t="str">
        <f t="shared" si="98"/>
        <v/>
      </c>
      <c r="BR144" s="59"/>
      <c r="BS144" s="58" t="str">
        <f t="shared" si="99"/>
        <v/>
      </c>
      <c r="BT144" s="59"/>
      <c r="BU144" s="58" t="str">
        <f t="shared" si="100"/>
        <v/>
      </c>
      <c r="BV144" s="59"/>
      <c r="BW144" s="58" t="str">
        <f t="shared" si="101"/>
        <v/>
      </c>
      <c r="BX144" s="59"/>
      <c r="BY144" s="58" t="str">
        <f t="shared" si="102"/>
        <v/>
      </c>
      <c r="BZ144" s="59"/>
    </row>
    <row r="145" spans="1:78" ht="14.5" hidden="1">
      <c r="A145" s="51" t="s">
        <v>58</v>
      </c>
      <c r="B145" s="52">
        <v>360</v>
      </c>
      <c r="C145" s="52" t="s">
        <v>188</v>
      </c>
      <c r="D145" s="41">
        <f t="shared" si="72"/>
        <v>4</v>
      </c>
      <c r="E145" s="170" t="s">
        <v>631</v>
      </c>
      <c r="F145" s="41" t="s">
        <v>631</v>
      </c>
      <c r="G145" s="52" t="s">
        <v>390</v>
      </c>
      <c r="H145" s="52" t="s">
        <v>242</v>
      </c>
      <c r="I145" s="52" t="s">
        <v>162</v>
      </c>
      <c r="J145" s="52" t="s">
        <v>430</v>
      </c>
      <c r="K145" s="53">
        <v>45682</v>
      </c>
      <c r="L145" s="108">
        <v>3108</v>
      </c>
      <c r="M145" s="101">
        <v>3108</v>
      </c>
      <c r="N145" s="101">
        <v>3108</v>
      </c>
      <c r="O145" s="107">
        <f t="shared" si="73"/>
        <v>0</v>
      </c>
      <c r="P145" s="54">
        <f t="shared" si="74"/>
        <v>0</v>
      </c>
      <c r="Q145" s="101" t="s">
        <v>431</v>
      </c>
      <c r="R145" s="166">
        <v>45682</v>
      </c>
      <c r="S145" s="101"/>
      <c r="T145" s="102">
        <f t="shared" si="75"/>
        <v>4.3166666666666664</v>
      </c>
      <c r="U145" s="102">
        <v>6</v>
      </c>
      <c r="V145" s="99">
        <v>120</v>
      </c>
      <c r="W145" s="55">
        <f t="shared" si="71"/>
        <v>45662</v>
      </c>
      <c r="X145" s="55">
        <v>45635</v>
      </c>
      <c r="Y145" s="56">
        <f t="shared" ca="1" si="76"/>
        <v>27</v>
      </c>
      <c r="Z145" s="55">
        <f t="shared" si="77"/>
        <v>45678</v>
      </c>
      <c r="AA145" s="55"/>
      <c r="AB145" s="56">
        <f t="shared" ca="1" si="78"/>
        <v>-162</v>
      </c>
      <c r="AC145" s="55"/>
      <c r="AD145" s="57"/>
      <c r="AE145" s="58" t="str">
        <f t="shared" si="79"/>
        <v>-</v>
      </c>
      <c r="AF145" s="59"/>
      <c r="AG145" s="58" t="str">
        <f t="shared" si="80"/>
        <v/>
      </c>
      <c r="AH145" s="59"/>
      <c r="AI145" s="58" t="str">
        <f t="shared" si="81"/>
        <v/>
      </c>
      <c r="AJ145" s="59"/>
      <c r="AK145" s="58" t="str">
        <f t="shared" si="82"/>
        <v/>
      </c>
      <c r="AL145" s="59"/>
      <c r="AM145" s="58" t="str">
        <f t="shared" si="83"/>
        <v/>
      </c>
      <c r="AN145" s="59"/>
      <c r="AO145" s="58" t="str">
        <f t="shared" si="84"/>
        <v/>
      </c>
      <c r="AP145" s="59"/>
      <c r="AQ145" s="58" t="str">
        <f t="shared" si="85"/>
        <v/>
      </c>
      <c r="AR145" s="59"/>
      <c r="AS145" s="58" t="str">
        <f t="shared" si="86"/>
        <v/>
      </c>
      <c r="AT145" s="59"/>
      <c r="AU145" s="58" t="str">
        <f t="shared" si="87"/>
        <v/>
      </c>
      <c r="AV145" s="59"/>
      <c r="AW145" s="58" t="str">
        <f t="shared" si="88"/>
        <v/>
      </c>
      <c r="AX145" s="59"/>
      <c r="AY145" s="58" t="str">
        <f t="shared" si="89"/>
        <v/>
      </c>
      <c r="AZ145" s="59"/>
      <c r="BA145" s="58" t="str">
        <f t="shared" si="90"/>
        <v/>
      </c>
      <c r="BB145" s="59"/>
      <c r="BC145" s="58" t="str">
        <f t="shared" si="91"/>
        <v/>
      </c>
      <c r="BD145" s="59"/>
      <c r="BE145" s="58">
        <f t="shared" si="92"/>
        <v>3108</v>
      </c>
      <c r="BF145" s="59"/>
      <c r="BG145" s="58" t="str">
        <f t="shared" si="93"/>
        <v/>
      </c>
      <c r="BH145" s="59"/>
      <c r="BI145" s="58" t="str">
        <f t="shared" si="94"/>
        <v/>
      </c>
      <c r="BJ145" s="59"/>
      <c r="BK145" s="58" t="str">
        <f t="shared" si="95"/>
        <v/>
      </c>
      <c r="BL145" s="59"/>
      <c r="BM145" s="58" t="str">
        <f t="shared" si="96"/>
        <v/>
      </c>
      <c r="BN145" s="59"/>
      <c r="BO145" s="58" t="str">
        <f t="shared" si="97"/>
        <v/>
      </c>
      <c r="BP145" s="59"/>
      <c r="BQ145" s="58" t="str">
        <f t="shared" si="98"/>
        <v/>
      </c>
      <c r="BR145" s="59"/>
      <c r="BS145" s="58" t="str">
        <f t="shared" si="99"/>
        <v/>
      </c>
      <c r="BT145" s="59"/>
      <c r="BU145" s="58" t="str">
        <f t="shared" si="100"/>
        <v/>
      </c>
      <c r="BV145" s="59"/>
      <c r="BW145" s="58" t="str">
        <f t="shared" si="101"/>
        <v/>
      </c>
      <c r="BX145" s="59"/>
      <c r="BY145" s="58" t="str">
        <f t="shared" si="102"/>
        <v/>
      </c>
      <c r="BZ145" s="59"/>
    </row>
    <row r="146" spans="1:78" ht="14.5" hidden="1">
      <c r="A146" s="51" t="s">
        <v>58</v>
      </c>
      <c r="B146" s="52">
        <v>360</v>
      </c>
      <c r="C146" s="52" t="s">
        <v>188</v>
      </c>
      <c r="D146" s="41">
        <f t="shared" si="72"/>
        <v>4</v>
      </c>
      <c r="E146" s="170" t="s">
        <v>631</v>
      </c>
      <c r="F146" s="41" t="s">
        <v>631</v>
      </c>
      <c r="G146" s="52" t="s">
        <v>195</v>
      </c>
      <c r="H146" s="52" t="s">
        <v>286</v>
      </c>
      <c r="I146" s="52" t="s">
        <v>162</v>
      </c>
      <c r="J146" s="52" t="s">
        <v>508</v>
      </c>
      <c r="K146" s="53">
        <v>45682</v>
      </c>
      <c r="L146" s="108">
        <v>4464</v>
      </c>
      <c r="M146" s="101">
        <v>4464</v>
      </c>
      <c r="N146" s="101">
        <v>4464</v>
      </c>
      <c r="O146" s="107">
        <f t="shared" si="73"/>
        <v>0</v>
      </c>
      <c r="P146" s="54">
        <f t="shared" si="74"/>
        <v>0</v>
      </c>
      <c r="Q146" s="101" t="s">
        <v>439</v>
      </c>
      <c r="R146" s="166">
        <v>45664</v>
      </c>
      <c r="S146" s="101"/>
      <c r="T146" s="102">
        <f t="shared" si="75"/>
        <v>6.2</v>
      </c>
      <c r="U146" s="102">
        <v>6</v>
      </c>
      <c r="V146" s="99">
        <v>120</v>
      </c>
      <c r="W146" s="55">
        <f t="shared" si="71"/>
        <v>45662</v>
      </c>
      <c r="X146" s="55">
        <v>45635</v>
      </c>
      <c r="Y146" s="56">
        <f t="shared" ca="1" si="76"/>
        <v>27</v>
      </c>
      <c r="Z146" s="55">
        <f t="shared" si="77"/>
        <v>45678</v>
      </c>
      <c r="AA146" s="55"/>
      <c r="AB146" s="56">
        <f t="shared" ca="1" si="78"/>
        <v>-162</v>
      </c>
      <c r="AC146" s="55"/>
      <c r="AD146" s="57"/>
      <c r="AE146" s="58" t="str">
        <f t="shared" si="79"/>
        <v>-</v>
      </c>
      <c r="AF146" s="59"/>
      <c r="AG146" s="58" t="str">
        <f t="shared" si="80"/>
        <v/>
      </c>
      <c r="AH146" s="59"/>
      <c r="AI146" s="58" t="str">
        <f t="shared" si="81"/>
        <v/>
      </c>
      <c r="AJ146" s="59"/>
      <c r="AK146" s="58" t="str">
        <f t="shared" si="82"/>
        <v/>
      </c>
      <c r="AL146" s="59"/>
      <c r="AM146" s="58" t="str">
        <f t="shared" si="83"/>
        <v/>
      </c>
      <c r="AN146" s="59"/>
      <c r="AO146" s="58" t="str">
        <f t="shared" si="84"/>
        <v/>
      </c>
      <c r="AP146" s="59"/>
      <c r="AQ146" s="58" t="str">
        <f t="shared" si="85"/>
        <v/>
      </c>
      <c r="AR146" s="59"/>
      <c r="AS146" s="58" t="str">
        <f t="shared" si="86"/>
        <v/>
      </c>
      <c r="AT146" s="59"/>
      <c r="AU146" s="58" t="str">
        <f t="shared" si="87"/>
        <v/>
      </c>
      <c r="AV146" s="59"/>
      <c r="AW146" s="58" t="str">
        <f t="shared" si="88"/>
        <v/>
      </c>
      <c r="AX146" s="59"/>
      <c r="AY146" s="58" t="str">
        <f t="shared" si="89"/>
        <v/>
      </c>
      <c r="AZ146" s="59"/>
      <c r="BA146" s="58" t="str">
        <f t="shared" si="90"/>
        <v/>
      </c>
      <c r="BB146" s="59"/>
      <c r="BC146" s="58" t="str">
        <f t="shared" si="91"/>
        <v/>
      </c>
      <c r="BD146" s="59"/>
      <c r="BE146" s="58">
        <f t="shared" si="92"/>
        <v>4464</v>
      </c>
      <c r="BF146" s="59"/>
      <c r="BG146" s="58" t="str">
        <f t="shared" si="93"/>
        <v/>
      </c>
      <c r="BH146" s="59"/>
      <c r="BI146" s="58" t="str">
        <f t="shared" si="94"/>
        <v/>
      </c>
      <c r="BJ146" s="59"/>
      <c r="BK146" s="58" t="str">
        <f t="shared" si="95"/>
        <v/>
      </c>
      <c r="BL146" s="59"/>
      <c r="BM146" s="58" t="str">
        <f t="shared" si="96"/>
        <v/>
      </c>
      <c r="BN146" s="59"/>
      <c r="BO146" s="58" t="str">
        <f t="shared" si="97"/>
        <v/>
      </c>
      <c r="BP146" s="59"/>
      <c r="BQ146" s="58" t="str">
        <f t="shared" si="98"/>
        <v/>
      </c>
      <c r="BR146" s="59"/>
      <c r="BS146" s="58" t="str">
        <f t="shared" si="99"/>
        <v/>
      </c>
      <c r="BT146" s="59"/>
      <c r="BU146" s="58" t="str">
        <f t="shared" si="100"/>
        <v/>
      </c>
      <c r="BV146" s="59"/>
      <c r="BW146" s="58" t="str">
        <f t="shared" si="101"/>
        <v/>
      </c>
      <c r="BX146" s="59"/>
      <c r="BY146" s="58" t="str">
        <f t="shared" si="102"/>
        <v/>
      </c>
      <c r="BZ146" s="59"/>
    </row>
    <row r="147" spans="1:78" ht="14.5" hidden="1">
      <c r="A147" s="51" t="s">
        <v>58</v>
      </c>
      <c r="B147" s="52">
        <v>360</v>
      </c>
      <c r="C147" s="52" t="s">
        <v>188</v>
      </c>
      <c r="D147" s="41">
        <f t="shared" si="72"/>
        <v>4</v>
      </c>
      <c r="E147" s="170" t="s">
        <v>631</v>
      </c>
      <c r="F147" s="41" t="s">
        <v>631</v>
      </c>
      <c r="G147" s="52" t="s">
        <v>189</v>
      </c>
      <c r="H147" s="52" t="s">
        <v>242</v>
      </c>
      <c r="I147" s="52" t="s">
        <v>162</v>
      </c>
      <c r="J147" s="52" t="s">
        <v>432</v>
      </c>
      <c r="K147" s="53">
        <v>45682</v>
      </c>
      <c r="L147" s="108">
        <v>744</v>
      </c>
      <c r="M147" s="101">
        <v>744</v>
      </c>
      <c r="N147" s="101"/>
      <c r="O147" s="107">
        <f t="shared" si="73"/>
        <v>744</v>
      </c>
      <c r="P147" s="54">
        <f t="shared" si="74"/>
        <v>0</v>
      </c>
      <c r="Q147" s="101" t="s">
        <v>178</v>
      </c>
      <c r="R147" s="166">
        <v>45682</v>
      </c>
      <c r="S147" s="101" t="s">
        <v>642</v>
      </c>
      <c r="T147" s="102">
        <f t="shared" si="75"/>
        <v>1.0333333333333334</v>
      </c>
      <c r="U147" s="102">
        <v>6</v>
      </c>
      <c r="V147" s="99">
        <v>120</v>
      </c>
      <c r="W147" s="55">
        <f t="shared" si="71"/>
        <v>45662</v>
      </c>
      <c r="X147" s="55">
        <v>45635</v>
      </c>
      <c r="Y147" s="56">
        <f t="shared" ca="1" si="76"/>
        <v>27</v>
      </c>
      <c r="Z147" s="55">
        <f t="shared" si="77"/>
        <v>45678</v>
      </c>
      <c r="AA147" s="55"/>
      <c r="AB147" s="56">
        <f t="shared" ca="1" si="78"/>
        <v>-162</v>
      </c>
      <c r="AC147" s="55"/>
      <c r="AD147" s="57"/>
      <c r="AE147" s="58" t="str">
        <f t="shared" si="79"/>
        <v>-</v>
      </c>
      <c r="AF147" s="59"/>
      <c r="AG147" s="58" t="str">
        <f t="shared" si="80"/>
        <v/>
      </c>
      <c r="AH147" s="59"/>
      <c r="AI147" s="58" t="str">
        <f t="shared" si="81"/>
        <v/>
      </c>
      <c r="AJ147" s="59"/>
      <c r="AK147" s="58" t="str">
        <f t="shared" si="82"/>
        <v/>
      </c>
      <c r="AL147" s="59"/>
      <c r="AM147" s="58" t="str">
        <f t="shared" si="83"/>
        <v/>
      </c>
      <c r="AN147" s="59"/>
      <c r="AO147" s="58" t="str">
        <f t="shared" si="84"/>
        <v/>
      </c>
      <c r="AP147" s="59"/>
      <c r="AQ147" s="58" t="str">
        <f t="shared" si="85"/>
        <v/>
      </c>
      <c r="AR147" s="59"/>
      <c r="AS147" s="58" t="str">
        <f t="shared" si="86"/>
        <v/>
      </c>
      <c r="AT147" s="59"/>
      <c r="AU147" s="58" t="str">
        <f t="shared" si="87"/>
        <v/>
      </c>
      <c r="AV147" s="59"/>
      <c r="AW147" s="58" t="str">
        <f t="shared" si="88"/>
        <v/>
      </c>
      <c r="AX147" s="59"/>
      <c r="AY147" s="58" t="str">
        <f t="shared" si="89"/>
        <v/>
      </c>
      <c r="AZ147" s="59"/>
      <c r="BA147" s="58" t="str">
        <f t="shared" si="90"/>
        <v/>
      </c>
      <c r="BB147" s="59"/>
      <c r="BC147" s="58" t="str">
        <f t="shared" si="91"/>
        <v/>
      </c>
      <c r="BD147" s="59"/>
      <c r="BE147" s="58">
        <f t="shared" si="92"/>
        <v>744</v>
      </c>
      <c r="BF147" s="59"/>
      <c r="BG147" s="58" t="str">
        <f t="shared" si="93"/>
        <v/>
      </c>
      <c r="BH147" s="59"/>
      <c r="BI147" s="58" t="str">
        <f t="shared" si="94"/>
        <v/>
      </c>
      <c r="BJ147" s="59"/>
      <c r="BK147" s="58" t="str">
        <f t="shared" si="95"/>
        <v/>
      </c>
      <c r="BL147" s="59"/>
      <c r="BM147" s="58" t="str">
        <f t="shared" si="96"/>
        <v/>
      </c>
      <c r="BN147" s="59"/>
      <c r="BO147" s="58" t="str">
        <f t="shared" si="97"/>
        <v/>
      </c>
      <c r="BP147" s="59"/>
      <c r="BQ147" s="58" t="str">
        <f t="shared" si="98"/>
        <v/>
      </c>
      <c r="BR147" s="59"/>
      <c r="BS147" s="58" t="str">
        <f t="shared" si="99"/>
        <v/>
      </c>
      <c r="BT147" s="59"/>
      <c r="BU147" s="58" t="str">
        <f t="shared" si="100"/>
        <v/>
      </c>
      <c r="BV147" s="59"/>
      <c r="BW147" s="58" t="str">
        <f t="shared" si="101"/>
        <v/>
      </c>
      <c r="BX147" s="59"/>
      <c r="BY147" s="58" t="str">
        <f t="shared" si="102"/>
        <v/>
      </c>
      <c r="BZ147" s="59"/>
    </row>
    <row r="148" spans="1:78" ht="14.5" hidden="1">
      <c r="A148" s="51" t="s">
        <v>58</v>
      </c>
      <c r="B148" s="52">
        <v>360</v>
      </c>
      <c r="C148" s="52" t="s">
        <v>188</v>
      </c>
      <c r="D148" s="41">
        <f t="shared" si="72"/>
        <v>4</v>
      </c>
      <c r="E148" s="170">
        <v>45667</v>
      </c>
      <c r="F148" s="41" t="s">
        <v>631</v>
      </c>
      <c r="G148" s="52" t="s">
        <v>190</v>
      </c>
      <c r="H148" s="52" t="s">
        <v>242</v>
      </c>
      <c r="I148" s="52" t="s">
        <v>244</v>
      </c>
      <c r="J148" s="52" t="s">
        <v>513</v>
      </c>
      <c r="K148" s="53">
        <v>45682</v>
      </c>
      <c r="L148" s="108">
        <v>488</v>
      </c>
      <c r="M148" s="101">
        <v>488</v>
      </c>
      <c r="N148" s="101">
        <v>488</v>
      </c>
      <c r="O148" s="107">
        <f t="shared" si="73"/>
        <v>0</v>
      </c>
      <c r="P148" s="54">
        <f t="shared" si="74"/>
        <v>0</v>
      </c>
      <c r="Q148" s="101" t="s">
        <v>439</v>
      </c>
      <c r="R148" s="166">
        <v>45682</v>
      </c>
      <c r="S148" s="101"/>
      <c r="T148" s="102">
        <f t="shared" si="75"/>
        <v>0.67777777777777781</v>
      </c>
      <c r="U148" s="102">
        <v>6</v>
      </c>
      <c r="V148" s="99">
        <v>120</v>
      </c>
      <c r="W148" s="55">
        <f t="shared" si="71"/>
        <v>45662</v>
      </c>
      <c r="X148" s="55">
        <v>45635</v>
      </c>
      <c r="Y148" s="56">
        <f t="shared" ca="1" si="76"/>
        <v>27</v>
      </c>
      <c r="Z148" s="55">
        <f t="shared" si="77"/>
        <v>45678</v>
      </c>
      <c r="AA148" s="55"/>
      <c r="AB148" s="56">
        <f t="shared" ca="1" si="78"/>
        <v>-162</v>
      </c>
      <c r="AC148" s="55"/>
      <c r="AD148" s="57"/>
      <c r="AE148" s="58" t="str">
        <f t="shared" si="79"/>
        <v>-</v>
      </c>
      <c r="AF148" s="59"/>
      <c r="AG148" s="58" t="str">
        <f t="shared" si="80"/>
        <v/>
      </c>
      <c r="AH148" s="59"/>
      <c r="AI148" s="58" t="str">
        <f t="shared" si="81"/>
        <v/>
      </c>
      <c r="AJ148" s="59"/>
      <c r="AK148" s="58" t="str">
        <f t="shared" si="82"/>
        <v/>
      </c>
      <c r="AL148" s="59"/>
      <c r="AM148" s="58" t="str">
        <f t="shared" si="83"/>
        <v/>
      </c>
      <c r="AN148" s="59"/>
      <c r="AO148" s="58" t="str">
        <f t="shared" si="84"/>
        <v/>
      </c>
      <c r="AP148" s="59"/>
      <c r="AQ148" s="58" t="str">
        <f t="shared" si="85"/>
        <v/>
      </c>
      <c r="AR148" s="59"/>
      <c r="AS148" s="58" t="str">
        <f t="shared" si="86"/>
        <v/>
      </c>
      <c r="AT148" s="59"/>
      <c r="AU148" s="58" t="str">
        <f t="shared" si="87"/>
        <v/>
      </c>
      <c r="AV148" s="59"/>
      <c r="AW148" s="58" t="str">
        <f t="shared" si="88"/>
        <v/>
      </c>
      <c r="AX148" s="59"/>
      <c r="AY148" s="58" t="str">
        <f t="shared" si="89"/>
        <v/>
      </c>
      <c r="AZ148" s="59"/>
      <c r="BA148" s="58" t="str">
        <f t="shared" si="90"/>
        <v/>
      </c>
      <c r="BB148" s="59"/>
      <c r="BC148" s="58" t="str">
        <f t="shared" si="91"/>
        <v/>
      </c>
      <c r="BD148" s="59"/>
      <c r="BE148" s="58">
        <f t="shared" si="92"/>
        <v>488</v>
      </c>
      <c r="BF148" s="59"/>
      <c r="BG148" s="58" t="str">
        <f t="shared" si="93"/>
        <v/>
      </c>
      <c r="BH148" s="59"/>
      <c r="BI148" s="58" t="str">
        <f t="shared" si="94"/>
        <v/>
      </c>
      <c r="BJ148" s="59"/>
      <c r="BK148" s="58" t="str">
        <f t="shared" si="95"/>
        <v/>
      </c>
      <c r="BL148" s="59"/>
      <c r="BM148" s="58" t="str">
        <f t="shared" si="96"/>
        <v/>
      </c>
      <c r="BN148" s="59"/>
      <c r="BO148" s="58" t="str">
        <f t="shared" si="97"/>
        <v/>
      </c>
      <c r="BP148" s="59"/>
      <c r="BQ148" s="58" t="str">
        <f t="shared" si="98"/>
        <v/>
      </c>
      <c r="BR148" s="59"/>
      <c r="BS148" s="58" t="str">
        <f t="shared" si="99"/>
        <v/>
      </c>
      <c r="BT148" s="59"/>
      <c r="BU148" s="58" t="str">
        <f t="shared" si="100"/>
        <v/>
      </c>
      <c r="BV148" s="59"/>
      <c r="BW148" s="58" t="str">
        <f t="shared" si="101"/>
        <v/>
      </c>
      <c r="BX148" s="59"/>
      <c r="BY148" s="58" t="str">
        <f t="shared" si="102"/>
        <v/>
      </c>
      <c r="BZ148" s="59"/>
    </row>
    <row r="149" spans="1:78" ht="14.5" hidden="1">
      <c r="A149" s="51" t="s">
        <v>58</v>
      </c>
      <c r="B149" s="52">
        <v>361</v>
      </c>
      <c r="C149" s="52" t="s">
        <v>188</v>
      </c>
      <c r="D149" s="41">
        <f t="shared" si="72"/>
        <v>4</v>
      </c>
      <c r="E149" s="170" t="s">
        <v>631</v>
      </c>
      <c r="F149" s="41" t="s">
        <v>631</v>
      </c>
      <c r="G149" s="52" t="s">
        <v>157</v>
      </c>
      <c r="H149" s="52" t="s">
        <v>243</v>
      </c>
      <c r="I149" s="52" t="s">
        <v>155</v>
      </c>
      <c r="J149" s="52" t="s">
        <v>428</v>
      </c>
      <c r="K149" s="53">
        <v>45681</v>
      </c>
      <c r="L149" s="108">
        <v>1236</v>
      </c>
      <c r="M149" s="101">
        <v>1236</v>
      </c>
      <c r="N149" s="101">
        <v>1236</v>
      </c>
      <c r="O149" s="107">
        <f t="shared" si="73"/>
        <v>0</v>
      </c>
      <c r="P149" s="54">
        <f t="shared" si="74"/>
        <v>0</v>
      </c>
      <c r="Q149" s="101" t="s">
        <v>429</v>
      </c>
      <c r="R149" s="166">
        <v>45682</v>
      </c>
      <c r="S149" s="101"/>
      <c r="T149" s="102">
        <f t="shared" si="75"/>
        <v>0.20599999999999999</v>
      </c>
      <c r="U149" s="102">
        <v>6</v>
      </c>
      <c r="V149" s="99">
        <v>1000</v>
      </c>
      <c r="W149" s="55">
        <f t="shared" si="71"/>
        <v>45661</v>
      </c>
      <c r="X149" s="55"/>
      <c r="Y149" s="56">
        <f t="shared" ca="1" si="76"/>
        <v>-179</v>
      </c>
      <c r="Z149" s="55">
        <f t="shared" si="77"/>
        <v>45677</v>
      </c>
      <c r="AA149" s="55"/>
      <c r="AB149" s="56">
        <f t="shared" ca="1" si="78"/>
        <v>-163</v>
      </c>
      <c r="AC149" s="55"/>
      <c r="AD149" s="57"/>
      <c r="AE149" s="58" t="str">
        <f t="shared" si="79"/>
        <v>-</v>
      </c>
      <c r="AF149" s="59"/>
      <c r="AG149" s="58" t="str">
        <f t="shared" si="80"/>
        <v/>
      </c>
      <c r="AH149" s="59"/>
      <c r="AI149" s="58" t="str">
        <f t="shared" si="81"/>
        <v/>
      </c>
      <c r="AJ149" s="59"/>
      <c r="AK149" s="58" t="str">
        <f t="shared" si="82"/>
        <v/>
      </c>
      <c r="AL149" s="59"/>
      <c r="AM149" s="58" t="str">
        <f t="shared" si="83"/>
        <v/>
      </c>
      <c r="AN149" s="59"/>
      <c r="AO149" s="58" t="str">
        <f t="shared" si="84"/>
        <v/>
      </c>
      <c r="AP149" s="59"/>
      <c r="AQ149" s="58" t="str">
        <f t="shared" si="85"/>
        <v/>
      </c>
      <c r="AR149" s="59"/>
      <c r="AS149" s="58" t="str">
        <f t="shared" si="86"/>
        <v/>
      </c>
      <c r="AT149" s="59"/>
      <c r="AU149" s="58" t="str">
        <f t="shared" si="87"/>
        <v/>
      </c>
      <c r="AV149" s="59"/>
      <c r="AW149" s="58" t="str">
        <f t="shared" si="88"/>
        <v/>
      </c>
      <c r="AX149" s="59"/>
      <c r="AY149" s="58" t="str">
        <f t="shared" si="89"/>
        <v/>
      </c>
      <c r="AZ149" s="59"/>
      <c r="BA149" s="58" t="str">
        <f t="shared" si="90"/>
        <v/>
      </c>
      <c r="BB149" s="59"/>
      <c r="BC149" s="58">
        <f t="shared" si="91"/>
        <v>1236</v>
      </c>
      <c r="BD149" s="59"/>
      <c r="BE149" s="58" t="str">
        <f t="shared" si="92"/>
        <v/>
      </c>
      <c r="BF149" s="59"/>
      <c r="BG149" s="58" t="str">
        <f t="shared" si="93"/>
        <v/>
      </c>
      <c r="BH149" s="59"/>
      <c r="BI149" s="58" t="str">
        <f t="shared" si="94"/>
        <v/>
      </c>
      <c r="BJ149" s="59"/>
      <c r="BK149" s="58" t="str">
        <f t="shared" si="95"/>
        <v/>
      </c>
      <c r="BL149" s="59"/>
      <c r="BM149" s="58" t="str">
        <f t="shared" si="96"/>
        <v/>
      </c>
      <c r="BN149" s="59"/>
      <c r="BO149" s="58" t="str">
        <f t="shared" si="97"/>
        <v/>
      </c>
      <c r="BP149" s="59"/>
      <c r="BQ149" s="58" t="str">
        <f t="shared" si="98"/>
        <v/>
      </c>
      <c r="BR149" s="59"/>
      <c r="BS149" s="58" t="str">
        <f t="shared" si="99"/>
        <v/>
      </c>
      <c r="BT149" s="59"/>
      <c r="BU149" s="58" t="str">
        <f t="shared" si="100"/>
        <v/>
      </c>
      <c r="BV149" s="59"/>
      <c r="BW149" s="58" t="str">
        <f t="shared" si="101"/>
        <v/>
      </c>
      <c r="BX149" s="59"/>
      <c r="BY149" s="58" t="str">
        <f t="shared" si="102"/>
        <v/>
      </c>
      <c r="BZ149" s="59"/>
    </row>
    <row r="150" spans="1:78" ht="14.5" hidden="1">
      <c r="A150" s="51" t="s">
        <v>58</v>
      </c>
      <c r="B150" s="52">
        <v>361</v>
      </c>
      <c r="C150" s="52" t="s">
        <v>188</v>
      </c>
      <c r="D150" s="41">
        <f t="shared" si="72"/>
        <v>4</v>
      </c>
      <c r="E150" s="170" t="s">
        <v>631</v>
      </c>
      <c r="F150" s="41" t="s">
        <v>631</v>
      </c>
      <c r="G150" s="52" t="s">
        <v>189</v>
      </c>
      <c r="H150" s="52" t="s">
        <v>242</v>
      </c>
      <c r="I150" s="52" t="s">
        <v>162</v>
      </c>
      <c r="J150" s="52" t="s">
        <v>432</v>
      </c>
      <c r="K150" s="53">
        <v>45681</v>
      </c>
      <c r="L150" s="108">
        <v>224</v>
      </c>
      <c r="M150" s="101">
        <v>224</v>
      </c>
      <c r="N150" s="101"/>
      <c r="O150" s="107">
        <f t="shared" si="73"/>
        <v>224</v>
      </c>
      <c r="P150" s="54">
        <f t="shared" si="74"/>
        <v>0</v>
      </c>
      <c r="Q150" s="101" t="s">
        <v>178</v>
      </c>
      <c r="R150" s="166">
        <v>45682</v>
      </c>
      <c r="S150" s="101" t="s">
        <v>642</v>
      </c>
      <c r="T150" s="102">
        <f t="shared" si="75"/>
        <v>0.31111111111111112</v>
      </c>
      <c r="U150" s="102">
        <v>6</v>
      </c>
      <c r="V150" s="99">
        <v>120</v>
      </c>
      <c r="W150" s="55">
        <f t="shared" si="71"/>
        <v>45661</v>
      </c>
      <c r="X150" s="55"/>
      <c r="Y150" s="56">
        <f t="shared" ca="1" si="76"/>
        <v>-179</v>
      </c>
      <c r="Z150" s="55">
        <f t="shared" si="77"/>
        <v>45677</v>
      </c>
      <c r="AA150" s="55"/>
      <c r="AB150" s="56">
        <f t="shared" ca="1" si="78"/>
        <v>-163</v>
      </c>
      <c r="AC150" s="55"/>
      <c r="AD150" s="57"/>
      <c r="AE150" s="58" t="str">
        <f t="shared" si="79"/>
        <v>-</v>
      </c>
      <c r="AF150" s="59"/>
      <c r="AG150" s="58" t="str">
        <f t="shared" si="80"/>
        <v/>
      </c>
      <c r="AH150" s="59"/>
      <c r="AI150" s="58" t="str">
        <f t="shared" si="81"/>
        <v/>
      </c>
      <c r="AJ150" s="59"/>
      <c r="AK150" s="58" t="str">
        <f t="shared" si="82"/>
        <v/>
      </c>
      <c r="AL150" s="59"/>
      <c r="AM150" s="58" t="str">
        <f t="shared" si="83"/>
        <v/>
      </c>
      <c r="AN150" s="59"/>
      <c r="AO150" s="58" t="str">
        <f t="shared" si="84"/>
        <v/>
      </c>
      <c r="AP150" s="59"/>
      <c r="AQ150" s="58" t="str">
        <f t="shared" si="85"/>
        <v/>
      </c>
      <c r="AR150" s="59"/>
      <c r="AS150" s="58" t="str">
        <f t="shared" si="86"/>
        <v/>
      </c>
      <c r="AT150" s="59"/>
      <c r="AU150" s="58" t="str">
        <f t="shared" si="87"/>
        <v/>
      </c>
      <c r="AV150" s="59"/>
      <c r="AW150" s="58" t="str">
        <f t="shared" si="88"/>
        <v/>
      </c>
      <c r="AX150" s="59"/>
      <c r="AY150" s="58" t="str">
        <f t="shared" si="89"/>
        <v/>
      </c>
      <c r="AZ150" s="59"/>
      <c r="BA150" s="58" t="str">
        <f t="shared" si="90"/>
        <v/>
      </c>
      <c r="BB150" s="59"/>
      <c r="BC150" s="58">
        <f t="shared" si="91"/>
        <v>224</v>
      </c>
      <c r="BD150" s="59"/>
      <c r="BE150" s="58" t="str">
        <f t="shared" si="92"/>
        <v/>
      </c>
      <c r="BF150" s="59"/>
      <c r="BG150" s="58" t="str">
        <f t="shared" si="93"/>
        <v/>
      </c>
      <c r="BH150" s="59"/>
      <c r="BI150" s="58" t="str">
        <f t="shared" si="94"/>
        <v/>
      </c>
      <c r="BJ150" s="59"/>
      <c r="BK150" s="58" t="str">
        <f t="shared" si="95"/>
        <v/>
      </c>
      <c r="BL150" s="59"/>
      <c r="BM150" s="58" t="str">
        <f t="shared" si="96"/>
        <v/>
      </c>
      <c r="BN150" s="59"/>
      <c r="BO150" s="58" t="str">
        <f t="shared" si="97"/>
        <v/>
      </c>
      <c r="BP150" s="59"/>
      <c r="BQ150" s="58" t="str">
        <f t="shared" si="98"/>
        <v/>
      </c>
      <c r="BR150" s="59"/>
      <c r="BS150" s="58" t="str">
        <f t="shared" si="99"/>
        <v/>
      </c>
      <c r="BT150" s="59"/>
      <c r="BU150" s="58" t="str">
        <f t="shared" si="100"/>
        <v/>
      </c>
      <c r="BV150" s="59"/>
      <c r="BW150" s="58" t="str">
        <f t="shared" si="101"/>
        <v/>
      </c>
      <c r="BX150" s="59"/>
      <c r="BY150" s="58" t="str">
        <f t="shared" si="102"/>
        <v/>
      </c>
      <c r="BZ150" s="59"/>
    </row>
    <row r="151" spans="1:78" ht="14.5" hidden="1">
      <c r="A151" s="51" t="s">
        <v>58</v>
      </c>
      <c r="B151" s="52">
        <v>361</v>
      </c>
      <c r="C151" s="52" t="s">
        <v>188</v>
      </c>
      <c r="D151" s="41">
        <f t="shared" si="72"/>
        <v>4</v>
      </c>
      <c r="E151" s="170" t="s">
        <v>631</v>
      </c>
      <c r="F151" s="41" t="s">
        <v>631</v>
      </c>
      <c r="G151" s="52" t="s">
        <v>391</v>
      </c>
      <c r="H151" s="52" t="s">
        <v>392</v>
      </c>
      <c r="I151" s="52" t="s">
        <v>393</v>
      </c>
      <c r="J151" s="52" t="s">
        <v>433</v>
      </c>
      <c r="K151" s="53">
        <v>45681</v>
      </c>
      <c r="L151" s="108">
        <v>1488</v>
      </c>
      <c r="M151" s="101">
        <v>1488</v>
      </c>
      <c r="N151" s="101">
        <v>1488</v>
      </c>
      <c r="O151" s="107">
        <f t="shared" si="73"/>
        <v>0</v>
      </c>
      <c r="P151" s="54">
        <f t="shared" si="74"/>
        <v>0</v>
      </c>
      <c r="Q151" s="101" t="s">
        <v>178</v>
      </c>
      <c r="R151" s="166">
        <v>45682</v>
      </c>
      <c r="S151" s="101"/>
      <c r="T151" s="102">
        <f t="shared" si="75"/>
        <v>3.1</v>
      </c>
      <c r="U151" s="102">
        <v>6</v>
      </c>
      <c r="V151" s="99">
        <v>80</v>
      </c>
      <c r="W151" s="55">
        <f t="shared" si="71"/>
        <v>45661</v>
      </c>
      <c r="X151" s="55"/>
      <c r="Y151" s="56">
        <f t="shared" ca="1" si="76"/>
        <v>-179</v>
      </c>
      <c r="Z151" s="55">
        <f t="shared" si="77"/>
        <v>45677</v>
      </c>
      <c r="AA151" s="55"/>
      <c r="AB151" s="56">
        <f t="shared" ca="1" si="78"/>
        <v>-163</v>
      </c>
      <c r="AC151" s="55"/>
      <c r="AD151" s="57"/>
      <c r="AE151" s="58" t="str">
        <f t="shared" si="79"/>
        <v>-</v>
      </c>
      <c r="AF151" s="59"/>
      <c r="AG151" s="58" t="str">
        <f t="shared" si="80"/>
        <v/>
      </c>
      <c r="AH151" s="59"/>
      <c r="AI151" s="58" t="str">
        <f t="shared" si="81"/>
        <v/>
      </c>
      <c r="AJ151" s="59"/>
      <c r="AK151" s="58" t="str">
        <f t="shared" si="82"/>
        <v/>
      </c>
      <c r="AL151" s="59"/>
      <c r="AM151" s="58" t="str">
        <f t="shared" si="83"/>
        <v/>
      </c>
      <c r="AN151" s="59"/>
      <c r="AO151" s="58" t="str">
        <f t="shared" si="84"/>
        <v/>
      </c>
      <c r="AP151" s="59"/>
      <c r="AQ151" s="58" t="str">
        <f t="shared" si="85"/>
        <v/>
      </c>
      <c r="AR151" s="59"/>
      <c r="AS151" s="58" t="str">
        <f t="shared" si="86"/>
        <v/>
      </c>
      <c r="AT151" s="59"/>
      <c r="AU151" s="58" t="str">
        <f t="shared" si="87"/>
        <v/>
      </c>
      <c r="AV151" s="59"/>
      <c r="AW151" s="58" t="str">
        <f t="shared" si="88"/>
        <v/>
      </c>
      <c r="AX151" s="59"/>
      <c r="AY151" s="58" t="str">
        <f t="shared" si="89"/>
        <v/>
      </c>
      <c r="AZ151" s="59"/>
      <c r="BA151" s="58" t="str">
        <f t="shared" si="90"/>
        <v/>
      </c>
      <c r="BB151" s="59"/>
      <c r="BC151" s="58">
        <f t="shared" si="91"/>
        <v>1488</v>
      </c>
      <c r="BD151" s="59"/>
      <c r="BE151" s="58" t="str">
        <f t="shared" si="92"/>
        <v/>
      </c>
      <c r="BF151" s="59"/>
      <c r="BG151" s="58" t="str">
        <f t="shared" si="93"/>
        <v/>
      </c>
      <c r="BH151" s="59"/>
      <c r="BI151" s="58" t="str">
        <f t="shared" si="94"/>
        <v/>
      </c>
      <c r="BJ151" s="59"/>
      <c r="BK151" s="58" t="str">
        <f t="shared" si="95"/>
        <v/>
      </c>
      <c r="BL151" s="59"/>
      <c r="BM151" s="58" t="str">
        <f t="shared" si="96"/>
        <v/>
      </c>
      <c r="BN151" s="59"/>
      <c r="BO151" s="58" t="str">
        <f t="shared" si="97"/>
        <v/>
      </c>
      <c r="BP151" s="59"/>
      <c r="BQ151" s="58" t="str">
        <f t="shared" si="98"/>
        <v/>
      </c>
      <c r="BR151" s="59"/>
      <c r="BS151" s="58" t="str">
        <f t="shared" si="99"/>
        <v/>
      </c>
      <c r="BT151" s="59"/>
      <c r="BU151" s="58" t="str">
        <f t="shared" si="100"/>
        <v/>
      </c>
      <c r="BV151" s="59"/>
      <c r="BW151" s="58" t="str">
        <f t="shared" si="101"/>
        <v/>
      </c>
      <c r="BX151" s="59"/>
      <c r="BY151" s="58" t="str">
        <f t="shared" si="102"/>
        <v/>
      </c>
      <c r="BZ151" s="59"/>
    </row>
    <row r="152" spans="1:78" ht="14.5" hidden="1">
      <c r="A152" s="51" t="s">
        <v>58</v>
      </c>
      <c r="B152" s="52">
        <v>361</v>
      </c>
      <c r="C152" s="52" t="s">
        <v>188</v>
      </c>
      <c r="D152" s="41">
        <f t="shared" si="72"/>
        <v>4</v>
      </c>
      <c r="E152" s="170" t="s">
        <v>631</v>
      </c>
      <c r="F152" s="41" t="s">
        <v>631</v>
      </c>
      <c r="G152" s="52" t="s">
        <v>158</v>
      </c>
      <c r="H152" s="52" t="s">
        <v>242</v>
      </c>
      <c r="I152" s="52" t="s">
        <v>255</v>
      </c>
      <c r="J152" s="52" t="s">
        <v>445</v>
      </c>
      <c r="K152" s="53">
        <v>45681</v>
      </c>
      <c r="L152" s="108">
        <v>816</v>
      </c>
      <c r="M152" s="101">
        <v>816</v>
      </c>
      <c r="N152" s="101">
        <v>816</v>
      </c>
      <c r="O152" s="107">
        <f t="shared" si="73"/>
        <v>0</v>
      </c>
      <c r="P152" s="54">
        <f t="shared" si="74"/>
        <v>0</v>
      </c>
      <c r="Q152" s="101" t="s">
        <v>439</v>
      </c>
      <c r="R152" s="166">
        <v>45682</v>
      </c>
      <c r="S152" s="101"/>
      <c r="T152" s="102">
        <f t="shared" si="75"/>
        <v>1.1333333333333333</v>
      </c>
      <c r="U152" s="102">
        <v>6</v>
      </c>
      <c r="V152" s="99">
        <v>120</v>
      </c>
      <c r="W152" s="55">
        <f t="shared" si="71"/>
        <v>45661</v>
      </c>
      <c r="X152" s="55"/>
      <c r="Y152" s="56">
        <f t="shared" ca="1" si="76"/>
        <v>-179</v>
      </c>
      <c r="Z152" s="55">
        <f t="shared" si="77"/>
        <v>45677</v>
      </c>
      <c r="AA152" s="55"/>
      <c r="AB152" s="56">
        <f t="shared" ca="1" si="78"/>
        <v>-163</v>
      </c>
      <c r="AC152" s="55"/>
      <c r="AD152" s="57"/>
      <c r="AE152" s="58" t="str">
        <f t="shared" si="79"/>
        <v>-</v>
      </c>
      <c r="AF152" s="59"/>
      <c r="AG152" s="58" t="str">
        <f t="shared" si="80"/>
        <v/>
      </c>
      <c r="AH152" s="59"/>
      <c r="AI152" s="58" t="str">
        <f t="shared" si="81"/>
        <v/>
      </c>
      <c r="AJ152" s="59"/>
      <c r="AK152" s="58" t="str">
        <f t="shared" si="82"/>
        <v/>
      </c>
      <c r="AL152" s="59"/>
      <c r="AM152" s="58" t="str">
        <f t="shared" si="83"/>
        <v/>
      </c>
      <c r="AN152" s="59"/>
      <c r="AO152" s="58" t="str">
        <f t="shared" si="84"/>
        <v/>
      </c>
      <c r="AP152" s="59"/>
      <c r="AQ152" s="58" t="str">
        <f t="shared" si="85"/>
        <v/>
      </c>
      <c r="AR152" s="59"/>
      <c r="AS152" s="58" t="str">
        <f t="shared" si="86"/>
        <v/>
      </c>
      <c r="AT152" s="59"/>
      <c r="AU152" s="58" t="str">
        <f t="shared" si="87"/>
        <v/>
      </c>
      <c r="AV152" s="59"/>
      <c r="AW152" s="58" t="str">
        <f t="shared" si="88"/>
        <v/>
      </c>
      <c r="AX152" s="59"/>
      <c r="AY152" s="58" t="str">
        <f t="shared" si="89"/>
        <v/>
      </c>
      <c r="AZ152" s="59"/>
      <c r="BA152" s="58" t="str">
        <f t="shared" si="90"/>
        <v/>
      </c>
      <c r="BB152" s="59"/>
      <c r="BC152" s="58">
        <f t="shared" si="91"/>
        <v>816</v>
      </c>
      <c r="BD152" s="59"/>
      <c r="BE152" s="58" t="str">
        <f t="shared" si="92"/>
        <v/>
      </c>
      <c r="BF152" s="59"/>
      <c r="BG152" s="58" t="str">
        <f t="shared" si="93"/>
        <v/>
      </c>
      <c r="BH152" s="59"/>
      <c r="BI152" s="58" t="str">
        <f t="shared" si="94"/>
        <v/>
      </c>
      <c r="BJ152" s="59"/>
      <c r="BK152" s="58" t="str">
        <f t="shared" si="95"/>
        <v/>
      </c>
      <c r="BL152" s="59"/>
      <c r="BM152" s="58" t="str">
        <f t="shared" si="96"/>
        <v/>
      </c>
      <c r="BN152" s="59"/>
      <c r="BO152" s="58" t="str">
        <f t="shared" si="97"/>
        <v/>
      </c>
      <c r="BP152" s="59"/>
      <c r="BQ152" s="58" t="str">
        <f t="shared" si="98"/>
        <v/>
      </c>
      <c r="BR152" s="59"/>
      <c r="BS152" s="58" t="str">
        <f t="shared" si="99"/>
        <v/>
      </c>
      <c r="BT152" s="59"/>
      <c r="BU152" s="58" t="str">
        <f t="shared" si="100"/>
        <v/>
      </c>
      <c r="BV152" s="59"/>
      <c r="BW152" s="58" t="str">
        <f t="shared" si="101"/>
        <v/>
      </c>
      <c r="BX152" s="59"/>
      <c r="BY152" s="58" t="str">
        <f t="shared" si="102"/>
        <v/>
      </c>
      <c r="BZ152" s="59"/>
    </row>
    <row r="153" spans="1:78" ht="14.5" hidden="1">
      <c r="A153" s="51" t="s">
        <v>58</v>
      </c>
      <c r="B153" s="52">
        <v>361</v>
      </c>
      <c r="C153" s="52" t="s">
        <v>188</v>
      </c>
      <c r="D153" s="41">
        <f t="shared" si="72"/>
        <v>4</v>
      </c>
      <c r="E153" s="170" t="s">
        <v>631</v>
      </c>
      <c r="F153" s="41" t="s">
        <v>631</v>
      </c>
      <c r="G153" s="52" t="s">
        <v>190</v>
      </c>
      <c r="H153" s="52" t="s">
        <v>242</v>
      </c>
      <c r="I153" s="52" t="s">
        <v>244</v>
      </c>
      <c r="J153" s="52" t="s">
        <v>513</v>
      </c>
      <c r="K153" s="53">
        <v>45681</v>
      </c>
      <c r="L153" s="108">
        <v>1524</v>
      </c>
      <c r="M153" s="101">
        <v>1524</v>
      </c>
      <c r="N153" s="101">
        <v>1524</v>
      </c>
      <c r="O153" s="107">
        <f t="shared" si="73"/>
        <v>0</v>
      </c>
      <c r="P153" s="54">
        <f t="shared" si="74"/>
        <v>0</v>
      </c>
      <c r="Q153" s="101" t="s">
        <v>439</v>
      </c>
      <c r="R153" s="166">
        <v>45682</v>
      </c>
      <c r="S153" s="101"/>
      <c r="T153" s="102">
        <f t="shared" si="75"/>
        <v>2.1166666666666667</v>
      </c>
      <c r="U153" s="102">
        <v>6</v>
      </c>
      <c r="V153" s="99">
        <v>120</v>
      </c>
      <c r="W153" s="55">
        <f t="shared" si="71"/>
        <v>45661</v>
      </c>
      <c r="X153" s="55"/>
      <c r="Y153" s="56">
        <f t="shared" ca="1" si="76"/>
        <v>-179</v>
      </c>
      <c r="Z153" s="55">
        <f t="shared" si="77"/>
        <v>45677</v>
      </c>
      <c r="AA153" s="55"/>
      <c r="AB153" s="56">
        <f t="shared" ca="1" si="78"/>
        <v>-163</v>
      </c>
      <c r="AC153" s="55"/>
      <c r="AD153" s="57"/>
      <c r="AE153" s="58" t="str">
        <f t="shared" si="79"/>
        <v>-</v>
      </c>
      <c r="AF153" s="59"/>
      <c r="AG153" s="58" t="str">
        <f t="shared" si="80"/>
        <v/>
      </c>
      <c r="AH153" s="59"/>
      <c r="AI153" s="58" t="str">
        <f t="shared" si="81"/>
        <v/>
      </c>
      <c r="AJ153" s="59"/>
      <c r="AK153" s="58" t="str">
        <f t="shared" si="82"/>
        <v/>
      </c>
      <c r="AL153" s="59"/>
      <c r="AM153" s="58" t="str">
        <f t="shared" si="83"/>
        <v/>
      </c>
      <c r="AN153" s="59"/>
      <c r="AO153" s="58" t="str">
        <f t="shared" si="84"/>
        <v/>
      </c>
      <c r="AP153" s="59"/>
      <c r="AQ153" s="58" t="str">
        <f t="shared" si="85"/>
        <v/>
      </c>
      <c r="AR153" s="59"/>
      <c r="AS153" s="58" t="str">
        <f t="shared" si="86"/>
        <v/>
      </c>
      <c r="AT153" s="59"/>
      <c r="AU153" s="58" t="str">
        <f t="shared" si="87"/>
        <v/>
      </c>
      <c r="AV153" s="59"/>
      <c r="AW153" s="58" t="str">
        <f t="shared" si="88"/>
        <v/>
      </c>
      <c r="AX153" s="59"/>
      <c r="AY153" s="58" t="str">
        <f t="shared" si="89"/>
        <v/>
      </c>
      <c r="AZ153" s="59"/>
      <c r="BA153" s="58" t="str">
        <f t="shared" si="90"/>
        <v/>
      </c>
      <c r="BB153" s="59"/>
      <c r="BC153" s="58">
        <f t="shared" si="91"/>
        <v>1524</v>
      </c>
      <c r="BD153" s="59"/>
      <c r="BE153" s="58" t="str">
        <f t="shared" si="92"/>
        <v/>
      </c>
      <c r="BF153" s="59"/>
      <c r="BG153" s="58" t="str">
        <f t="shared" si="93"/>
        <v/>
      </c>
      <c r="BH153" s="59"/>
      <c r="BI153" s="58" t="str">
        <f t="shared" si="94"/>
        <v/>
      </c>
      <c r="BJ153" s="59"/>
      <c r="BK153" s="58" t="str">
        <f t="shared" si="95"/>
        <v/>
      </c>
      <c r="BL153" s="59"/>
      <c r="BM153" s="58" t="str">
        <f t="shared" si="96"/>
        <v/>
      </c>
      <c r="BN153" s="59"/>
      <c r="BO153" s="58" t="str">
        <f t="shared" si="97"/>
        <v/>
      </c>
      <c r="BP153" s="59"/>
      <c r="BQ153" s="58" t="str">
        <f t="shared" si="98"/>
        <v/>
      </c>
      <c r="BR153" s="59"/>
      <c r="BS153" s="58" t="str">
        <f t="shared" si="99"/>
        <v/>
      </c>
      <c r="BT153" s="59"/>
      <c r="BU153" s="58" t="str">
        <f t="shared" si="100"/>
        <v/>
      </c>
      <c r="BV153" s="59"/>
      <c r="BW153" s="58" t="str">
        <f t="shared" si="101"/>
        <v/>
      </c>
      <c r="BX153" s="59"/>
      <c r="BY153" s="58" t="str">
        <f t="shared" si="102"/>
        <v/>
      </c>
      <c r="BZ153" s="59"/>
    </row>
    <row r="154" spans="1:78" ht="14.5" hidden="1">
      <c r="A154" s="51" t="s">
        <v>58</v>
      </c>
      <c r="B154" s="52">
        <v>362</v>
      </c>
      <c r="C154" s="52" t="s">
        <v>188</v>
      </c>
      <c r="D154" s="41">
        <f t="shared" si="72"/>
        <v>4</v>
      </c>
      <c r="E154" s="170" t="s">
        <v>631</v>
      </c>
      <c r="F154" s="41" t="s">
        <v>631</v>
      </c>
      <c r="G154" s="52" t="s">
        <v>157</v>
      </c>
      <c r="H154" s="52" t="s">
        <v>243</v>
      </c>
      <c r="I154" s="52" t="s">
        <v>162</v>
      </c>
      <c r="J154" s="52" t="s">
        <v>428</v>
      </c>
      <c r="K154" s="53">
        <v>45680</v>
      </c>
      <c r="L154" s="108">
        <v>3708</v>
      </c>
      <c r="M154" s="101">
        <v>3708</v>
      </c>
      <c r="N154" s="101">
        <v>3708</v>
      </c>
      <c r="O154" s="107">
        <f t="shared" si="73"/>
        <v>0</v>
      </c>
      <c r="P154" s="54">
        <f t="shared" si="74"/>
        <v>0</v>
      </c>
      <c r="Q154" s="101" t="s">
        <v>429</v>
      </c>
      <c r="R154" s="166">
        <v>45682</v>
      </c>
      <c r="S154" s="101"/>
      <c r="T154" s="102">
        <f t="shared" si="75"/>
        <v>0.61799999999999999</v>
      </c>
      <c r="U154" s="102">
        <v>6</v>
      </c>
      <c r="V154" s="99">
        <v>1000</v>
      </c>
      <c r="W154" s="55">
        <f t="shared" si="71"/>
        <v>45660</v>
      </c>
      <c r="X154" s="55"/>
      <c r="Y154" s="56">
        <f t="shared" ca="1" si="76"/>
        <v>-180</v>
      </c>
      <c r="Z154" s="55">
        <f t="shared" si="77"/>
        <v>45676</v>
      </c>
      <c r="AA154" s="55"/>
      <c r="AB154" s="56">
        <f t="shared" ca="1" si="78"/>
        <v>-164</v>
      </c>
      <c r="AC154" s="55"/>
      <c r="AD154" s="57"/>
      <c r="AE154" s="58" t="str">
        <f t="shared" si="79"/>
        <v>-</v>
      </c>
      <c r="AF154" s="59"/>
      <c r="AG154" s="58" t="str">
        <f t="shared" si="80"/>
        <v/>
      </c>
      <c r="AH154" s="59"/>
      <c r="AI154" s="58" t="str">
        <f t="shared" si="81"/>
        <v/>
      </c>
      <c r="AJ154" s="59"/>
      <c r="AK154" s="58" t="str">
        <f t="shared" si="82"/>
        <v/>
      </c>
      <c r="AL154" s="59"/>
      <c r="AM154" s="58" t="str">
        <f t="shared" si="83"/>
        <v/>
      </c>
      <c r="AN154" s="59"/>
      <c r="AO154" s="58" t="str">
        <f t="shared" si="84"/>
        <v/>
      </c>
      <c r="AP154" s="59"/>
      <c r="AQ154" s="58" t="str">
        <f t="shared" si="85"/>
        <v/>
      </c>
      <c r="AR154" s="59"/>
      <c r="AS154" s="58" t="str">
        <f t="shared" si="86"/>
        <v/>
      </c>
      <c r="AT154" s="59"/>
      <c r="AU154" s="58" t="str">
        <f t="shared" si="87"/>
        <v/>
      </c>
      <c r="AV154" s="59"/>
      <c r="AW154" s="58" t="str">
        <f t="shared" si="88"/>
        <v/>
      </c>
      <c r="AX154" s="59"/>
      <c r="AY154" s="58" t="str">
        <f t="shared" si="89"/>
        <v/>
      </c>
      <c r="AZ154" s="59"/>
      <c r="BA154" s="58" t="str">
        <f t="shared" si="90"/>
        <v/>
      </c>
      <c r="BB154" s="59"/>
      <c r="BC154" s="58">
        <f t="shared" si="91"/>
        <v>3708</v>
      </c>
      <c r="BD154" s="59"/>
      <c r="BE154" s="58" t="str">
        <f t="shared" si="92"/>
        <v/>
      </c>
      <c r="BF154" s="59"/>
      <c r="BG154" s="58" t="str">
        <f t="shared" si="93"/>
        <v/>
      </c>
      <c r="BH154" s="59"/>
      <c r="BI154" s="58" t="str">
        <f t="shared" si="94"/>
        <v/>
      </c>
      <c r="BJ154" s="59"/>
      <c r="BK154" s="58" t="str">
        <f t="shared" si="95"/>
        <v/>
      </c>
      <c r="BL154" s="59"/>
      <c r="BM154" s="58" t="str">
        <f t="shared" si="96"/>
        <v/>
      </c>
      <c r="BN154" s="59"/>
      <c r="BO154" s="58" t="str">
        <f t="shared" si="97"/>
        <v/>
      </c>
      <c r="BP154" s="59"/>
      <c r="BQ154" s="58" t="str">
        <f t="shared" si="98"/>
        <v/>
      </c>
      <c r="BR154" s="59"/>
      <c r="BS154" s="58" t="str">
        <f t="shared" si="99"/>
        <v/>
      </c>
      <c r="BT154" s="59"/>
      <c r="BU154" s="58" t="str">
        <f t="shared" si="100"/>
        <v/>
      </c>
      <c r="BV154" s="59"/>
      <c r="BW154" s="58" t="str">
        <f t="shared" si="101"/>
        <v/>
      </c>
      <c r="BX154" s="59"/>
      <c r="BY154" s="58" t="str">
        <f t="shared" si="102"/>
        <v/>
      </c>
      <c r="BZ154" s="59"/>
    </row>
    <row r="155" spans="1:78" ht="14.5" hidden="1">
      <c r="A155" s="51" t="s">
        <v>58</v>
      </c>
      <c r="B155" s="52">
        <v>362</v>
      </c>
      <c r="C155" s="52" t="s">
        <v>188</v>
      </c>
      <c r="D155" s="41">
        <f t="shared" si="72"/>
        <v>4</v>
      </c>
      <c r="E155" s="170" t="s">
        <v>631</v>
      </c>
      <c r="F155" s="41" t="s">
        <v>631</v>
      </c>
      <c r="G155" s="52" t="s">
        <v>245</v>
      </c>
      <c r="H155" s="52" t="s">
        <v>242</v>
      </c>
      <c r="I155" s="52" t="s">
        <v>244</v>
      </c>
      <c r="J155" s="52" t="s">
        <v>432</v>
      </c>
      <c r="K155" s="53">
        <v>45680</v>
      </c>
      <c r="L155" s="108">
        <v>380</v>
      </c>
      <c r="M155" s="101">
        <v>380</v>
      </c>
      <c r="N155" s="101">
        <v>380</v>
      </c>
      <c r="O155" s="107">
        <f t="shared" si="73"/>
        <v>0</v>
      </c>
      <c r="P155" s="54">
        <f t="shared" si="74"/>
        <v>0</v>
      </c>
      <c r="Q155" s="101" t="s">
        <v>431</v>
      </c>
      <c r="R155" s="166">
        <v>45682</v>
      </c>
      <c r="S155" s="101"/>
      <c r="T155" s="102">
        <f t="shared" si="75"/>
        <v>0.52777777777777779</v>
      </c>
      <c r="U155" s="102">
        <v>6</v>
      </c>
      <c r="V155" s="99">
        <v>120</v>
      </c>
      <c r="W155" s="55">
        <f t="shared" si="71"/>
        <v>45660</v>
      </c>
      <c r="X155" s="55"/>
      <c r="Y155" s="56">
        <f t="shared" ca="1" si="76"/>
        <v>-180</v>
      </c>
      <c r="Z155" s="55">
        <f t="shared" si="77"/>
        <v>45676</v>
      </c>
      <c r="AA155" s="55"/>
      <c r="AB155" s="56">
        <f t="shared" ca="1" si="78"/>
        <v>-164</v>
      </c>
      <c r="AC155" s="55"/>
      <c r="AD155" s="57"/>
      <c r="AE155" s="58" t="str">
        <f t="shared" si="79"/>
        <v>-</v>
      </c>
      <c r="AF155" s="59"/>
      <c r="AG155" s="58" t="str">
        <f t="shared" si="80"/>
        <v/>
      </c>
      <c r="AH155" s="59"/>
      <c r="AI155" s="58" t="str">
        <f t="shared" si="81"/>
        <v/>
      </c>
      <c r="AJ155" s="59"/>
      <c r="AK155" s="58" t="str">
        <f t="shared" si="82"/>
        <v/>
      </c>
      <c r="AL155" s="59"/>
      <c r="AM155" s="58" t="str">
        <f t="shared" si="83"/>
        <v/>
      </c>
      <c r="AN155" s="59"/>
      <c r="AO155" s="58" t="str">
        <f t="shared" si="84"/>
        <v/>
      </c>
      <c r="AP155" s="59"/>
      <c r="AQ155" s="58" t="str">
        <f t="shared" si="85"/>
        <v/>
      </c>
      <c r="AR155" s="59"/>
      <c r="AS155" s="58" t="str">
        <f t="shared" si="86"/>
        <v/>
      </c>
      <c r="AT155" s="59"/>
      <c r="AU155" s="58" t="str">
        <f t="shared" si="87"/>
        <v/>
      </c>
      <c r="AV155" s="59"/>
      <c r="AW155" s="58" t="str">
        <f t="shared" si="88"/>
        <v/>
      </c>
      <c r="AX155" s="59"/>
      <c r="AY155" s="58" t="str">
        <f t="shared" si="89"/>
        <v/>
      </c>
      <c r="AZ155" s="59"/>
      <c r="BA155" s="58" t="str">
        <f t="shared" si="90"/>
        <v/>
      </c>
      <c r="BB155" s="59"/>
      <c r="BC155" s="58">
        <f t="shared" si="91"/>
        <v>380</v>
      </c>
      <c r="BD155" s="59"/>
      <c r="BE155" s="58" t="str">
        <f t="shared" si="92"/>
        <v/>
      </c>
      <c r="BF155" s="59"/>
      <c r="BG155" s="58" t="str">
        <f t="shared" si="93"/>
        <v/>
      </c>
      <c r="BH155" s="59"/>
      <c r="BI155" s="58" t="str">
        <f t="shared" si="94"/>
        <v/>
      </c>
      <c r="BJ155" s="59"/>
      <c r="BK155" s="58" t="str">
        <f t="shared" si="95"/>
        <v/>
      </c>
      <c r="BL155" s="59"/>
      <c r="BM155" s="58" t="str">
        <f t="shared" si="96"/>
        <v/>
      </c>
      <c r="BN155" s="59"/>
      <c r="BO155" s="58" t="str">
        <f t="shared" si="97"/>
        <v/>
      </c>
      <c r="BP155" s="59"/>
      <c r="BQ155" s="58" t="str">
        <f t="shared" si="98"/>
        <v/>
      </c>
      <c r="BR155" s="59"/>
      <c r="BS155" s="58" t="str">
        <f t="shared" si="99"/>
        <v/>
      </c>
      <c r="BT155" s="59"/>
      <c r="BU155" s="58" t="str">
        <f t="shared" si="100"/>
        <v/>
      </c>
      <c r="BV155" s="59"/>
      <c r="BW155" s="58" t="str">
        <f t="shared" si="101"/>
        <v/>
      </c>
      <c r="BX155" s="59"/>
      <c r="BY155" s="58" t="str">
        <f t="shared" si="102"/>
        <v/>
      </c>
      <c r="BZ155" s="59"/>
    </row>
    <row r="156" spans="1:78" ht="14.5" hidden="1">
      <c r="A156" s="51" t="s">
        <v>58</v>
      </c>
      <c r="B156" s="52">
        <v>362</v>
      </c>
      <c r="C156" s="52" t="s">
        <v>188</v>
      </c>
      <c r="D156" s="41">
        <f t="shared" si="72"/>
        <v>4</v>
      </c>
      <c r="E156" s="170" t="s">
        <v>631</v>
      </c>
      <c r="F156" s="41" t="s">
        <v>631</v>
      </c>
      <c r="G156" s="52" t="s">
        <v>189</v>
      </c>
      <c r="H156" s="52" t="s">
        <v>242</v>
      </c>
      <c r="I156" s="52" t="s">
        <v>162</v>
      </c>
      <c r="J156" s="52" t="s">
        <v>432</v>
      </c>
      <c r="K156" s="53">
        <v>45680</v>
      </c>
      <c r="L156" s="108">
        <v>668</v>
      </c>
      <c r="M156" s="101">
        <v>668</v>
      </c>
      <c r="N156" s="101"/>
      <c r="O156" s="107">
        <f t="shared" si="73"/>
        <v>668</v>
      </c>
      <c r="P156" s="54">
        <f t="shared" si="74"/>
        <v>0</v>
      </c>
      <c r="Q156" s="101" t="s">
        <v>178</v>
      </c>
      <c r="R156" s="166">
        <v>45682</v>
      </c>
      <c r="S156" s="101" t="s">
        <v>642</v>
      </c>
      <c r="T156" s="102">
        <f t="shared" si="75"/>
        <v>0.92777777777777781</v>
      </c>
      <c r="U156" s="102">
        <v>6</v>
      </c>
      <c r="V156" s="99">
        <v>120</v>
      </c>
      <c r="W156" s="55">
        <f t="shared" si="71"/>
        <v>45660</v>
      </c>
      <c r="X156" s="55"/>
      <c r="Y156" s="56">
        <f t="shared" ca="1" si="76"/>
        <v>-180</v>
      </c>
      <c r="Z156" s="55">
        <f t="shared" si="77"/>
        <v>45676</v>
      </c>
      <c r="AA156" s="55"/>
      <c r="AB156" s="56">
        <f t="shared" ca="1" si="78"/>
        <v>-164</v>
      </c>
      <c r="AC156" s="55"/>
      <c r="AD156" s="57"/>
      <c r="AE156" s="58" t="str">
        <f t="shared" si="79"/>
        <v>-</v>
      </c>
      <c r="AF156" s="59"/>
      <c r="AG156" s="58" t="str">
        <f t="shared" si="80"/>
        <v/>
      </c>
      <c r="AH156" s="59"/>
      <c r="AI156" s="58" t="str">
        <f t="shared" si="81"/>
        <v/>
      </c>
      <c r="AJ156" s="59"/>
      <c r="AK156" s="58" t="str">
        <f t="shared" si="82"/>
        <v/>
      </c>
      <c r="AL156" s="59"/>
      <c r="AM156" s="58" t="str">
        <f t="shared" si="83"/>
        <v/>
      </c>
      <c r="AN156" s="59"/>
      <c r="AO156" s="58" t="str">
        <f t="shared" si="84"/>
        <v/>
      </c>
      <c r="AP156" s="59"/>
      <c r="AQ156" s="58" t="str">
        <f t="shared" si="85"/>
        <v/>
      </c>
      <c r="AR156" s="59"/>
      <c r="AS156" s="58" t="str">
        <f t="shared" si="86"/>
        <v/>
      </c>
      <c r="AT156" s="59"/>
      <c r="AU156" s="58" t="str">
        <f t="shared" si="87"/>
        <v/>
      </c>
      <c r="AV156" s="59"/>
      <c r="AW156" s="58" t="str">
        <f t="shared" si="88"/>
        <v/>
      </c>
      <c r="AX156" s="59"/>
      <c r="AY156" s="58" t="str">
        <f t="shared" si="89"/>
        <v/>
      </c>
      <c r="AZ156" s="59"/>
      <c r="BA156" s="58" t="str">
        <f t="shared" si="90"/>
        <v/>
      </c>
      <c r="BB156" s="59"/>
      <c r="BC156" s="58">
        <f t="shared" si="91"/>
        <v>668</v>
      </c>
      <c r="BD156" s="59"/>
      <c r="BE156" s="58" t="str">
        <f t="shared" si="92"/>
        <v/>
      </c>
      <c r="BF156" s="59"/>
      <c r="BG156" s="58" t="str">
        <f t="shared" si="93"/>
        <v/>
      </c>
      <c r="BH156" s="59"/>
      <c r="BI156" s="58" t="str">
        <f t="shared" si="94"/>
        <v/>
      </c>
      <c r="BJ156" s="59"/>
      <c r="BK156" s="58" t="str">
        <f t="shared" si="95"/>
        <v/>
      </c>
      <c r="BL156" s="59"/>
      <c r="BM156" s="58" t="str">
        <f t="shared" si="96"/>
        <v/>
      </c>
      <c r="BN156" s="59"/>
      <c r="BO156" s="58" t="str">
        <f t="shared" si="97"/>
        <v/>
      </c>
      <c r="BP156" s="59"/>
      <c r="BQ156" s="58" t="str">
        <f t="shared" si="98"/>
        <v/>
      </c>
      <c r="BR156" s="59"/>
      <c r="BS156" s="58" t="str">
        <f t="shared" si="99"/>
        <v/>
      </c>
      <c r="BT156" s="59"/>
      <c r="BU156" s="58" t="str">
        <f t="shared" si="100"/>
        <v/>
      </c>
      <c r="BV156" s="59"/>
      <c r="BW156" s="58" t="str">
        <f t="shared" si="101"/>
        <v/>
      </c>
      <c r="BX156" s="59"/>
      <c r="BY156" s="58" t="str">
        <f t="shared" si="102"/>
        <v/>
      </c>
      <c r="BZ156" s="59"/>
    </row>
    <row r="157" spans="1:78" ht="14.5" hidden="1">
      <c r="A157" s="51" t="s">
        <v>58</v>
      </c>
      <c r="B157" s="52">
        <v>362</v>
      </c>
      <c r="C157" s="52" t="s">
        <v>188</v>
      </c>
      <c r="D157" s="41">
        <f t="shared" si="72"/>
        <v>4</v>
      </c>
      <c r="E157" s="170" t="s">
        <v>631</v>
      </c>
      <c r="F157" s="41" t="s">
        <v>631</v>
      </c>
      <c r="G157" s="52" t="s">
        <v>158</v>
      </c>
      <c r="H157" s="52" t="s">
        <v>242</v>
      </c>
      <c r="I157" s="52" t="s">
        <v>255</v>
      </c>
      <c r="J157" s="52" t="s">
        <v>432</v>
      </c>
      <c r="K157" s="53">
        <v>45680</v>
      </c>
      <c r="L157" s="108">
        <v>1336</v>
      </c>
      <c r="M157" s="101">
        <v>1336</v>
      </c>
      <c r="N157" s="101">
        <v>1336</v>
      </c>
      <c r="O157" s="107">
        <f t="shared" si="73"/>
        <v>0</v>
      </c>
      <c r="P157" s="54">
        <f t="shared" si="74"/>
        <v>0</v>
      </c>
      <c r="Q157" s="101" t="s">
        <v>437</v>
      </c>
      <c r="R157" s="166">
        <v>45682</v>
      </c>
      <c r="S157" s="101"/>
      <c r="T157" s="102">
        <f t="shared" si="75"/>
        <v>1.8555555555555556</v>
      </c>
      <c r="U157" s="102">
        <v>6</v>
      </c>
      <c r="V157" s="99">
        <v>120</v>
      </c>
      <c r="W157" s="55">
        <f t="shared" si="71"/>
        <v>45660</v>
      </c>
      <c r="X157" s="55"/>
      <c r="Y157" s="56">
        <f t="shared" ca="1" si="76"/>
        <v>-180</v>
      </c>
      <c r="Z157" s="55">
        <f t="shared" si="77"/>
        <v>45676</v>
      </c>
      <c r="AA157" s="55"/>
      <c r="AB157" s="56">
        <f t="shared" ca="1" si="78"/>
        <v>-164</v>
      </c>
      <c r="AC157" s="55"/>
      <c r="AD157" s="57"/>
      <c r="AE157" s="58" t="str">
        <f t="shared" si="79"/>
        <v>-</v>
      </c>
      <c r="AF157" s="59"/>
      <c r="AG157" s="58" t="str">
        <f t="shared" si="80"/>
        <v/>
      </c>
      <c r="AH157" s="59"/>
      <c r="AI157" s="58" t="str">
        <f t="shared" si="81"/>
        <v/>
      </c>
      <c r="AJ157" s="59"/>
      <c r="AK157" s="58" t="str">
        <f t="shared" si="82"/>
        <v/>
      </c>
      <c r="AL157" s="59"/>
      <c r="AM157" s="58" t="str">
        <f t="shared" si="83"/>
        <v/>
      </c>
      <c r="AN157" s="59"/>
      <c r="AO157" s="58" t="str">
        <f t="shared" si="84"/>
        <v/>
      </c>
      <c r="AP157" s="59"/>
      <c r="AQ157" s="58" t="str">
        <f t="shared" si="85"/>
        <v/>
      </c>
      <c r="AR157" s="59"/>
      <c r="AS157" s="58" t="str">
        <f t="shared" si="86"/>
        <v/>
      </c>
      <c r="AT157" s="59"/>
      <c r="AU157" s="58" t="str">
        <f t="shared" si="87"/>
        <v/>
      </c>
      <c r="AV157" s="59"/>
      <c r="AW157" s="58" t="str">
        <f t="shared" si="88"/>
        <v/>
      </c>
      <c r="AX157" s="59"/>
      <c r="AY157" s="58" t="str">
        <f t="shared" si="89"/>
        <v/>
      </c>
      <c r="AZ157" s="59"/>
      <c r="BA157" s="58" t="str">
        <f t="shared" si="90"/>
        <v/>
      </c>
      <c r="BB157" s="59"/>
      <c r="BC157" s="58">
        <f t="shared" si="91"/>
        <v>1336</v>
      </c>
      <c r="BD157" s="59"/>
      <c r="BE157" s="58" t="str">
        <f t="shared" si="92"/>
        <v/>
      </c>
      <c r="BF157" s="59"/>
      <c r="BG157" s="58" t="str">
        <f t="shared" si="93"/>
        <v/>
      </c>
      <c r="BH157" s="59"/>
      <c r="BI157" s="58" t="str">
        <f t="shared" si="94"/>
        <v/>
      </c>
      <c r="BJ157" s="59"/>
      <c r="BK157" s="58" t="str">
        <f t="shared" si="95"/>
        <v/>
      </c>
      <c r="BL157" s="59"/>
      <c r="BM157" s="58" t="str">
        <f t="shared" si="96"/>
        <v/>
      </c>
      <c r="BN157" s="59"/>
      <c r="BO157" s="58" t="str">
        <f t="shared" si="97"/>
        <v/>
      </c>
      <c r="BP157" s="59"/>
      <c r="BQ157" s="58" t="str">
        <f t="shared" si="98"/>
        <v/>
      </c>
      <c r="BR157" s="59"/>
      <c r="BS157" s="58" t="str">
        <f t="shared" si="99"/>
        <v/>
      </c>
      <c r="BT157" s="59"/>
      <c r="BU157" s="58" t="str">
        <f t="shared" si="100"/>
        <v/>
      </c>
      <c r="BV157" s="59"/>
      <c r="BW157" s="58" t="str">
        <f t="shared" si="101"/>
        <v/>
      </c>
      <c r="BX157" s="59"/>
      <c r="BY157" s="58" t="str">
        <f t="shared" si="102"/>
        <v/>
      </c>
      <c r="BZ157" s="59"/>
    </row>
    <row r="158" spans="1:78" ht="14.5" hidden="1">
      <c r="A158" s="51" t="s">
        <v>58</v>
      </c>
      <c r="B158" s="52">
        <v>363</v>
      </c>
      <c r="C158" s="52" t="s">
        <v>188</v>
      </c>
      <c r="D158" s="41">
        <f t="shared" si="72"/>
        <v>4</v>
      </c>
      <c r="E158" s="170">
        <v>45667</v>
      </c>
      <c r="F158" s="41" t="s">
        <v>631</v>
      </c>
      <c r="G158" s="52" t="s">
        <v>193</v>
      </c>
      <c r="H158" s="52" t="s">
        <v>246</v>
      </c>
      <c r="I158" s="52" t="s">
        <v>162</v>
      </c>
      <c r="J158" s="52" t="s">
        <v>536</v>
      </c>
      <c r="K158" s="53">
        <v>45677</v>
      </c>
      <c r="L158" s="108">
        <f>4470</f>
        <v>4470</v>
      </c>
      <c r="M158" s="101">
        <v>4470</v>
      </c>
      <c r="N158" s="101">
        <v>4470</v>
      </c>
      <c r="O158" s="107">
        <f t="shared" si="73"/>
        <v>0</v>
      </c>
      <c r="P158" s="54">
        <f t="shared" si="74"/>
        <v>0</v>
      </c>
      <c r="Q158" s="101" t="s">
        <v>657</v>
      </c>
      <c r="R158" s="166">
        <v>45677</v>
      </c>
      <c r="S158" s="101"/>
      <c r="T158" s="102">
        <f t="shared" si="75"/>
        <v>12.771428571428572</v>
      </c>
      <c r="U158" s="102">
        <v>1</v>
      </c>
      <c r="V158" s="99">
        <v>350</v>
      </c>
      <c r="W158" s="55">
        <f t="shared" si="71"/>
        <v>45657</v>
      </c>
      <c r="X158" s="55"/>
      <c r="Y158" s="56">
        <f t="shared" ca="1" si="76"/>
        <v>-183</v>
      </c>
      <c r="Z158" s="55">
        <f t="shared" si="77"/>
        <v>45673</v>
      </c>
      <c r="AA158" s="55"/>
      <c r="AB158" s="56">
        <f t="shared" ca="1" si="78"/>
        <v>-167</v>
      </c>
      <c r="AC158" s="55"/>
      <c r="AD158" s="57"/>
      <c r="AE158" s="58" t="str">
        <f t="shared" si="79"/>
        <v>-</v>
      </c>
      <c r="AF158" s="59"/>
      <c r="AG158" s="58" t="str">
        <f t="shared" si="80"/>
        <v/>
      </c>
      <c r="AH158" s="59"/>
      <c r="AI158" s="58" t="str">
        <f t="shared" si="81"/>
        <v/>
      </c>
      <c r="AJ158" s="59"/>
      <c r="AK158" s="58" t="str">
        <f t="shared" si="82"/>
        <v/>
      </c>
      <c r="AL158" s="59"/>
      <c r="AM158" s="58" t="str">
        <f t="shared" si="83"/>
        <v/>
      </c>
      <c r="AN158" s="59"/>
      <c r="AO158" s="58" t="str">
        <f t="shared" si="84"/>
        <v/>
      </c>
      <c r="AP158" s="59"/>
      <c r="AQ158" s="58" t="str">
        <f t="shared" si="85"/>
        <v/>
      </c>
      <c r="AR158" s="59"/>
      <c r="AS158" s="58" t="str">
        <f t="shared" si="86"/>
        <v/>
      </c>
      <c r="AT158" s="59"/>
      <c r="AU158" s="58" t="str">
        <f t="shared" si="87"/>
        <v/>
      </c>
      <c r="AV158" s="59"/>
      <c r="AW158" s="58" t="str">
        <f t="shared" si="88"/>
        <v/>
      </c>
      <c r="AX158" s="59"/>
      <c r="AY158" s="58" t="str">
        <f t="shared" si="89"/>
        <v/>
      </c>
      <c r="AZ158" s="59"/>
      <c r="BA158" s="58" t="str">
        <f t="shared" si="90"/>
        <v/>
      </c>
      <c r="BB158" s="59"/>
      <c r="BC158" s="58" t="str">
        <f t="shared" si="91"/>
        <v/>
      </c>
      <c r="BD158" s="59"/>
      <c r="BE158" s="58" t="str">
        <f t="shared" si="92"/>
        <v/>
      </c>
      <c r="BF158" s="59"/>
      <c r="BG158" s="58" t="str">
        <f t="shared" si="93"/>
        <v/>
      </c>
      <c r="BH158" s="59"/>
      <c r="BI158" s="58" t="str">
        <f t="shared" si="94"/>
        <v/>
      </c>
      <c r="BJ158" s="59"/>
      <c r="BK158" s="58" t="str">
        <f t="shared" si="95"/>
        <v/>
      </c>
      <c r="BL158" s="59"/>
      <c r="BM158" s="58" t="str">
        <f t="shared" si="96"/>
        <v/>
      </c>
      <c r="BN158" s="59"/>
      <c r="BO158" s="58" t="str">
        <f t="shared" si="97"/>
        <v/>
      </c>
      <c r="BP158" s="59"/>
      <c r="BQ158" s="58" t="str">
        <f t="shared" si="98"/>
        <v/>
      </c>
      <c r="BR158" s="59"/>
      <c r="BS158" s="58" t="str">
        <f t="shared" si="99"/>
        <v/>
      </c>
      <c r="BT158" s="59"/>
      <c r="BU158" s="58" t="str">
        <f t="shared" si="100"/>
        <v/>
      </c>
      <c r="BV158" s="59"/>
      <c r="BW158" s="58" t="str">
        <f t="shared" si="101"/>
        <v/>
      </c>
      <c r="BX158" s="59"/>
      <c r="BY158" s="58" t="str">
        <f t="shared" si="102"/>
        <v/>
      </c>
      <c r="BZ158" s="59"/>
    </row>
    <row r="159" spans="1:78" ht="14.5" hidden="1">
      <c r="A159" s="51" t="s">
        <v>58</v>
      </c>
      <c r="B159" s="52">
        <v>363</v>
      </c>
      <c r="C159" s="52" t="s">
        <v>188</v>
      </c>
      <c r="D159" s="41">
        <f t="shared" si="72"/>
        <v>4</v>
      </c>
      <c r="E159" s="170" t="s">
        <v>631</v>
      </c>
      <c r="F159" s="41" t="s">
        <v>631</v>
      </c>
      <c r="G159" s="52" t="s">
        <v>157</v>
      </c>
      <c r="H159" s="52" t="s">
        <v>243</v>
      </c>
      <c r="I159" s="52" t="s">
        <v>155</v>
      </c>
      <c r="J159" s="52" t="s">
        <v>537</v>
      </c>
      <c r="K159" s="53">
        <v>45677</v>
      </c>
      <c r="L159" s="108">
        <v>3708</v>
      </c>
      <c r="M159" s="101">
        <v>3708</v>
      </c>
      <c r="N159" s="101">
        <v>3708</v>
      </c>
      <c r="O159" s="107">
        <f t="shared" si="73"/>
        <v>0</v>
      </c>
      <c r="P159" s="54">
        <f t="shared" si="74"/>
        <v>0</v>
      </c>
      <c r="Q159" s="101" t="s">
        <v>429</v>
      </c>
      <c r="R159" s="166">
        <v>45677</v>
      </c>
      <c r="S159" s="101"/>
      <c r="T159" s="102">
        <f t="shared" si="75"/>
        <v>0.61799999999999999</v>
      </c>
      <c r="U159" s="102">
        <v>6</v>
      </c>
      <c r="V159" s="99">
        <v>1000</v>
      </c>
      <c r="W159" s="55">
        <f t="shared" si="71"/>
        <v>45657</v>
      </c>
      <c r="X159" s="55"/>
      <c r="Y159" s="56">
        <f t="shared" ca="1" si="76"/>
        <v>-183</v>
      </c>
      <c r="Z159" s="55">
        <f t="shared" si="77"/>
        <v>45673</v>
      </c>
      <c r="AA159" s="55"/>
      <c r="AB159" s="56">
        <f t="shared" ca="1" si="78"/>
        <v>-167</v>
      </c>
      <c r="AC159" s="55"/>
      <c r="AD159" s="57"/>
      <c r="AE159" s="58" t="str">
        <f t="shared" si="79"/>
        <v>-</v>
      </c>
      <c r="AF159" s="59"/>
      <c r="AG159" s="58" t="str">
        <f t="shared" si="80"/>
        <v/>
      </c>
      <c r="AH159" s="59"/>
      <c r="AI159" s="58" t="str">
        <f t="shared" si="81"/>
        <v/>
      </c>
      <c r="AJ159" s="59"/>
      <c r="AK159" s="58" t="str">
        <f t="shared" si="82"/>
        <v/>
      </c>
      <c r="AL159" s="59"/>
      <c r="AM159" s="58" t="str">
        <f t="shared" si="83"/>
        <v/>
      </c>
      <c r="AN159" s="59"/>
      <c r="AO159" s="58" t="str">
        <f t="shared" si="84"/>
        <v/>
      </c>
      <c r="AP159" s="59"/>
      <c r="AQ159" s="58" t="str">
        <f t="shared" si="85"/>
        <v/>
      </c>
      <c r="AR159" s="59"/>
      <c r="AS159" s="58" t="str">
        <f t="shared" si="86"/>
        <v/>
      </c>
      <c r="AT159" s="59"/>
      <c r="AU159" s="58" t="str">
        <f t="shared" si="87"/>
        <v/>
      </c>
      <c r="AV159" s="59"/>
      <c r="AW159" s="58" t="str">
        <f t="shared" si="88"/>
        <v/>
      </c>
      <c r="AX159" s="59"/>
      <c r="AY159" s="58" t="str">
        <f t="shared" si="89"/>
        <v/>
      </c>
      <c r="AZ159" s="59"/>
      <c r="BA159" s="58" t="str">
        <f t="shared" si="90"/>
        <v/>
      </c>
      <c r="BB159" s="59"/>
      <c r="BC159" s="58" t="str">
        <f t="shared" si="91"/>
        <v/>
      </c>
      <c r="BD159" s="59"/>
      <c r="BE159" s="58" t="str">
        <f t="shared" si="92"/>
        <v/>
      </c>
      <c r="BF159" s="59"/>
      <c r="BG159" s="58" t="str">
        <f t="shared" si="93"/>
        <v/>
      </c>
      <c r="BH159" s="59"/>
      <c r="BI159" s="58" t="str">
        <f t="shared" si="94"/>
        <v/>
      </c>
      <c r="BJ159" s="59"/>
      <c r="BK159" s="58" t="str">
        <f t="shared" si="95"/>
        <v/>
      </c>
      <c r="BL159" s="59"/>
      <c r="BM159" s="58" t="str">
        <f t="shared" si="96"/>
        <v/>
      </c>
      <c r="BN159" s="59"/>
      <c r="BO159" s="58" t="str">
        <f t="shared" si="97"/>
        <v/>
      </c>
      <c r="BP159" s="59"/>
      <c r="BQ159" s="58" t="str">
        <f t="shared" si="98"/>
        <v/>
      </c>
      <c r="BR159" s="59"/>
      <c r="BS159" s="58" t="str">
        <f t="shared" si="99"/>
        <v/>
      </c>
      <c r="BT159" s="59"/>
      <c r="BU159" s="58" t="str">
        <f t="shared" si="100"/>
        <v/>
      </c>
      <c r="BV159" s="59"/>
      <c r="BW159" s="58" t="str">
        <f t="shared" si="101"/>
        <v/>
      </c>
      <c r="BX159" s="59"/>
      <c r="BY159" s="58" t="str">
        <f t="shared" si="102"/>
        <v/>
      </c>
      <c r="BZ159" s="59"/>
    </row>
    <row r="160" spans="1:78" ht="14.5" hidden="1">
      <c r="A160" s="51" t="s">
        <v>58</v>
      </c>
      <c r="B160" s="52">
        <v>363</v>
      </c>
      <c r="C160" s="52" t="s">
        <v>188</v>
      </c>
      <c r="D160" s="41">
        <f t="shared" si="72"/>
        <v>4</v>
      </c>
      <c r="E160" s="170" t="s">
        <v>631</v>
      </c>
      <c r="F160" s="41" t="s">
        <v>631</v>
      </c>
      <c r="G160" s="52" t="s">
        <v>390</v>
      </c>
      <c r="H160" s="52" t="s">
        <v>242</v>
      </c>
      <c r="I160" s="52" t="s">
        <v>162</v>
      </c>
      <c r="J160" s="52" t="s">
        <v>497</v>
      </c>
      <c r="K160" s="53">
        <v>45677</v>
      </c>
      <c r="L160" s="108">
        <v>240</v>
      </c>
      <c r="M160" s="101">
        <v>240</v>
      </c>
      <c r="N160" s="101"/>
      <c r="O160" s="107">
        <f t="shared" si="73"/>
        <v>240</v>
      </c>
      <c r="P160" s="54">
        <f t="shared" si="74"/>
        <v>0</v>
      </c>
      <c r="Q160" s="101" t="s">
        <v>431</v>
      </c>
      <c r="R160" s="166">
        <v>45678</v>
      </c>
      <c r="S160" s="101"/>
      <c r="T160" s="102">
        <f t="shared" si="75"/>
        <v>0.33333333333333331</v>
      </c>
      <c r="U160" s="102">
        <v>6</v>
      </c>
      <c r="V160" s="99">
        <v>120</v>
      </c>
      <c r="W160" s="55">
        <f t="shared" si="71"/>
        <v>45657</v>
      </c>
      <c r="X160" s="55"/>
      <c r="Y160" s="56">
        <f t="shared" ca="1" si="76"/>
        <v>-183</v>
      </c>
      <c r="Z160" s="55">
        <f t="shared" si="77"/>
        <v>45673</v>
      </c>
      <c r="AA160" s="55"/>
      <c r="AB160" s="56">
        <f t="shared" ca="1" si="78"/>
        <v>-167</v>
      </c>
      <c r="AC160" s="55"/>
      <c r="AD160" s="57"/>
      <c r="AE160" s="58" t="str">
        <f t="shared" si="79"/>
        <v>-</v>
      </c>
      <c r="AF160" s="59"/>
      <c r="AG160" s="58" t="str">
        <f t="shared" si="80"/>
        <v/>
      </c>
      <c r="AH160" s="59"/>
      <c r="AI160" s="58" t="str">
        <f t="shared" si="81"/>
        <v/>
      </c>
      <c r="AJ160" s="59"/>
      <c r="AK160" s="58" t="str">
        <f t="shared" si="82"/>
        <v/>
      </c>
      <c r="AL160" s="59"/>
      <c r="AM160" s="58" t="str">
        <f t="shared" si="83"/>
        <v/>
      </c>
      <c r="AN160" s="59"/>
      <c r="AO160" s="58" t="str">
        <f t="shared" si="84"/>
        <v/>
      </c>
      <c r="AP160" s="59"/>
      <c r="AQ160" s="58" t="str">
        <f t="shared" si="85"/>
        <v/>
      </c>
      <c r="AR160" s="59"/>
      <c r="AS160" s="58" t="str">
        <f t="shared" si="86"/>
        <v/>
      </c>
      <c r="AT160" s="59"/>
      <c r="AU160" s="58" t="str">
        <f t="shared" si="87"/>
        <v/>
      </c>
      <c r="AV160" s="59"/>
      <c r="AW160" s="58" t="str">
        <f t="shared" si="88"/>
        <v/>
      </c>
      <c r="AX160" s="59"/>
      <c r="AY160" s="58" t="str">
        <f t="shared" si="89"/>
        <v/>
      </c>
      <c r="AZ160" s="59"/>
      <c r="BA160" s="58" t="str">
        <f t="shared" si="90"/>
        <v/>
      </c>
      <c r="BB160" s="59"/>
      <c r="BC160" s="58" t="str">
        <f t="shared" si="91"/>
        <v/>
      </c>
      <c r="BD160" s="59"/>
      <c r="BE160" s="58" t="str">
        <f t="shared" si="92"/>
        <v/>
      </c>
      <c r="BF160" s="59"/>
      <c r="BG160" s="58" t="str">
        <f t="shared" si="93"/>
        <v/>
      </c>
      <c r="BH160" s="59"/>
      <c r="BI160" s="58" t="str">
        <f t="shared" si="94"/>
        <v/>
      </c>
      <c r="BJ160" s="59"/>
      <c r="BK160" s="58" t="str">
        <f t="shared" si="95"/>
        <v/>
      </c>
      <c r="BL160" s="59"/>
      <c r="BM160" s="58" t="str">
        <f t="shared" si="96"/>
        <v/>
      </c>
      <c r="BN160" s="59"/>
      <c r="BO160" s="58" t="str">
        <f t="shared" si="97"/>
        <v/>
      </c>
      <c r="BP160" s="59"/>
      <c r="BQ160" s="58" t="str">
        <f t="shared" si="98"/>
        <v/>
      </c>
      <c r="BR160" s="59"/>
      <c r="BS160" s="58" t="str">
        <f t="shared" si="99"/>
        <v/>
      </c>
      <c r="BT160" s="59"/>
      <c r="BU160" s="58" t="str">
        <f t="shared" si="100"/>
        <v/>
      </c>
      <c r="BV160" s="59"/>
      <c r="BW160" s="58" t="str">
        <f t="shared" si="101"/>
        <v/>
      </c>
      <c r="BX160" s="59"/>
      <c r="BY160" s="58" t="str">
        <f t="shared" si="102"/>
        <v/>
      </c>
      <c r="BZ160" s="59"/>
    </row>
    <row r="161" spans="1:78" ht="14.5" hidden="1">
      <c r="A161" s="51" t="s">
        <v>58</v>
      </c>
      <c r="B161" s="52">
        <v>363</v>
      </c>
      <c r="C161" s="52" t="s">
        <v>188</v>
      </c>
      <c r="D161" s="41">
        <f t="shared" si="72"/>
        <v>4</v>
      </c>
      <c r="E161" s="170" t="s">
        <v>631</v>
      </c>
      <c r="F161" s="41" t="s">
        <v>631</v>
      </c>
      <c r="G161" s="52" t="s">
        <v>245</v>
      </c>
      <c r="H161" s="52" t="s">
        <v>242</v>
      </c>
      <c r="I161" s="52" t="s">
        <v>244</v>
      </c>
      <c r="J161" s="52" t="s">
        <v>498</v>
      </c>
      <c r="K161" s="53">
        <v>45677</v>
      </c>
      <c r="L161" s="108">
        <v>1040</v>
      </c>
      <c r="M161" s="101">
        <v>1040</v>
      </c>
      <c r="N161" s="101">
        <v>1040</v>
      </c>
      <c r="O161" s="107">
        <f t="shared" si="73"/>
        <v>0</v>
      </c>
      <c r="P161" s="54">
        <f t="shared" si="74"/>
        <v>0</v>
      </c>
      <c r="Q161" s="101" t="s">
        <v>437</v>
      </c>
      <c r="R161" s="166">
        <v>45677</v>
      </c>
      <c r="S161" s="101"/>
      <c r="T161" s="102">
        <f t="shared" si="75"/>
        <v>1.4444444444444444</v>
      </c>
      <c r="U161" s="102">
        <v>6</v>
      </c>
      <c r="V161" s="99">
        <v>120</v>
      </c>
      <c r="W161" s="55">
        <f t="shared" si="71"/>
        <v>45657</v>
      </c>
      <c r="X161" s="55"/>
      <c r="Y161" s="56">
        <f t="shared" ca="1" si="76"/>
        <v>-183</v>
      </c>
      <c r="Z161" s="55">
        <f t="shared" si="77"/>
        <v>45673</v>
      </c>
      <c r="AA161" s="55"/>
      <c r="AB161" s="56">
        <f t="shared" ca="1" si="78"/>
        <v>-167</v>
      </c>
      <c r="AC161" s="55"/>
      <c r="AD161" s="57"/>
      <c r="AE161" s="58" t="str">
        <f t="shared" si="79"/>
        <v>-</v>
      </c>
      <c r="AF161" s="59"/>
      <c r="AG161" s="58" t="str">
        <f t="shared" si="80"/>
        <v/>
      </c>
      <c r="AH161" s="59"/>
      <c r="AI161" s="58" t="str">
        <f t="shared" si="81"/>
        <v/>
      </c>
      <c r="AJ161" s="59"/>
      <c r="AK161" s="58" t="str">
        <f t="shared" si="82"/>
        <v/>
      </c>
      <c r="AL161" s="59"/>
      <c r="AM161" s="58" t="str">
        <f t="shared" si="83"/>
        <v/>
      </c>
      <c r="AN161" s="59"/>
      <c r="AO161" s="58" t="str">
        <f t="shared" si="84"/>
        <v/>
      </c>
      <c r="AP161" s="59"/>
      <c r="AQ161" s="58" t="str">
        <f t="shared" si="85"/>
        <v/>
      </c>
      <c r="AR161" s="59"/>
      <c r="AS161" s="58" t="str">
        <f t="shared" si="86"/>
        <v/>
      </c>
      <c r="AT161" s="59"/>
      <c r="AU161" s="58" t="str">
        <f t="shared" si="87"/>
        <v/>
      </c>
      <c r="AV161" s="59"/>
      <c r="AW161" s="58" t="str">
        <f t="shared" si="88"/>
        <v/>
      </c>
      <c r="AX161" s="59"/>
      <c r="AY161" s="58" t="str">
        <f t="shared" si="89"/>
        <v/>
      </c>
      <c r="AZ161" s="59"/>
      <c r="BA161" s="58" t="str">
        <f t="shared" si="90"/>
        <v/>
      </c>
      <c r="BB161" s="59"/>
      <c r="BC161" s="58" t="str">
        <f t="shared" si="91"/>
        <v/>
      </c>
      <c r="BD161" s="59"/>
      <c r="BE161" s="58" t="str">
        <f t="shared" si="92"/>
        <v/>
      </c>
      <c r="BF161" s="59"/>
      <c r="BG161" s="58" t="str">
        <f t="shared" si="93"/>
        <v/>
      </c>
      <c r="BH161" s="59"/>
      <c r="BI161" s="58" t="str">
        <f t="shared" si="94"/>
        <v/>
      </c>
      <c r="BJ161" s="59"/>
      <c r="BK161" s="58" t="str">
        <f t="shared" si="95"/>
        <v/>
      </c>
      <c r="BL161" s="59"/>
      <c r="BM161" s="58" t="str">
        <f t="shared" si="96"/>
        <v/>
      </c>
      <c r="BN161" s="59"/>
      <c r="BO161" s="58" t="str">
        <f t="shared" si="97"/>
        <v/>
      </c>
      <c r="BP161" s="59"/>
      <c r="BQ161" s="58" t="str">
        <f t="shared" si="98"/>
        <v/>
      </c>
      <c r="BR161" s="59"/>
      <c r="BS161" s="58" t="str">
        <f t="shared" si="99"/>
        <v/>
      </c>
      <c r="BT161" s="59"/>
      <c r="BU161" s="58" t="str">
        <f t="shared" si="100"/>
        <v/>
      </c>
      <c r="BV161" s="59"/>
      <c r="BW161" s="58" t="str">
        <f t="shared" si="101"/>
        <v/>
      </c>
      <c r="BX161" s="59"/>
      <c r="BY161" s="58" t="str">
        <f t="shared" si="102"/>
        <v/>
      </c>
      <c r="BZ161" s="59"/>
    </row>
    <row r="162" spans="1:78" ht="14.5" hidden="1">
      <c r="A162" s="51" t="s">
        <v>58</v>
      </c>
      <c r="B162" s="52">
        <v>363</v>
      </c>
      <c r="C162" s="52" t="s">
        <v>188</v>
      </c>
      <c r="D162" s="41">
        <f t="shared" si="72"/>
        <v>4</v>
      </c>
      <c r="E162" s="170" t="s">
        <v>631</v>
      </c>
      <c r="F162" s="41" t="s">
        <v>631</v>
      </c>
      <c r="G162" s="52" t="s">
        <v>190</v>
      </c>
      <c r="H162" s="52" t="s">
        <v>242</v>
      </c>
      <c r="I162" s="52" t="s">
        <v>244</v>
      </c>
      <c r="J162" s="52" t="s">
        <v>453</v>
      </c>
      <c r="K162" s="53">
        <v>45677</v>
      </c>
      <c r="L162" s="108">
        <v>1136</v>
      </c>
      <c r="M162" s="101">
        <v>1136</v>
      </c>
      <c r="N162" s="101">
        <v>1136</v>
      </c>
      <c r="O162" s="107">
        <f t="shared" si="73"/>
        <v>0</v>
      </c>
      <c r="P162" s="54">
        <f t="shared" si="74"/>
        <v>0</v>
      </c>
      <c r="Q162" s="101" t="s">
        <v>439</v>
      </c>
      <c r="R162" s="166">
        <v>45677</v>
      </c>
      <c r="S162" s="101"/>
      <c r="T162" s="102">
        <f t="shared" si="75"/>
        <v>1.5777777777777777</v>
      </c>
      <c r="U162" s="102">
        <v>6</v>
      </c>
      <c r="V162" s="99">
        <v>120</v>
      </c>
      <c r="W162" s="55">
        <f t="shared" si="71"/>
        <v>45657</v>
      </c>
      <c r="X162" s="55"/>
      <c r="Y162" s="56">
        <f t="shared" ca="1" si="76"/>
        <v>-183</v>
      </c>
      <c r="Z162" s="55">
        <f t="shared" si="77"/>
        <v>45673</v>
      </c>
      <c r="AA162" s="55"/>
      <c r="AB162" s="56">
        <f t="shared" ca="1" si="78"/>
        <v>-167</v>
      </c>
      <c r="AC162" s="55"/>
      <c r="AD162" s="57"/>
      <c r="AE162" s="58" t="str">
        <f t="shared" si="79"/>
        <v>-</v>
      </c>
      <c r="AF162" s="59"/>
      <c r="AG162" s="58" t="str">
        <f t="shared" si="80"/>
        <v/>
      </c>
      <c r="AH162" s="59"/>
      <c r="AI162" s="58" t="str">
        <f t="shared" si="81"/>
        <v/>
      </c>
      <c r="AJ162" s="59"/>
      <c r="AK162" s="58" t="str">
        <f t="shared" si="82"/>
        <v/>
      </c>
      <c r="AL162" s="59"/>
      <c r="AM162" s="58" t="str">
        <f t="shared" si="83"/>
        <v/>
      </c>
      <c r="AN162" s="59"/>
      <c r="AO162" s="58" t="str">
        <f t="shared" si="84"/>
        <v/>
      </c>
      <c r="AP162" s="59"/>
      <c r="AQ162" s="58" t="str">
        <f t="shared" si="85"/>
        <v/>
      </c>
      <c r="AR162" s="59"/>
      <c r="AS162" s="58" t="str">
        <f t="shared" si="86"/>
        <v/>
      </c>
      <c r="AT162" s="59"/>
      <c r="AU162" s="58" t="str">
        <f t="shared" si="87"/>
        <v/>
      </c>
      <c r="AV162" s="59"/>
      <c r="AW162" s="58" t="str">
        <f t="shared" si="88"/>
        <v/>
      </c>
      <c r="AX162" s="59"/>
      <c r="AY162" s="58" t="str">
        <f t="shared" si="89"/>
        <v/>
      </c>
      <c r="AZ162" s="59"/>
      <c r="BA162" s="58" t="str">
        <f t="shared" si="90"/>
        <v/>
      </c>
      <c r="BB162" s="59"/>
      <c r="BC162" s="58" t="str">
        <f t="shared" si="91"/>
        <v/>
      </c>
      <c r="BD162" s="59"/>
      <c r="BE162" s="58" t="str">
        <f t="shared" si="92"/>
        <v/>
      </c>
      <c r="BF162" s="59"/>
      <c r="BG162" s="58" t="str">
        <f t="shared" si="93"/>
        <v/>
      </c>
      <c r="BH162" s="59"/>
      <c r="BI162" s="58" t="str">
        <f t="shared" si="94"/>
        <v/>
      </c>
      <c r="BJ162" s="59"/>
      <c r="BK162" s="58" t="str">
        <f t="shared" si="95"/>
        <v/>
      </c>
      <c r="BL162" s="59"/>
      <c r="BM162" s="58" t="str">
        <f t="shared" si="96"/>
        <v/>
      </c>
      <c r="BN162" s="59"/>
      <c r="BO162" s="58" t="str">
        <f t="shared" si="97"/>
        <v/>
      </c>
      <c r="BP162" s="59"/>
      <c r="BQ162" s="58" t="str">
        <f t="shared" si="98"/>
        <v/>
      </c>
      <c r="BR162" s="59"/>
      <c r="BS162" s="58" t="str">
        <f t="shared" si="99"/>
        <v/>
      </c>
      <c r="BT162" s="59"/>
      <c r="BU162" s="58" t="str">
        <f t="shared" si="100"/>
        <v/>
      </c>
      <c r="BV162" s="59"/>
      <c r="BW162" s="58" t="str">
        <f t="shared" si="101"/>
        <v/>
      </c>
      <c r="BX162" s="59"/>
      <c r="BY162" s="58" t="str">
        <f t="shared" si="102"/>
        <v/>
      </c>
      <c r="BZ162" s="59"/>
    </row>
    <row r="163" spans="1:78" ht="14.5" hidden="1">
      <c r="A163" s="51" t="s">
        <v>58</v>
      </c>
      <c r="B163" s="52">
        <v>366</v>
      </c>
      <c r="C163" s="52" t="s">
        <v>188</v>
      </c>
      <c r="D163" s="41">
        <f t="shared" si="72"/>
        <v>4</v>
      </c>
      <c r="E163" s="41" t="s">
        <v>631</v>
      </c>
      <c r="F163" s="41" t="s">
        <v>631</v>
      </c>
      <c r="G163" s="52" t="s">
        <v>157</v>
      </c>
      <c r="H163" s="52" t="s">
        <v>243</v>
      </c>
      <c r="I163" s="52" t="s">
        <v>155</v>
      </c>
      <c r="J163" s="52" t="s">
        <v>428</v>
      </c>
      <c r="K163" s="53">
        <v>45676</v>
      </c>
      <c r="L163" s="108">
        <v>2598</v>
      </c>
      <c r="M163" s="101">
        <v>2598</v>
      </c>
      <c r="N163" s="101">
        <v>2598</v>
      </c>
      <c r="O163" s="107">
        <f t="shared" si="73"/>
        <v>0</v>
      </c>
      <c r="P163" s="54">
        <f t="shared" si="74"/>
        <v>0</v>
      </c>
      <c r="Q163" s="101" t="s">
        <v>429</v>
      </c>
      <c r="R163" s="166">
        <v>45664</v>
      </c>
      <c r="S163" s="101" t="s">
        <v>666</v>
      </c>
      <c r="T163" s="102">
        <f t="shared" si="75"/>
        <v>0.433</v>
      </c>
      <c r="U163" s="102">
        <v>6</v>
      </c>
      <c r="V163" s="99">
        <v>1000</v>
      </c>
      <c r="W163" s="55">
        <f t="shared" si="71"/>
        <v>45656</v>
      </c>
      <c r="X163" s="55"/>
      <c r="Y163" s="56">
        <f t="shared" ca="1" si="76"/>
        <v>-184</v>
      </c>
      <c r="Z163" s="55">
        <f t="shared" si="77"/>
        <v>45672</v>
      </c>
      <c r="AA163" s="55"/>
      <c r="AB163" s="56">
        <f t="shared" ca="1" si="78"/>
        <v>-168</v>
      </c>
      <c r="AC163" s="55"/>
      <c r="AD163" s="57"/>
      <c r="AE163" s="58" t="str">
        <f t="shared" si="79"/>
        <v>-</v>
      </c>
      <c r="AF163" s="59"/>
      <c r="AG163" s="58" t="str">
        <f t="shared" si="80"/>
        <v/>
      </c>
      <c r="AH163" s="59"/>
      <c r="AI163" s="58" t="str">
        <f t="shared" si="81"/>
        <v/>
      </c>
      <c r="AJ163" s="59"/>
      <c r="AK163" s="58" t="str">
        <f t="shared" si="82"/>
        <v/>
      </c>
      <c r="AL163" s="59"/>
      <c r="AM163" s="58" t="str">
        <f t="shared" si="83"/>
        <v/>
      </c>
      <c r="AN163" s="59"/>
      <c r="AO163" s="58" t="str">
        <f t="shared" si="84"/>
        <v/>
      </c>
      <c r="AP163" s="59"/>
      <c r="AQ163" s="58" t="str">
        <f t="shared" si="85"/>
        <v/>
      </c>
      <c r="AR163" s="59"/>
      <c r="AS163" s="58" t="str">
        <f t="shared" si="86"/>
        <v/>
      </c>
      <c r="AT163" s="59"/>
      <c r="AU163" s="58" t="str">
        <f t="shared" si="87"/>
        <v/>
      </c>
      <c r="AV163" s="59"/>
      <c r="AW163" s="58" t="str">
        <f t="shared" si="88"/>
        <v/>
      </c>
      <c r="AX163" s="59"/>
      <c r="AY163" s="58" t="str">
        <f t="shared" si="89"/>
        <v/>
      </c>
      <c r="AZ163" s="59"/>
      <c r="BA163" s="58" t="str">
        <f t="shared" si="90"/>
        <v/>
      </c>
      <c r="BB163" s="59"/>
      <c r="BC163" s="58" t="str">
        <f t="shared" si="91"/>
        <v/>
      </c>
      <c r="BD163" s="59"/>
      <c r="BE163" s="58" t="str">
        <f t="shared" si="92"/>
        <v/>
      </c>
      <c r="BF163" s="59"/>
      <c r="BG163" s="58" t="str">
        <f t="shared" si="93"/>
        <v/>
      </c>
      <c r="BH163" s="59"/>
      <c r="BI163" s="58" t="str">
        <f t="shared" si="94"/>
        <v/>
      </c>
      <c r="BJ163" s="59"/>
      <c r="BK163" s="58" t="str">
        <f t="shared" si="95"/>
        <v/>
      </c>
      <c r="BL163" s="59"/>
      <c r="BM163" s="58" t="str">
        <f t="shared" si="96"/>
        <v/>
      </c>
      <c r="BN163" s="59"/>
      <c r="BO163" s="58" t="str">
        <f t="shared" si="97"/>
        <v/>
      </c>
      <c r="BP163" s="59"/>
      <c r="BQ163" s="58" t="str">
        <f t="shared" si="98"/>
        <v/>
      </c>
      <c r="BR163" s="59"/>
      <c r="BS163" s="58" t="str">
        <f t="shared" si="99"/>
        <v/>
      </c>
      <c r="BT163" s="59"/>
      <c r="BU163" s="58" t="str">
        <f t="shared" si="100"/>
        <v/>
      </c>
      <c r="BV163" s="59"/>
      <c r="BW163" s="58" t="str">
        <f t="shared" si="101"/>
        <v/>
      </c>
      <c r="BX163" s="59"/>
      <c r="BY163" s="58" t="str">
        <f t="shared" si="102"/>
        <v/>
      </c>
      <c r="BZ163" s="59"/>
    </row>
    <row r="164" spans="1:78" ht="14.5" hidden="1">
      <c r="A164" s="51" t="s">
        <v>58</v>
      </c>
      <c r="B164" s="52">
        <v>366</v>
      </c>
      <c r="C164" s="52" t="s">
        <v>188</v>
      </c>
      <c r="D164" s="41">
        <f t="shared" si="72"/>
        <v>4</v>
      </c>
      <c r="E164" s="41" t="s">
        <v>631</v>
      </c>
      <c r="F164" s="160" t="s">
        <v>631</v>
      </c>
      <c r="G164" s="52" t="s">
        <v>158</v>
      </c>
      <c r="H164" s="52" t="s">
        <v>242</v>
      </c>
      <c r="I164" s="52" t="s">
        <v>154</v>
      </c>
      <c r="J164" s="52" t="s">
        <v>432</v>
      </c>
      <c r="K164" s="53">
        <v>45676</v>
      </c>
      <c r="L164" s="108">
        <v>1336</v>
      </c>
      <c r="M164" s="101">
        <v>1336</v>
      </c>
      <c r="N164" s="101">
        <v>1336</v>
      </c>
      <c r="O164" s="107">
        <f t="shared" si="73"/>
        <v>0</v>
      </c>
      <c r="P164" s="54">
        <f t="shared" si="74"/>
        <v>0</v>
      </c>
      <c r="Q164" s="101" t="s">
        <v>431</v>
      </c>
      <c r="R164" s="166">
        <v>45664</v>
      </c>
      <c r="S164" s="101" t="s">
        <v>667</v>
      </c>
      <c r="T164" s="102">
        <f t="shared" si="75"/>
        <v>1.8555555555555556</v>
      </c>
      <c r="U164" s="102">
        <v>6</v>
      </c>
      <c r="V164" s="99">
        <v>120</v>
      </c>
      <c r="W164" s="55">
        <f t="shared" si="71"/>
        <v>45656</v>
      </c>
      <c r="X164" s="55"/>
      <c r="Y164" s="56">
        <f t="shared" ca="1" si="76"/>
        <v>-184</v>
      </c>
      <c r="Z164" s="55">
        <f t="shared" si="77"/>
        <v>45672</v>
      </c>
      <c r="AA164" s="55"/>
      <c r="AB164" s="56">
        <f t="shared" ca="1" si="78"/>
        <v>-168</v>
      </c>
      <c r="AC164" s="55"/>
      <c r="AD164" s="57"/>
      <c r="AE164" s="58" t="str">
        <f t="shared" si="79"/>
        <v>-</v>
      </c>
      <c r="AF164" s="59"/>
      <c r="AG164" s="58" t="str">
        <f t="shared" si="80"/>
        <v/>
      </c>
      <c r="AH164" s="59"/>
      <c r="AI164" s="58" t="str">
        <f t="shared" si="81"/>
        <v/>
      </c>
      <c r="AJ164" s="59"/>
      <c r="AK164" s="58" t="str">
        <f t="shared" si="82"/>
        <v/>
      </c>
      <c r="AL164" s="59"/>
      <c r="AM164" s="58" t="str">
        <f t="shared" si="83"/>
        <v/>
      </c>
      <c r="AN164" s="59"/>
      <c r="AO164" s="58" t="str">
        <f t="shared" si="84"/>
        <v/>
      </c>
      <c r="AP164" s="59"/>
      <c r="AQ164" s="58" t="str">
        <f t="shared" si="85"/>
        <v/>
      </c>
      <c r="AR164" s="59"/>
      <c r="AS164" s="58" t="str">
        <f t="shared" si="86"/>
        <v/>
      </c>
      <c r="AT164" s="59"/>
      <c r="AU164" s="58" t="str">
        <f t="shared" si="87"/>
        <v/>
      </c>
      <c r="AV164" s="59"/>
      <c r="AW164" s="58" t="str">
        <f t="shared" si="88"/>
        <v/>
      </c>
      <c r="AX164" s="59"/>
      <c r="AY164" s="58" t="str">
        <f t="shared" si="89"/>
        <v/>
      </c>
      <c r="AZ164" s="59"/>
      <c r="BA164" s="58" t="str">
        <f t="shared" si="90"/>
        <v/>
      </c>
      <c r="BB164" s="59"/>
      <c r="BC164" s="58" t="str">
        <f t="shared" si="91"/>
        <v/>
      </c>
      <c r="BD164" s="59"/>
      <c r="BE164" s="58" t="str">
        <f t="shared" si="92"/>
        <v/>
      </c>
      <c r="BF164" s="59"/>
      <c r="BG164" s="58" t="str">
        <f t="shared" si="93"/>
        <v/>
      </c>
      <c r="BH164" s="59"/>
      <c r="BI164" s="58" t="str">
        <f t="shared" si="94"/>
        <v/>
      </c>
      <c r="BJ164" s="59"/>
      <c r="BK164" s="58" t="str">
        <f t="shared" si="95"/>
        <v/>
      </c>
      <c r="BL164" s="59"/>
      <c r="BM164" s="58" t="str">
        <f t="shared" si="96"/>
        <v/>
      </c>
      <c r="BN164" s="59"/>
      <c r="BO164" s="58" t="str">
        <f t="shared" si="97"/>
        <v/>
      </c>
      <c r="BP164" s="59"/>
      <c r="BQ164" s="58" t="str">
        <f t="shared" si="98"/>
        <v/>
      </c>
      <c r="BR164" s="59"/>
      <c r="BS164" s="58" t="str">
        <f t="shared" si="99"/>
        <v/>
      </c>
      <c r="BT164" s="59"/>
      <c r="BU164" s="58" t="str">
        <f t="shared" si="100"/>
        <v/>
      </c>
      <c r="BV164" s="59"/>
      <c r="BW164" s="58" t="str">
        <f t="shared" si="101"/>
        <v/>
      </c>
      <c r="BX164" s="59"/>
      <c r="BY164" s="58" t="str">
        <f t="shared" si="102"/>
        <v/>
      </c>
      <c r="BZ164" s="59"/>
    </row>
    <row r="165" spans="1:78" ht="14.5" hidden="1">
      <c r="A165" s="51" t="s">
        <v>58</v>
      </c>
      <c r="B165" s="52">
        <v>366</v>
      </c>
      <c r="C165" s="52" t="s">
        <v>188</v>
      </c>
      <c r="D165" s="41">
        <f t="shared" si="72"/>
        <v>4</v>
      </c>
      <c r="E165" s="41" t="s">
        <v>631</v>
      </c>
      <c r="F165" s="160" t="s">
        <v>631</v>
      </c>
      <c r="G165" s="52" t="s">
        <v>189</v>
      </c>
      <c r="H165" s="52" t="s">
        <v>242</v>
      </c>
      <c r="I165" s="52" t="s">
        <v>162</v>
      </c>
      <c r="J165" s="52" t="s">
        <v>432</v>
      </c>
      <c r="K165" s="53">
        <v>45676</v>
      </c>
      <c r="L165" s="108">
        <v>1524</v>
      </c>
      <c r="M165" s="101">
        <v>1524</v>
      </c>
      <c r="N165" s="101">
        <v>1524</v>
      </c>
      <c r="O165" s="107">
        <f t="shared" si="73"/>
        <v>0</v>
      </c>
      <c r="P165" s="54">
        <f t="shared" si="74"/>
        <v>0</v>
      </c>
      <c r="Q165" s="101" t="s">
        <v>178</v>
      </c>
      <c r="R165" s="166">
        <v>45664</v>
      </c>
      <c r="S165" s="101" t="s">
        <v>668</v>
      </c>
      <c r="T165" s="102">
        <f t="shared" si="75"/>
        <v>2.1166666666666667</v>
      </c>
      <c r="U165" s="102">
        <v>6</v>
      </c>
      <c r="V165" s="99">
        <v>120</v>
      </c>
      <c r="W165" s="55">
        <f t="shared" si="71"/>
        <v>45656</v>
      </c>
      <c r="X165" s="55"/>
      <c r="Y165" s="56">
        <f t="shared" ca="1" si="76"/>
        <v>-184</v>
      </c>
      <c r="Z165" s="55">
        <f t="shared" si="77"/>
        <v>45672</v>
      </c>
      <c r="AA165" s="55"/>
      <c r="AB165" s="56">
        <f t="shared" ca="1" si="78"/>
        <v>-168</v>
      </c>
      <c r="AC165" s="55"/>
      <c r="AD165" s="57"/>
      <c r="AE165" s="58" t="str">
        <f t="shared" si="79"/>
        <v>-</v>
      </c>
      <c r="AF165" s="59"/>
      <c r="AG165" s="58" t="str">
        <f t="shared" si="80"/>
        <v/>
      </c>
      <c r="AH165" s="59"/>
      <c r="AI165" s="58" t="str">
        <f t="shared" si="81"/>
        <v/>
      </c>
      <c r="AJ165" s="59"/>
      <c r="AK165" s="58" t="str">
        <f t="shared" si="82"/>
        <v/>
      </c>
      <c r="AL165" s="59"/>
      <c r="AM165" s="58" t="str">
        <f t="shared" si="83"/>
        <v/>
      </c>
      <c r="AN165" s="59"/>
      <c r="AO165" s="58" t="str">
        <f t="shared" si="84"/>
        <v/>
      </c>
      <c r="AP165" s="59"/>
      <c r="AQ165" s="58" t="str">
        <f t="shared" si="85"/>
        <v/>
      </c>
      <c r="AR165" s="59"/>
      <c r="AS165" s="58" t="str">
        <f t="shared" si="86"/>
        <v/>
      </c>
      <c r="AT165" s="59"/>
      <c r="AU165" s="58" t="str">
        <f t="shared" si="87"/>
        <v/>
      </c>
      <c r="AV165" s="59"/>
      <c r="AW165" s="58" t="str">
        <f t="shared" si="88"/>
        <v/>
      </c>
      <c r="AX165" s="59"/>
      <c r="AY165" s="58" t="str">
        <f t="shared" si="89"/>
        <v/>
      </c>
      <c r="AZ165" s="59"/>
      <c r="BA165" s="58" t="str">
        <f t="shared" si="90"/>
        <v/>
      </c>
      <c r="BB165" s="59"/>
      <c r="BC165" s="58" t="str">
        <f t="shared" si="91"/>
        <v/>
      </c>
      <c r="BD165" s="59"/>
      <c r="BE165" s="58" t="str">
        <f t="shared" si="92"/>
        <v/>
      </c>
      <c r="BF165" s="59"/>
      <c r="BG165" s="58" t="str">
        <f t="shared" si="93"/>
        <v/>
      </c>
      <c r="BH165" s="59"/>
      <c r="BI165" s="58" t="str">
        <f t="shared" si="94"/>
        <v/>
      </c>
      <c r="BJ165" s="59"/>
      <c r="BK165" s="58" t="str">
        <f t="shared" si="95"/>
        <v/>
      </c>
      <c r="BL165" s="59"/>
      <c r="BM165" s="58" t="str">
        <f t="shared" si="96"/>
        <v/>
      </c>
      <c r="BN165" s="59"/>
      <c r="BO165" s="58" t="str">
        <f t="shared" si="97"/>
        <v/>
      </c>
      <c r="BP165" s="59"/>
      <c r="BQ165" s="58" t="str">
        <f t="shared" si="98"/>
        <v/>
      </c>
      <c r="BR165" s="59"/>
      <c r="BS165" s="58" t="str">
        <f t="shared" si="99"/>
        <v/>
      </c>
      <c r="BT165" s="59"/>
      <c r="BU165" s="58" t="str">
        <f t="shared" si="100"/>
        <v/>
      </c>
      <c r="BV165" s="59"/>
      <c r="BW165" s="58" t="str">
        <f t="shared" si="101"/>
        <v/>
      </c>
      <c r="BX165" s="59"/>
      <c r="BY165" s="58" t="str">
        <f t="shared" si="102"/>
        <v/>
      </c>
      <c r="BZ165" s="59"/>
    </row>
    <row r="166" spans="1:78" ht="14.5" hidden="1">
      <c r="A166" s="51" t="s">
        <v>58</v>
      </c>
      <c r="B166" s="52">
        <v>369</v>
      </c>
      <c r="C166" s="52" t="s">
        <v>188</v>
      </c>
      <c r="D166" s="41">
        <f t="shared" si="72"/>
        <v>4</v>
      </c>
      <c r="E166" s="170" t="s">
        <v>631</v>
      </c>
      <c r="F166" s="41" t="s">
        <v>631</v>
      </c>
      <c r="G166" s="52" t="s">
        <v>245</v>
      </c>
      <c r="H166" s="52" t="s">
        <v>242</v>
      </c>
      <c r="I166" s="52" t="s">
        <v>244</v>
      </c>
      <c r="J166" s="52" t="s">
        <v>432</v>
      </c>
      <c r="K166" s="53">
        <v>45678</v>
      </c>
      <c r="L166" s="108">
        <v>1952</v>
      </c>
      <c r="M166" s="101">
        <v>1952</v>
      </c>
      <c r="N166" s="101">
        <v>1952</v>
      </c>
      <c r="O166" s="107">
        <f t="shared" si="73"/>
        <v>0</v>
      </c>
      <c r="P166" s="54">
        <f t="shared" si="74"/>
        <v>0</v>
      </c>
      <c r="Q166" s="101" t="s">
        <v>437</v>
      </c>
      <c r="R166" s="101"/>
      <c r="S166" s="101"/>
      <c r="T166" s="102">
        <f t="shared" si="75"/>
        <v>2.7111111111111112</v>
      </c>
      <c r="U166" s="102">
        <v>6</v>
      </c>
      <c r="V166" s="99">
        <v>120</v>
      </c>
      <c r="W166" s="55">
        <f t="shared" si="71"/>
        <v>45658</v>
      </c>
      <c r="X166" s="55"/>
      <c r="Y166" s="56">
        <f t="shared" ca="1" si="76"/>
        <v>-182</v>
      </c>
      <c r="Z166" s="55">
        <f t="shared" si="77"/>
        <v>45674</v>
      </c>
      <c r="AA166" s="55"/>
      <c r="AB166" s="56">
        <f t="shared" ca="1" si="78"/>
        <v>-166</v>
      </c>
      <c r="AC166" s="55"/>
      <c r="AD166" s="57"/>
      <c r="AE166" s="58" t="str">
        <f t="shared" si="79"/>
        <v>-</v>
      </c>
      <c r="AF166" s="59"/>
      <c r="AG166" s="58" t="str">
        <f t="shared" si="80"/>
        <v/>
      </c>
      <c r="AH166" s="59"/>
      <c r="AI166" s="58" t="str">
        <f t="shared" si="81"/>
        <v/>
      </c>
      <c r="AJ166" s="59"/>
      <c r="AK166" s="58" t="str">
        <f t="shared" si="82"/>
        <v/>
      </c>
      <c r="AL166" s="59"/>
      <c r="AM166" s="58" t="str">
        <f t="shared" si="83"/>
        <v/>
      </c>
      <c r="AN166" s="59"/>
      <c r="AO166" s="58" t="str">
        <f t="shared" si="84"/>
        <v/>
      </c>
      <c r="AP166" s="59"/>
      <c r="AQ166" s="58" t="str">
        <f t="shared" si="85"/>
        <v/>
      </c>
      <c r="AR166" s="59"/>
      <c r="AS166" s="58" t="str">
        <f t="shared" si="86"/>
        <v/>
      </c>
      <c r="AT166" s="59"/>
      <c r="AU166" s="58" t="str">
        <f t="shared" si="87"/>
        <v/>
      </c>
      <c r="AV166" s="59"/>
      <c r="AW166" s="58" t="str">
        <f t="shared" si="88"/>
        <v/>
      </c>
      <c r="AX166" s="59"/>
      <c r="AY166" s="58" t="str">
        <f t="shared" si="89"/>
        <v/>
      </c>
      <c r="AZ166" s="59"/>
      <c r="BA166" s="58" t="str">
        <f t="shared" si="90"/>
        <v/>
      </c>
      <c r="BB166" s="59"/>
      <c r="BC166" s="58">
        <f t="shared" si="91"/>
        <v>1952</v>
      </c>
      <c r="BD166" s="59"/>
      <c r="BE166" s="58" t="str">
        <f t="shared" si="92"/>
        <v/>
      </c>
      <c r="BF166" s="59"/>
      <c r="BG166" s="58" t="str">
        <f t="shared" si="93"/>
        <v/>
      </c>
      <c r="BH166" s="59"/>
      <c r="BI166" s="58" t="str">
        <f t="shared" si="94"/>
        <v/>
      </c>
      <c r="BJ166" s="59"/>
      <c r="BK166" s="58" t="str">
        <f t="shared" si="95"/>
        <v/>
      </c>
      <c r="BL166" s="59"/>
      <c r="BM166" s="58" t="str">
        <f t="shared" si="96"/>
        <v/>
      </c>
      <c r="BN166" s="59"/>
      <c r="BO166" s="58" t="str">
        <f t="shared" si="97"/>
        <v/>
      </c>
      <c r="BP166" s="59"/>
      <c r="BQ166" s="58" t="str">
        <f t="shared" si="98"/>
        <v/>
      </c>
      <c r="BR166" s="59"/>
      <c r="BS166" s="58" t="str">
        <f t="shared" si="99"/>
        <v/>
      </c>
      <c r="BT166" s="59"/>
      <c r="BU166" s="58" t="str">
        <f t="shared" si="100"/>
        <v/>
      </c>
      <c r="BV166" s="59"/>
      <c r="BW166" s="58" t="str">
        <f t="shared" si="101"/>
        <v/>
      </c>
      <c r="BX166" s="59"/>
      <c r="BY166" s="58" t="str">
        <f t="shared" si="102"/>
        <v/>
      </c>
      <c r="BZ166" s="59"/>
    </row>
    <row r="167" spans="1:78" ht="14.5" hidden="1">
      <c r="A167" s="51" t="s">
        <v>58</v>
      </c>
      <c r="B167" s="52">
        <v>369</v>
      </c>
      <c r="C167" s="52" t="s">
        <v>188</v>
      </c>
      <c r="D167" s="41">
        <f t="shared" si="72"/>
        <v>4</v>
      </c>
      <c r="E167" s="170" t="s">
        <v>631</v>
      </c>
      <c r="F167" s="41" t="s">
        <v>631</v>
      </c>
      <c r="G167" s="52" t="s">
        <v>158</v>
      </c>
      <c r="H167" s="52" t="s">
        <v>242</v>
      </c>
      <c r="I167" s="52" t="s">
        <v>154</v>
      </c>
      <c r="J167" s="52" t="s">
        <v>432</v>
      </c>
      <c r="K167" s="53">
        <v>45678</v>
      </c>
      <c r="L167" s="108">
        <v>1504</v>
      </c>
      <c r="M167" s="101">
        <v>1504</v>
      </c>
      <c r="N167" s="101">
        <v>1504</v>
      </c>
      <c r="O167" s="107">
        <f t="shared" si="73"/>
        <v>0</v>
      </c>
      <c r="P167" s="54">
        <f t="shared" si="74"/>
        <v>0</v>
      </c>
      <c r="Q167" s="101" t="s">
        <v>439</v>
      </c>
      <c r="R167" s="101"/>
      <c r="S167" s="101"/>
      <c r="T167" s="102">
        <f t="shared" si="75"/>
        <v>2.088888888888889</v>
      </c>
      <c r="U167" s="102">
        <v>6</v>
      </c>
      <c r="V167" s="99">
        <v>120</v>
      </c>
      <c r="W167" s="55">
        <f t="shared" si="71"/>
        <v>45658</v>
      </c>
      <c r="X167" s="55"/>
      <c r="Y167" s="56">
        <f t="shared" ca="1" si="76"/>
        <v>-182</v>
      </c>
      <c r="Z167" s="55">
        <f t="shared" si="77"/>
        <v>45674</v>
      </c>
      <c r="AA167" s="55"/>
      <c r="AB167" s="56">
        <f t="shared" ca="1" si="78"/>
        <v>-166</v>
      </c>
      <c r="AC167" s="55"/>
      <c r="AD167" s="57"/>
      <c r="AE167" s="58" t="str">
        <f t="shared" si="79"/>
        <v>-</v>
      </c>
      <c r="AF167" s="59"/>
      <c r="AG167" s="58" t="str">
        <f t="shared" si="80"/>
        <v/>
      </c>
      <c r="AH167" s="59"/>
      <c r="AI167" s="58" t="str">
        <f t="shared" si="81"/>
        <v/>
      </c>
      <c r="AJ167" s="59"/>
      <c r="AK167" s="58" t="str">
        <f t="shared" si="82"/>
        <v/>
      </c>
      <c r="AL167" s="59"/>
      <c r="AM167" s="58" t="str">
        <f t="shared" si="83"/>
        <v/>
      </c>
      <c r="AN167" s="59"/>
      <c r="AO167" s="58" t="str">
        <f t="shared" si="84"/>
        <v/>
      </c>
      <c r="AP167" s="59"/>
      <c r="AQ167" s="58" t="str">
        <f t="shared" si="85"/>
        <v/>
      </c>
      <c r="AR167" s="59"/>
      <c r="AS167" s="58" t="str">
        <f t="shared" si="86"/>
        <v/>
      </c>
      <c r="AT167" s="59"/>
      <c r="AU167" s="58" t="str">
        <f t="shared" si="87"/>
        <v/>
      </c>
      <c r="AV167" s="59"/>
      <c r="AW167" s="58" t="str">
        <f t="shared" si="88"/>
        <v/>
      </c>
      <c r="AX167" s="59"/>
      <c r="AY167" s="58" t="str">
        <f t="shared" si="89"/>
        <v/>
      </c>
      <c r="AZ167" s="59"/>
      <c r="BA167" s="58" t="str">
        <f t="shared" si="90"/>
        <v/>
      </c>
      <c r="BB167" s="59"/>
      <c r="BC167" s="58">
        <f t="shared" si="91"/>
        <v>1504</v>
      </c>
      <c r="BD167" s="59"/>
      <c r="BE167" s="58" t="str">
        <f t="shared" si="92"/>
        <v/>
      </c>
      <c r="BF167" s="59"/>
      <c r="BG167" s="58" t="str">
        <f t="shared" si="93"/>
        <v/>
      </c>
      <c r="BH167" s="59"/>
      <c r="BI167" s="58" t="str">
        <f t="shared" si="94"/>
        <v/>
      </c>
      <c r="BJ167" s="59"/>
      <c r="BK167" s="58" t="str">
        <f t="shared" si="95"/>
        <v/>
      </c>
      <c r="BL167" s="59"/>
      <c r="BM167" s="58" t="str">
        <f t="shared" si="96"/>
        <v/>
      </c>
      <c r="BN167" s="59"/>
      <c r="BO167" s="58" t="str">
        <f t="shared" si="97"/>
        <v/>
      </c>
      <c r="BP167" s="59"/>
      <c r="BQ167" s="58" t="str">
        <f t="shared" si="98"/>
        <v/>
      </c>
      <c r="BR167" s="59"/>
      <c r="BS167" s="58" t="str">
        <f t="shared" si="99"/>
        <v/>
      </c>
      <c r="BT167" s="59"/>
      <c r="BU167" s="58" t="str">
        <f t="shared" si="100"/>
        <v/>
      </c>
      <c r="BV167" s="59"/>
      <c r="BW167" s="58" t="str">
        <f t="shared" si="101"/>
        <v/>
      </c>
      <c r="BX167" s="59"/>
      <c r="BY167" s="58" t="str">
        <f t="shared" si="102"/>
        <v/>
      </c>
      <c r="BZ167" s="59"/>
    </row>
    <row r="168" spans="1:78" ht="14.5" hidden="1">
      <c r="A168" s="51" t="s">
        <v>58</v>
      </c>
      <c r="B168" s="52">
        <v>369</v>
      </c>
      <c r="C168" s="52" t="s">
        <v>188</v>
      </c>
      <c r="D168" s="41">
        <f t="shared" si="72"/>
        <v>4</v>
      </c>
      <c r="E168" s="170" t="s">
        <v>631</v>
      </c>
      <c r="F168" s="41" t="s">
        <v>631</v>
      </c>
      <c r="G168" s="52" t="s">
        <v>391</v>
      </c>
      <c r="H168" s="52" t="s">
        <v>392</v>
      </c>
      <c r="I168" s="52" t="s">
        <v>393</v>
      </c>
      <c r="J168" s="52" t="s">
        <v>433</v>
      </c>
      <c r="K168" s="53">
        <v>45678</v>
      </c>
      <c r="L168" s="108">
        <v>600</v>
      </c>
      <c r="M168" s="101">
        <v>600</v>
      </c>
      <c r="N168" s="101">
        <v>600</v>
      </c>
      <c r="O168" s="107">
        <f t="shared" si="73"/>
        <v>0</v>
      </c>
      <c r="P168" s="54">
        <f t="shared" si="74"/>
        <v>0</v>
      </c>
      <c r="Q168" s="101" t="s">
        <v>669</v>
      </c>
      <c r="R168" s="101"/>
      <c r="S168" s="101"/>
      <c r="T168" s="102">
        <f t="shared" si="75"/>
        <v>1.25</v>
      </c>
      <c r="U168" s="102">
        <v>6</v>
      </c>
      <c r="V168" s="99">
        <v>80</v>
      </c>
      <c r="W168" s="55">
        <f t="shared" si="71"/>
        <v>45658</v>
      </c>
      <c r="X168" s="55"/>
      <c r="Y168" s="56">
        <f t="shared" ca="1" si="76"/>
        <v>-182</v>
      </c>
      <c r="Z168" s="55">
        <f t="shared" si="77"/>
        <v>45674</v>
      </c>
      <c r="AA168" s="55"/>
      <c r="AB168" s="56">
        <f t="shared" ca="1" si="78"/>
        <v>-166</v>
      </c>
      <c r="AC168" s="55"/>
      <c r="AD168" s="57"/>
      <c r="AE168" s="58" t="str">
        <f t="shared" si="79"/>
        <v>-</v>
      </c>
      <c r="AF168" s="59"/>
      <c r="AG168" s="58" t="str">
        <f t="shared" si="80"/>
        <v/>
      </c>
      <c r="AH168" s="59"/>
      <c r="AI168" s="58" t="str">
        <f t="shared" si="81"/>
        <v/>
      </c>
      <c r="AJ168" s="59"/>
      <c r="AK168" s="58" t="str">
        <f t="shared" si="82"/>
        <v/>
      </c>
      <c r="AL168" s="59"/>
      <c r="AM168" s="58" t="str">
        <f t="shared" si="83"/>
        <v/>
      </c>
      <c r="AN168" s="59"/>
      <c r="AO168" s="58" t="str">
        <f t="shared" si="84"/>
        <v/>
      </c>
      <c r="AP168" s="59"/>
      <c r="AQ168" s="58" t="str">
        <f t="shared" si="85"/>
        <v/>
      </c>
      <c r="AR168" s="59"/>
      <c r="AS168" s="58" t="str">
        <f t="shared" si="86"/>
        <v/>
      </c>
      <c r="AT168" s="59"/>
      <c r="AU168" s="58" t="str">
        <f t="shared" si="87"/>
        <v/>
      </c>
      <c r="AV168" s="59"/>
      <c r="AW168" s="58" t="str">
        <f t="shared" si="88"/>
        <v/>
      </c>
      <c r="AX168" s="59"/>
      <c r="AY168" s="58" t="str">
        <f t="shared" si="89"/>
        <v/>
      </c>
      <c r="AZ168" s="59"/>
      <c r="BA168" s="58" t="str">
        <f t="shared" si="90"/>
        <v/>
      </c>
      <c r="BB168" s="59"/>
      <c r="BC168" s="58">
        <f t="shared" si="91"/>
        <v>600</v>
      </c>
      <c r="BD168" s="59"/>
      <c r="BE168" s="58" t="str">
        <f t="shared" si="92"/>
        <v/>
      </c>
      <c r="BF168" s="59"/>
      <c r="BG168" s="58" t="str">
        <f t="shared" si="93"/>
        <v/>
      </c>
      <c r="BH168" s="59"/>
      <c r="BI168" s="58" t="str">
        <f t="shared" si="94"/>
        <v/>
      </c>
      <c r="BJ168" s="59"/>
      <c r="BK168" s="58" t="str">
        <f t="shared" si="95"/>
        <v/>
      </c>
      <c r="BL168" s="59"/>
      <c r="BM168" s="58" t="str">
        <f t="shared" si="96"/>
        <v/>
      </c>
      <c r="BN168" s="59"/>
      <c r="BO168" s="58" t="str">
        <f t="shared" si="97"/>
        <v/>
      </c>
      <c r="BP168" s="59"/>
      <c r="BQ168" s="58" t="str">
        <f t="shared" si="98"/>
        <v/>
      </c>
      <c r="BR168" s="59"/>
      <c r="BS168" s="58" t="str">
        <f t="shared" si="99"/>
        <v/>
      </c>
      <c r="BT168" s="59"/>
      <c r="BU168" s="58" t="str">
        <f t="shared" si="100"/>
        <v/>
      </c>
      <c r="BV168" s="59"/>
      <c r="BW168" s="58" t="str">
        <f t="shared" si="101"/>
        <v/>
      </c>
      <c r="BX168" s="59"/>
      <c r="BY168" s="58" t="str">
        <f t="shared" si="102"/>
        <v/>
      </c>
      <c r="BZ168" s="59"/>
    </row>
    <row r="169" spans="1:78" ht="14.5" hidden="1">
      <c r="A169" s="51" t="s">
        <v>58</v>
      </c>
      <c r="B169" s="52">
        <v>371</v>
      </c>
      <c r="C169" s="52" t="s">
        <v>188</v>
      </c>
      <c r="D169" s="41">
        <f t="shared" si="72"/>
        <v>4</v>
      </c>
      <c r="E169" s="170" t="s">
        <v>631</v>
      </c>
      <c r="F169" s="41" t="s">
        <v>631</v>
      </c>
      <c r="G169" s="52" t="s">
        <v>390</v>
      </c>
      <c r="H169" s="52" t="s">
        <v>242</v>
      </c>
      <c r="I169" s="52" t="s">
        <v>162</v>
      </c>
      <c r="J169" s="52" t="s">
        <v>430</v>
      </c>
      <c r="K169" s="53">
        <v>45681</v>
      </c>
      <c r="L169" s="108">
        <v>1644</v>
      </c>
      <c r="M169" s="101">
        <v>1644</v>
      </c>
      <c r="N169" s="101">
        <v>1644</v>
      </c>
      <c r="O169" s="107">
        <f t="shared" si="73"/>
        <v>0</v>
      </c>
      <c r="P169" s="54">
        <f t="shared" si="74"/>
        <v>0</v>
      </c>
      <c r="Q169" s="101" t="s">
        <v>431</v>
      </c>
      <c r="R169" s="101"/>
      <c r="S169" s="101"/>
      <c r="T169" s="102">
        <f t="shared" si="75"/>
        <v>2.2833333333333332</v>
      </c>
      <c r="U169" s="102">
        <v>6</v>
      </c>
      <c r="V169" s="99">
        <v>120</v>
      </c>
      <c r="W169" s="55">
        <f t="shared" si="71"/>
        <v>45661</v>
      </c>
      <c r="X169" s="55"/>
      <c r="Y169" s="56">
        <f t="shared" ca="1" si="76"/>
        <v>-179</v>
      </c>
      <c r="Z169" s="55">
        <f t="shared" si="77"/>
        <v>45677</v>
      </c>
      <c r="AA169" s="55"/>
      <c r="AB169" s="56">
        <f t="shared" ca="1" si="78"/>
        <v>-163</v>
      </c>
      <c r="AC169" s="55"/>
      <c r="AD169" s="57"/>
      <c r="AE169" s="58" t="str">
        <f t="shared" si="79"/>
        <v>-</v>
      </c>
      <c r="AF169" s="59"/>
      <c r="AG169" s="58" t="str">
        <f t="shared" si="80"/>
        <v/>
      </c>
      <c r="AH169" s="59"/>
      <c r="AI169" s="58" t="str">
        <f t="shared" si="81"/>
        <v/>
      </c>
      <c r="AJ169" s="59"/>
      <c r="AK169" s="58" t="str">
        <f t="shared" si="82"/>
        <v/>
      </c>
      <c r="AL169" s="59"/>
      <c r="AM169" s="58" t="str">
        <f t="shared" si="83"/>
        <v/>
      </c>
      <c r="AN169" s="59"/>
      <c r="AO169" s="58" t="str">
        <f t="shared" si="84"/>
        <v/>
      </c>
      <c r="AP169" s="59"/>
      <c r="AQ169" s="58" t="str">
        <f t="shared" si="85"/>
        <v/>
      </c>
      <c r="AR169" s="59"/>
      <c r="AS169" s="58" t="str">
        <f t="shared" si="86"/>
        <v/>
      </c>
      <c r="AT169" s="59"/>
      <c r="AU169" s="58" t="str">
        <f t="shared" si="87"/>
        <v/>
      </c>
      <c r="AV169" s="59"/>
      <c r="AW169" s="58" t="str">
        <f t="shared" si="88"/>
        <v/>
      </c>
      <c r="AX169" s="59"/>
      <c r="AY169" s="58" t="str">
        <f t="shared" si="89"/>
        <v/>
      </c>
      <c r="AZ169" s="59"/>
      <c r="BA169" s="58" t="str">
        <f t="shared" si="90"/>
        <v/>
      </c>
      <c r="BB169" s="59"/>
      <c r="BC169" s="58">
        <f t="shared" si="91"/>
        <v>1644</v>
      </c>
      <c r="BD169" s="59"/>
      <c r="BE169" s="58" t="str">
        <f t="shared" si="92"/>
        <v/>
      </c>
      <c r="BF169" s="59"/>
      <c r="BG169" s="58" t="str">
        <f t="shared" si="93"/>
        <v/>
      </c>
      <c r="BH169" s="59"/>
      <c r="BI169" s="58" t="str">
        <f t="shared" si="94"/>
        <v/>
      </c>
      <c r="BJ169" s="59"/>
      <c r="BK169" s="58" t="str">
        <f t="shared" si="95"/>
        <v/>
      </c>
      <c r="BL169" s="59"/>
      <c r="BM169" s="58" t="str">
        <f t="shared" si="96"/>
        <v/>
      </c>
      <c r="BN169" s="59"/>
      <c r="BO169" s="58" t="str">
        <f t="shared" si="97"/>
        <v/>
      </c>
      <c r="BP169" s="59"/>
      <c r="BQ169" s="58" t="str">
        <f t="shared" si="98"/>
        <v/>
      </c>
      <c r="BR169" s="59"/>
      <c r="BS169" s="58" t="str">
        <f t="shared" si="99"/>
        <v/>
      </c>
      <c r="BT169" s="59"/>
      <c r="BU169" s="58" t="str">
        <f t="shared" si="100"/>
        <v/>
      </c>
      <c r="BV169" s="59"/>
      <c r="BW169" s="58" t="str">
        <f t="shared" si="101"/>
        <v/>
      </c>
      <c r="BX169" s="59"/>
      <c r="BY169" s="58" t="str">
        <f t="shared" si="102"/>
        <v/>
      </c>
      <c r="BZ169" s="59"/>
    </row>
    <row r="170" spans="1:78" ht="14.5" hidden="1">
      <c r="A170" s="51" t="s">
        <v>58</v>
      </c>
      <c r="B170" s="52">
        <v>371</v>
      </c>
      <c r="C170" s="52" t="s">
        <v>188</v>
      </c>
      <c r="D170" s="41">
        <f t="shared" si="72"/>
        <v>4</v>
      </c>
      <c r="E170" s="170" t="s">
        <v>631</v>
      </c>
      <c r="F170" s="41" t="s">
        <v>631</v>
      </c>
      <c r="G170" s="52" t="s">
        <v>245</v>
      </c>
      <c r="H170" s="52" t="s">
        <v>242</v>
      </c>
      <c r="I170" s="52" t="s">
        <v>244</v>
      </c>
      <c r="J170" s="52" t="s">
        <v>432</v>
      </c>
      <c r="K170" s="53">
        <v>45681</v>
      </c>
      <c r="L170" s="108">
        <v>1336</v>
      </c>
      <c r="M170" s="101">
        <v>1336</v>
      </c>
      <c r="N170" s="101">
        <v>1336</v>
      </c>
      <c r="O170" s="107">
        <f t="shared" si="73"/>
        <v>0</v>
      </c>
      <c r="P170" s="54">
        <f t="shared" si="74"/>
        <v>0</v>
      </c>
      <c r="Q170" s="101" t="s">
        <v>178</v>
      </c>
      <c r="R170" s="101"/>
      <c r="S170" s="101"/>
      <c r="T170" s="102">
        <f t="shared" si="75"/>
        <v>1.8555555555555556</v>
      </c>
      <c r="U170" s="102">
        <v>6</v>
      </c>
      <c r="V170" s="99">
        <v>120</v>
      </c>
      <c r="W170" s="55">
        <f t="shared" si="71"/>
        <v>45661</v>
      </c>
      <c r="X170" s="55"/>
      <c r="Y170" s="56">
        <f t="shared" ca="1" si="76"/>
        <v>-179</v>
      </c>
      <c r="Z170" s="55">
        <f t="shared" si="77"/>
        <v>45677</v>
      </c>
      <c r="AA170" s="55"/>
      <c r="AB170" s="56">
        <f t="shared" ca="1" si="78"/>
        <v>-163</v>
      </c>
      <c r="AC170" s="55"/>
      <c r="AD170" s="57"/>
      <c r="AE170" s="58" t="str">
        <f t="shared" si="79"/>
        <v>-</v>
      </c>
      <c r="AF170" s="59"/>
      <c r="AG170" s="58" t="str">
        <f t="shared" si="80"/>
        <v/>
      </c>
      <c r="AH170" s="59"/>
      <c r="AI170" s="58" t="str">
        <f t="shared" si="81"/>
        <v/>
      </c>
      <c r="AJ170" s="59"/>
      <c r="AK170" s="58" t="str">
        <f t="shared" si="82"/>
        <v/>
      </c>
      <c r="AL170" s="59"/>
      <c r="AM170" s="58" t="str">
        <f t="shared" si="83"/>
        <v/>
      </c>
      <c r="AN170" s="59"/>
      <c r="AO170" s="58" t="str">
        <f t="shared" si="84"/>
        <v/>
      </c>
      <c r="AP170" s="59"/>
      <c r="AQ170" s="58" t="str">
        <f t="shared" si="85"/>
        <v/>
      </c>
      <c r="AR170" s="59"/>
      <c r="AS170" s="58" t="str">
        <f t="shared" si="86"/>
        <v/>
      </c>
      <c r="AT170" s="59"/>
      <c r="AU170" s="58" t="str">
        <f t="shared" si="87"/>
        <v/>
      </c>
      <c r="AV170" s="59"/>
      <c r="AW170" s="58" t="str">
        <f t="shared" si="88"/>
        <v/>
      </c>
      <c r="AX170" s="59"/>
      <c r="AY170" s="58" t="str">
        <f t="shared" si="89"/>
        <v/>
      </c>
      <c r="AZ170" s="59"/>
      <c r="BA170" s="58" t="str">
        <f t="shared" si="90"/>
        <v/>
      </c>
      <c r="BB170" s="59"/>
      <c r="BC170" s="58">
        <f t="shared" si="91"/>
        <v>1336</v>
      </c>
      <c r="BD170" s="59"/>
      <c r="BE170" s="58" t="str">
        <f t="shared" si="92"/>
        <v/>
      </c>
      <c r="BF170" s="59"/>
      <c r="BG170" s="58" t="str">
        <f t="shared" si="93"/>
        <v/>
      </c>
      <c r="BH170" s="59"/>
      <c r="BI170" s="58" t="str">
        <f t="shared" si="94"/>
        <v/>
      </c>
      <c r="BJ170" s="59"/>
      <c r="BK170" s="58" t="str">
        <f t="shared" si="95"/>
        <v/>
      </c>
      <c r="BL170" s="59"/>
      <c r="BM170" s="58" t="str">
        <f t="shared" si="96"/>
        <v/>
      </c>
      <c r="BN170" s="59"/>
      <c r="BO170" s="58" t="str">
        <f t="shared" si="97"/>
        <v/>
      </c>
      <c r="BP170" s="59"/>
      <c r="BQ170" s="58" t="str">
        <f t="shared" si="98"/>
        <v/>
      </c>
      <c r="BR170" s="59"/>
      <c r="BS170" s="58" t="str">
        <f t="shared" si="99"/>
        <v/>
      </c>
      <c r="BT170" s="59"/>
      <c r="BU170" s="58" t="str">
        <f t="shared" si="100"/>
        <v/>
      </c>
      <c r="BV170" s="59"/>
      <c r="BW170" s="58" t="str">
        <f t="shared" si="101"/>
        <v/>
      </c>
      <c r="BX170" s="59"/>
      <c r="BY170" s="58" t="str">
        <f t="shared" si="102"/>
        <v/>
      </c>
      <c r="BZ170" s="59"/>
    </row>
    <row r="171" spans="1:78" ht="14.5" hidden="1">
      <c r="A171" s="51" t="s">
        <v>58</v>
      </c>
      <c r="B171" s="52">
        <v>371</v>
      </c>
      <c r="C171" s="52" t="s">
        <v>188</v>
      </c>
      <c r="D171" s="41">
        <f t="shared" si="72"/>
        <v>4</v>
      </c>
      <c r="E171" s="170">
        <v>45670</v>
      </c>
      <c r="F171" s="41" t="s">
        <v>631</v>
      </c>
      <c r="G171" s="52" t="s">
        <v>158</v>
      </c>
      <c r="H171" s="52" t="s">
        <v>242</v>
      </c>
      <c r="I171" s="52" t="s">
        <v>255</v>
      </c>
      <c r="J171" s="52" t="s">
        <v>498</v>
      </c>
      <c r="K171" s="53">
        <v>45681</v>
      </c>
      <c r="L171" s="108">
        <v>1344</v>
      </c>
      <c r="M171" s="101">
        <v>1344</v>
      </c>
      <c r="N171" s="101">
        <v>1344</v>
      </c>
      <c r="O171" s="107">
        <f t="shared" si="73"/>
        <v>0</v>
      </c>
      <c r="P171" s="54">
        <f t="shared" si="74"/>
        <v>0</v>
      </c>
      <c r="Q171" s="101" t="s">
        <v>439</v>
      </c>
      <c r="R171" s="101"/>
      <c r="S171" s="101"/>
      <c r="T171" s="102">
        <f t="shared" si="75"/>
        <v>1.8666666666666667</v>
      </c>
      <c r="U171" s="102">
        <v>6</v>
      </c>
      <c r="V171" s="99">
        <v>120</v>
      </c>
      <c r="W171" s="55">
        <f t="shared" si="71"/>
        <v>45661</v>
      </c>
      <c r="X171" s="55"/>
      <c r="Y171" s="56">
        <f t="shared" ca="1" si="76"/>
        <v>-179</v>
      </c>
      <c r="Z171" s="55">
        <f t="shared" si="77"/>
        <v>45677</v>
      </c>
      <c r="AA171" s="55"/>
      <c r="AB171" s="56">
        <f t="shared" ca="1" si="78"/>
        <v>-163</v>
      </c>
      <c r="AC171" s="55"/>
      <c r="AD171" s="57"/>
      <c r="AE171" s="58" t="str">
        <f t="shared" si="79"/>
        <v>-</v>
      </c>
      <c r="AF171" s="59"/>
      <c r="AG171" s="58" t="str">
        <f t="shared" si="80"/>
        <v/>
      </c>
      <c r="AH171" s="59"/>
      <c r="AI171" s="58" t="str">
        <f t="shared" si="81"/>
        <v/>
      </c>
      <c r="AJ171" s="59"/>
      <c r="AK171" s="58" t="str">
        <f t="shared" si="82"/>
        <v/>
      </c>
      <c r="AL171" s="59"/>
      <c r="AM171" s="58" t="str">
        <f t="shared" si="83"/>
        <v/>
      </c>
      <c r="AN171" s="59"/>
      <c r="AO171" s="58" t="str">
        <f t="shared" si="84"/>
        <v/>
      </c>
      <c r="AP171" s="59"/>
      <c r="AQ171" s="58" t="str">
        <f t="shared" si="85"/>
        <v/>
      </c>
      <c r="AR171" s="59"/>
      <c r="AS171" s="58" t="str">
        <f t="shared" si="86"/>
        <v/>
      </c>
      <c r="AT171" s="59"/>
      <c r="AU171" s="58" t="str">
        <f t="shared" si="87"/>
        <v/>
      </c>
      <c r="AV171" s="59"/>
      <c r="AW171" s="58" t="str">
        <f t="shared" si="88"/>
        <v/>
      </c>
      <c r="AX171" s="59"/>
      <c r="AY171" s="58" t="str">
        <f t="shared" si="89"/>
        <v/>
      </c>
      <c r="AZ171" s="59"/>
      <c r="BA171" s="58" t="str">
        <f t="shared" si="90"/>
        <v/>
      </c>
      <c r="BB171" s="59"/>
      <c r="BC171" s="58">
        <f t="shared" si="91"/>
        <v>1344</v>
      </c>
      <c r="BD171" s="59"/>
      <c r="BE171" s="58" t="str">
        <f t="shared" si="92"/>
        <v/>
      </c>
      <c r="BF171" s="59"/>
      <c r="BG171" s="58" t="str">
        <f t="shared" si="93"/>
        <v/>
      </c>
      <c r="BH171" s="59"/>
      <c r="BI171" s="58" t="str">
        <f t="shared" si="94"/>
        <v/>
      </c>
      <c r="BJ171" s="59"/>
      <c r="BK171" s="58" t="str">
        <f t="shared" si="95"/>
        <v/>
      </c>
      <c r="BL171" s="59"/>
      <c r="BM171" s="58" t="str">
        <f t="shared" si="96"/>
        <v/>
      </c>
      <c r="BN171" s="59"/>
      <c r="BO171" s="58" t="str">
        <f t="shared" si="97"/>
        <v/>
      </c>
      <c r="BP171" s="59"/>
      <c r="BQ171" s="58" t="str">
        <f t="shared" si="98"/>
        <v/>
      </c>
      <c r="BR171" s="59"/>
      <c r="BS171" s="58" t="str">
        <f t="shared" si="99"/>
        <v/>
      </c>
      <c r="BT171" s="59"/>
      <c r="BU171" s="58" t="str">
        <f t="shared" si="100"/>
        <v/>
      </c>
      <c r="BV171" s="59"/>
      <c r="BW171" s="58" t="str">
        <f t="shared" si="101"/>
        <v/>
      </c>
      <c r="BX171" s="59"/>
      <c r="BY171" s="58" t="str">
        <f t="shared" si="102"/>
        <v/>
      </c>
      <c r="BZ171" s="59"/>
    </row>
    <row r="172" spans="1:78" ht="14.5" hidden="1">
      <c r="A172" s="51" t="s">
        <v>58</v>
      </c>
      <c r="B172" s="52">
        <v>372</v>
      </c>
      <c r="C172" s="52" t="s">
        <v>188</v>
      </c>
      <c r="D172" s="41">
        <f t="shared" si="72"/>
        <v>4</v>
      </c>
      <c r="E172" s="170">
        <v>45672</v>
      </c>
      <c r="F172" s="41" t="s">
        <v>631</v>
      </c>
      <c r="G172" s="52" t="s">
        <v>157</v>
      </c>
      <c r="H172" s="52" t="s">
        <v>243</v>
      </c>
      <c r="I172" s="52" t="s">
        <v>155</v>
      </c>
      <c r="J172" s="52" t="s">
        <v>428</v>
      </c>
      <c r="K172" s="53">
        <v>45681</v>
      </c>
      <c r="L172" s="108">
        <v>4974</v>
      </c>
      <c r="M172" s="101">
        <v>4974</v>
      </c>
      <c r="N172" s="101">
        <v>2300</v>
      </c>
      <c r="O172" s="107">
        <f t="shared" si="73"/>
        <v>2674</v>
      </c>
      <c r="P172" s="54">
        <f t="shared" si="74"/>
        <v>0</v>
      </c>
      <c r="Q172" s="101" t="s">
        <v>429</v>
      </c>
      <c r="R172" s="101"/>
      <c r="S172" s="101"/>
      <c r="T172" s="102">
        <f t="shared" si="75"/>
        <v>0.82899999999999996</v>
      </c>
      <c r="U172" s="102">
        <v>6</v>
      </c>
      <c r="V172" s="99">
        <v>1000</v>
      </c>
      <c r="W172" s="55">
        <f t="shared" si="71"/>
        <v>45661</v>
      </c>
      <c r="X172" s="55"/>
      <c r="Y172" s="56">
        <f t="shared" ca="1" si="76"/>
        <v>-179</v>
      </c>
      <c r="Z172" s="55">
        <f t="shared" si="77"/>
        <v>45677</v>
      </c>
      <c r="AA172" s="55"/>
      <c r="AB172" s="56">
        <f t="shared" ca="1" si="78"/>
        <v>-163</v>
      </c>
      <c r="AC172" s="55"/>
      <c r="AD172" s="57"/>
      <c r="AE172" s="58" t="str">
        <f t="shared" si="79"/>
        <v>-</v>
      </c>
      <c r="AF172" s="59"/>
      <c r="AG172" s="58" t="str">
        <f t="shared" si="80"/>
        <v/>
      </c>
      <c r="AH172" s="59"/>
      <c r="AI172" s="58" t="str">
        <f t="shared" si="81"/>
        <v/>
      </c>
      <c r="AJ172" s="59"/>
      <c r="AK172" s="58" t="str">
        <f t="shared" si="82"/>
        <v/>
      </c>
      <c r="AL172" s="59"/>
      <c r="AM172" s="58" t="str">
        <f t="shared" si="83"/>
        <v/>
      </c>
      <c r="AN172" s="59"/>
      <c r="AO172" s="58" t="str">
        <f t="shared" si="84"/>
        <v/>
      </c>
      <c r="AP172" s="59"/>
      <c r="AQ172" s="58" t="str">
        <f t="shared" si="85"/>
        <v/>
      </c>
      <c r="AR172" s="59"/>
      <c r="AS172" s="58" t="str">
        <f t="shared" si="86"/>
        <v/>
      </c>
      <c r="AT172" s="59"/>
      <c r="AU172" s="58" t="str">
        <f t="shared" si="87"/>
        <v/>
      </c>
      <c r="AV172" s="59"/>
      <c r="AW172" s="58" t="str">
        <f t="shared" si="88"/>
        <v/>
      </c>
      <c r="AX172" s="59"/>
      <c r="AY172" s="58" t="str">
        <f t="shared" si="89"/>
        <v/>
      </c>
      <c r="AZ172" s="59"/>
      <c r="BA172" s="58" t="str">
        <f t="shared" si="90"/>
        <v/>
      </c>
      <c r="BB172" s="59"/>
      <c r="BC172" s="58">
        <f t="shared" si="91"/>
        <v>4974</v>
      </c>
      <c r="BD172" s="59"/>
      <c r="BE172" s="58" t="str">
        <f t="shared" si="92"/>
        <v/>
      </c>
      <c r="BF172" s="59"/>
      <c r="BG172" s="58" t="str">
        <f t="shared" si="93"/>
        <v/>
      </c>
      <c r="BH172" s="59"/>
      <c r="BI172" s="58" t="str">
        <f t="shared" si="94"/>
        <v/>
      </c>
      <c r="BJ172" s="59"/>
      <c r="BK172" s="58" t="str">
        <f t="shared" si="95"/>
        <v/>
      </c>
      <c r="BL172" s="59"/>
      <c r="BM172" s="58" t="str">
        <f t="shared" si="96"/>
        <v/>
      </c>
      <c r="BN172" s="59"/>
      <c r="BO172" s="58" t="str">
        <f t="shared" si="97"/>
        <v/>
      </c>
      <c r="BP172" s="59"/>
      <c r="BQ172" s="58" t="str">
        <f t="shared" si="98"/>
        <v/>
      </c>
      <c r="BR172" s="59"/>
      <c r="BS172" s="58" t="str">
        <f t="shared" si="99"/>
        <v/>
      </c>
      <c r="BT172" s="59"/>
      <c r="BU172" s="58" t="str">
        <f t="shared" si="100"/>
        <v/>
      </c>
      <c r="BV172" s="59"/>
      <c r="BW172" s="58" t="str">
        <f t="shared" si="101"/>
        <v/>
      </c>
      <c r="BX172" s="59"/>
      <c r="BY172" s="58" t="str">
        <f t="shared" si="102"/>
        <v/>
      </c>
      <c r="BZ172" s="59"/>
    </row>
    <row r="173" spans="1:78" ht="14.5" hidden="1">
      <c r="A173" s="51" t="s">
        <v>58</v>
      </c>
      <c r="B173" s="52">
        <v>372</v>
      </c>
      <c r="C173" s="52" t="s">
        <v>188</v>
      </c>
      <c r="D173" s="41">
        <f t="shared" si="72"/>
        <v>4</v>
      </c>
      <c r="E173" s="170">
        <v>45670</v>
      </c>
      <c r="F173" s="41" t="s">
        <v>631</v>
      </c>
      <c r="G173" s="52" t="s">
        <v>158</v>
      </c>
      <c r="H173" s="52" t="s">
        <v>242</v>
      </c>
      <c r="I173" s="52" t="s">
        <v>255</v>
      </c>
      <c r="J173" s="52" t="s">
        <v>498</v>
      </c>
      <c r="K173" s="53">
        <v>45681</v>
      </c>
      <c r="L173" s="108">
        <v>636</v>
      </c>
      <c r="M173" s="101">
        <v>636</v>
      </c>
      <c r="N173" s="101"/>
      <c r="O173" s="107">
        <f t="shared" si="73"/>
        <v>636</v>
      </c>
      <c r="P173" s="54">
        <f t="shared" si="74"/>
        <v>0</v>
      </c>
      <c r="Q173" s="101" t="s">
        <v>437</v>
      </c>
      <c r="R173" s="101"/>
      <c r="S173" s="101"/>
      <c r="T173" s="102">
        <f t="shared" si="75"/>
        <v>0.8833333333333333</v>
      </c>
      <c r="U173" s="102">
        <v>6</v>
      </c>
      <c r="V173" s="99">
        <v>120</v>
      </c>
      <c r="W173" s="55">
        <f t="shared" si="71"/>
        <v>45661</v>
      </c>
      <c r="X173" s="55"/>
      <c r="Y173" s="56">
        <f t="shared" ca="1" si="76"/>
        <v>-179</v>
      </c>
      <c r="Z173" s="55">
        <f t="shared" si="77"/>
        <v>45677</v>
      </c>
      <c r="AA173" s="55"/>
      <c r="AB173" s="56">
        <f t="shared" ca="1" si="78"/>
        <v>-163</v>
      </c>
      <c r="AC173" s="55"/>
      <c r="AD173" s="57"/>
      <c r="AE173" s="58" t="str">
        <f t="shared" si="79"/>
        <v>-</v>
      </c>
      <c r="AF173" s="59"/>
      <c r="AG173" s="58" t="str">
        <f t="shared" si="80"/>
        <v/>
      </c>
      <c r="AH173" s="59"/>
      <c r="AI173" s="58" t="str">
        <f t="shared" si="81"/>
        <v/>
      </c>
      <c r="AJ173" s="59"/>
      <c r="AK173" s="58" t="str">
        <f t="shared" si="82"/>
        <v/>
      </c>
      <c r="AL173" s="59"/>
      <c r="AM173" s="58" t="str">
        <f t="shared" si="83"/>
        <v/>
      </c>
      <c r="AN173" s="59"/>
      <c r="AO173" s="58" t="str">
        <f t="shared" si="84"/>
        <v/>
      </c>
      <c r="AP173" s="59"/>
      <c r="AQ173" s="58" t="str">
        <f t="shared" si="85"/>
        <v/>
      </c>
      <c r="AR173" s="59"/>
      <c r="AS173" s="58" t="str">
        <f t="shared" si="86"/>
        <v/>
      </c>
      <c r="AT173" s="59"/>
      <c r="AU173" s="58" t="str">
        <f t="shared" si="87"/>
        <v/>
      </c>
      <c r="AV173" s="59"/>
      <c r="AW173" s="58" t="str">
        <f t="shared" si="88"/>
        <v/>
      </c>
      <c r="AX173" s="59"/>
      <c r="AY173" s="58" t="str">
        <f t="shared" si="89"/>
        <v/>
      </c>
      <c r="AZ173" s="59"/>
      <c r="BA173" s="58" t="str">
        <f t="shared" si="90"/>
        <v/>
      </c>
      <c r="BB173" s="59"/>
      <c r="BC173" s="58">
        <f t="shared" si="91"/>
        <v>636</v>
      </c>
      <c r="BD173" s="59"/>
      <c r="BE173" s="58" t="str">
        <f t="shared" si="92"/>
        <v/>
      </c>
      <c r="BF173" s="59"/>
      <c r="BG173" s="58" t="str">
        <f t="shared" si="93"/>
        <v/>
      </c>
      <c r="BH173" s="59"/>
      <c r="BI173" s="58" t="str">
        <f t="shared" si="94"/>
        <v/>
      </c>
      <c r="BJ173" s="59"/>
      <c r="BK173" s="58" t="str">
        <f t="shared" si="95"/>
        <v/>
      </c>
      <c r="BL173" s="59"/>
      <c r="BM173" s="58" t="str">
        <f t="shared" si="96"/>
        <v/>
      </c>
      <c r="BN173" s="59"/>
      <c r="BO173" s="58" t="str">
        <f t="shared" si="97"/>
        <v/>
      </c>
      <c r="BP173" s="59"/>
      <c r="BQ173" s="58" t="str">
        <f t="shared" si="98"/>
        <v/>
      </c>
      <c r="BR173" s="59"/>
      <c r="BS173" s="58" t="str">
        <f t="shared" si="99"/>
        <v/>
      </c>
      <c r="BT173" s="59"/>
      <c r="BU173" s="58" t="str">
        <f t="shared" si="100"/>
        <v/>
      </c>
      <c r="BV173" s="59"/>
      <c r="BW173" s="58" t="str">
        <f t="shared" si="101"/>
        <v/>
      </c>
      <c r="BX173" s="59"/>
      <c r="BY173" s="58" t="str">
        <f t="shared" si="102"/>
        <v/>
      </c>
      <c r="BZ173" s="59"/>
    </row>
    <row r="174" spans="1:78" ht="14.5" hidden="1">
      <c r="A174" s="51" t="s">
        <v>58</v>
      </c>
      <c r="B174" s="52">
        <v>372</v>
      </c>
      <c r="C174" s="52" t="s">
        <v>188</v>
      </c>
      <c r="D174" s="41">
        <f t="shared" si="72"/>
        <v>4</v>
      </c>
      <c r="E174" s="170">
        <v>45667</v>
      </c>
      <c r="F174" s="41" t="s">
        <v>631</v>
      </c>
      <c r="G174" s="52" t="s">
        <v>190</v>
      </c>
      <c r="H174" s="52" t="s">
        <v>242</v>
      </c>
      <c r="I174" s="52" t="s">
        <v>244</v>
      </c>
      <c r="J174" s="52" t="s">
        <v>453</v>
      </c>
      <c r="K174" s="53">
        <v>45681</v>
      </c>
      <c r="L174" s="108">
        <v>1356</v>
      </c>
      <c r="M174" s="101">
        <v>1356</v>
      </c>
      <c r="N174" s="101">
        <v>1356</v>
      </c>
      <c r="O174" s="107">
        <f t="shared" si="73"/>
        <v>0</v>
      </c>
      <c r="P174" s="54">
        <f t="shared" si="74"/>
        <v>0</v>
      </c>
      <c r="Q174" s="101" t="s">
        <v>439</v>
      </c>
      <c r="R174" s="101"/>
      <c r="S174" s="101"/>
      <c r="T174" s="102">
        <f t="shared" si="75"/>
        <v>1.8833333333333333</v>
      </c>
      <c r="U174" s="102">
        <v>6</v>
      </c>
      <c r="V174" s="99">
        <v>120</v>
      </c>
      <c r="W174" s="55">
        <f t="shared" si="71"/>
        <v>45661</v>
      </c>
      <c r="X174" s="55"/>
      <c r="Y174" s="56">
        <f t="shared" ca="1" si="76"/>
        <v>-179</v>
      </c>
      <c r="Z174" s="55">
        <f t="shared" si="77"/>
        <v>45677</v>
      </c>
      <c r="AA174" s="55"/>
      <c r="AB174" s="56">
        <f t="shared" ca="1" si="78"/>
        <v>-163</v>
      </c>
      <c r="AC174" s="55"/>
      <c r="AD174" s="57"/>
      <c r="AE174" s="58" t="str">
        <f t="shared" si="79"/>
        <v>-</v>
      </c>
      <c r="AF174" s="59"/>
      <c r="AG174" s="58" t="str">
        <f t="shared" si="80"/>
        <v/>
      </c>
      <c r="AH174" s="59"/>
      <c r="AI174" s="58" t="str">
        <f t="shared" si="81"/>
        <v/>
      </c>
      <c r="AJ174" s="59"/>
      <c r="AK174" s="58" t="str">
        <f t="shared" si="82"/>
        <v/>
      </c>
      <c r="AL174" s="59"/>
      <c r="AM174" s="58" t="str">
        <f t="shared" si="83"/>
        <v/>
      </c>
      <c r="AN174" s="59"/>
      <c r="AO174" s="58" t="str">
        <f t="shared" si="84"/>
        <v/>
      </c>
      <c r="AP174" s="59"/>
      <c r="AQ174" s="58" t="str">
        <f t="shared" si="85"/>
        <v/>
      </c>
      <c r="AR174" s="59"/>
      <c r="AS174" s="58" t="str">
        <f t="shared" si="86"/>
        <v/>
      </c>
      <c r="AT174" s="59"/>
      <c r="AU174" s="58" t="str">
        <f t="shared" si="87"/>
        <v/>
      </c>
      <c r="AV174" s="59"/>
      <c r="AW174" s="58" t="str">
        <f t="shared" si="88"/>
        <v/>
      </c>
      <c r="AX174" s="59"/>
      <c r="AY174" s="58" t="str">
        <f t="shared" si="89"/>
        <v/>
      </c>
      <c r="AZ174" s="59"/>
      <c r="BA174" s="58" t="str">
        <f t="shared" si="90"/>
        <v/>
      </c>
      <c r="BB174" s="59"/>
      <c r="BC174" s="58">
        <f t="shared" si="91"/>
        <v>1356</v>
      </c>
      <c r="BD174" s="59"/>
      <c r="BE174" s="58" t="str">
        <f t="shared" si="92"/>
        <v/>
      </c>
      <c r="BF174" s="59"/>
      <c r="BG174" s="58" t="str">
        <f t="shared" si="93"/>
        <v/>
      </c>
      <c r="BH174" s="59"/>
      <c r="BI174" s="58" t="str">
        <f t="shared" si="94"/>
        <v/>
      </c>
      <c r="BJ174" s="59"/>
      <c r="BK174" s="58" t="str">
        <f t="shared" si="95"/>
        <v/>
      </c>
      <c r="BL174" s="59"/>
      <c r="BM174" s="58" t="str">
        <f t="shared" si="96"/>
        <v/>
      </c>
      <c r="BN174" s="59"/>
      <c r="BO174" s="58" t="str">
        <f t="shared" si="97"/>
        <v/>
      </c>
      <c r="BP174" s="59"/>
      <c r="BQ174" s="58" t="str">
        <f t="shared" si="98"/>
        <v/>
      </c>
      <c r="BR174" s="59"/>
      <c r="BS174" s="58" t="str">
        <f t="shared" si="99"/>
        <v/>
      </c>
      <c r="BT174" s="59"/>
      <c r="BU174" s="58" t="str">
        <f t="shared" si="100"/>
        <v/>
      </c>
      <c r="BV174" s="59"/>
      <c r="BW174" s="58" t="str">
        <f t="shared" si="101"/>
        <v/>
      </c>
      <c r="BX174" s="59"/>
      <c r="BY174" s="58" t="str">
        <f t="shared" si="102"/>
        <v/>
      </c>
      <c r="BZ174" s="59"/>
    </row>
    <row r="175" spans="1:78" ht="14.5" hidden="1">
      <c r="A175" s="51" t="s">
        <v>58</v>
      </c>
      <c r="B175" s="52">
        <v>376</v>
      </c>
      <c r="C175" s="52" t="s">
        <v>188</v>
      </c>
      <c r="D175" s="41">
        <f t="shared" si="72"/>
        <v>4</v>
      </c>
      <c r="E175" s="170">
        <v>45669</v>
      </c>
      <c r="F175" s="41" t="s">
        <v>631</v>
      </c>
      <c r="G175" s="52" t="s">
        <v>193</v>
      </c>
      <c r="H175" s="52" t="s">
        <v>246</v>
      </c>
      <c r="I175" s="52" t="s">
        <v>162</v>
      </c>
      <c r="J175" s="52" t="s">
        <v>434</v>
      </c>
      <c r="K175" s="53">
        <v>45682</v>
      </c>
      <c r="L175" s="108">
        <f>2295*2</f>
        <v>4590</v>
      </c>
      <c r="M175" s="101">
        <v>4590</v>
      </c>
      <c r="N175" s="101">
        <v>1530</v>
      </c>
      <c r="O175" s="107">
        <f t="shared" si="73"/>
        <v>3060</v>
      </c>
      <c r="P175" s="54">
        <f t="shared" si="74"/>
        <v>0</v>
      </c>
      <c r="Q175" s="101" t="s">
        <v>670</v>
      </c>
      <c r="R175" s="101"/>
      <c r="S175" s="101"/>
      <c r="T175" s="102">
        <f t="shared" si="75"/>
        <v>13.114285714285714</v>
      </c>
      <c r="U175" s="102">
        <v>1</v>
      </c>
      <c r="V175" s="99">
        <v>350</v>
      </c>
      <c r="W175" s="55">
        <f t="shared" si="71"/>
        <v>45662</v>
      </c>
      <c r="X175" s="55">
        <v>45627</v>
      </c>
      <c r="Y175" s="56">
        <f t="shared" ca="1" si="76"/>
        <v>35</v>
      </c>
      <c r="Z175" s="55">
        <f t="shared" si="77"/>
        <v>45678</v>
      </c>
      <c r="AA175" s="55"/>
      <c r="AB175" s="56">
        <f t="shared" ca="1" si="78"/>
        <v>-162</v>
      </c>
      <c r="AC175" s="55"/>
      <c r="AD175" s="57"/>
      <c r="AE175" s="58" t="str">
        <f t="shared" si="79"/>
        <v>-</v>
      </c>
      <c r="AF175" s="59"/>
      <c r="AG175" s="58" t="str">
        <f t="shared" si="80"/>
        <v/>
      </c>
      <c r="AH175" s="59"/>
      <c r="AI175" s="58" t="str">
        <f t="shared" si="81"/>
        <v/>
      </c>
      <c r="AJ175" s="59"/>
      <c r="AK175" s="58" t="str">
        <f t="shared" si="82"/>
        <v/>
      </c>
      <c r="AL175" s="59"/>
      <c r="AM175" s="58" t="str">
        <f t="shared" si="83"/>
        <v/>
      </c>
      <c r="AN175" s="59"/>
      <c r="AO175" s="58" t="str">
        <f t="shared" si="84"/>
        <v/>
      </c>
      <c r="AP175" s="59"/>
      <c r="AQ175" s="58" t="str">
        <f t="shared" si="85"/>
        <v/>
      </c>
      <c r="AR175" s="59"/>
      <c r="AS175" s="58" t="str">
        <f t="shared" si="86"/>
        <v/>
      </c>
      <c r="AT175" s="59"/>
      <c r="AU175" s="58" t="str">
        <f t="shared" si="87"/>
        <v/>
      </c>
      <c r="AV175" s="59"/>
      <c r="AW175" s="58" t="str">
        <f t="shared" si="88"/>
        <v/>
      </c>
      <c r="AX175" s="59"/>
      <c r="AY175" s="58" t="str">
        <f t="shared" si="89"/>
        <v/>
      </c>
      <c r="AZ175" s="59"/>
      <c r="BA175" s="58" t="str">
        <f t="shared" si="90"/>
        <v/>
      </c>
      <c r="BB175" s="59"/>
      <c r="BC175" s="58" t="str">
        <f t="shared" si="91"/>
        <v/>
      </c>
      <c r="BD175" s="59"/>
      <c r="BE175" s="58">
        <f t="shared" si="92"/>
        <v>4590</v>
      </c>
      <c r="BF175" s="59"/>
      <c r="BG175" s="58" t="str">
        <f t="shared" si="93"/>
        <v/>
      </c>
      <c r="BH175" s="59"/>
      <c r="BI175" s="58" t="str">
        <f t="shared" si="94"/>
        <v/>
      </c>
      <c r="BJ175" s="59"/>
      <c r="BK175" s="58" t="str">
        <f t="shared" si="95"/>
        <v/>
      </c>
      <c r="BL175" s="59"/>
      <c r="BM175" s="58" t="str">
        <f t="shared" si="96"/>
        <v/>
      </c>
      <c r="BN175" s="59"/>
      <c r="BO175" s="58" t="str">
        <f t="shared" si="97"/>
        <v/>
      </c>
      <c r="BP175" s="59"/>
      <c r="BQ175" s="58" t="str">
        <f t="shared" si="98"/>
        <v/>
      </c>
      <c r="BR175" s="59"/>
      <c r="BS175" s="58" t="str">
        <f t="shared" si="99"/>
        <v/>
      </c>
      <c r="BT175" s="59"/>
      <c r="BU175" s="58" t="str">
        <f t="shared" si="100"/>
        <v/>
      </c>
      <c r="BV175" s="59"/>
      <c r="BW175" s="58" t="str">
        <f t="shared" si="101"/>
        <v/>
      </c>
      <c r="BX175" s="59"/>
      <c r="BY175" s="58" t="str">
        <f t="shared" si="102"/>
        <v/>
      </c>
      <c r="BZ175" s="59"/>
    </row>
    <row r="176" spans="1:78" ht="14.5" hidden="1">
      <c r="A176" s="51" t="s">
        <v>58</v>
      </c>
      <c r="B176" s="52">
        <v>376</v>
      </c>
      <c r="C176" s="52" t="s">
        <v>188</v>
      </c>
      <c r="D176" s="41">
        <f t="shared" si="72"/>
        <v>4</v>
      </c>
      <c r="E176" s="170">
        <v>45669</v>
      </c>
      <c r="F176" s="41" t="s">
        <v>631</v>
      </c>
      <c r="G176" s="52" t="s">
        <v>502</v>
      </c>
      <c r="H176" s="52" t="s">
        <v>289</v>
      </c>
      <c r="I176" s="52" t="s">
        <v>155</v>
      </c>
      <c r="J176" s="52" t="s">
        <v>503</v>
      </c>
      <c r="K176" s="53">
        <v>45682</v>
      </c>
      <c r="L176" s="108">
        <v>2124</v>
      </c>
      <c r="M176" s="101">
        <v>2124</v>
      </c>
      <c r="N176" s="101"/>
      <c r="O176" s="107">
        <f t="shared" si="73"/>
        <v>2124</v>
      </c>
      <c r="P176" s="54">
        <f t="shared" si="74"/>
        <v>0</v>
      </c>
      <c r="Q176" s="101" t="s">
        <v>671</v>
      </c>
      <c r="R176" s="101"/>
      <c r="S176" s="101"/>
      <c r="T176" s="102">
        <f t="shared" si="75"/>
        <v>11.0625</v>
      </c>
      <c r="U176" s="102">
        <v>6</v>
      </c>
      <c r="V176" s="99">
        <f>480/15</f>
        <v>32</v>
      </c>
      <c r="W176" s="55">
        <f t="shared" si="71"/>
        <v>45662</v>
      </c>
      <c r="X176" s="55"/>
      <c r="Y176" s="56">
        <f t="shared" ca="1" si="76"/>
        <v>-178</v>
      </c>
      <c r="Z176" s="55">
        <f t="shared" si="77"/>
        <v>45678</v>
      </c>
      <c r="AA176" s="55"/>
      <c r="AB176" s="56">
        <f t="shared" ca="1" si="78"/>
        <v>-162</v>
      </c>
      <c r="AC176" s="55"/>
      <c r="AD176" s="57"/>
      <c r="AE176" s="58" t="str">
        <f t="shared" si="79"/>
        <v>-</v>
      </c>
      <c r="AF176" s="59"/>
      <c r="AG176" s="58" t="str">
        <f t="shared" si="80"/>
        <v/>
      </c>
      <c r="AH176" s="59"/>
      <c r="AI176" s="58" t="str">
        <f t="shared" si="81"/>
        <v/>
      </c>
      <c r="AJ176" s="59"/>
      <c r="AK176" s="58" t="str">
        <f t="shared" si="82"/>
        <v/>
      </c>
      <c r="AL176" s="59"/>
      <c r="AM176" s="58" t="str">
        <f t="shared" si="83"/>
        <v/>
      </c>
      <c r="AN176" s="59"/>
      <c r="AO176" s="58" t="str">
        <f t="shared" si="84"/>
        <v/>
      </c>
      <c r="AP176" s="59"/>
      <c r="AQ176" s="58" t="str">
        <f t="shared" si="85"/>
        <v/>
      </c>
      <c r="AR176" s="59"/>
      <c r="AS176" s="58" t="str">
        <f t="shared" si="86"/>
        <v/>
      </c>
      <c r="AT176" s="59"/>
      <c r="AU176" s="58" t="str">
        <f t="shared" si="87"/>
        <v/>
      </c>
      <c r="AV176" s="59"/>
      <c r="AW176" s="58" t="str">
        <f t="shared" si="88"/>
        <v/>
      </c>
      <c r="AX176" s="59"/>
      <c r="AY176" s="58" t="str">
        <f t="shared" si="89"/>
        <v/>
      </c>
      <c r="AZ176" s="59"/>
      <c r="BA176" s="58" t="str">
        <f t="shared" si="90"/>
        <v/>
      </c>
      <c r="BB176" s="59"/>
      <c r="BC176" s="58" t="str">
        <f t="shared" si="91"/>
        <v/>
      </c>
      <c r="BD176" s="59"/>
      <c r="BE176" s="58">
        <f t="shared" si="92"/>
        <v>2124</v>
      </c>
      <c r="BF176" s="59"/>
      <c r="BG176" s="58" t="str">
        <f t="shared" si="93"/>
        <v/>
      </c>
      <c r="BH176" s="59"/>
      <c r="BI176" s="58" t="str">
        <f t="shared" si="94"/>
        <v/>
      </c>
      <c r="BJ176" s="59"/>
      <c r="BK176" s="58" t="str">
        <f t="shared" si="95"/>
        <v/>
      </c>
      <c r="BL176" s="59"/>
      <c r="BM176" s="58" t="str">
        <f t="shared" si="96"/>
        <v/>
      </c>
      <c r="BN176" s="59"/>
      <c r="BO176" s="58" t="str">
        <f t="shared" si="97"/>
        <v/>
      </c>
      <c r="BP176" s="59"/>
      <c r="BQ176" s="58" t="str">
        <f t="shared" si="98"/>
        <v/>
      </c>
      <c r="BR176" s="59"/>
      <c r="BS176" s="58" t="str">
        <f t="shared" si="99"/>
        <v/>
      </c>
      <c r="BT176" s="59"/>
      <c r="BU176" s="58" t="str">
        <f t="shared" si="100"/>
        <v/>
      </c>
      <c r="BV176" s="59"/>
      <c r="BW176" s="58" t="str">
        <f t="shared" si="101"/>
        <v/>
      </c>
      <c r="BX176" s="59"/>
      <c r="BY176" s="58" t="str">
        <f t="shared" si="102"/>
        <v/>
      </c>
      <c r="BZ176" s="59"/>
    </row>
    <row r="177" spans="1:78" ht="14.5" hidden="1">
      <c r="A177" s="51" t="s">
        <v>58</v>
      </c>
      <c r="B177" s="52">
        <v>376</v>
      </c>
      <c r="C177" s="52" t="s">
        <v>188</v>
      </c>
      <c r="D177" s="41">
        <f t="shared" si="72"/>
        <v>4</v>
      </c>
      <c r="E177" s="170">
        <v>45669</v>
      </c>
      <c r="F177" s="41" t="s">
        <v>631</v>
      </c>
      <c r="G177" s="52" t="s">
        <v>502</v>
      </c>
      <c r="H177" s="52" t="s">
        <v>289</v>
      </c>
      <c r="I177" s="52" t="s">
        <v>154</v>
      </c>
      <c r="J177" s="52" t="s">
        <v>503</v>
      </c>
      <c r="K177" s="53">
        <v>45682</v>
      </c>
      <c r="L177" s="108">
        <v>1770</v>
      </c>
      <c r="M177" s="101">
        <v>0</v>
      </c>
      <c r="N177" s="101"/>
      <c r="O177" s="107">
        <f t="shared" si="73"/>
        <v>1770</v>
      </c>
      <c r="P177" s="54">
        <f t="shared" si="74"/>
        <v>1770</v>
      </c>
      <c r="Q177" s="101" t="s">
        <v>505</v>
      </c>
      <c r="R177" s="101"/>
      <c r="S177" s="101"/>
      <c r="T177" s="102">
        <f t="shared" si="75"/>
        <v>9.21875</v>
      </c>
      <c r="U177" s="102">
        <v>6</v>
      </c>
      <c r="V177" s="99">
        <f>480/15</f>
        <v>32</v>
      </c>
      <c r="W177" s="55">
        <f t="shared" si="71"/>
        <v>45662</v>
      </c>
      <c r="X177" s="55"/>
      <c r="Y177" s="56">
        <f t="shared" ca="1" si="76"/>
        <v>-178</v>
      </c>
      <c r="Z177" s="55">
        <f t="shared" si="77"/>
        <v>45678</v>
      </c>
      <c r="AA177" s="55"/>
      <c r="AB177" s="56">
        <f t="shared" ca="1" si="78"/>
        <v>-162</v>
      </c>
      <c r="AC177" s="55"/>
      <c r="AD177" s="57"/>
      <c r="AE177" s="58" t="str">
        <f t="shared" si="79"/>
        <v>-</v>
      </c>
      <c r="AF177" s="59"/>
      <c r="AG177" s="58" t="str">
        <f t="shared" si="80"/>
        <v/>
      </c>
      <c r="AH177" s="59"/>
      <c r="AI177" s="58" t="str">
        <f t="shared" si="81"/>
        <v/>
      </c>
      <c r="AJ177" s="59"/>
      <c r="AK177" s="58" t="str">
        <f t="shared" si="82"/>
        <v/>
      </c>
      <c r="AL177" s="59"/>
      <c r="AM177" s="58" t="str">
        <f t="shared" si="83"/>
        <v/>
      </c>
      <c r="AN177" s="59"/>
      <c r="AO177" s="58" t="str">
        <f t="shared" si="84"/>
        <v/>
      </c>
      <c r="AP177" s="59"/>
      <c r="AQ177" s="58" t="str">
        <f t="shared" si="85"/>
        <v/>
      </c>
      <c r="AR177" s="59"/>
      <c r="AS177" s="58" t="str">
        <f t="shared" si="86"/>
        <v/>
      </c>
      <c r="AT177" s="59"/>
      <c r="AU177" s="58" t="str">
        <f t="shared" si="87"/>
        <v/>
      </c>
      <c r="AV177" s="59"/>
      <c r="AW177" s="58" t="str">
        <f t="shared" si="88"/>
        <v/>
      </c>
      <c r="AX177" s="59"/>
      <c r="AY177" s="58" t="str">
        <f t="shared" si="89"/>
        <v/>
      </c>
      <c r="AZ177" s="59"/>
      <c r="BA177" s="58" t="str">
        <f t="shared" si="90"/>
        <v/>
      </c>
      <c r="BB177" s="59"/>
      <c r="BC177" s="58" t="str">
        <f t="shared" si="91"/>
        <v/>
      </c>
      <c r="BD177" s="59"/>
      <c r="BE177" s="58">
        <f t="shared" si="92"/>
        <v>1770</v>
      </c>
      <c r="BF177" s="59"/>
      <c r="BG177" s="58" t="str">
        <f t="shared" si="93"/>
        <v/>
      </c>
      <c r="BH177" s="59"/>
      <c r="BI177" s="58" t="str">
        <f t="shared" si="94"/>
        <v/>
      </c>
      <c r="BJ177" s="59"/>
      <c r="BK177" s="58" t="str">
        <f t="shared" si="95"/>
        <v/>
      </c>
      <c r="BL177" s="59"/>
      <c r="BM177" s="58" t="str">
        <f t="shared" si="96"/>
        <v/>
      </c>
      <c r="BN177" s="59"/>
      <c r="BO177" s="58" t="str">
        <f t="shared" si="97"/>
        <v/>
      </c>
      <c r="BP177" s="59"/>
      <c r="BQ177" s="58" t="str">
        <f t="shared" si="98"/>
        <v/>
      </c>
      <c r="BR177" s="59"/>
      <c r="BS177" s="58" t="str">
        <f t="shared" si="99"/>
        <v/>
      </c>
      <c r="BT177" s="59"/>
      <c r="BU177" s="58" t="str">
        <f t="shared" si="100"/>
        <v/>
      </c>
      <c r="BV177" s="59"/>
      <c r="BW177" s="58" t="str">
        <f t="shared" si="101"/>
        <v/>
      </c>
      <c r="BX177" s="59"/>
      <c r="BY177" s="58" t="str">
        <f t="shared" si="102"/>
        <v/>
      </c>
      <c r="BZ177" s="59"/>
    </row>
    <row r="178" spans="1:78" ht="14.5" hidden="1">
      <c r="A178" s="51" t="s">
        <v>58</v>
      </c>
      <c r="B178" s="52">
        <v>376</v>
      </c>
      <c r="C178" s="52" t="s">
        <v>188</v>
      </c>
      <c r="D178" s="41">
        <f t="shared" si="72"/>
        <v>4</v>
      </c>
      <c r="E178" s="170">
        <v>45669</v>
      </c>
      <c r="F178" s="41" t="s">
        <v>631</v>
      </c>
      <c r="G178" s="52" t="s">
        <v>502</v>
      </c>
      <c r="H178" s="52" t="s">
        <v>289</v>
      </c>
      <c r="I178" s="52" t="s">
        <v>156</v>
      </c>
      <c r="J178" s="52" t="s">
        <v>503</v>
      </c>
      <c r="K178" s="53">
        <v>45682</v>
      </c>
      <c r="L178" s="108">
        <v>1416</v>
      </c>
      <c r="M178" s="101">
        <v>0</v>
      </c>
      <c r="N178" s="101"/>
      <c r="O178" s="107">
        <f t="shared" si="73"/>
        <v>1416</v>
      </c>
      <c r="P178" s="54">
        <f t="shared" si="74"/>
        <v>1416</v>
      </c>
      <c r="Q178" s="101" t="s">
        <v>506</v>
      </c>
      <c r="R178" s="101"/>
      <c r="S178" s="101"/>
      <c r="T178" s="102">
        <f t="shared" si="75"/>
        <v>7.375</v>
      </c>
      <c r="U178" s="102">
        <v>6</v>
      </c>
      <c r="V178" s="99">
        <f>480/15</f>
        <v>32</v>
      </c>
      <c r="W178" s="55">
        <f t="shared" si="71"/>
        <v>45662</v>
      </c>
      <c r="X178" s="55"/>
      <c r="Y178" s="56">
        <f t="shared" ca="1" si="76"/>
        <v>-178</v>
      </c>
      <c r="Z178" s="55">
        <f t="shared" si="77"/>
        <v>45678</v>
      </c>
      <c r="AA178" s="55"/>
      <c r="AB178" s="56">
        <f t="shared" ca="1" si="78"/>
        <v>-162</v>
      </c>
      <c r="AC178" s="55"/>
      <c r="AD178" s="57"/>
      <c r="AE178" s="58" t="str">
        <f t="shared" si="79"/>
        <v>-</v>
      </c>
      <c r="AF178" s="59"/>
      <c r="AG178" s="58" t="str">
        <f t="shared" si="80"/>
        <v/>
      </c>
      <c r="AH178" s="59"/>
      <c r="AI178" s="58" t="str">
        <f t="shared" si="81"/>
        <v/>
      </c>
      <c r="AJ178" s="59"/>
      <c r="AK178" s="58" t="str">
        <f t="shared" si="82"/>
        <v/>
      </c>
      <c r="AL178" s="59"/>
      <c r="AM178" s="58" t="str">
        <f t="shared" si="83"/>
        <v/>
      </c>
      <c r="AN178" s="59"/>
      <c r="AO178" s="58" t="str">
        <f t="shared" si="84"/>
        <v/>
      </c>
      <c r="AP178" s="59"/>
      <c r="AQ178" s="58" t="str">
        <f t="shared" si="85"/>
        <v/>
      </c>
      <c r="AR178" s="59"/>
      <c r="AS178" s="58" t="str">
        <f t="shared" si="86"/>
        <v/>
      </c>
      <c r="AT178" s="59"/>
      <c r="AU178" s="58" t="str">
        <f t="shared" si="87"/>
        <v/>
      </c>
      <c r="AV178" s="59"/>
      <c r="AW178" s="58" t="str">
        <f t="shared" si="88"/>
        <v/>
      </c>
      <c r="AX178" s="59"/>
      <c r="AY178" s="58" t="str">
        <f t="shared" si="89"/>
        <v/>
      </c>
      <c r="AZ178" s="59"/>
      <c r="BA178" s="58" t="str">
        <f t="shared" si="90"/>
        <v/>
      </c>
      <c r="BB178" s="59"/>
      <c r="BC178" s="58" t="str">
        <f t="shared" si="91"/>
        <v/>
      </c>
      <c r="BD178" s="59"/>
      <c r="BE178" s="58">
        <f t="shared" si="92"/>
        <v>1416</v>
      </c>
      <c r="BF178" s="59"/>
      <c r="BG178" s="58" t="str">
        <f t="shared" si="93"/>
        <v/>
      </c>
      <c r="BH178" s="59"/>
      <c r="BI178" s="58" t="str">
        <f t="shared" si="94"/>
        <v/>
      </c>
      <c r="BJ178" s="59"/>
      <c r="BK178" s="58" t="str">
        <f t="shared" si="95"/>
        <v/>
      </c>
      <c r="BL178" s="59"/>
      <c r="BM178" s="58" t="str">
        <f t="shared" si="96"/>
        <v/>
      </c>
      <c r="BN178" s="59"/>
      <c r="BO178" s="58" t="str">
        <f t="shared" si="97"/>
        <v/>
      </c>
      <c r="BP178" s="59"/>
      <c r="BQ178" s="58" t="str">
        <f t="shared" si="98"/>
        <v/>
      </c>
      <c r="BR178" s="59"/>
      <c r="BS178" s="58" t="str">
        <f t="shared" si="99"/>
        <v/>
      </c>
      <c r="BT178" s="59"/>
      <c r="BU178" s="58" t="str">
        <f t="shared" si="100"/>
        <v/>
      </c>
      <c r="BV178" s="59"/>
      <c r="BW178" s="58" t="str">
        <f t="shared" si="101"/>
        <v/>
      </c>
      <c r="BX178" s="59"/>
      <c r="BY178" s="58" t="str">
        <f t="shared" si="102"/>
        <v/>
      </c>
      <c r="BZ178" s="59"/>
    </row>
    <row r="179" spans="1:78" ht="14.5" hidden="1">
      <c r="A179" s="51" t="s">
        <v>58</v>
      </c>
      <c r="B179" s="52">
        <v>376</v>
      </c>
      <c r="C179" s="52" t="s">
        <v>188</v>
      </c>
      <c r="D179" s="41">
        <f t="shared" si="72"/>
        <v>4</v>
      </c>
      <c r="E179" s="170" t="s">
        <v>631</v>
      </c>
      <c r="F179" s="41" t="s">
        <v>631</v>
      </c>
      <c r="G179" s="52" t="s">
        <v>157</v>
      </c>
      <c r="H179" s="52" t="s">
        <v>243</v>
      </c>
      <c r="I179" s="52" t="s">
        <v>535</v>
      </c>
      <c r="J179" s="52" t="s">
        <v>428</v>
      </c>
      <c r="K179" s="53">
        <v>45682</v>
      </c>
      <c r="L179" s="108">
        <v>2226</v>
      </c>
      <c r="M179" s="101">
        <v>2226</v>
      </c>
      <c r="N179" s="101">
        <v>2226</v>
      </c>
      <c r="O179" s="107">
        <f t="shared" si="73"/>
        <v>0</v>
      </c>
      <c r="P179" s="54">
        <f t="shared" si="74"/>
        <v>0</v>
      </c>
      <c r="Q179" s="101" t="s">
        <v>429</v>
      </c>
      <c r="R179" s="101"/>
      <c r="S179" s="101"/>
      <c r="T179" s="102">
        <f t="shared" si="75"/>
        <v>0.371</v>
      </c>
      <c r="U179" s="102">
        <v>6</v>
      </c>
      <c r="V179" s="99">
        <v>1000</v>
      </c>
      <c r="W179" s="55">
        <f t="shared" si="71"/>
        <v>45662</v>
      </c>
      <c r="X179" s="55">
        <v>45627</v>
      </c>
      <c r="Y179" s="56">
        <f t="shared" ca="1" si="76"/>
        <v>35</v>
      </c>
      <c r="Z179" s="55">
        <f t="shared" si="77"/>
        <v>45678</v>
      </c>
      <c r="AA179" s="55"/>
      <c r="AB179" s="56">
        <f t="shared" ca="1" si="78"/>
        <v>-162</v>
      </c>
      <c r="AC179" s="55"/>
      <c r="AD179" s="57"/>
      <c r="AE179" s="58" t="str">
        <f t="shared" si="79"/>
        <v>-</v>
      </c>
      <c r="AF179" s="59"/>
      <c r="AG179" s="58" t="str">
        <f t="shared" si="80"/>
        <v/>
      </c>
      <c r="AH179" s="59"/>
      <c r="AI179" s="58" t="str">
        <f t="shared" si="81"/>
        <v/>
      </c>
      <c r="AJ179" s="59"/>
      <c r="AK179" s="58" t="str">
        <f t="shared" si="82"/>
        <v/>
      </c>
      <c r="AL179" s="59"/>
      <c r="AM179" s="58" t="str">
        <f t="shared" si="83"/>
        <v/>
      </c>
      <c r="AN179" s="59"/>
      <c r="AO179" s="58" t="str">
        <f t="shared" si="84"/>
        <v/>
      </c>
      <c r="AP179" s="59"/>
      <c r="AQ179" s="58" t="str">
        <f t="shared" si="85"/>
        <v/>
      </c>
      <c r="AR179" s="59"/>
      <c r="AS179" s="58" t="str">
        <f t="shared" si="86"/>
        <v/>
      </c>
      <c r="AT179" s="59"/>
      <c r="AU179" s="58" t="str">
        <f t="shared" si="87"/>
        <v/>
      </c>
      <c r="AV179" s="59"/>
      <c r="AW179" s="58" t="str">
        <f t="shared" si="88"/>
        <v/>
      </c>
      <c r="AX179" s="59"/>
      <c r="AY179" s="58" t="str">
        <f t="shared" si="89"/>
        <v/>
      </c>
      <c r="AZ179" s="59"/>
      <c r="BA179" s="58" t="str">
        <f t="shared" si="90"/>
        <v/>
      </c>
      <c r="BB179" s="59"/>
      <c r="BC179" s="58" t="str">
        <f t="shared" si="91"/>
        <v/>
      </c>
      <c r="BD179" s="59"/>
      <c r="BE179" s="58">
        <f t="shared" si="92"/>
        <v>2226</v>
      </c>
      <c r="BF179" s="59"/>
      <c r="BG179" s="58" t="str">
        <f t="shared" si="93"/>
        <v/>
      </c>
      <c r="BH179" s="59"/>
      <c r="BI179" s="58" t="str">
        <f t="shared" si="94"/>
        <v/>
      </c>
      <c r="BJ179" s="59"/>
      <c r="BK179" s="58" t="str">
        <f t="shared" si="95"/>
        <v/>
      </c>
      <c r="BL179" s="59"/>
      <c r="BM179" s="58" t="str">
        <f t="shared" si="96"/>
        <v/>
      </c>
      <c r="BN179" s="59"/>
      <c r="BO179" s="58" t="str">
        <f t="shared" si="97"/>
        <v/>
      </c>
      <c r="BP179" s="59"/>
      <c r="BQ179" s="58" t="str">
        <f t="shared" si="98"/>
        <v/>
      </c>
      <c r="BR179" s="59"/>
      <c r="BS179" s="58" t="str">
        <f t="shared" si="99"/>
        <v/>
      </c>
      <c r="BT179" s="59"/>
      <c r="BU179" s="58" t="str">
        <f t="shared" si="100"/>
        <v/>
      </c>
      <c r="BV179" s="59"/>
      <c r="BW179" s="58" t="str">
        <f t="shared" si="101"/>
        <v/>
      </c>
      <c r="BX179" s="59"/>
      <c r="BY179" s="58" t="str">
        <f t="shared" si="102"/>
        <v/>
      </c>
      <c r="BZ179" s="59"/>
    </row>
    <row r="180" spans="1:78" ht="14.5" hidden="1">
      <c r="A180" s="51" t="s">
        <v>58</v>
      </c>
      <c r="B180" s="52">
        <v>376</v>
      </c>
      <c r="C180" s="52" t="s">
        <v>188</v>
      </c>
      <c r="D180" s="41">
        <f t="shared" si="72"/>
        <v>4</v>
      </c>
      <c r="E180" s="170" t="s">
        <v>631</v>
      </c>
      <c r="F180" s="41" t="s">
        <v>631</v>
      </c>
      <c r="G180" s="52" t="s">
        <v>189</v>
      </c>
      <c r="H180" s="52" t="s">
        <v>242</v>
      </c>
      <c r="I180" s="52" t="s">
        <v>162</v>
      </c>
      <c r="J180" s="52" t="s">
        <v>432</v>
      </c>
      <c r="K180" s="53">
        <v>45682</v>
      </c>
      <c r="L180" s="108">
        <v>1412</v>
      </c>
      <c r="M180" s="101">
        <v>1412</v>
      </c>
      <c r="N180" s="101"/>
      <c r="O180" s="107">
        <f t="shared" si="73"/>
        <v>1412</v>
      </c>
      <c r="P180" s="54">
        <f t="shared" si="74"/>
        <v>0</v>
      </c>
      <c r="Q180" s="101" t="s">
        <v>178</v>
      </c>
      <c r="R180" s="166">
        <v>45682</v>
      </c>
      <c r="S180" s="101" t="s">
        <v>655</v>
      </c>
      <c r="T180" s="102">
        <f t="shared" si="75"/>
        <v>1.961111111111111</v>
      </c>
      <c r="U180" s="102">
        <v>6</v>
      </c>
      <c r="V180" s="99">
        <v>120</v>
      </c>
      <c r="W180" s="55">
        <f t="shared" si="71"/>
        <v>45662</v>
      </c>
      <c r="X180" s="55">
        <v>45627</v>
      </c>
      <c r="Y180" s="56">
        <f t="shared" ca="1" si="76"/>
        <v>35</v>
      </c>
      <c r="Z180" s="55">
        <f t="shared" si="77"/>
        <v>45678</v>
      </c>
      <c r="AA180" s="55"/>
      <c r="AB180" s="56">
        <f t="shared" ca="1" si="78"/>
        <v>-162</v>
      </c>
      <c r="AC180" s="55"/>
      <c r="AD180" s="57"/>
      <c r="AE180" s="58" t="str">
        <f t="shared" si="79"/>
        <v>-</v>
      </c>
      <c r="AF180" s="59"/>
      <c r="AG180" s="58" t="str">
        <f t="shared" si="80"/>
        <v/>
      </c>
      <c r="AH180" s="59"/>
      <c r="AI180" s="58" t="str">
        <f t="shared" si="81"/>
        <v/>
      </c>
      <c r="AJ180" s="59"/>
      <c r="AK180" s="58" t="str">
        <f t="shared" si="82"/>
        <v/>
      </c>
      <c r="AL180" s="59"/>
      <c r="AM180" s="58" t="str">
        <f t="shared" si="83"/>
        <v/>
      </c>
      <c r="AN180" s="59"/>
      <c r="AO180" s="58" t="str">
        <f t="shared" si="84"/>
        <v/>
      </c>
      <c r="AP180" s="59"/>
      <c r="AQ180" s="58" t="str">
        <f t="shared" si="85"/>
        <v/>
      </c>
      <c r="AR180" s="59"/>
      <c r="AS180" s="58" t="str">
        <f t="shared" si="86"/>
        <v/>
      </c>
      <c r="AT180" s="59"/>
      <c r="AU180" s="58" t="str">
        <f t="shared" si="87"/>
        <v/>
      </c>
      <c r="AV180" s="59"/>
      <c r="AW180" s="58" t="str">
        <f t="shared" si="88"/>
        <v/>
      </c>
      <c r="AX180" s="59"/>
      <c r="AY180" s="58" t="str">
        <f t="shared" si="89"/>
        <v/>
      </c>
      <c r="AZ180" s="59"/>
      <c r="BA180" s="58" t="str">
        <f t="shared" si="90"/>
        <v/>
      </c>
      <c r="BB180" s="59"/>
      <c r="BC180" s="58" t="str">
        <f t="shared" si="91"/>
        <v/>
      </c>
      <c r="BD180" s="59"/>
      <c r="BE180" s="58">
        <f t="shared" si="92"/>
        <v>1412</v>
      </c>
      <c r="BF180" s="59"/>
      <c r="BG180" s="58" t="str">
        <f t="shared" si="93"/>
        <v/>
      </c>
      <c r="BH180" s="59"/>
      <c r="BI180" s="58" t="str">
        <f t="shared" si="94"/>
        <v/>
      </c>
      <c r="BJ180" s="59"/>
      <c r="BK180" s="58" t="str">
        <f t="shared" si="95"/>
        <v/>
      </c>
      <c r="BL180" s="59"/>
      <c r="BM180" s="58" t="str">
        <f t="shared" si="96"/>
        <v/>
      </c>
      <c r="BN180" s="59"/>
      <c r="BO180" s="58" t="str">
        <f t="shared" si="97"/>
        <v/>
      </c>
      <c r="BP180" s="59"/>
      <c r="BQ180" s="58" t="str">
        <f t="shared" si="98"/>
        <v/>
      </c>
      <c r="BR180" s="59"/>
      <c r="BS180" s="58" t="str">
        <f t="shared" si="99"/>
        <v/>
      </c>
      <c r="BT180" s="59"/>
      <c r="BU180" s="58" t="str">
        <f t="shared" si="100"/>
        <v/>
      </c>
      <c r="BV180" s="59"/>
      <c r="BW180" s="58" t="str">
        <f t="shared" si="101"/>
        <v/>
      </c>
      <c r="BX180" s="59"/>
      <c r="BY180" s="58" t="str">
        <f t="shared" si="102"/>
        <v/>
      </c>
      <c r="BZ180" s="59"/>
    </row>
    <row r="181" spans="1:78" ht="14.5" hidden="1">
      <c r="A181" s="51" t="s">
        <v>58</v>
      </c>
      <c r="B181" s="52">
        <v>376</v>
      </c>
      <c r="C181" s="52" t="s">
        <v>188</v>
      </c>
      <c r="D181" s="41">
        <f t="shared" si="72"/>
        <v>4</v>
      </c>
      <c r="E181" s="170" t="s">
        <v>631</v>
      </c>
      <c r="F181" s="41" t="s">
        <v>631</v>
      </c>
      <c r="G181" s="52" t="s">
        <v>158</v>
      </c>
      <c r="H181" s="52" t="s">
        <v>242</v>
      </c>
      <c r="I181" s="52" t="s">
        <v>156</v>
      </c>
      <c r="J181" s="52" t="s">
        <v>432</v>
      </c>
      <c r="K181" s="53">
        <v>45682</v>
      </c>
      <c r="L181" s="108">
        <v>1156</v>
      </c>
      <c r="M181" s="101">
        <v>1156</v>
      </c>
      <c r="N181" s="101">
        <v>1156</v>
      </c>
      <c r="O181" s="107">
        <f t="shared" si="73"/>
        <v>0</v>
      </c>
      <c r="P181" s="54">
        <f t="shared" si="74"/>
        <v>0</v>
      </c>
      <c r="Q181" s="101" t="s">
        <v>439</v>
      </c>
      <c r="R181" s="101"/>
      <c r="S181" s="101"/>
      <c r="T181" s="102">
        <f t="shared" si="75"/>
        <v>1.6055555555555556</v>
      </c>
      <c r="U181" s="102">
        <v>6</v>
      </c>
      <c r="V181" s="99">
        <v>120</v>
      </c>
      <c r="W181" s="55">
        <f t="shared" si="71"/>
        <v>45662</v>
      </c>
      <c r="X181" s="55">
        <v>45627</v>
      </c>
      <c r="Y181" s="56">
        <f t="shared" ca="1" si="76"/>
        <v>35</v>
      </c>
      <c r="Z181" s="55">
        <f t="shared" si="77"/>
        <v>45678</v>
      </c>
      <c r="AA181" s="55"/>
      <c r="AB181" s="56">
        <f t="shared" ca="1" si="78"/>
        <v>-162</v>
      </c>
      <c r="AC181" s="55"/>
      <c r="AD181" s="57"/>
      <c r="AE181" s="58" t="str">
        <f t="shared" si="79"/>
        <v>-</v>
      </c>
      <c r="AF181" s="59"/>
      <c r="AG181" s="58" t="str">
        <f t="shared" si="80"/>
        <v/>
      </c>
      <c r="AH181" s="59"/>
      <c r="AI181" s="58" t="str">
        <f t="shared" si="81"/>
        <v/>
      </c>
      <c r="AJ181" s="59"/>
      <c r="AK181" s="58" t="str">
        <f t="shared" si="82"/>
        <v/>
      </c>
      <c r="AL181" s="59"/>
      <c r="AM181" s="58" t="str">
        <f t="shared" si="83"/>
        <v/>
      </c>
      <c r="AN181" s="59"/>
      <c r="AO181" s="58" t="str">
        <f t="shared" si="84"/>
        <v/>
      </c>
      <c r="AP181" s="59"/>
      <c r="AQ181" s="58" t="str">
        <f t="shared" si="85"/>
        <v/>
      </c>
      <c r="AR181" s="59"/>
      <c r="AS181" s="58" t="str">
        <f t="shared" si="86"/>
        <v/>
      </c>
      <c r="AT181" s="59"/>
      <c r="AU181" s="58" t="str">
        <f t="shared" si="87"/>
        <v/>
      </c>
      <c r="AV181" s="59"/>
      <c r="AW181" s="58" t="str">
        <f t="shared" si="88"/>
        <v/>
      </c>
      <c r="AX181" s="59"/>
      <c r="AY181" s="58" t="str">
        <f t="shared" si="89"/>
        <v/>
      </c>
      <c r="AZ181" s="59"/>
      <c r="BA181" s="58" t="str">
        <f t="shared" si="90"/>
        <v/>
      </c>
      <c r="BB181" s="59"/>
      <c r="BC181" s="58" t="str">
        <f t="shared" si="91"/>
        <v/>
      </c>
      <c r="BD181" s="59"/>
      <c r="BE181" s="58">
        <f t="shared" si="92"/>
        <v>1156</v>
      </c>
      <c r="BF181" s="59"/>
      <c r="BG181" s="58" t="str">
        <f t="shared" si="93"/>
        <v/>
      </c>
      <c r="BH181" s="59"/>
      <c r="BI181" s="58" t="str">
        <f t="shared" si="94"/>
        <v/>
      </c>
      <c r="BJ181" s="59"/>
      <c r="BK181" s="58" t="str">
        <f t="shared" si="95"/>
        <v/>
      </c>
      <c r="BL181" s="59"/>
      <c r="BM181" s="58" t="str">
        <f t="shared" si="96"/>
        <v/>
      </c>
      <c r="BN181" s="59"/>
      <c r="BO181" s="58" t="str">
        <f t="shared" si="97"/>
        <v/>
      </c>
      <c r="BP181" s="59"/>
      <c r="BQ181" s="58" t="str">
        <f t="shared" si="98"/>
        <v/>
      </c>
      <c r="BR181" s="59"/>
      <c r="BS181" s="58" t="str">
        <f t="shared" si="99"/>
        <v/>
      </c>
      <c r="BT181" s="59"/>
      <c r="BU181" s="58" t="str">
        <f t="shared" si="100"/>
        <v/>
      </c>
      <c r="BV181" s="59"/>
      <c r="BW181" s="58" t="str">
        <f t="shared" si="101"/>
        <v/>
      </c>
      <c r="BX181" s="59"/>
      <c r="BY181" s="58" t="str">
        <f t="shared" si="102"/>
        <v/>
      </c>
      <c r="BZ181" s="59"/>
    </row>
    <row r="182" spans="1:78" ht="14.5" hidden="1">
      <c r="A182" s="51" t="s">
        <v>58</v>
      </c>
      <c r="B182" s="52">
        <v>377</v>
      </c>
      <c r="C182" s="52" t="s">
        <v>188</v>
      </c>
      <c r="D182" s="41">
        <f t="shared" si="72"/>
        <v>4</v>
      </c>
      <c r="E182" s="170">
        <v>45664</v>
      </c>
      <c r="F182" s="41" t="s">
        <v>631</v>
      </c>
      <c r="G182" s="52" t="s">
        <v>81</v>
      </c>
      <c r="H182" s="52" t="s">
        <v>290</v>
      </c>
      <c r="I182" s="52" t="s">
        <v>291</v>
      </c>
      <c r="J182" s="52" t="s">
        <v>544</v>
      </c>
      <c r="K182" s="53">
        <v>45680</v>
      </c>
      <c r="L182" s="108">
        <v>2160</v>
      </c>
      <c r="M182" s="101">
        <v>2160</v>
      </c>
      <c r="N182" s="101">
        <v>2160</v>
      </c>
      <c r="O182" s="107">
        <f t="shared" si="73"/>
        <v>0</v>
      </c>
      <c r="P182" s="54">
        <f t="shared" si="74"/>
        <v>0</v>
      </c>
      <c r="Q182" s="101" t="s">
        <v>436</v>
      </c>
      <c r="R182" s="101"/>
      <c r="S182" s="101"/>
      <c r="T182" s="102">
        <f t="shared" si="75"/>
        <v>0.16666666666666666</v>
      </c>
      <c r="U182" s="102">
        <v>6</v>
      </c>
      <c r="V182" s="100">
        <v>2160</v>
      </c>
      <c r="W182" s="55">
        <f t="shared" si="71"/>
        <v>45660</v>
      </c>
      <c r="X182" s="55"/>
      <c r="Y182" s="56">
        <f t="shared" ca="1" si="76"/>
        <v>-180</v>
      </c>
      <c r="Z182" s="55">
        <f t="shared" si="77"/>
        <v>45676</v>
      </c>
      <c r="AA182" s="55"/>
      <c r="AB182" s="56">
        <f t="shared" ca="1" si="78"/>
        <v>-164</v>
      </c>
      <c r="AC182" s="55"/>
      <c r="AD182" s="57"/>
      <c r="AE182" s="58" t="str">
        <f t="shared" si="79"/>
        <v>-</v>
      </c>
      <c r="AF182" s="59"/>
      <c r="AG182" s="58" t="str">
        <f t="shared" si="80"/>
        <v/>
      </c>
      <c r="AH182" s="59"/>
      <c r="AI182" s="58" t="str">
        <f t="shared" si="81"/>
        <v/>
      </c>
      <c r="AJ182" s="59"/>
      <c r="AK182" s="58" t="str">
        <f t="shared" si="82"/>
        <v/>
      </c>
      <c r="AL182" s="59"/>
      <c r="AM182" s="58" t="str">
        <f t="shared" si="83"/>
        <v/>
      </c>
      <c r="AN182" s="59"/>
      <c r="AO182" s="58" t="str">
        <f t="shared" si="84"/>
        <v/>
      </c>
      <c r="AP182" s="59"/>
      <c r="AQ182" s="58" t="str">
        <f t="shared" si="85"/>
        <v/>
      </c>
      <c r="AR182" s="59"/>
      <c r="AS182" s="58" t="str">
        <f t="shared" si="86"/>
        <v/>
      </c>
      <c r="AT182" s="59"/>
      <c r="AU182" s="58" t="str">
        <f t="shared" si="87"/>
        <v/>
      </c>
      <c r="AV182" s="59"/>
      <c r="AW182" s="58" t="str">
        <f t="shared" si="88"/>
        <v/>
      </c>
      <c r="AX182" s="59"/>
      <c r="AY182" s="58" t="str">
        <f t="shared" si="89"/>
        <v/>
      </c>
      <c r="AZ182" s="59"/>
      <c r="BA182" s="58" t="str">
        <f t="shared" si="90"/>
        <v/>
      </c>
      <c r="BB182" s="59"/>
      <c r="BC182" s="58">
        <f t="shared" si="91"/>
        <v>2160</v>
      </c>
      <c r="BD182" s="59"/>
      <c r="BE182" s="58" t="str">
        <f t="shared" si="92"/>
        <v/>
      </c>
      <c r="BF182" s="59"/>
      <c r="BG182" s="58" t="str">
        <f t="shared" si="93"/>
        <v/>
      </c>
      <c r="BH182" s="59"/>
      <c r="BI182" s="58" t="str">
        <f t="shared" si="94"/>
        <v/>
      </c>
      <c r="BJ182" s="59"/>
      <c r="BK182" s="58" t="str">
        <f t="shared" si="95"/>
        <v/>
      </c>
      <c r="BL182" s="59"/>
      <c r="BM182" s="58" t="str">
        <f t="shared" si="96"/>
        <v/>
      </c>
      <c r="BN182" s="59"/>
      <c r="BO182" s="58" t="str">
        <f t="shared" si="97"/>
        <v/>
      </c>
      <c r="BP182" s="59"/>
      <c r="BQ182" s="58" t="str">
        <f t="shared" si="98"/>
        <v/>
      </c>
      <c r="BR182" s="59"/>
      <c r="BS182" s="58" t="str">
        <f t="shared" si="99"/>
        <v/>
      </c>
      <c r="BT182" s="59"/>
      <c r="BU182" s="58" t="str">
        <f t="shared" si="100"/>
        <v/>
      </c>
      <c r="BV182" s="59"/>
      <c r="BW182" s="58" t="str">
        <f t="shared" si="101"/>
        <v/>
      </c>
      <c r="BX182" s="59"/>
      <c r="BY182" s="58" t="str">
        <f t="shared" si="102"/>
        <v/>
      </c>
      <c r="BZ182" s="59"/>
    </row>
    <row r="183" spans="1:78" ht="14.5" hidden="1">
      <c r="A183" s="51" t="s">
        <v>466</v>
      </c>
      <c r="B183" s="52">
        <v>429</v>
      </c>
      <c r="C183" s="52" t="s">
        <v>55</v>
      </c>
      <c r="D183" s="41">
        <f t="shared" si="72"/>
        <v>4</v>
      </c>
      <c r="E183" s="170"/>
      <c r="F183" s="41"/>
      <c r="G183" s="52" t="s">
        <v>539</v>
      </c>
      <c r="H183" s="52" t="s">
        <v>540</v>
      </c>
      <c r="I183" s="52" t="s">
        <v>162</v>
      </c>
      <c r="J183" s="52" t="s">
        <v>541</v>
      </c>
      <c r="K183" s="53">
        <v>45678</v>
      </c>
      <c r="L183" s="108">
        <v>10200</v>
      </c>
      <c r="M183" s="101"/>
      <c r="N183" s="101"/>
      <c r="O183" s="101">
        <f>+L183-N183</f>
        <v>10200</v>
      </c>
      <c r="P183" s="54">
        <f>+L183-M183</f>
        <v>10200</v>
      </c>
      <c r="Q183" s="101" t="s">
        <v>178</v>
      </c>
      <c r="R183" s="101"/>
      <c r="S183" s="101"/>
      <c r="T183" s="102">
        <f t="shared" si="75"/>
        <v>21.25</v>
      </c>
      <c r="U183" s="102">
        <v>6</v>
      </c>
      <c r="V183" s="99">
        <v>80</v>
      </c>
      <c r="W183" s="55">
        <f>+K183-(28)</f>
        <v>45650</v>
      </c>
      <c r="X183" s="55"/>
      <c r="Y183" s="56"/>
      <c r="Z183" s="55" t="s">
        <v>542</v>
      </c>
      <c r="AA183" s="55"/>
      <c r="AB183" s="56"/>
      <c r="AC183" s="55"/>
      <c r="AD183" s="57"/>
      <c r="AE183" s="58" t="str">
        <f t="shared" si="79"/>
        <v>-</v>
      </c>
      <c r="AF183" s="59"/>
      <c r="AG183" s="58" t="str">
        <f t="shared" si="80"/>
        <v/>
      </c>
      <c r="AH183" s="59"/>
      <c r="AI183" s="58" t="str">
        <f t="shared" si="81"/>
        <v/>
      </c>
      <c r="AJ183" s="59"/>
      <c r="AK183" s="58" t="str">
        <f t="shared" si="82"/>
        <v/>
      </c>
      <c r="AL183" s="59"/>
      <c r="AM183" s="58" t="str">
        <f t="shared" si="83"/>
        <v/>
      </c>
      <c r="AN183" s="59"/>
      <c r="AO183" s="58" t="str">
        <f t="shared" si="84"/>
        <v/>
      </c>
      <c r="AP183" s="59"/>
      <c r="AQ183" s="58" t="str">
        <f t="shared" si="85"/>
        <v/>
      </c>
      <c r="AR183" s="59"/>
      <c r="AS183" s="58" t="str">
        <f t="shared" si="86"/>
        <v/>
      </c>
      <c r="AT183" s="59"/>
      <c r="AU183" s="58" t="str">
        <f t="shared" si="87"/>
        <v/>
      </c>
      <c r="AV183" s="59"/>
      <c r="AW183" s="58" t="str">
        <f t="shared" si="88"/>
        <v/>
      </c>
      <c r="AX183" s="59"/>
      <c r="AY183" s="58" t="str">
        <f t="shared" si="89"/>
        <v/>
      </c>
      <c r="AZ183" s="59"/>
      <c r="BA183" s="58">
        <f t="shared" si="90"/>
        <v>10200</v>
      </c>
      <c r="BB183" s="59"/>
      <c r="BC183" s="58" t="str">
        <f t="shared" si="91"/>
        <v/>
      </c>
      <c r="BD183" s="59"/>
      <c r="BE183" s="58" t="str">
        <f t="shared" si="92"/>
        <v/>
      </c>
      <c r="BF183" s="59"/>
      <c r="BG183" s="58" t="str">
        <f t="shared" si="93"/>
        <v/>
      </c>
      <c r="BH183" s="59"/>
      <c r="BI183" s="58" t="str">
        <f t="shared" si="94"/>
        <v/>
      </c>
      <c r="BJ183" s="59"/>
      <c r="BK183" s="58" t="str">
        <f t="shared" si="95"/>
        <v/>
      </c>
      <c r="BL183" s="59"/>
      <c r="BM183" s="58" t="str">
        <f t="shared" si="96"/>
        <v/>
      </c>
      <c r="BN183" s="59"/>
      <c r="BO183" s="58" t="str">
        <f t="shared" si="97"/>
        <v/>
      </c>
      <c r="BP183" s="59"/>
      <c r="BQ183" s="58" t="str">
        <f t="shared" si="98"/>
        <v/>
      </c>
      <c r="BR183" s="59"/>
      <c r="BS183" s="58" t="str">
        <f t="shared" si="99"/>
        <v/>
      </c>
      <c r="BT183" s="59"/>
      <c r="BU183" s="58" t="str">
        <f t="shared" si="100"/>
        <v/>
      </c>
      <c r="BV183" s="59"/>
      <c r="BW183" s="58" t="str">
        <f t="shared" si="101"/>
        <v/>
      </c>
      <c r="BX183" s="59"/>
      <c r="BY183" s="58" t="str">
        <f t="shared" si="102"/>
        <v/>
      </c>
      <c r="BZ183" s="59"/>
    </row>
    <row r="184" spans="1:78" ht="14.5" hidden="1">
      <c r="A184" s="51" t="s">
        <v>466</v>
      </c>
      <c r="B184" s="52">
        <v>429</v>
      </c>
      <c r="C184" s="52" t="s">
        <v>55</v>
      </c>
      <c r="D184" s="41">
        <f t="shared" si="72"/>
        <v>4</v>
      </c>
      <c r="E184" s="170"/>
      <c r="F184" s="41"/>
      <c r="G184" s="52" t="s">
        <v>539</v>
      </c>
      <c r="H184" s="52" t="s">
        <v>540</v>
      </c>
      <c r="I184" s="52" t="s">
        <v>155</v>
      </c>
      <c r="J184" s="52" t="s">
        <v>541</v>
      </c>
      <c r="K184" s="53">
        <v>45678</v>
      </c>
      <c r="L184" s="108">
        <v>10200</v>
      </c>
      <c r="M184" s="101"/>
      <c r="N184" s="101"/>
      <c r="O184" s="101">
        <f>+L184-N184</f>
        <v>10200</v>
      </c>
      <c r="P184" s="54">
        <f>+L184-M184</f>
        <v>10200</v>
      </c>
      <c r="Q184" s="101" t="s">
        <v>178</v>
      </c>
      <c r="R184" s="101"/>
      <c r="S184" s="101"/>
      <c r="T184" s="102">
        <f t="shared" si="75"/>
        <v>21.25</v>
      </c>
      <c r="U184" s="102">
        <v>6</v>
      </c>
      <c r="V184" s="99">
        <v>80</v>
      </c>
      <c r="W184" s="55">
        <f>+K184-(28)</f>
        <v>45650</v>
      </c>
      <c r="X184" s="55"/>
      <c r="Y184" s="56"/>
      <c r="Z184" s="55" t="s">
        <v>542</v>
      </c>
      <c r="AA184" s="55"/>
      <c r="AB184" s="56"/>
      <c r="AC184" s="55"/>
      <c r="AD184" s="57"/>
      <c r="AE184" s="58" t="str">
        <f t="shared" si="79"/>
        <v>-</v>
      </c>
      <c r="AF184" s="59"/>
      <c r="AG184" s="58" t="str">
        <f t="shared" si="80"/>
        <v/>
      </c>
      <c r="AH184" s="59"/>
      <c r="AI184" s="58" t="str">
        <f t="shared" si="81"/>
        <v/>
      </c>
      <c r="AJ184" s="59"/>
      <c r="AK184" s="58" t="str">
        <f t="shared" si="82"/>
        <v/>
      </c>
      <c r="AL184" s="59"/>
      <c r="AM184" s="58" t="str">
        <f t="shared" si="83"/>
        <v/>
      </c>
      <c r="AN184" s="59"/>
      <c r="AO184" s="58" t="str">
        <f t="shared" si="84"/>
        <v/>
      </c>
      <c r="AP184" s="59"/>
      <c r="AQ184" s="58" t="str">
        <f t="shared" si="85"/>
        <v/>
      </c>
      <c r="AR184" s="59"/>
      <c r="AS184" s="58" t="str">
        <f t="shared" si="86"/>
        <v/>
      </c>
      <c r="AT184" s="59"/>
      <c r="AU184" s="58" t="str">
        <f t="shared" si="87"/>
        <v/>
      </c>
      <c r="AV184" s="59"/>
      <c r="AW184" s="58" t="str">
        <f t="shared" si="88"/>
        <v/>
      </c>
      <c r="AX184" s="59"/>
      <c r="AY184" s="58" t="str">
        <f t="shared" si="89"/>
        <v/>
      </c>
      <c r="AZ184" s="59"/>
      <c r="BA184" s="58">
        <f t="shared" si="90"/>
        <v>10200</v>
      </c>
      <c r="BB184" s="59"/>
      <c r="BC184" s="58" t="str">
        <f t="shared" si="91"/>
        <v/>
      </c>
      <c r="BD184" s="59"/>
      <c r="BE184" s="58" t="str">
        <f t="shared" si="92"/>
        <v/>
      </c>
      <c r="BF184" s="59"/>
      <c r="BG184" s="58" t="str">
        <f t="shared" si="93"/>
        <v/>
      </c>
      <c r="BH184" s="59"/>
      <c r="BI184" s="58" t="str">
        <f t="shared" si="94"/>
        <v/>
      </c>
      <c r="BJ184" s="59"/>
      <c r="BK184" s="58" t="str">
        <f t="shared" si="95"/>
        <v/>
      </c>
      <c r="BL184" s="59"/>
      <c r="BM184" s="58" t="str">
        <f t="shared" si="96"/>
        <v/>
      </c>
      <c r="BN184" s="59"/>
      <c r="BO184" s="58" t="str">
        <f t="shared" si="97"/>
        <v/>
      </c>
      <c r="BP184" s="59"/>
      <c r="BQ184" s="58" t="str">
        <f t="shared" si="98"/>
        <v/>
      </c>
      <c r="BR184" s="59"/>
      <c r="BS184" s="58" t="str">
        <f t="shared" si="99"/>
        <v/>
      </c>
      <c r="BT184" s="59"/>
      <c r="BU184" s="58" t="str">
        <f t="shared" si="100"/>
        <v/>
      </c>
      <c r="BV184" s="59"/>
      <c r="BW184" s="58" t="str">
        <f t="shared" si="101"/>
        <v/>
      </c>
      <c r="BX184" s="59"/>
      <c r="BY184" s="58" t="str">
        <f t="shared" si="102"/>
        <v/>
      </c>
      <c r="BZ184" s="59"/>
    </row>
    <row r="185" spans="1:78" ht="14.5" hidden="1">
      <c r="A185" s="51" t="s">
        <v>58</v>
      </c>
      <c r="B185" s="52">
        <v>377</v>
      </c>
      <c r="C185" s="52" t="s">
        <v>188</v>
      </c>
      <c r="D185" s="41">
        <f t="shared" si="72"/>
        <v>4</v>
      </c>
      <c r="E185" s="170">
        <v>45664</v>
      </c>
      <c r="F185" s="41" t="s">
        <v>631</v>
      </c>
      <c r="G185" s="52" t="s">
        <v>81</v>
      </c>
      <c r="H185" s="52" t="s">
        <v>290</v>
      </c>
      <c r="I185" s="52" t="s">
        <v>293</v>
      </c>
      <c r="J185" s="52" t="s">
        <v>544</v>
      </c>
      <c r="K185" s="53">
        <v>45680</v>
      </c>
      <c r="L185" s="108">
        <v>2160</v>
      </c>
      <c r="M185" s="101">
        <v>2160</v>
      </c>
      <c r="N185" s="101">
        <v>2160</v>
      </c>
      <c r="O185" s="107">
        <f t="shared" ref="O185:O233" si="103">+L185-N185</f>
        <v>0</v>
      </c>
      <c r="P185" s="54">
        <f t="shared" ref="P185:P233" si="104">+L185-M185</f>
        <v>0</v>
      </c>
      <c r="Q185" s="101" t="s">
        <v>436</v>
      </c>
      <c r="R185" s="101"/>
      <c r="S185" s="101"/>
      <c r="T185" s="102">
        <f t="shared" si="75"/>
        <v>0.16666666666666666</v>
      </c>
      <c r="U185" s="102">
        <v>6</v>
      </c>
      <c r="V185" s="100">
        <v>2160</v>
      </c>
      <c r="W185" s="55">
        <f t="shared" ref="W185:W233" si="105">+K185-(20)</f>
        <v>45660</v>
      </c>
      <c r="X185" s="55"/>
      <c r="Y185" s="56">
        <f t="shared" ref="Y185:Y248" ca="1" si="106">+IF(X185="",W185-TODAY(),W185-X185)</f>
        <v>-180</v>
      </c>
      <c r="Z185" s="55">
        <f t="shared" ref="Z185:Z248" si="107">+W185+16</f>
        <v>45676</v>
      </c>
      <c r="AA185" s="55"/>
      <c r="AB185" s="56">
        <f t="shared" ref="AB185:AB248" ca="1" si="108">+IF(AA185="",Z185-TODAY(),Z185-AA185)</f>
        <v>-164</v>
      </c>
      <c r="AC185" s="55"/>
      <c r="AD185" s="57"/>
      <c r="AE185" s="58" t="str">
        <f t="shared" si="79"/>
        <v>-</v>
      </c>
      <c r="AF185" s="59"/>
      <c r="AG185" s="58" t="str">
        <f t="shared" si="80"/>
        <v/>
      </c>
      <c r="AH185" s="59"/>
      <c r="AI185" s="58" t="str">
        <f t="shared" si="81"/>
        <v/>
      </c>
      <c r="AJ185" s="59"/>
      <c r="AK185" s="58" t="str">
        <f t="shared" si="82"/>
        <v/>
      </c>
      <c r="AL185" s="59"/>
      <c r="AM185" s="58" t="str">
        <f t="shared" si="83"/>
        <v/>
      </c>
      <c r="AN185" s="59"/>
      <c r="AO185" s="58" t="str">
        <f t="shared" si="84"/>
        <v/>
      </c>
      <c r="AP185" s="59"/>
      <c r="AQ185" s="58" t="str">
        <f t="shared" si="85"/>
        <v/>
      </c>
      <c r="AR185" s="59"/>
      <c r="AS185" s="58" t="str">
        <f t="shared" si="86"/>
        <v/>
      </c>
      <c r="AT185" s="59"/>
      <c r="AU185" s="58" t="str">
        <f t="shared" si="87"/>
        <v/>
      </c>
      <c r="AV185" s="59"/>
      <c r="AW185" s="58" t="str">
        <f t="shared" si="88"/>
        <v/>
      </c>
      <c r="AX185" s="59"/>
      <c r="AY185" s="58" t="str">
        <f t="shared" si="89"/>
        <v/>
      </c>
      <c r="AZ185" s="59"/>
      <c r="BA185" s="58" t="str">
        <f t="shared" si="90"/>
        <v/>
      </c>
      <c r="BB185" s="59"/>
      <c r="BC185" s="58">
        <f t="shared" si="91"/>
        <v>2160</v>
      </c>
      <c r="BD185" s="59"/>
      <c r="BE185" s="58" t="str">
        <f t="shared" si="92"/>
        <v/>
      </c>
      <c r="BF185" s="59"/>
      <c r="BG185" s="58" t="str">
        <f t="shared" si="93"/>
        <v/>
      </c>
      <c r="BH185" s="59"/>
      <c r="BI185" s="58" t="str">
        <f t="shared" si="94"/>
        <v/>
      </c>
      <c r="BJ185" s="59"/>
      <c r="BK185" s="58" t="str">
        <f t="shared" si="95"/>
        <v/>
      </c>
      <c r="BL185" s="59"/>
      <c r="BM185" s="58" t="str">
        <f t="shared" si="96"/>
        <v/>
      </c>
      <c r="BN185" s="59"/>
      <c r="BO185" s="58" t="str">
        <f t="shared" si="97"/>
        <v/>
      </c>
      <c r="BP185" s="59"/>
      <c r="BQ185" s="58" t="str">
        <f t="shared" si="98"/>
        <v/>
      </c>
      <c r="BR185" s="59"/>
      <c r="BS185" s="58" t="str">
        <f t="shared" si="99"/>
        <v/>
      </c>
      <c r="BT185" s="59"/>
      <c r="BU185" s="58" t="str">
        <f t="shared" si="100"/>
        <v/>
      </c>
      <c r="BV185" s="59"/>
      <c r="BW185" s="58" t="str">
        <f t="shared" si="101"/>
        <v/>
      </c>
      <c r="BX185" s="59"/>
      <c r="BY185" s="58" t="str">
        <f t="shared" si="102"/>
        <v/>
      </c>
      <c r="BZ185" s="59"/>
    </row>
    <row r="186" spans="1:78" ht="14.5" hidden="1">
      <c r="A186" s="51" t="s">
        <v>58</v>
      </c>
      <c r="B186" s="52">
        <v>377</v>
      </c>
      <c r="C186" s="52" t="s">
        <v>188</v>
      </c>
      <c r="D186" s="41">
        <f t="shared" si="72"/>
        <v>4</v>
      </c>
      <c r="E186" s="170">
        <v>45664</v>
      </c>
      <c r="F186" s="41" t="s">
        <v>631</v>
      </c>
      <c r="G186" s="52" t="s">
        <v>81</v>
      </c>
      <c r="H186" s="52" t="s">
        <v>290</v>
      </c>
      <c r="I186" s="52" t="s">
        <v>294</v>
      </c>
      <c r="J186" s="52" t="s">
        <v>544</v>
      </c>
      <c r="K186" s="53">
        <v>45680</v>
      </c>
      <c r="L186" s="108">
        <v>2160</v>
      </c>
      <c r="M186" s="101">
        <v>2160</v>
      </c>
      <c r="N186" s="101">
        <v>2160</v>
      </c>
      <c r="O186" s="107">
        <f t="shared" si="103"/>
        <v>0</v>
      </c>
      <c r="P186" s="54">
        <f t="shared" si="104"/>
        <v>0</v>
      </c>
      <c r="Q186" s="101" t="s">
        <v>436</v>
      </c>
      <c r="R186" s="101"/>
      <c r="S186" s="101"/>
      <c r="T186" s="102">
        <f t="shared" si="75"/>
        <v>0.16666666666666666</v>
      </c>
      <c r="U186" s="102">
        <v>6</v>
      </c>
      <c r="V186" s="100">
        <v>2160</v>
      </c>
      <c r="W186" s="55">
        <f t="shared" si="105"/>
        <v>45660</v>
      </c>
      <c r="X186" s="55"/>
      <c r="Y186" s="56">
        <f t="shared" ca="1" si="106"/>
        <v>-180</v>
      </c>
      <c r="Z186" s="55">
        <f t="shared" si="107"/>
        <v>45676</v>
      </c>
      <c r="AA186" s="55"/>
      <c r="AB186" s="56">
        <f t="shared" ca="1" si="108"/>
        <v>-164</v>
      </c>
      <c r="AC186" s="55"/>
      <c r="AD186" s="57"/>
      <c r="AE186" s="58" t="str">
        <f t="shared" si="79"/>
        <v>-</v>
      </c>
      <c r="AF186" s="59"/>
      <c r="AG186" s="58" t="str">
        <f t="shared" si="80"/>
        <v/>
      </c>
      <c r="AH186" s="59"/>
      <c r="AI186" s="58" t="str">
        <f t="shared" si="81"/>
        <v/>
      </c>
      <c r="AJ186" s="59"/>
      <c r="AK186" s="58" t="str">
        <f t="shared" si="82"/>
        <v/>
      </c>
      <c r="AL186" s="59"/>
      <c r="AM186" s="58" t="str">
        <f t="shared" si="83"/>
        <v/>
      </c>
      <c r="AN186" s="59"/>
      <c r="AO186" s="58" t="str">
        <f t="shared" si="84"/>
        <v/>
      </c>
      <c r="AP186" s="59"/>
      <c r="AQ186" s="58" t="str">
        <f t="shared" si="85"/>
        <v/>
      </c>
      <c r="AR186" s="59"/>
      <c r="AS186" s="58" t="str">
        <f t="shared" si="86"/>
        <v/>
      </c>
      <c r="AT186" s="59"/>
      <c r="AU186" s="58" t="str">
        <f t="shared" si="87"/>
        <v/>
      </c>
      <c r="AV186" s="59"/>
      <c r="AW186" s="58" t="str">
        <f t="shared" si="88"/>
        <v/>
      </c>
      <c r="AX186" s="59"/>
      <c r="AY186" s="58" t="str">
        <f t="shared" si="89"/>
        <v/>
      </c>
      <c r="AZ186" s="59"/>
      <c r="BA186" s="58" t="str">
        <f t="shared" si="90"/>
        <v/>
      </c>
      <c r="BB186" s="59"/>
      <c r="BC186" s="58">
        <f t="shared" si="91"/>
        <v>2160</v>
      </c>
      <c r="BD186" s="59"/>
      <c r="BE186" s="58" t="str">
        <f t="shared" si="92"/>
        <v/>
      </c>
      <c r="BF186" s="59"/>
      <c r="BG186" s="58" t="str">
        <f t="shared" si="93"/>
        <v/>
      </c>
      <c r="BH186" s="59"/>
      <c r="BI186" s="58" t="str">
        <f t="shared" si="94"/>
        <v/>
      </c>
      <c r="BJ186" s="59"/>
      <c r="BK186" s="58" t="str">
        <f t="shared" si="95"/>
        <v/>
      </c>
      <c r="BL186" s="59"/>
      <c r="BM186" s="58" t="str">
        <f t="shared" si="96"/>
        <v/>
      </c>
      <c r="BN186" s="59"/>
      <c r="BO186" s="58" t="str">
        <f t="shared" si="97"/>
        <v/>
      </c>
      <c r="BP186" s="59"/>
      <c r="BQ186" s="58" t="str">
        <f t="shared" si="98"/>
        <v/>
      </c>
      <c r="BR186" s="59"/>
      <c r="BS186" s="58" t="str">
        <f t="shared" si="99"/>
        <v/>
      </c>
      <c r="BT186" s="59"/>
      <c r="BU186" s="58" t="str">
        <f t="shared" si="100"/>
        <v/>
      </c>
      <c r="BV186" s="59"/>
      <c r="BW186" s="58" t="str">
        <f t="shared" si="101"/>
        <v/>
      </c>
      <c r="BX186" s="59"/>
      <c r="BY186" s="58" t="str">
        <f t="shared" si="102"/>
        <v/>
      </c>
      <c r="BZ186" s="59"/>
    </row>
    <row r="187" spans="1:78" ht="14.5" hidden="1">
      <c r="A187" s="51" t="s">
        <v>58</v>
      </c>
      <c r="B187" s="52">
        <v>377</v>
      </c>
      <c r="C187" s="52" t="s">
        <v>188</v>
      </c>
      <c r="D187" s="41">
        <f t="shared" si="72"/>
        <v>4</v>
      </c>
      <c r="E187" s="170" t="s">
        <v>646</v>
      </c>
      <c r="F187" s="41" t="s">
        <v>631</v>
      </c>
      <c r="G187" s="52" t="s">
        <v>189</v>
      </c>
      <c r="H187" s="52" t="s">
        <v>242</v>
      </c>
      <c r="I187" s="52" t="s">
        <v>162</v>
      </c>
      <c r="J187" s="52" t="s">
        <v>432</v>
      </c>
      <c r="K187" s="53">
        <v>45680</v>
      </c>
      <c r="L187" s="108">
        <v>3560</v>
      </c>
      <c r="M187" s="101">
        <v>3560</v>
      </c>
      <c r="N187" s="101"/>
      <c r="O187" s="107">
        <f t="shared" si="103"/>
        <v>3560</v>
      </c>
      <c r="P187" s="54">
        <f t="shared" si="104"/>
        <v>0</v>
      </c>
      <c r="Q187" s="101" t="s">
        <v>178</v>
      </c>
      <c r="R187" s="166">
        <v>45699</v>
      </c>
      <c r="S187" s="101" t="s">
        <v>642</v>
      </c>
      <c r="T187" s="102">
        <f t="shared" si="75"/>
        <v>4.9444444444444446</v>
      </c>
      <c r="U187" s="102">
        <v>6</v>
      </c>
      <c r="V187" s="99">
        <v>120</v>
      </c>
      <c r="W187" s="55">
        <f t="shared" si="105"/>
        <v>45660</v>
      </c>
      <c r="X187" s="55"/>
      <c r="Y187" s="56">
        <f t="shared" ca="1" si="106"/>
        <v>-180</v>
      </c>
      <c r="Z187" s="55">
        <f t="shared" si="107"/>
        <v>45676</v>
      </c>
      <c r="AA187" s="55"/>
      <c r="AB187" s="56">
        <f t="shared" ca="1" si="108"/>
        <v>-164</v>
      </c>
      <c r="AC187" s="55"/>
      <c r="AD187" s="57"/>
      <c r="AE187" s="58" t="str">
        <f t="shared" si="79"/>
        <v>-</v>
      </c>
      <c r="AF187" s="59"/>
      <c r="AG187" s="58" t="str">
        <f t="shared" si="80"/>
        <v/>
      </c>
      <c r="AH187" s="59"/>
      <c r="AI187" s="58" t="str">
        <f t="shared" si="81"/>
        <v/>
      </c>
      <c r="AJ187" s="59"/>
      <c r="AK187" s="58" t="str">
        <f t="shared" si="82"/>
        <v/>
      </c>
      <c r="AL187" s="59"/>
      <c r="AM187" s="58" t="str">
        <f t="shared" si="83"/>
        <v/>
      </c>
      <c r="AN187" s="59"/>
      <c r="AO187" s="58" t="str">
        <f t="shared" si="84"/>
        <v/>
      </c>
      <c r="AP187" s="59"/>
      <c r="AQ187" s="58" t="str">
        <f t="shared" si="85"/>
        <v/>
      </c>
      <c r="AR187" s="59"/>
      <c r="AS187" s="58" t="str">
        <f t="shared" si="86"/>
        <v/>
      </c>
      <c r="AT187" s="59"/>
      <c r="AU187" s="58" t="str">
        <f t="shared" si="87"/>
        <v/>
      </c>
      <c r="AV187" s="59"/>
      <c r="AW187" s="58" t="str">
        <f t="shared" si="88"/>
        <v/>
      </c>
      <c r="AX187" s="59"/>
      <c r="AY187" s="58" t="str">
        <f t="shared" si="89"/>
        <v/>
      </c>
      <c r="AZ187" s="59"/>
      <c r="BA187" s="58" t="str">
        <f t="shared" si="90"/>
        <v/>
      </c>
      <c r="BB187" s="59"/>
      <c r="BC187" s="58">
        <f t="shared" si="91"/>
        <v>3560</v>
      </c>
      <c r="BD187" s="59"/>
      <c r="BE187" s="58" t="str">
        <f t="shared" si="92"/>
        <v/>
      </c>
      <c r="BF187" s="59"/>
      <c r="BG187" s="58" t="str">
        <f t="shared" si="93"/>
        <v/>
      </c>
      <c r="BH187" s="59"/>
      <c r="BI187" s="58" t="str">
        <f t="shared" si="94"/>
        <v/>
      </c>
      <c r="BJ187" s="59"/>
      <c r="BK187" s="58" t="str">
        <f t="shared" si="95"/>
        <v/>
      </c>
      <c r="BL187" s="59"/>
      <c r="BM187" s="58" t="str">
        <f t="shared" si="96"/>
        <v/>
      </c>
      <c r="BN187" s="59"/>
      <c r="BO187" s="58" t="str">
        <f t="shared" si="97"/>
        <v/>
      </c>
      <c r="BP187" s="59"/>
      <c r="BQ187" s="58" t="str">
        <f t="shared" si="98"/>
        <v/>
      </c>
      <c r="BR187" s="59"/>
      <c r="BS187" s="58" t="str">
        <f t="shared" si="99"/>
        <v/>
      </c>
      <c r="BT187" s="59"/>
      <c r="BU187" s="58" t="str">
        <f t="shared" si="100"/>
        <v/>
      </c>
      <c r="BV187" s="59"/>
      <c r="BW187" s="58" t="str">
        <f t="shared" si="101"/>
        <v/>
      </c>
      <c r="BX187" s="59"/>
      <c r="BY187" s="58" t="str">
        <f t="shared" si="102"/>
        <v/>
      </c>
      <c r="BZ187" s="59"/>
    </row>
    <row r="188" spans="1:78" ht="14.5" hidden="1">
      <c r="A188" s="51" t="s">
        <v>58</v>
      </c>
      <c r="B188" s="52">
        <v>377</v>
      </c>
      <c r="C188" s="52" t="s">
        <v>188</v>
      </c>
      <c r="D188" s="41">
        <f t="shared" si="72"/>
        <v>4</v>
      </c>
      <c r="E188" s="170">
        <v>45667</v>
      </c>
      <c r="F188" s="41" t="s">
        <v>631</v>
      </c>
      <c r="G188" s="52" t="s">
        <v>135</v>
      </c>
      <c r="H188" s="52" t="s">
        <v>242</v>
      </c>
      <c r="I188" s="52" t="s">
        <v>451</v>
      </c>
      <c r="J188" s="52" t="s">
        <v>452</v>
      </c>
      <c r="K188" s="53">
        <v>45680</v>
      </c>
      <c r="L188" s="108">
        <v>6800</v>
      </c>
      <c r="M188" s="101">
        <v>0</v>
      </c>
      <c r="N188" s="101"/>
      <c r="O188" s="107">
        <f t="shared" si="103"/>
        <v>6800</v>
      </c>
      <c r="P188" s="54">
        <f t="shared" si="104"/>
        <v>6800</v>
      </c>
      <c r="Q188" s="101" t="s">
        <v>672</v>
      </c>
      <c r="R188" s="101"/>
      <c r="S188" s="101" t="s">
        <v>673</v>
      </c>
      <c r="T188" s="102">
        <f t="shared" si="75"/>
        <v>3.2380952380952381</v>
      </c>
      <c r="U188" s="102">
        <v>6</v>
      </c>
      <c r="V188" s="99">
        <v>350</v>
      </c>
      <c r="W188" s="55">
        <f t="shared" si="105"/>
        <v>45660</v>
      </c>
      <c r="X188" s="55"/>
      <c r="Y188" s="56">
        <f t="shared" ca="1" si="106"/>
        <v>-180</v>
      </c>
      <c r="Z188" s="55">
        <f t="shared" si="107"/>
        <v>45676</v>
      </c>
      <c r="AA188" s="55"/>
      <c r="AB188" s="56">
        <f t="shared" ca="1" si="108"/>
        <v>-164</v>
      </c>
      <c r="AC188" s="55"/>
      <c r="AD188" s="57"/>
      <c r="AE188" s="58" t="str">
        <f t="shared" si="79"/>
        <v>-</v>
      </c>
      <c r="AF188" s="59"/>
      <c r="AG188" s="58" t="str">
        <f t="shared" si="80"/>
        <v/>
      </c>
      <c r="AH188" s="59"/>
      <c r="AI188" s="58" t="str">
        <f t="shared" si="81"/>
        <v/>
      </c>
      <c r="AJ188" s="59"/>
      <c r="AK188" s="58" t="str">
        <f t="shared" si="82"/>
        <v/>
      </c>
      <c r="AL188" s="59"/>
      <c r="AM188" s="58" t="str">
        <f t="shared" si="83"/>
        <v/>
      </c>
      <c r="AN188" s="59"/>
      <c r="AO188" s="58" t="str">
        <f t="shared" si="84"/>
        <v/>
      </c>
      <c r="AP188" s="59"/>
      <c r="AQ188" s="58" t="str">
        <f t="shared" si="85"/>
        <v/>
      </c>
      <c r="AR188" s="59"/>
      <c r="AS188" s="58" t="str">
        <f t="shared" si="86"/>
        <v/>
      </c>
      <c r="AT188" s="59"/>
      <c r="AU188" s="58" t="str">
        <f t="shared" si="87"/>
        <v/>
      </c>
      <c r="AV188" s="59"/>
      <c r="AW188" s="58" t="str">
        <f t="shared" si="88"/>
        <v/>
      </c>
      <c r="AX188" s="59"/>
      <c r="AY188" s="58" t="str">
        <f t="shared" si="89"/>
        <v/>
      </c>
      <c r="AZ188" s="59"/>
      <c r="BA188" s="58" t="str">
        <f t="shared" si="90"/>
        <v/>
      </c>
      <c r="BB188" s="59"/>
      <c r="BC188" s="58">
        <f t="shared" si="91"/>
        <v>6800</v>
      </c>
      <c r="BD188" s="59"/>
      <c r="BE188" s="58" t="str">
        <f t="shared" si="92"/>
        <v/>
      </c>
      <c r="BF188" s="59"/>
      <c r="BG188" s="58" t="str">
        <f t="shared" si="93"/>
        <v/>
      </c>
      <c r="BH188" s="59"/>
      <c r="BI188" s="58" t="str">
        <f t="shared" si="94"/>
        <v/>
      </c>
      <c r="BJ188" s="59"/>
      <c r="BK188" s="58" t="str">
        <f t="shared" si="95"/>
        <v/>
      </c>
      <c r="BL188" s="59"/>
      <c r="BM188" s="58" t="str">
        <f t="shared" si="96"/>
        <v/>
      </c>
      <c r="BN188" s="59"/>
      <c r="BO188" s="58" t="str">
        <f t="shared" si="97"/>
        <v/>
      </c>
      <c r="BP188" s="59"/>
      <c r="BQ188" s="58" t="str">
        <f t="shared" si="98"/>
        <v/>
      </c>
      <c r="BR188" s="59"/>
      <c r="BS188" s="58" t="str">
        <f t="shared" si="99"/>
        <v/>
      </c>
      <c r="BT188" s="59"/>
      <c r="BU188" s="58" t="str">
        <f t="shared" si="100"/>
        <v/>
      </c>
      <c r="BV188" s="59"/>
      <c r="BW188" s="58" t="str">
        <f t="shared" si="101"/>
        <v/>
      </c>
      <c r="BX188" s="59"/>
      <c r="BY188" s="58" t="str">
        <f t="shared" si="102"/>
        <v/>
      </c>
      <c r="BZ188" s="59"/>
    </row>
    <row r="189" spans="1:78" ht="14.5" hidden="1">
      <c r="A189" s="51" t="s">
        <v>58</v>
      </c>
      <c r="B189" s="52">
        <v>414</v>
      </c>
      <c r="C189" s="52" t="s">
        <v>188</v>
      </c>
      <c r="D189" s="41">
        <f t="shared" si="72"/>
        <v>4</v>
      </c>
      <c r="E189" s="170" t="s">
        <v>631</v>
      </c>
      <c r="F189" s="41" t="s">
        <v>631</v>
      </c>
      <c r="G189" s="52" t="s">
        <v>157</v>
      </c>
      <c r="H189" s="52" t="s">
        <v>243</v>
      </c>
      <c r="I189" s="52" t="s">
        <v>162</v>
      </c>
      <c r="J189" s="52" t="s">
        <v>428</v>
      </c>
      <c r="K189" s="53">
        <v>45680</v>
      </c>
      <c r="L189" s="108">
        <v>4020</v>
      </c>
      <c r="M189" s="101">
        <v>4020</v>
      </c>
      <c r="N189" s="101">
        <v>4020</v>
      </c>
      <c r="O189" s="107">
        <f t="shared" si="103"/>
        <v>0</v>
      </c>
      <c r="P189" s="54">
        <f t="shared" si="104"/>
        <v>0</v>
      </c>
      <c r="Q189" s="101" t="s">
        <v>429</v>
      </c>
      <c r="R189" s="101"/>
      <c r="S189" s="101"/>
      <c r="T189" s="102">
        <f t="shared" si="75"/>
        <v>0.67</v>
      </c>
      <c r="U189" s="102">
        <v>6</v>
      </c>
      <c r="V189" s="99">
        <v>1000</v>
      </c>
      <c r="W189" s="55">
        <f t="shared" si="105"/>
        <v>45660</v>
      </c>
      <c r="X189" s="55"/>
      <c r="Y189" s="56">
        <f t="shared" ca="1" si="106"/>
        <v>-180</v>
      </c>
      <c r="Z189" s="55">
        <f t="shared" si="107"/>
        <v>45676</v>
      </c>
      <c r="AA189" s="55"/>
      <c r="AB189" s="56">
        <f t="shared" ca="1" si="108"/>
        <v>-164</v>
      </c>
      <c r="AC189" s="55"/>
      <c r="AD189" s="57"/>
      <c r="AE189" s="58" t="str">
        <f t="shared" si="79"/>
        <v>-</v>
      </c>
      <c r="AF189" s="59"/>
      <c r="AG189" s="58" t="str">
        <f t="shared" si="80"/>
        <v/>
      </c>
      <c r="AH189" s="59"/>
      <c r="AI189" s="58" t="str">
        <f t="shared" si="81"/>
        <v/>
      </c>
      <c r="AJ189" s="59"/>
      <c r="AK189" s="58" t="str">
        <f t="shared" si="82"/>
        <v/>
      </c>
      <c r="AL189" s="59"/>
      <c r="AM189" s="58" t="str">
        <f t="shared" si="83"/>
        <v/>
      </c>
      <c r="AN189" s="59"/>
      <c r="AO189" s="58" t="str">
        <f t="shared" si="84"/>
        <v/>
      </c>
      <c r="AP189" s="59"/>
      <c r="AQ189" s="58" t="str">
        <f t="shared" si="85"/>
        <v/>
      </c>
      <c r="AR189" s="59"/>
      <c r="AS189" s="58" t="str">
        <f t="shared" si="86"/>
        <v/>
      </c>
      <c r="AT189" s="59"/>
      <c r="AU189" s="58" t="str">
        <f t="shared" si="87"/>
        <v/>
      </c>
      <c r="AV189" s="59"/>
      <c r="AW189" s="58" t="str">
        <f t="shared" si="88"/>
        <v/>
      </c>
      <c r="AX189" s="59"/>
      <c r="AY189" s="58" t="str">
        <f t="shared" si="89"/>
        <v/>
      </c>
      <c r="AZ189" s="59"/>
      <c r="BA189" s="58" t="str">
        <f t="shared" si="90"/>
        <v/>
      </c>
      <c r="BB189" s="59"/>
      <c r="BC189" s="58">
        <f t="shared" si="91"/>
        <v>4020</v>
      </c>
      <c r="BD189" s="59"/>
      <c r="BE189" s="58" t="str">
        <f t="shared" si="92"/>
        <v/>
      </c>
      <c r="BF189" s="59"/>
      <c r="BG189" s="58" t="str">
        <f t="shared" si="93"/>
        <v/>
      </c>
      <c r="BH189" s="59"/>
      <c r="BI189" s="58" t="str">
        <f t="shared" si="94"/>
        <v/>
      </c>
      <c r="BJ189" s="59"/>
      <c r="BK189" s="58" t="str">
        <f t="shared" si="95"/>
        <v/>
      </c>
      <c r="BL189" s="59"/>
      <c r="BM189" s="58" t="str">
        <f t="shared" si="96"/>
        <v/>
      </c>
      <c r="BN189" s="59"/>
      <c r="BO189" s="58" t="str">
        <f t="shared" si="97"/>
        <v/>
      </c>
      <c r="BP189" s="59"/>
      <c r="BQ189" s="58" t="str">
        <f t="shared" si="98"/>
        <v/>
      </c>
      <c r="BR189" s="59"/>
      <c r="BS189" s="58" t="str">
        <f t="shared" si="99"/>
        <v/>
      </c>
      <c r="BT189" s="59"/>
      <c r="BU189" s="58" t="str">
        <f t="shared" si="100"/>
        <v/>
      </c>
      <c r="BV189" s="59"/>
      <c r="BW189" s="58" t="str">
        <f t="shared" si="101"/>
        <v/>
      </c>
      <c r="BX189" s="59"/>
      <c r="BY189" s="58" t="str">
        <f t="shared" si="102"/>
        <v/>
      </c>
      <c r="BZ189" s="59"/>
    </row>
    <row r="190" spans="1:78" ht="14.5" hidden="1">
      <c r="A190" s="51" t="s">
        <v>58</v>
      </c>
      <c r="B190" s="52">
        <v>364</v>
      </c>
      <c r="C190" s="52" t="s">
        <v>188</v>
      </c>
      <c r="D190" s="41">
        <f t="shared" si="72"/>
        <v>5</v>
      </c>
      <c r="E190" s="170" t="s">
        <v>631</v>
      </c>
      <c r="F190" s="41" t="s">
        <v>631</v>
      </c>
      <c r="G190" s="52" t="s">
        <v>157</v>
      </c>
      <c r="H190" s="52" t="s">
        <v>243</v>
      </c>
      <c r="I190" s="52" t="s">
        <v>162</v>
      </c>
      <c r="J190" s="52" t="s">
        <v>428</v>
      </c>
      <c r="K190" s="53">
        <v>45686</v>
      </c>
      <c r="L190" s="108">
        <v>3708</v>
      </c>
      <c r="M190" s="101">
        <v>3708</v>
      </c>
      <c r="N190" s="101">
        <v>3708</v>
      </c>
      <c r="O190" s="107">
        <f t="shared" si="103"/>
        <v>0</v>
      </c>
      <c r="P190" s="54">
        <f t="shared" si="104"/>
        <v>0</v>
      </c>
      <c r="Q190" s="101" t="s">
        <v>429</v>
      </c>
      <c r="R190" s="101"/>
      <c r="S190" s="101"/>
      <c r="T190" s="102">
        <f t="shared" si="75"/>
        <v>0.61799999999999999</v>
      </c>
      <c r="U190" s="102">
        <v>6</v>
      </c>
      <c r="V190" s="99">
        <v>1000</v>
      </c>
      <c r="W190" s="55">
        <f t="shared" si="105"/>
        <v>45666</v>
      </c>
      <c r="X190" s="55"/>
      <c r="Y190" s="56">
        <f t="shared" ca="1" si="106"/>
        <v>-174</v>
      </c>
      <c r="Z190" s="55">
        <f t="shared" si="107"/>
        <v>45682</v>
      </c>
      <c r="AA190" s="55"/>
      <c r="AB190" s="56">
        <f t="shared" ca="1" si="108"/>
        <v>-158</v>
      </c>
      <c r="AC190" s="55"/>
      <c r="AD190" s="57"/>
      <c r="AE190" s="58" t="str">
        <f t="shared" si="79"/>
        <v>-</v>
      </c>
      <c r="AF190" s="59"/>
      <c r="AG190" s="58" t="str">
        <f t="shared" si="80"/>
        <v/>
      </c>
      <c r="AH190" s="59"/>
      <c r="AI190" s="58" t="str">
        <f t="shared" si="81"/>
        <v/>
      </c>
      <c r="AJ190" s="59"/>
      <c r="AK190" s="58" t="str">
        <f t="shared" si="82"/>
        <v/>
      </c>
      <c r="AL190" s="59"/>
      <c r="AM190" s="58" t="str">
        <f t="shared" si="83"/>
        <v/>
      </c>
      <c r="AN190" s="59"/>
      <c r="AO190" s="58" t="str">
        <f t="shared" si="84"/>
        <v/>
      </c>
      <c r="AP190" s="59"/>
      <c r="AQ190" s="58" t="str">
        <f t="shared" si="85"/>
        <v/>
      </c>
      <c r="AR190" s="59"/>
      <c r="AS190" s="58" t="str">
        <f t="shared" si="86"/>
        <v/>
      </c>
      <c r="AT190" s="59"/>
      <c r="AU190" s="58" t="str">
        <f t="shared" si="87"/>
        <v/>
      </c>
      <c r="AV190" s="59"/>
      <c r="AW190" s="58" t="str">
        <f t="shared" si="88"/>
        <v/>
      </c>
      <c r="AX190" s="59"/>
      <c r="AY190" s="58" t="str">
        <f t="shared" si="89"/>
        <v/>
      </c>
      <c r="AZ190" s="59"/>
      <c r="BA190" s="58" t="str">
        <f t="shared" si="90"/>
        <v/>
      </c>
      <c r="BB190" s="59"/>
      <c r="BC190" s="58" t="str">
        <f t="shared" si="91"/>
        <v/>
      </c>
      <c r="BD190" s="59"/>
      <c r="BE190" s="58">
        <f t="shared" si="92"/>
        <v>3708</v>
      </c>
      <c r="BF190" s="59"/>
      <c r="BG190" s="58" t="str">
        <f t="shared" si="93"/>
        <v/>
      </c>
      <c r="BH190" s="59"/>
      <c r="BI190" s="58" t="str">
        <f t="shared" si="94"/>
        <v/>
      </c>
      <c r="BJ190" s="59"/>
      <c r="BK190" s="58" t="str">
        <f t="shared" si="95"/>
        <v/>
      </c>
      <c r="BL190" s="59"/>
      <c r="BM190" s="58" t="str">
        <f t="shared" si="96"/>
        <v/>
      </c>
      <c r="BN190" s="59"/>
      <c r="BO190" s="58" t="str">
        <f t="shared" si="97"/>
        <v/>
      </c>
      <c r="BP190" s="59"/>
      <c r="BQ190" s="58" t="str">
        <f t="shared" si="98"/>
        <v/>
      </c>
      <c r="BR190" s="59"/>
      <c r="BS190" s="58" t="str">
        <f t="shared" si="99"/>
        <v/>
      </c>
      <c r="BT190" s="59"/>
      <c r="BU190" s="58" t="str">
        <f t="shared" si="100"/>
        <v/>
      </c>
      <c r="BV190" s="59"/>
      <c r="BW190" s="58" t="str">
        <f t="shared" si="101"/>
        <v/>
      </c>
      <c r="BX190" s="59"/>
      <c r="BY190" s="58" t="str">
        <f t="shared" si="102"/>
        <v/>
      </c>
      <c r="BZ190" s="59"/>
    </row>
    <row r="191" spans="1:78" ht="14.5" hidden="1">
      <c r="A191" s="51" t="s">
        <v>58</v>
      </c>
      <c r="B191" s="52">
        <v>364</v>
      </c>
      <c r="C191" s="52" t="s">
        <v>188</v>
      </c>
      <c r="D191" s="41">
        <f t="shared" si="72"/>
        <v>5</v>
      </c>
      <c r="E191" s="170">
        <v>45667</v>
      </c>
      <c r="F191" s="41" t="s">
        <v>631</v>
      </c>
      <c r="G191" s="52" t="s">
        <v>157</v>
      </c>
      <c r="H191" s="52" t="s">
        <v>243</v>
      </c>
      <c r="I191" s="52" t="s">
        <v>155</v>
      </c>
      <c r="J191" s="52" t="s">
        <v>428</v>
      </c>
      <c r="K191" s="53">
        <v>45686</v>
      </c>
      <c r="L191" s="108">
        <v>420</v>
      </c>
      <c r="M191" s="101">
        <v>420</v>
      </c>
      <c r="N191" s="101">
        <v>420</v>
      </c>
      <c r="O191" s="107">
        <f t="shared" si="103"/>
        <v>0</v>
      </c>
      <c r="P191" s="54">
        <f t="shared" si="104"/>
        <v>0</v>
      </c>
      <c r="Q191" s="101" t="s">
        <v>429</v>
      </c>
      <c r="R191" s="101"/>
      <c r="S191" s="101"/>
      <c r="T191" s="102">
        <f t="shared" si="75"/>
        <v>7.0000000000000007E-2</v>
      </c>
      <c r="U191" s="102">
        <v>6</v>
      </c>
      <c r="V191" s="99">
        <v>1000</v>
      </c>
      <c r="W191" s="55">
        <f t="shared" si="105"/>
        <v>45666</v>
      </c>
      <c r="X191" s="55"/>
      <c r="Y191" s="56">
        <f t="shared" ca="1" si="106"/>
        <v>-174</v>
      </c>
      <c r="Z191" s="55">
        <f t="shared" si="107"/>
        <v>45682</v>
      </c>
      <c r="AA191" s="55"/>
      <c r="AB191" s="56">
        <f t="shared" ca="1" si="108"/>
        <v>-158</v>
      </c>
      <c r="AC191" s="55"/>
      <c r="AD191" s="57"/>
      <c r="AE191" s="58" t="str">
        <f t="shared" si="79"/>
        <v>-</v>
      </c>
      <c r="AF191" s="59"/>
      <c r="AG191" s="58" t="str">
        <f t="shared" si="80"/>
        <v/>
      </c>
      <c r="AH191" s="59"/>
      <c r="AI191" s="58" t="str">
        <f t="shared" si="81"/>
        <v/>
      </c>
      <c r="AJ191" s="59"/>
      <c r="AK191" s="58" t="str">
        <f t="shared" si="82"/>
        <v/>
      </c>
      <c r="AL191" s="59"/>
      <c r="AM191" s="58" t="str">
        <f t="shared" si="83"/>
        <v/>
      </c>
      <c r="AN191" s="59"/>
      <c r="AO191" s="58" t="str">
        <f t="shared" si="84"/>
        <v/>
      </c>
      <c r="AP191" s="59"/>
      <c r="AQ191" s="58" t="str">
        <f t="shared" si="85"/>
        <v/>
      </c>
      <c r="AR191" s="59"/>
      <c r="AS191" s="58" t="str">
        <f t="shared" si="86"/>
        <v/>
      </c>
      <c r="AT191" s="59"/>
      <c r="AU191" s="58" t="str">
        <f t="shared" si="87"/>
        <v/>
      </c>
      <c r="AV191" s="59"/>
      <c r="AW191" s="58" t="str">
        <f t="shared" si="88"/>
        <v/>
      </c>
      <c r="AX191" s="59"/>
      <c r="AY191" s="58" t="str">
        <f t="shared" si="89"/>
        <v/>
      </c>
      <c r="AZ191" s="59"/>
      <c r="BA191" s="58" t="str">
        <f t="shared" si="90"/>
        <v/>
      </c>
      <c r="BB191" s="59"/>
      <c r="BC191" s="58" t="str">
        <f t="shared" si="91"/>
        <v/>
      </c>
      <c r="BD191" s="59"/>
      <c r="BE191" s="58">
        <f t="shared" si="92"/>
        <v>420</v>
      </c>
      <c r="BF191" s="59"/>
      <c r="BG191" s="58" t="str">
        <f t="shared" si="93"/>
        <v/>
      </c>
      <c r="BH191" s="59"/>
      <c r="BI191" s="58" t="str">
        <f t="shared" si="94"/>
        <v/>
      </c>
      <c r="BJ191" s="59"/>
      <c r="BK191" s="58" t="str">
        <f t="shared" si="95"/>
        <v/>
      </c>
      <c r="BL191" s="59"/>
      <c r="BM191" s="58" t="str">
        <f t="shared" si="96"/>
        <v/>
      </c>
      <c r="BN191" s="59"/>
      <c r="BO191" s="58" t="str">
        <f t="shared" si="97"/>
        <v/>
      </c>
      <c r="BP191" s="59"/>
      <c r="BQ191" s="58" t="str">
        <f t="shared" si="98"/>
        <v/>
      </c>
      <c r="BR191" s="59"/>
      <c r="BS191" s="58" t="str">
        <f t="shared" si="99"/>
        <v/>
      </c>
      <c r="BT191" s="59"/>
      <c r="BU191" s="58" t="str">
        <f t="shared" si="100"/>
        <v/>
      </c>
      <c r="BV191" s="59"/>
      <c r="BW191" s="58" t="str">
        <f t="shared" si="101"/>
        <v/>
      </c>
      <c r="BX191" s="59"/>
      <c r="BY191" s="58" t="str">
        <f t="shared" si="102"/>
        <v/>
      </c>
      <c r="BZ191" s="59"/>
    </row>
    <row r="192" spans="1:78" ht="14.5" hidden="1">
      <c r="A192" s="51" t="s">
        <v>58</v>
      </c>
      <c r="B192" s="52">
        <v>364</v>
      </c>
      <c r="C192" s="52" t="s">
        <v>188</v>
      </c>
      <c r="D192" s="41">
        <f t="shared" si="72"/>
        <v>5</v>
      </c>
      <c r="E192" s="170" t="s">
        <v>631</v>
      </c>
      <c r="F192" s="41" t="s">
        <v>631</v>
      </c>
      <c r="G192" s="52" t="s">
        <v>390</v>
      </c>
      <c r="H192" s="52" t="s">
        <v>242</v>
      </c>
      <c r="I192" s="52" t="s">
        <v>162</v>
      </c>
      <c r="J192" s="52" t="s">
        <v>497</v>
      </c>
      <c r="K192" s="53">
        <v>45686</v>
      </c>
      <c r="L192" s="108">
        <v>1488</v>
      </c>
      <c r="M192" s="101">
        <v>1488</v>
      </c>
      <c r="N192" s="101">
        <v>1488</v>
      </c>
      <c r="O192" s="107">
        <f t="shared" si="103"/>
        <v>0</v>
      </c>
      <c r="P192" s="54">
        <f t="shared" si="104"/>
        <v>0</v>
      </c>
      <c r="Q192" s="101" t="s">
        <v>431</v>
      </c>
      <c r="R192" s="101"/>
      <c r="S192" s="101"/>
      <c r="T192" s="102">
        <f t="shared" si="75"/>
        <v>2.0666666666666669</v>
      </c>
      <c r="U192" s="102">
        <v>6</v>
      </c>
      <c r="V192" s="99">
        <v>120</v>
      </c>
      <c r="W192" s="55">
        <f t="shared" si="105"/>
        <v>45666</v>
      </c>
      <c r="X192" s="55"/>
      <c r="Y192" s="56">
        <f t="shared" ca="1" si="106"/>
        <v>-174</v>
      </c>
      <c r="Z192" s="55">
        <f t="shared" si="107"/>
        <v>45682</v>
      </c>
      <c r="AA192" s="55"/>
      <c r="AB192" s="56">
        <f t="shared" ca="1" si="108"/>
        <v>-158</v>
      </c>
      <c r="AC192" s="55"/>
      <c r="AD192" s="57"/>
      <c r="AE192" s="58" t="str">
        <f t="shared" si="79"/>
        <v>-</v>
      </c>
      <c r="AF192" s="59"/>
      <c r="AG192" s="58" t="str">
        <f t="shared" si="80"/>
        <v/>
      </c>
      <c r="AH192" s="59"/>
      <c r="AI192" s="58" t="str">
        <f t="shared" si="81"/>
        <v/>
      </c>
      <c r="AJ192" s="59"/>
      <c r="AK192" s="58" t="str">
        <f t="shared" si="82"/>
        <v/>
      </c>
      <c r="AL192" s="59"/>
      <c r="AM192" s="58" t="str">
        <f t="shared" si="83"/>
        <v/>
      </c>
      <c r="AN192" s="59"/>
      <c r="AO192" s="58" t="str">
        <f t="shared" si="84"/>
        <v/>
      </c>
      <c r="AP192" s="59"/>
      <c r="AQ192" s="58" t="str">
        <f t="shared" si="85"/>
        <v/>
      </c>
      <c r="AR192" s="59"/>
      <c r="AS192" s="58" t="str">
        <f t="shared" si="86"/>
        <v/>
      </c>
      <c r="AT192" s="59"/>
      <c r="AU192" s="58" t="str">
        <f t="shared" si="87"/>
        <v/>
      </c>
      <c r="AV192" s="59"/>
      <c r="AW192" s="58" t="str">
        <f t="shared" si="88"/>
        <v/>
      </c>
      <c r="AX192" s="59"/>
      <c r="AY192" s="58" t="str">
        <f t="shared" si="89"/>
        <v/>
      </c>
      <c r="AZ192" s="59"/>
      <c r="BA192" s="58" t="str">
        <f t="shared" si="90"/>
        <v/>
      </c>
      <c r="BB192" s="59"/>
      <c r="BC192" s="58" t="str">
        <f t="shared" si="91"/>
        <v/>
      </c>
      <c r="BD192" s="59"/>
      <c r="BE192" s="58">
        <f t="shared" si="92"/>
        <v>1488</v>
      </c>
      <c r="BF192" s="59"/>
      <c r="BG192" s="58" t="str">
        <f t="shared" si="93"/>
        <v/>
      </c>
      <c r="BH192" s="59"/>
      <c r="BI192" s="58" t="str">
        <f t="shared" si="94"/>
        <v/>
      </c>
      <c r="BJ192" s="59"/>
      <c r="BK192" s="58" t="str">
        <f t="shared" si="95"/>
        <v/>
      </c>
      <c r="BL192" s="59"/>
      <c r="BM192" s="58" t="str">
        <f t="shared" si="96"/>
        <v/>
      </c>
      <c r="BN192" s="59"/>
      <c r="BO192" s="58" t="str">
        <f t="shared" si="97"/>
        <v/>
      </c>
      <c r="BP192" s="59"/>
      <c r="BQ192" s="58" t="str">
        <f t="shared" si="98"/>
        <v/>
      </c>
      <c r="BR192" s="59"/>
      <c r="BS192" s="58" t="str">
        <f t="shared" si="99"/>
        <v/>
      </c>
      <c r="BT192" s="59"/>
      <c r="BU192" s="58" t="str">
        <f t="shared" si="100"/>
        <v/>
      </c>
      <c r="BV192" s="59"/>
      <c r="BW192" s="58" t="str">
        <f t="shared" si="101"/>
        <v/>
      </c>
      <c r="BX192" s="59"/>
      <c r="BY192" s="58" t="str">
        <f t="shared" si="102"/>
        <v/>
      </c>
      <c r="BZ192" s="59"/>
    </row>
    <row r="193" spans="1:78" ht="14.5" hidden="1">
      <c r="A193" s="51" t="s">
        <v>58</v>
      </c>
      <c r="B193" s="52">
        <v>364</v>
      </c>
      <c r="C193" s="52" t="s">
        <v>188</v>
      </c>
      <c r="D193" s="41">
        <f t="shared" si="72"/>
        <v>5</v>
      </c>
      <c r="E193" s="170" t="s">
        <v>631</v>
      </c>
      <c r="F193" s="41" t="s">
        <v>631</v>
      </c>
      <c r="G193" s="52" t="s">
        <v>189</v>
      </c>
      <c r="H193" s="52" t="s">
        <v>242</v>
      </c>
      <c r="I193" s="52" t="s">
        <v>162</v>
      </c>
      <c r="J193" s="52" t="s">
        <v>497</v>
      </c>
      <c r="K193" s="53">
        <v>45686</v>
      </c>
      <c r="L193" s="108">
        <v>336</v>
      </c>
      <c r="M193" s="101">
        <v>336</v>
      </c>
      <c r="N193" s="101"/>
      <c r="O193" s="107">
        <f t="shared" si="103"/>
        <v>336</v>
      </c>
      <c r="P193" s="54">
        <f t="shared" si="104"/>
        <v>0</v>
      </c>
      <c r="Q193" s="101" t="s">
        <v>178</v>
      </c>
      <c r="R193" s="166">
        <v>45682</v>
      </c>
      <c r="S193" s="101" t="s">
        <v>642</v>
      </c>
      <c r="T193" s="102">
        <f t="shared" si="75"/>
        <v>0.46666666666666667</v>
      </c>
      <c r="U193" s="102">
        <v>6</v>
      </c>
      <c r="V193" s="99">
        <v>120</v>
      </c>
      <c r="W193" s="55">
        <f t="shared" si="105"/>
        <v>45666</v>
      </c>
      <c r="X193" s="55"/>
      <c r="Y193" s="56">
        <f t="shared" ca="1" si="106"/>
        <v>-174</v>
      </c>
      <c r="Z193" s="55">
        <f t="shared" si="107"/>
        <v>45682</v>
      </c>
      <c r="AA193" s="55"/>
      <c r="AB193" s="56">
        <f t="shared" ca="1" si="108"/>
        <v>-158</v>
      </c>
      <c r="AC193" s="55"/>
      <c r="AD193" s="57"/>
      <c r="AE193" s="58" t="str">
        <f t="shared" si="79"/>
        <v>-</v>
      </c>
      <c r="AF193" s="59"/>
      <c r="AG193" s="58" t="str">
        <f t="shared" si="80"/>
        <v/>
      </c>
      <c r="AH193" s="59"/>
      <c r="AI193" s="58" t="str">
        <f t="shared" si="81"/>
        <v/>
      </c>
      <c r="AJ193" s="59"/>
      <c r="AK193" s="58" t="str">
        <f t="shared" si="82"/>
        <v/>
      </c>
      <c r="AL193" s="59"/>
      <c r="AM193" s="58" t="str">
        <f t="shared" si="83"/>
        <v/>
      </c>
      <c r="AN193" s="59"/>
      <c r="AO193" s="58" t="str">
        <f t="shared" si="84"/>
        <v/>
      </c>
      <c r="AP193" s="59"/>
      <c r="AQ193" s="58" t="str">
        <f t="shared" si="85"/>
        <v/>
      </c>
      <c r="AR193" s="59"/>
      <c r="AS193" s="58" t="str">
        <f t="shared" si="86"/>
        <v/>
      </c>
      <c r="AT193" s="59"/>
      <c r="AU193" s="58" t="str">
        <f t="shared" si="87"/>
        <v/>
      </c>
      <c r="AV193" s="59"/>
      <c r="AW193" s="58" t="str">
        <f t="shared" si="88"/>
        <v/>
      </c>
      <c r="AX193" s="59"/>
      <c r="AY193" s="58" t="str">
        <f t="shared" si="89"/>
        <v/>
      </c>
      <c r="AZ193" s="59"/>
      <c r="BA193" s="58" t="str">
        <f t="shared" si="90"/>
        <v/>
      </c>
      <c r="BB193" s="59"/>
      <c r="BC193" s="58" t="str">
        <f t="shared" si="91"/>
        <v/>
      </c>
      <c r="BD193" s="59"/>
      <c r="BE193" s="58">
        <f t="shared" si="92"/>
        <v>336</v>
      </c>
      <c r="BF193" s="59"/>
      <c r="BG193" s="58" t="str">
        <f t="shared" si="93"/>
        <v/>
      </c>
      <c r="BH193" s="59"/>
      <c r="BI193" s="58" t="str">
        <f t="shared" si="94"/>
        <v/>
      </c>
      <c r="BJ193" s="59"/>
      <c r="BK193" s="58" t="str">
        <f t="shared" si="95"/>
        <v/>
      </c>
      <c r="BL193" s="59"/>
      <c r="BM193" s="58" t="str">
        <f t="shared" si="96"/>
        <v/>
      </c>
      <c r="BN193" s="59"/>
      <c r="BO193" s="58" t="str">
        <f t="shared" si="97"/>
        <v/>
      </c>
      <c r="BP193" s="59"/>
      <c r="BQ193" s="58" t="str">
        <f t="shared" si="98"/>
        <v/>
      </c>
      <c r="BR193" s="59"/>
      <c r="BS193" s="58" t="str">
        <f t="shared" si="99"/>
        <v/>
      </c>
      <c r="BT193" s="59"/>
      <c r="BU193" s="58" t="str">
        <f t="shared" si="100"/>
        <v/>
      </c>
      <c r="BV193" s="59"/>
      <c r="BW193" s="58" t="str">
        <f t="shared" si="101"/>
        <v/>
      </c>
      <c r="BX193" s="59"/>
      <c r="BY193" s="58" t="str">
        <f t="shared" si="102"/>
        <v/>
      </c>
      <c r="BZ193" s="59"/>
    </row>
    <row r="194" spans="1:78" ht="14.5" hidden="1">
      <c r="A194" s="51" t="s">
        <v>58</v>
      </c>
      <c r="B194" s="52">
        <v>364</v>
      </c>
      <c r="C194" s="52" t="s">
        <v>188</v>
      </c>
      <c r="D194" s="41">
        <f t="shared" si="72"/>
        <v>5</v>
      </c>
      <c r="E194" s="170" t="s">
        <v>631</v>
      </c>
      <c r="F194" s="41" t="s">
        <v>631</v>
      </c>
      <c r="G194" s="52" t="s">
        <v>391</v>
      </c>
      <c r="H194" s="52" t="s">
        <v>392</v>
      </c>
      <c r="I194" s="52" t="s">
        <v>162</v>
      </c>
      <c r="J194" s="52" t="s">
        <v>537</v>
      </c>
      <c r="K194" s="53">
        <v>45686</v>
      </c>
      <c r="L194" s="108">
        <v>1488</v>
      </c>
      <c r="M194" s="101">
        <v>1488</v>
      </c>
      <c r="N194" s="101"/>
      <c r="O194" s="107">
        <f t="shared" si="103"/>
        <v>1488</v>
      </c>
      <c r="P194" s="54">
        <f t="shared" si="104"/>
        <v>0</v>
      </c>
      <c r="Q194" s="101" t="s">
        <v>674</v>
      </c>
      <c r="R194" s="101"/>
      <c r="S194" s="101"/>
      <c r="T194" s="102">
        <f t="shared" si="75"/>
        <v>3.1</v>
      </c>
      <c r="U194" s="102">
        <v>6</v>
      </c>
      <c r="V194" s="99">
        <v>80</v>
      </c>
      <c r="W194" s="55">
        <f t="shared" si="105"/>
        <v>45666</v>
      </c>
      <c r="X194" s="55"/>
      <c r="Y194" s="56">
        <f t="shared" ca="1" si="106"/>
        <v>-174</v>
      </c>
      <c r="Z194" s="55">
        <f t="shared" si="107"/>
        <v>45682</v>
      </c>
      <c r="AA194" s="55"/>
      <c r="AB194" s="56">
        <f t="shared" ca="1" si="108"/>
        <v>-158</v>
      </c>
      <c r="AC194" s="55"/>
      <c r="AD194" s="57"/>
      <c r="AE194" s="58" t="str">
        <f t="shared" si="79"/>
        <v>-</v>
      </c>
      <c r="AF194" s="59"/>
      <c r="AG194" s="58" t="str">
        <f t="shared" si="80"/>
        <v/>
      </c>
      <c r="AH194" s="59"/>
      <c r="AI194" s="58" t="str">
        <f t="shared" si="81"/>
        <v/>
      </c>
      <c r="AJ194" s="59"/>
      <c r="AK194" s="58" t="str">
        <f t="shared" si="82"/>
        <v/>
      </c>
      <c r="AL194" s="59"/>
      <c r="AM194" s="58" t="str">
        <f t="shared" si="83"/>
        <v/>
      </c>
      <c r="AN194" s="59"/>
      <c r="AO194" s="58" t="str">
        <f t="shared" si="84"/>
        <v/>
      </c>
      <c r="AP194" s="59"/>
      <c r="AQ194" s="58" t="str">
        <f t="shared" si="85"/>
        <v/>
      </c>
      <c r="AR194" s="59"/>
      <c r="AS194" s="58" t="str">
        <f t="shared" si="86"/>
        <v/>
      </c>
      <c r="AT194" s="59"/>
      <c r="AU194" s="58" t="str">
        <f t="shared" si="87"/>
        <v/>
      </c>
      <c r="AV194" s="59"/>
      <c r="AW194" s="58" t="str">
        <f t="shared" si="88"/>
        <v/>
      </c>
      <c r="AX194" s="59"/>
      <c r="AY194" s="58" t="str">
        <f t="shared" si="89"/>
        <v/>
      </c>
      <c r="AZ194" s="59"/>
      <c r="BA194" s="58" t="str">
        <f t="shared" si="90"/>
        <v/>
      </c>
      <c r="BB194" s="59"/>
      <c r="BC194" s="58" t="str">
        <f t="shared" si="91"/>
        <v/>
      </c>
      <c r="BD194" s="59"/>
      <c r="BE194" s="58">
        <f t="shared" si="92"/>
        <v>1488</v>
      </c>
      <c r="BF194" s="59"/>
      <c r="BG194" s="58" t="str">
        <f t="shared" si="93"/>
        <v/>
      </c>
      <c r="BH194" s="59"/>
      <c r="BI194" s="58" t="str">
        <f t="shared" si="94"/>
        <v/>
      </c>
      <c r="BJ194" s="59"/>
      <c r="BK194" s="58" t="str">
        <f t="shared" si="95"/>
        <v/>
      </c>
      <c r="BL194" s="59"/>
      <c r="BM194" s="58" t="str">
        <f t="shared" si="96"/>
        <v/>
      </c>
      <c r="BN194" s="59"/>
      <c r="BO194" s="58" t="str">
        <f t="shared" si="97"/>
        <v/>
      </c>
      <c r="BP194" s="59"/>
      <c r="BQ194" s="58" t="str">
        <f t="shared" si="98"/>
        <v/>
      </c>
      <c r="BR194" s="59"/>
      <c r="BS194" s="58" t="str">
        <f t="shared" si="99"/>
        <v/>
      </c>
      <c r="BT194" s="59"/>
      <c r="BU194" s="58" t="str">
        <f t="shared" si="100"/>
        <v/>
      </c>
      <c r="BV194" s="59"/>
      <c r="BW194" s="58" t="str">
        <f t="shared" si="101"/>
        <v/>
      </c>
      <c r="BX194" s="59"/>
      <c r="BY194" s="58" t="str">
        <f t="shared" si="102"/>
        <v/>
      </c>
      <c r="BZ194" s="59"/>
    </row>
    <row r="195" spans="1:78" ht="14.5" hidden="1">
      <c r="A195" s="51" t="s">
        <v>58</v>
      </c>
      <c r="B195" s="52">
        <v>365</v>
      </c>
      <c r="C195" s="52" t="s">
        <v>188</v>
      </c>
      <c r="D195" s="41">
        <f t="shared" si="72"/>
        <v>5</v>
      </c>
      <c r="E195" s="170" t="s">
        <v>646</v>
      </c>
      <c r="F195" s="41" t="s">
        <v>631</v>
      </c>
      <c r="G195" s="52" t="s">
        <v>502</v>
      </c>
      <c r="H195" s="52" t="s">
        <v>289</v>
      </c>
      <c r="I195" s="52" t="s">
        <v>155</v>
      </c>
      <c r="J195" s="52" t="s">
        <v>503</v>
      </c>
      <c r="K195" s="53">
        <v>45686</v>
      </c>
      <c r="L195" s="108">
        <v>2088</v>
      </c>
      <c r="M195" s="101"/>
      <c r="N195" s="101"/>
      <c r="O195" s="107">
        <f t="shared" si="103"/>
        <v>2088</v>
      </c>
      <c r="P195" s="54">
        <f t="shared" si="104"/>
        <v>2088</v>
      </c>
      <c r="Q195" s="101" t="s">
        <v>504</v>
      </c>
      <c r="R195" s="101"/>
      <c r="S195" s="101"/>
      <c r="T195" s="102">
        <f t="shared" si="75"/>
        <v>10.875</v>
      </c>
      <c r="U195" s="102">
        <v>6</v>
      </c>
      <c r="V195" s="99">
        <f>480/15</f>
        <v>32</v>
      </c>
      <c r="W195" s="55">
        <f t="shared" si="105"/>
        <v>45666</v>
      </c>
      <c r="X195" s="55"/>
      <c r="Y195" s="56">
        <f t="shared" ca="1" si="106"/>
        <v>-174</v>
      </c>
      <c r="Z195" s="55">
        <f t="shared" si="107"/>
        <v>45682</v>
      </c>
      <c r="AA195" s="55"/>
      <c r="AB195" s="56">
        <f t="shared" ca="1" si="108"/>
        <v>-158</v>
      </c>
      <c r="AC195" s="55"/>
      <c r="AD195" s="57"/>
      <c r="AE195" s="58" t="str">
        <f t="shared" si="79"/>
        <v>-</v>
      </c>
      <c r="AF195" s="59"/>
      <c r="AG195" s="58" t="str">
        <f t="shared" si="80"/>
        <v/>
      </c>
      <c r="AH195" s="59"/>
      <c r="AI195" s="58" t="str">
        <f t="shared" si="81"/>
        <v/>
      </c>
      <c r="AJ195" s="59"/>
      <c r="AK195" s="58" t="str">
        <f t="shared" si="82"/>
        <v/>
      </c>
      <c r="AL195" s="59"/>
      <c r="AM195" s="58" t="str">
        <f t="shared" si="83"/>
        <v/>
      </c>
      <c r="AN195" s="59"/>
      <c r="AO195" s="58" t="str">
        <f t="shared" si="84"/>
        <v/>
      </c>
      <c r="AP195" s="59"/>
      <c r="AQ195" s="58" t="str">
        <f t="shared" si="85"/>
        <v/>
      </c>
      <c r="AR195" s="59"/>
      <c r="AS195" s="58" t="str">
        <f t="shared" si="86"/>
        <v/>
      </c>
      <c r="AT195" s="59"/>
      <c r="AU195" s="58" t="str">
        <f t="shared" si="87"/>
        <v/>
      </c>
      <c r="AV195" s="59"/>
      <c r="AW195" s="58" t="str">
        <f t="shared" si="88"/>
        <v/>
      </c>
      <c r="AX195" s="59"/>
      <c r="AY195" s="58" t="str">
        <f t="shared" si="89"/>
        <v/>
      </c>
      <c r="AZ195" s="59"/>
      <c r="BA195" s="58" t="str">
        <f t="shared" si="90"/>
        <v/>
      </c>
      <c r="BB195" s="59"/>
      <c r="BC195" s="58" t="str">
        <f t="shared" si="91"/>
        <v/>
      </c>
      <c r="BD195" s="59"/>
      <c r="BE195" s="58">
        <f t="shared" si="92"/>
        <v>2088</v>
      </c>
      <c r="BF195" s="59"/>
      <c r="BG195" s="58" t="str">
        <f t="shared" si="93"/>
        <v/>
      </c>
      <c r="BH195" s="59"/>
      <c r="BI195" s="58" t="str">
        <f t="shared" si="94"/>
        <v/>
      </c>
      <c r="BJ195" s="59"/>
      <c r="BK195" s="58" t="str">
        <f t="shared" si="95"/>
        <v/>
      </c>
      <c r="BL195" s="59"/>
      <c r="BM195" s="58" t="str">
        <f t="shared" si="96"/>
        <v/>
      </c>
      <c r="BN195" s="59"/>
      <c r="BO195" s="58" t="str">
        <f t="shared" si="97"/>
        <v/>
      </c>
      <c r="BP195" s="59"/>
      <c r="BQ195" s="58" t="str">
        <f t="shared" si="98"/>
        <v/>
      </c>
      <c r="BR195" s="59"/>
      <c r="BS195" s="58" t="str">
        <f t="shared" si="99"/>
        <v/>
      </c>
      <c r="BT195" s="59"/>
      <c r="BU195" s="58" t="str">
        <f t="shared" si="100"/>
        <v/>
      </c>
      <c r="BV195" s="59"/>
      <c r="BW195" s="58" t="str">
        <f t="shared" si="101"/>
        <v/>
      </c>
      <c r="BX195" s="59"/>
      <c r="BY195" s="58" t="str">
        <f t="shared" si="102"/>
        <v/>
      </c>
      <c r="BZ195" s="59"/>
    </row>
    <row r="196" spans="1:78" ht="14.5" hidden="1">
      <c r="A196" s="51" t="s">
        <v>58</v>
      </c>
      <c r="B196" s="52">
        <v>365</v>
      </c>
      <c r="C196" s="52" t="s">
        <v>188</v>
      </c>
      <c r="D196" s="41">
        <f t="shared" si="72"/>
        <v>5</v>
      </c>
      <c r="E196" s="170" t="s">
        <v>646</v>
      </c>
      <c r="F196" s="41" t="s">
        <v>631</v>
      </c>
      <c r="G196" s="52" t="s">
        <v>502</v>
      </c>
      <c r="H196" s="52" t="s">
        <v>289</v>
      </c>
      <c r="I196" s="52" t="s">
        <v>154</v>
      </c>
      <c r="J196" s="52" t="s">
        <v>503</v>
      </c>
      <c r="K196" s="53">
        <v>45686</v>
      </c>
      <c r="L196" s="108">
        <v>1740</v>
      </c>
      <c r="M196" s="101"/>
      <c r="N196" s="101"/>
      <c r="O196" s="107">
        <f t="shared" si="103"/>
        <v>1740</v>
      </c>
      <c r="P196" s="54">
        <f t="shared" si="104"/>
        <v>1740</v>
      </c>
      <c r="Q196" s="101" t="s">
        <v>505</v>
      </c>
      <c r="R196" s="101"/>
      <c r="S196" s="101"/>
      <c r="T196" s="102">
        <f t="shared" si="75"/>
        <v>9.0625</v>
      </c>
      <c r="U196" s="102">
        <v>6</v>
      </c>
      <c r="V196" s="99">
        <f>480/15</f>
        <v>32</v>
      </c>
      <c r="W196" s="55">
        <f t="shared" si="105"/>
        <v>45666</v>
      </c>
      <c r="X196" s="55"/>
      <c r="Y196" s="56">
        <f t="shared" ca="1" si="106"/>
        <v>-174</v>
      </c>
      <c r="Z196" s="55">
        <f t="shared" si="107"/>
        <v>45682</v>
      </c>
      <c r="AA196" s="55"/>
      <c r="AB196" s="56">
        <f t="shared" ca="1" si="108"/>
        <v>-158</v>
      </c>
      <c r="AC196" s="55"/>
      <c r="AD196" s="57"/>
      <c r="AE196" s="58" t="str">
        <f t="shared" si="79"/>
        <v>-</v>
      </c>
      <c r="AF196" s="59"/>
      <c r="AG196" s="58" t="str">
        <f t="shared" si="80"/>
        <v/>
      </c>
      <c r="AH196" s="59"/>
      <c r="AI196" s="58" t="str">
        <f t="shared" si="81"/>
        <v/>
      </c>
      <c r="AJ196" s="59"/>
      <c r="AK196" s="58" t="str">
        <f t="shared" si="82"/>
        <v/>
      </c>
      <c r="AL196" s="59"/>
      <c r="AM196" s="58" t="str">
        <f t="shared" si="83"/>
        <v/>
      </c>
      <c r="AN196" s="59"/>
      <c r="AO196" s="58" t="str">
        <f t="shared" si="84"/>
        <v/>
      </c>
      <c r="AP196" s="59"/>
      <c r="AQ196" s="58" t="str">
        <f t="shared" si="85"/>
        <v/>
      </c>
      <c r="AR196" s="59"/>
      <c r="AS196" s="58" t="str">
        <f t="shared" si="86"/>
        <v/>
      </c>
      <c r="AT196" s="59"/>
      <c r="AU196" s="58" t="str">
        <f t="shared" si="87"/>
        <v/>
      </c>
      <c r="AV196" s="59"/>
      <c r="AW196" s="58" t="str">
        <f t="shared" si="88"/>
        <v/>
      </c>
      <c r="AX196" s="59"/>
      <c r="AY196" s="58" t="str">
        <f t="shared" si="89"/>
        <v/>
      </c>
      <c r="AZ196" s="59"/>
      <c r="BA196" s="58" t="str">
        <f t="shared" si="90"/>
        <v/>
      </c>
      <c r="BB196" s="59"/>
      <c r="BC196" s="58" t="str">
        <f t="shared" si="91"/>
        <v/>
      </c>
      <c r="BD196" s="59"/>
      <c r="BE196" s="58">
        <f t="shared" si="92"/>
        <v>1740</v>
      </c>
      <c r="BF196" s="59"/>
      <c r="BG196" s="58" t="str">
        <f t="shared" si="93"/>
        <v/>
      </c>
      <c r="BH196" s="59"/>
      <c r="BI196" s="58" t="str">
        <f t="shared" si="94"/>
        <v/>
      </c>
      <c r="BJ196" s="59"/>
      <c r="BK196" s="58" t="str">
        <f t="shared" si="95"/>
        <v/>
      </c>
      <c r="BL196" s="59"/>
      <c r="BM196" s="58" t="str">
        <f t="shared" si="96"/>
        <v/>
      </c>
      <c r="BN196" s="59"/>
      <c r="BO196" s="58" t="str">
        <f t="shared" si="97"/>
        <v/>
      </c>
      <c r="BP196" s="59"/>
      <c r="BQ196" s="58" t="str">
        <f t="shared" si="98"/>
        <v/>
      </c>
      <c r="BR196" s="59"/>
      <c r="BS196" s="58" t="str">
        <f t="shared" si="99"/>
        <v/>
      </c>
      <c r="BT196" s="59"/>
      <c r="BU196" s="58" t="str">
        <f t="shared" si="100"/>
        <v/>
      </c>
      <c r="BV196" s="59"/>
      <c r="BW196" s="58" t="str">
        <f t="shared" si="101"/>
        <v/>
      </c>
      <c r="BX196" s="59"/>
      <c r="BY196" s="58" t="str">
        <f t="shared" si="102"/>
        <v/>
      </c>
      <c r="BZ196" s="59"/>
    </row>
    <row r="197" spans="1:78" ht="14.5" hidden="1">
      <c r="A197" s="51" t="s">
        <v>58</v>
      </c>
      <c r="B197" s="52">
        <v>365</v>
      </c>
      <c r="C197" s="52" t="s">
        <v>188</v>
      </c>
      <c r="D197" s="41">
        <f t="shared" si="72"/>
        <v>5</v>
      </c>
      <c r="E197" s="170" t="s">
        <v>646</v>
      </c>
      <c r="F197" s="41" t="s">
        <v>631</v>
      </c>
      <c r="G197" s="52" t="s">
        <v>502</v>
      </c>
      <c r="H197" s="52" t="s">
        <v>289</v>
      </c>
      <c r="I197" s="52" t="s">
        <v>156</v>
      </c>
      <c r="J197" s="52" t="s">
        <v>503</v>
      </c>
      <c r="K197" s="53">
        <v>45686</v>
      </c>
      <c r="L197" s="108">
        <v>1392</v>
      </c>
      <c r="M197" s="101"/>
      <c r="N197" s="101"/>
      <c r="O197" s="107">
        <f t="shared" si="103"/>
        <v>1392</v>
      </c>
      <c r="P197" s="54">
        <f t="shared" si="104"/>
        <v>1392</v>
      </c>
      <c r="Q197" s="101" t="s">
        <v>506</v>
      </c>
      <c r="R197" s="101"/>
      <c r="S197" s="101"/>
      <c r="T197" s="102">
        <f t="shared" si="75"/>
        <v>7.25</v>
      </c>
      <c r="U197" s="102">
        <v>6</v>
      </c>
      <c r="V197" s="99">
        <f>480/15</f>
        <v>32</v>
      </c>
      <c r="W197" s="55">
        <f t="shared" si="105"/>
        <v>45666</v>
      </c>
      <c r="X197" s="55"/>
      <c r="Y197" s="56">
        <f t="shared" ca="1" si="106"/>
        <v>-174</v>
      </c>
      <c r="Z197" s="55">
        <f t="shared" si="107"/>
        <v>45682</v>
      </c>
      <c r="AA197" s="55"/>
      <c r="AB197" s="56">
        <f t="shared" ca="1" si="108"/>
        <v>-158</v>
      </c>
      <c r="AC197" s="55"/>
      <c r="AD197" s="57"/>
      <c r="AE197" s="58" t="str">
        <f t="shared" si="79"/>
        <v>-</v>
      </c>
      <c r="AF197" s="59"/>
      <c r="AG197" s="58" t="str">
        <f t="shared" si="80"/>
        <v/>
      </c>
      <c r="AH197" s="59"/>
      <c r="AI197" s="58" t="str">
        <f t="shared" si="81"/>
        <v/>
      </c>
      <c r="AJ197" s="59"/>
      <c r="AK197" s="58" t="str">
        <f t="shared" si="82"/>
        <v/>
      </c>
      <c r="AL197" s="59"/>
      <c r="AM197" s="58" t="str">
        <f t="shared" si="83"/>
        <v/>
      </c>
      <c r="AN197" s="59"/>
      <c r="AO197" s="58" t="str">
        <f t="shared" si="84"/>
        <v/>
      </c>
      <c r="AP197" s="59"/>
      <c r="AQ197" s="58" t="str">
        <f t="shared" si="85"/>
        <v/>
      </c>
      <c r="AR197" s="59"/>
      <c r="AS197" s="58" t="str">
        <f t="shared" si="86"/>
        <v/>
      </c>
      <c r="AT197" s="59"/>
      <c r="AU197" s="58" t="str">
        <f t="shared" si="87"/>
        <v/>
      </c>
      <c r="AV197" s="59"/>
      <c r="AW197" s="58" t="str">
        <f t="shared" si="88"/>
        <v/>
      </c>
      <c r="AX197" s="59"/>
      <c r="AY197" s="58" t="str">
        <f t="shared" si="89"/>
        <v/>
      </c>
      <c r="AZ197" s="59"/>
      <c r="BA197" s="58" t="str">
        <f t="shared" si="90"/>
        <v/>
      </c>
      <c r="BB197" s="59"/>
      <c r="BC197" s="58" t="str">
        <f t="shared" si="91"/>
        <v/>
      </c>
      <c r="BD197" s="59"/>
      <c r="BE197" s="58">
        <f t="shared" si="92"/>
        <v>1392</v>
      </c>
      <c r="BF197" s="59"/>
      <c r="BG197" s="58" t="str">
        <f t="shared" si="93"/>
        <v/>
      </c>
      <c r="BH197" s="59"/>
      <c r="BI197" s="58" t="str">
        <f t="shared" si="94"/>
        <v/>
      </c>
      <c r="BJ197" s="59"/>
      <c r="BK197" s="58" t="str">
        <f t="shared" si="95"/>
        <v/>
      </c>
      <c r="BL197" s="59"/>
      <c r="BM197" s="58" t="str">
        <f t="shared" si="96"/>
        <v/>
      </c>
      <c r="BN197" s="59"/>
      <c r="BO197" s="58" t="str">
        <f t="shared" si="97"/>
        <v/>
      </c>
      <c r="BP197" s="59"/>
      <c r="BQ197" s="58" t="str">
        <f t="shared" si="98"/>
        <v/>
      </c>
      <c r="BR197" s="59"/>
      <c r="BS197" s="58" t="str">
        <f t="shared" si="99"/>
        <v/>
      </c>
      <c r="BT197" s="59"/>
      <c r="BU197" s="58" t="str">
        <f t="shared" si="100"/>
        <v/>
      </c>
      <c r="BV197" s="59"/>
      <c r="BW197" s="58" t="str">
        <f t="shared" si="101"/>
        <v/>
      </c>
      <c r="BX197" s="59"/>
      <c r="BY197" s="58" t="str">
        <f t="shared" si="102"/>
        <v/>
      </c>
      <c r="BZ197" s="59"/>
    </row>
    <row r="198" spans="1:78" ht="14.5" hidden="1">
      <c r="A198" s="51" t="s">
        <v>58</v>
      </c>
      <c r="B198" s="52">
        <v>365</v>
      </c>
      <c r="C198" s="52" t="s">
        <v>188</v>
      </c>
      <c r="D198" s="41">
        <f t="shared" si="72"/>
        <v>5</v>
      </c>
      <c r="E198" s="170">
        <v>45669</v>
      </c>
      <c r="F198" s="41" t="s">
        <v>631</v>
      </c>
      <c r="G198" s="52" t="s">
        <v>157</v>
      </c>
      <c r="H198" s="52" t="s">
        <v>243</v>
      </c>
      <c r="I198" s="52" t="s">
        <v>155</v>
      </c>
      <c r="J198" s="52" t="s">
        <v>428</v>
      </c>
      <c r="K198" s="53">
        <v>45686</v>
      </c>
      <c r="L198" s="108">
        <v>3540</v>
      </c>
      <c r="M198" s="101">
        <v>3540</v>
      </c>
      <c r="N198" s="101"/>
      <c r="O198" s="107">
        <f t="shared" si="103"/>
        <v>3540</v>
      </c>
      <c r="P198" s="54">
        <f t="shared" si="104"/>
        <v>0</v>
      </c>
      <c r="Q198" s="101" t="s">
        <v>429</v>
      </c>
      <c r="R198" s="101"/>
      <c r="S198" s="101"/>
      <c r="T198" s="102">
        <f t="shared" si="75"/>
        <v>0.59</v>
      </c>
      <c r="U198" s="102">
        <v>6</v>
      </c>
      <c r="V198" s="99">
        <v>1000</v>
      </c>
      <c r="W198" s="55">
        <f t="shared" si="105"/>
        <v>45666</v>
      </c>
      <c r="X198" s="55"/>
      <c r="Y198" s="56">
        <f t="shared" ca="1" si="106"/>
        <v>-174</v>
      </c>
      <c r="Z198" s="55">
        <f t="shared" si="107"/>
        <v>45682</v>
      </c>
      <c r="AA198" s="55"/>
      <c r="AB198" s="56">
        <f t="shared" ca="1" si="108"/>
        <v>-158</v>
      </c>
      <c r="AC198" s="55"/>
      <c r="AD198" s="57"/>
      <c r="AE198" s="58" t="str">
        <f t="shared" si="79"/>
        <v>-</v>
      </c>
      <c r="AF198" s="59"/>
      <c r="AG198" s="58" t="str">
        <f t="shared" si="80"/>
        <v/>
      </c>
      <c r="AH198" s="59"/>
      <c r="AI198" s="58" t="str">
        <f t="shared" si="81"/>
        <v/>
      </c>
      <c r="AJ198" s="59"/>
      <c r="AK198" s="58" t="str">
        <f t="shared" si="82"/>
        <v/>
      </c>
      <c r="AL198" s="59"/>
      <c r="AM198" s="58" t="str">
        <f t="shared" si="83"/>
        <v/>
      </c>
      <c r="AN198" s="59"/>
      <c r="AO198" s="58" t="str">
        <f t="shared" si="84"/>
        <v/>
      </c>
      <c r="AP198" s="59"/>
      <c r="AQ198" s="58" t="str">
        <f t="shared" si="85"/>
        <v/>
      </c>
      <c r="AR198" s="59"/>
      <c r="AS198" s="58" t="str">
        <f t="shared" si="86"/>
        <v/>
      </c>
      <c r="AT198" s="59"/>
      <c r="AU198" s="58" t="str">
        <f t="shared" si="87"/>
        <v/>
      </c>
      <c r="AV198" s="59"/>
      <c r="AW198" s="58" t="str">
        <f t="shared" si="88"/>
        <v/>
      </c>
      <c r="AX198" s="59"/>
      <c r="AY198" s="58" t="str">
        <f t="shared" si="89"/>
        <v/>
      </c>
      <c r="AZ198" s="59"/>
      <c r="BA198" s="58" t="str">
        <f t="shared" si="90"/>
        <v/>
      </c>
      <c r="BB198" s="59"/>
      <c r="BC198" s="58" t="str">
        <f t="shared" si="91"/>
        <v/>
      </c>
      <c r="BD198" s="59"/>
      <c r="BE198" s="58">
        <f t="shared" si="92"/>
        <v>3540</v>
      </c>
      <c r="BF198" s="59"/>
      <c r="BG198" s="58" t="str">
        <f t="shared" si="93"/>
        <v/>
      </c>
      <c r="BH198" s="59"/>
      <c r="BI198" s="58" t="str">
        <f t="shared" si="94"/>
        <v/>
      </c>
      <c r="BJ198" s="59"/>
      <c r="BK198" s="58" t="str">
        <f t="shared" si="95"/>
        <v/>
      </c>
      <c r="BL198" s="59"/>
      <c r="BM198" s="58" t="str">
        <f t="shared" si="96"/>
        <v/>
      </c>
      <c r="BN198" s="59"/>
      <c r="BO198" s="58" t="str">
        <f t="shared" si="97"/>
        <v/>
      </c>
      <c r="BP198" s="59"/>
      <c r="BQ198" s="58" t="str">
        <f t="shared" si="98"/>
        <v/>
      </c>
      <c r="BR198" s="59"/>
      <c r="BS198" s="58" t="str">
        <f t="shared" si="99"/>
        <v/>
      </c>
      <c r="BT198" s="59"/>
      <c r="BU198" s="58" t="str">
        <f t="shared" si="100"/>
        <v/>
      </c>
      <c r="BV198" s="59"/>
      <c r="BW198" s="58" t="str">
        <f t="shared" si="101"/>
        <v/>
      </c>
      <c r="BX198" s="59"/>
      <c r="BY198" s="58" t="str">
        <f t="shared" si="102"/>
        <v/>
      </c>
      <c r="BZ198" s="59"/>
    </row>
    <row r="199" spans="1:78" ht="14.5" hidden="1">
      <c r="A199" s="51" t="s">
        <v>58</v>
      </c>
      <c r="B199" s="52">
        <v>365</v>
      </c>
      <c r="C199" s="52" t="s">
        <v>188</v>
      </c>
      <c r="D199" s="41">
        <f t="shared" ref="D199:D262" si="109">+WEEKNUM(K199)</f>
        <v>5</v>
      </c>
      <c r="E199" s="170">
        <v>45661</v>
      </c>
      <c r="F199" s="41" t="s">
        <v>631</v>
      </c>
      <c r="G199" s="52" t="s">
        <v>158</v>
      </c>
      <c r="H199" s="52" t="s">
        <v>242</v>
      </c>
      <c r="I199" s="52" t="s">
        <v>154</v>
      </c>
      <c r="J199" s="52" t="s">
        <v>432</v>
      </c>
      <c r="K199" s="53">
        <v>45686</v>
      </c>
      <c r="L199" s="108">
        <v>1336</v>
      </c>
      <c r="M199" s="101">
        <v>1336</v>
      </c>
      <c r="N199" s="101">
        <v>1336</v>
      </c>
      <c r="O199" s="107">
        <f t="shared" si="103"/>
        <v>0</v>
      </c>
      <c r="P199" s="54">
        <f t="shared" si="104"/>
        <v>0</v>
      </c>
      <c r="Q199" s="101" t="s">
        <v>630</v>
      </c>
      <c r="R199" s="101"/>
      <c r="S199" s="101"/>
      <c r="T199" s="102">
        <f t="shared" ref="T199:T262" si="110">L199/(V199*U199)</f>
        <v>1.8555555555555556</v>
      </c>
      <c r="U199" s="102">
        <v>6</v>
      </c>
      <c r="V199" s="99">
        <v>120</v>
      </c>
      <c r="W199" s="55">
        <f t="shared" si="105"/>
        <v>45666</v>
      </c>
      <c r="X199" s="55"/>
      <c r="Y199" s="56">
        <f t="shared" ca="1" si="106"/>
        <v>-174</v>
      </c>
      <c r="Z199" s="55">
        <f t="shared" si="107"/>
        <v>45682</v>
      </c>
      <c r="AA199" s="55"/>
      <c r="AB199" s="56">
        <f t="shared" ca="1" si="108"/>
        <v>-158</v>
      </c>
      <c r="AC199" s="55"/>
      <c r="AD199" s="57"/>
      <c r="AE199" s="58" t="str">
        <f t="shared" ref="AE199:AE262" si="111">+IF($AE$4=WEEKNUM(W199),L199,"-")</f>
        <v>-</v>
      </c>
      <c r="AF199" s="59"/>
      <c r="AG199" s="58" t="str">
        <f t="shared" ref="AG199:AG262" si="112">+IF($AG$4=WEEKNUM(W199),L199,"")</f>
        <v/>
      </c>
      <c r="AH199" s="59"/>
      <c r="AI199" s="58" t="str">
        <f t="shared" ref="AI199:AI262" si="113">+IF($AI$4=WEEKNUM(W199),L199,"")</f>
        <v/>
      </c>
      <c r="AJ199" s="59"/>
      <c r="AK199" s="58" t="str">
        <f t="shared" ref="AK199:AK262" si="114">+IF($AK$4=WEEKNUM(W199),L199,"")</f>
        <v/>
      </c>
      <c r="AL199" s="59"/>
      <c r="AM199" s="58" t="str">
        <f t="shared" ref="AM199:AM262" si="115">+IF($AM$4=WEEKNUM(W199),L199,"")</f>
        <v/>
      </c>
      <c r="AN199" s="59"/>
      <c r="AO199" s="58" t="str">
        <f t="shared" ref="AO199:AO262" si="116">+IF($AO$4=WEEKNUM(W199),L199,"")</f>
        <v/>
      </c>
      <c r="AP199" s="59"/>
      <c r="AQ199" s="58" t="str">
        <f t="shared" ref="AQ199:AQ262" si="117">+IF($AQ$4=WEEKNUM(W199),L199,"")</f>
        <v/>
      </c>
      <c r="AR199" s="59"/>
      <c r="AS199" s="58" t="str">
        <f t="shared" ref="AS199:AS262" si="118">+IF($AS$4=WEEKNUM(W199),L199,"")</f>
        <v/>
      </c>
      <c r="AT199" s="59"/>
      <c r="AU199" s="58" t="str">
        <f t="shared" ref="AU199:AU262" si="119">+IF($AU$4=WEEKNUM(W199),L199,"")</f>
        <v/>
      </c>
      <c r="AV199" s="59"/>
      <c r="AW199" s="58" t="str">
        <f t="shared" ref="AW199:AW262" si="120">+IF($AW$4=WEEKNUM(W199),L199,"")</f>
        <v/>
      </c>
      <c r="AX199" s="59"/>
      <c r="AY199" s="58" t="str">
        <f t="shared" ref="AY199:AY262" si="121">+IF($AY$4=WEEKNUM(W199),L199,"")</f>
        <v/>
      </c>
      <c r="AZ199" s="59"/>
      <c r="BA199" s="58" t="str">
        <f t="shared" ref="BA199:BA262" si="122">+IF($BA$4=WEEKNUM(W199),L199,"")</f>
        <v/>
      </c>
      <c r="BB199" s="59"/>
      <c r="BC199" s="58" t="str">
        <f t="shared" ref="BC199:BC262" si="123">+IF($BC$4=WEEKNUM(W199),L199,"")</f>
        <v/>
      </c>
      <c r="BD199" s="59"/>
      <c r="BE199" s="58">
        <f t="shared" ref="BE199:BE262" si="124">+IF($BE$4=WEEKNUM(W199),L199,"")</f>
        <v>1336</v>
      </c>
      <c r="BF199" s="59"/>
      <c r="BG199" s="58" t="str">
        <f t="shared" ref="BG199:BG262" si="125">+IF($BG$4=WEEKNUM(W199),L199,"")</f>
        <v/>
      </c>
      <c r="BH199" s="59"/>
      <c r="BI199" s="58" t="str">
        <f t="shared" ref="BI199:BI262" si="126">+IF($BI$4=WEEKNUM(W199),L199,"")</f>
        <v/>
      </c>
      <c r="BJ199" s="59"/>
      <c r="BK199" s="58" t="str">
        <f t="shared" ref="BK199:BK262" si="127">+IF($BK$4=WEEKNUM(W199),L199,"")</f>
        <v/>
      </c>
      <c r="BL199" s="59"/>
      <c r="BM199" s="58" t="str">
        <f t="shared" ref="BM199:BM262" si="128">+IF($BM$4=WEEKNUM(W199),L199,"")</f>
        <v/>
      </c>
      <c r="BN199" s="59"/>
      <c r="BO199" s="58" t="str">
        <f t="shared" ref="BO199:BO262" si="129">+IF($BO$4=WEEKNUM(W199),L199,"")</f>
        <v/>
      </c>
      <c r="BP199" s="59"/>
      <c r="BQ199" s="58" t="str">
        <f t="shared" ref="BQ199:BQ262" si="130">+IF($BQ$4=WEEKNUM(W199),L199,"")</f>
        <v/>
      </c>
      <c r="BR199" s="59"/>
      <c r="BS199" s="58" t="str">
        <f t="shared" ref="BS199:BS262" si="131">+IF($BS$4=WEEKNUM(W199),L199,"")</f>
        <v/>
      </c>
      <c r="BT199" s="59"/>
      <c r="BU199" s="58" t="str">
        <f t="shared" ref="BU199:BU262" si="132">+IF($BU$4=WEEKNUM(W199),L199,"")</f>
        <v/>
      </c>
      <c r="BV199" s="59"/>
      <c r="BW199" s="58" t="str">
        <f t="shared" ref="BW199:BW262" si="133">+IF($BW$4=WEEKNUM(W199),L199,"")</f>
        <v/>
      </c>
      <c r="BX199" s="59"/>
      <c r="BY199" s="58" t="str">
        <f t="shared" ref="BY199:BY262" si="134">+IF($BY$4=WEEKNUM(W199),L199,"")</f>
        <v/>
      </c>
      <c r="BZ199" s="59"/>
    </row>
    <row r="200" spans="1:78" ht="14.5" hidden="1">
      <c r="A200" s="51" t="s">
        <v>58</v>
      </c>
      <c r="B200" s="52">
        <v>365</v>
      </c>
      <c r="C200" s="52" t="s">
        <v>188</v>
      </c>
      <c r="D200" s="41">
        <f t="shared" si="109"/>
        <v>5</v>
      </c>
      <c r="E200" s="170" t="s">
        <v>631</v>
      </c>
      <c r="F200" s="41" t="s">
        <v>631</v>
      </c>
      <c r="G200" s="52" t="s">
        <v>189</v>
      </c>
      <c r="H200" s="52" t="s">
        <v>242</v>
      </c>
      <c r="I200" s="52" t="s">
        <v>162</v>
      </c>
      <c r="J200" s="52" t="s">
        <v>432</v>
      </c>
      <c r="K200" s="53">
        <v>45686</v>
      </c>
      <c r="L200" s="108">
        <v>300</v>
      </c>
      <c r="M200" s="101"/>
      <c r="N200" s="101"/>
      <c r="O200" s="107">
        <f t="shared" si="103"/>
        <v>300</v>
      </c>
      <c r="P200" s="54">
        <f t="shared" si="104"/>
        <v>300</v>
      </c>
      <c r="Q200" s="101" t="s">
        <v>178</v>
      </c>
      <c r="R200" s="166">
        <v>45682</v>
      </c>
      <c r="S200" s="101" t="s">
        <v>642</v>
      </c>
      <c r="T200" s="102">
        <f t="shared" si="110"/>
        <v>0.41666666666666669</v>
      </c>
      <c r="U200" s="102">
        <v>6</v>
      </c>
      <c r="V200" s="99">
        <v>120</v>
      </c>
      <c r="W200" s="55">
        <f t="shared" si="105"/>
        <v>45666</v>
      </c>
      <c r="X200" s="55"/>
      <c r="Y200" s="56">
        <f t="shared" ca="1" si="106"/>
        <v>-174</v>
      </c>
      <c r="Z200" s="55">
        <f t="shared" si="107"/>
        <v>45682</v>
      </c>
      <c r="AA200" s="55"/>
      <c r="AB200" s="56">
        <f t="shared" ca="1" si="108"/>
        <v>-158</v>
      </c>
      <c r="AC200" s="55"/>
      <c r="AD200" s="57"/>
      <c r="AE200" s="58" t="str">
        <f t="shared" si="111"/>
        <v>-</v>
      </c>
      <c r="AF200" s="59"/>
      <c r="AG200" s="58" t="str">
        <f t="shared" si="112"/>
        <v/>
      </c>
      <c r="AH200" s="59"/>
      <c r="AI200" s="58" t="str">
        <f t="shared" si="113"/>
        <v/>
      </c>
      <c r="AJ200" s="59"/>
      <c r="AK200" s="58" t="str">
        <f t="shared" si="114"/>
        <v/>
      </c>
      <c r="AL200" s="59"/>
      <c r="AM200" s="58" t="str">
        <f t="shared" si="115"/>
        <v/>
      </c>
      <c r="AN200" s="59"/>
      <c r="AO200" s="58" t="str">
        <f t="shared" si="116"/>
        <v/>
      </c>
      <c r="AP200" s="59"/>
      <c r="AQ200" s="58" t="str">
        <f t="shared" si="117"/>
        <v/>
      </c>
      <c r="AR200" s="59"/>
      <c r="AS200" s="58" t="str">
        <f t="shared" si="118"/>
        <v/>
      </c>
      <c r="AT200" s="59"/>
      <c r="AU200" s="58" t="str">
        <f t="shared" si="119"/>
        <v/>
      </c>
      <c r="AV200" s="59"/>
      <c r="AW200" s="58" t="str">
        <f t="shared" si="120"/>
        <v/>
      </c>
      <c r="AX200" s="59"/>
      <c r="AY200" s="58" t="str">
        <f t="shared" si="121"/>
        <v/>
      </c>
      <c r="AZ200" s="59"/>
      <c r="BA200" s="58" t="str">
        <f t="shared" si="122"/>
        <v/>
      </c>
      <c r="BB200" s="59"/>
      <c r="BC200" s="58" t="str">
        <f t="shared" si="123"/>
        <v/>
      </c>
      <c r="BD200" s="59"/>
      <c r="BE200" s="58">
        <f t="shared" si="124"/>
        <v>300</v>
      </c>
      <c r="BF200" s="59"/>
      <c r="BG200" s="58" t="str">
        <f t="shared" si="125"/>
        <v/>
      </c>
      <c r="BH200" s="59"/>
      <c r="BI200" s="58" t="str">
        <f t="shared" si="126"/>
        <v/>
      </c>
      <c r="BJ200" s="59"/>
      <c r="BK200" s="58" t="str">
        <f t="shared" si="127"/>
        <v/>
      </c>
      <c r="BL200" s="59"/>
      <c r="BM200" s="58" t="str">
        <f t="shared" si="128"/>
        <v/>
      </c>
      <c r="BN200" s="59"/>
      <c r="BO200" s="58" t="str">
        <f t="shared" si="129"/>
        <v/>
      </c>
      <c r="BP200" s="59"/>
      <c r="BQ200" s="58" t="str">
        <f t="shared" si="130"/>
        <v/>
      </c>
      <c r="BR200" s="59"/>
      <c r="BS200" s="58" t="str">
        <f t="shared" si="131"/>
        <v/>
      </c>
      <c r="BT200" s="59"/>
      <c r="BU200" s="58" t="str">
        <f t="shared" si="132"/>
        <v/>
      </c>
      <c r="BV200" s="59"/>
      <c r="BW200" s="58" t="str">
        <f t="shared" si="133"/>
        <v/>
      </c>
      <c r="BX200" s="59"/>
      <c r="BY200" s="58" t="str">
        <f t="shared" si="134"/>
        <v/>
      </c>
      <c r="BZ200" s="59"/>
    </row>
    <row r="201" spans="1:78" ht="14.5" hidden="1">
      <c r="A201" s="51" t="s">
        <v>58</v>
      </c>
      <c r="B201" s="52">
        <v>365</v>
      </c>
      <c r="C201" s="52" t="s">
        <v>188</v>
      </c>
      <c r="D201" s="41">
        <f t="shared" si="109"/>
        <v>5</v>
      </c>
      <c r="E201" s="170">
        <v>45664</v>
      </c>
      <c r="F201" s="41" t="s">
        <v>631</v>
      </c>
      <c r="G201" s="52" t="s">
        <v>190</v>
      </c>
      <c r="H201" s="52" t="s">
        <v>242</v>
      </c>
      <c r="I201" s="52" t="s">
        <v>543</v>
      </c>
      <c r="J201" s="52" t="s">
        <v>513</v>
      </c>
      <c r="K201" s="53">
        <v>45686</v>
      </c>
      <c r="L201" s="108">
        <v>604</v>
      </c>
      <c r="M201" s="101">
        <v>604</v>
      </c>
      <c r="N201" s="101"/>
      <c r="O201" s="107">
        <f t="shared" si="103"/>
        <v>604</v>
      </c>
      <c r="P201" s="54">
        <f t="shared" si="104"/>
        <v>0</v>
      </c>
      <c r="Q201" s="101" t="s">
        <v>439</v>
      </c>
      <c r="R201" s="101"/>
      <c r="S201" s="101"/>
      <c r="T201" s="102">
        <f t="shared" si="110"/>
        <v>0.83888888888888891</v>
      </c>
      <c r="U201" s="102">
        <v>6</v>
      </c>
      <c r="V201" s="99">
        <v>120</v>
      </c>
      <c r="W201" s="55">
        <f t="shared" si="105"/>
        <v>45666</v>
      </c>
      <c r="X201" s="55"/>
      <c r="Y201" s="56">
        <f t="shared" ca="1" si="106"/>
        <v>-174</v>
      </c>
      <c r="Z201" s="55">
        <f t="shared" si="107"/>
        <v>45682</v>
      </c>
      <c r="AA201" s="55"/>
      <c r="AB201" s="56">
        <f t="shared" ca="1" si="108"/>
        <v>-158</v>
      </c>
      <c r="AC201" s="55"/>
      <c r="AD201" s="57"/>
      <c r="AE201" s="58" t="str">
        <f t="shared" si="111"/>
        <v>-</v>
      </c>
      <c r="AF201" s="59"/>
      <c r="AG201" s="58" t="str">
        <f t="shared" si="112"/>
        <v/>
      </c>
      <c r="AH201" s="59"/>
      <c r="AI201" s="58" t="str">
        <f t="shared" si="113"/>
        <v/>
      </c>
      <c r="AJ201" s="59"/>
      <c r="AK201" s="58" t="str">
        <f t="shared" si="114"/>
        <v/>
      </c>
      <c r="AL201" s="59"/>
      <c r="AM201" s="58" t="str">
        <f t="shared" si="115"/>
        <v/>
      </c>
      <c r="AN201" s="59"/>
      <c r="AO201" s="58" t="str">
        <f t="shared" si="116"/>
        <v/>
      </c>
      <c r="AP201" s="59"/>
      <c r="AQ201" s="58" t="str">
        <f t="shared" si="117"/>
        <v/>
      </c>
      <c r="AR201" s="59"/>
      <c r="AS201" s="58" t="str">
        <f t="shared" si="118"/>
        <v/>
      </c>
      <c r="AT201" s="59"/>
      <c r="AU201" s="58" t="str">
        <f t="shared" si="119"/>
        <v/>
      </c>
      <c r="AV201" s="59"/>
      <c r="AW201" s="58" t="str">
        <f t="shared" si="120"/>
        <v/>
      </c>
      <c r="AX201" s="59"/>
      <c r="AY201" s="58" t="str">
        <f t="shared" si="121"/>
        <v/>
      </c>
      <c r="AZ201" s="59"/>
      <c r="BA201" s="58" t="str">
        <f t="shared" si="122"/>
        <v/>
      </c>
      <c r="BB201" s="59"/>
      <c r="BC201" s="58" t="str">
        <f t="shared" si="123"/>
        <v/>
      </c>
      <c r="BD201" s="59"/>
      <c r="BE201" s="58">
        <f t="shared" si="124"/>
        <v>604</v>
      </c>
      <c r="BF201" s="59"/>
      <c r="BG201" s="58" t="str">
        <f t="shared" si="125"/>
        <v/>
      </c>
      <c r="BH201" s="59"/>
      <c r="BI201" s="58" t="str">
        <f t="shared" si="126"/>
        <v/>
      </c>
      <c r="BJ201" s="59"/>
      <c r="BK201" s="58" t="str">
        <f t="shared" si="127"/>
        <v/>
      </c>
      <c r="BL201" s="59"/>
      <c r="BM201" s="58" t="str">
        <f t="shared" si="128"/>
        <v/>
      </c>
      <c r="BN201" s="59"/>
      <c r="BO201" s="58" t="str">
        <f t="shared" si="129"/>
        <v/>
      </c>
      <c r="BP201" s="59"/>
      <c r="BQ201" s="58" t="str">
        <f t="shared" si="130"/>
        <v/>
      </c>
      <c r="BR201" s="59"/>
      <c r="BS201" s="58" t="str">
        <f t="shared" si="131"/>
        <v/>
      </c>
      <c r="BT201" s="59"/>
      <c r="BU201" s="58" t="str">
        <f t="shared" si="132"/>
        <v/>
      </c>
      <c r="BV201" s="59"/>
      <c r="BW201" s="58" t="str">
        <f t="shared" si="133"/>
        <v/>
      </c>
      <c r="BX201" s="59"/>
      <c r="BY201" s="58" t="str">
        <f t="shared" si="134"/>
        <v/>
      </c>
      <c r="BZ201" s="59"/>
    </row>
    <row r="202" spans="1:78" ht="14.5" hidden="1">
      <c r="A202" s="51" t="s">
        <v>58</v>
      </c>
      <c r="B202" s="52">
        <v>370</v>
      </c>
      <c r="C202" s="52" t="s">
        <v>188</v>
      </c>
      <c r="D202" s="41">
        <f t="shared" si="109"/>
        <v>5</v>
      </c>
      <c r="E202" s="170" t="s">
        <v>631</v>
      </c>
      <c r="F202" s="41" t="s">
        <v>631</v>
      </c>
      <c r="G202" s="52" t="s">
        <v>193</v>
      </c>
      <c r="H202" s="52" t="s">
        <v>300</v>
      </c>
      <c r="I202" s="52" t="s">
        <v>162</v>
      </c>
      <c r="J202" s="52" t="s">
        <v>440</v>
      </c>
      <c r="K202" s="53">
        <v>45684</v>
      </c>
      <c r="L202" s="108">
        <v>1000</v>
      </c>
      <c r="M202" s="101"/>
      <c r="N202" s="101"/>
      <c r="O202" s="107">
        <f t="shared" si="103"/>
        <v>1000</v>
      </c>
      <c r="P202" s="54">
        <f t="shared" si="104"/>
        <v>1000</v>
      </c>
      <c r="Q202" s="101" t="s">
        <v>178</v>
      </c>
      <c r="R202" s="101"/>
      <c r="S202" s="101"/>
      <c r="T202" s="102">
        <f t="shared" si="110"/>
        <v>1.3888888888888888</v>
      </c>
      <c r="U202" s="102">
        <v>6</v>
      </c>
      <c r="V202" s="99">
        <v>120</v>
      </c>
      <c r="W202" s="55">
        <f t="shared" si="105"/>
        <v>45664</v>
      </c>
      <c r="X202" s="55"/>
      <c r="Y202" s="56">
        <f t="shared" ca="1" si="106"/>
        <v>-176</v>
      </c>
      <c r="Z202" s="55">
        <f t="shared" si="107"/>
        <v>45680</v>
      </c>
      <c r="AA202" s="55"/>
      <c r="AB202" s="56">
        <f t="shared" ca="1" si="108"/>
        <v>-160</v>
      </c>
      <c r="AC202" s="55"/>
      <c r="AD202" s="57"/>
      <c r="AE202" s="58" t="str">
        <f t="shared" si="111"/>
        <v>-</v>
      </c>
      <c r="AF202" s="59"/>
      <c r="AG202" s="58" t="str">
        <f t="shared" si="112"/>
        <v/>
      </c>
      <c r="AH202" s="59"/>
      <c r="AI202" s="58" t="str">
        <f t="shared" si="113"/>
        <v/>
      </c>
      <c r="AJ202" s="59"/>
      <c r="AK202" s="58" t="str">
        <f t="shared" si="114"/>
        <v/>
      </c>
      <c r="AL202" s="59"/>
      <c r="AM202" s="58" t="str">
        <f t="shared" si="115"/>
        <v/>
      </c>
      <c r="AN202" s="59"/>
      <c r="AO202" s="58" t="str">
        <f t="shared" si="116"/>
        <v/>
      </c>
      <c r="AP202" s="59"/>
      <c r="AQ202" s="58" t="str">
        <f t="shared" si="117"/>
        <v/>
      </c>
      <c r="AR202" s="59"/>
      <c r="AS202" s="58" t="str">
        <f t="shared" si="118"/>
        <v/>
      </c>
      <c r="AT202" s="59"/>
      <c r="AU202" s="58" t="str">
        <f t="shared" si="119"/>
        <v/>
      </c>
      <c r="AV202" s="59"/>
      <c r="AW202" s="58" t="str">
        <f t="shared" si="120"/>
        <v/>
      </c>
      <c r="AX202" s="59"/>
      <c r="AY202" s="58" t="str">
        <f t="shared" si="121"/>
        <v/>
      </c>
      <c r="AZ202" s="59"/>
      <c r="BA202" s="58" t="str">
        <f t="shared" si="122"/>
        <v/>
      </c>
      <c r="BB202" s="59"/>
      <c r="BC202" s="58" t="str">
        <f t="shared" si="123"/>
        <v/>
      </c>
      <c r="BD202" s="59"/>
      <c r="BE202" s="58">
        <f t="shared" si="124"/>
        <v>1000</v>
      </c>
      <c r="BF202" s="59"/>
      <c r="BG202" s="58" t="str">
        <f t="shared" si="125"/>
        <v/>
      </c>
      <c r="BH202" s="59"/>
      <c r="BI202" s="58" t="str">
        <f t="shared" si="126"/>
        <v/>
      </c>
      <c r="BJ202" s="59"/>
      <c r="BK202" s="58" t="str">
        <f t="shared" si="127"/>
        <v/>
      </c>
      <c r="BL202" s="59"/>
      <c r="BM202" s="58" t="str">
        <f t="shared" si="128"/>
        <v/>
      </c>
      <c r="BN202" s="59"/>
      <c r="BO202" s="58" t="str">
        <f t="shared" si="129"/>
        <v/>
      </c>
      <c r="BP202" s="59"/>
      <c r="BQ202" s="58" t="str">
        <f t="shared" si="130"/>
        <v/>
      </c>
      <c r="BR202" s="59"/>
      <c r="BS202" s="58" t="str">
        <f t="shared" si="131"/>
        <v/>
      </c>
      <c r="BT202" s="59"/>
      <c r="BU202" s="58" t="str">
        <f t="shared" si="132"/>
        <v/>
      </c>
      <c r="BV202" s="59"/>
      <c r="BW202" s="58" t="str">
        <f t="shared" si="133"/>
        <v/>
      </c>
      <c r="BX202" s="59"/>
      <c r="BY202" s="58" t="str">
        <f t="shared" si="134"/>
        <v/>
      </c>
      <c r="BZ202" s="59"/>
    </row>
    <row r="203" spans="1:78" ht="14.5" hidden="1">
      <c r="A203" s="51" t="s">
        <v>58</v>
      </c>
      <c r="B203" s="52">
        <v>370</v>
      </c>
      <c r="C203" s="52" t="s">
        <v>188</v>
      </c>
      <c r="D203" s="41">
        <f t="shared" si="109"/>
        <v>5</v>
      </c>
      <c r="E203" s="170">
        <v>45667</v>
      </c>
      <c r="F203" s="41" t="s">
        <v>631</v>
      </c>
      <c r="G203" s="52" t="s">
        <v>136</v>
      </c>
      <c r="H203" s="52" t="s">
        <v>247</v>
      </c>
      <c r="I203" s="52" t="s">
        <v>162</v>
      </c>
      <c r="J203" s="52" t="s">
        <v>500</v>
      </c>
      <c r="K203" s="53">
        <v>45684</v>
      </c>
      <c r="L203" s="108">
        <v>1488</v>
      </c>
      <c r="M203" s="101">
        <v>1488</v>
      </c>
      <c r="N203" s="101">
        <v>1488</v>
      </c>
      <c r="O203" s="107">
        <f t="shared" si="103"/>
        <v>0</v>
      </c>
      <c r="P203" s="54">
        <f t="shared" si="104"/>
        <v>0</v>
      </c>
      <c r="Q203" s="101" t="s">
        <v>657</v>
      </c>
      <c r="R203" s="166">
        <v>45675</v>
      </c>
      <c r="S203" s="101"/>
      <c r="T203" s="102">
        <f t="shared" si="110"/>
        <v>0.85028571428571431</v>
      </c>
      <c r="U203" s="102">
        <v>5</v>
      </c>
      <c r="V203" s="99">
        <v>350</v>
      </c>
      <c r="W203" s="55">
        <f t="shared" si="105"/>
        <v>45664</v>
      </c>
      <c r="X203" s="55"/>
      <c r="Y203" s="56">
        <f t="shared" ca="1" si="106"/>
        <v>-176</v>
      </c>
      <c r="Z203" s="55">
        <f t="shared" si="107"/>
        <v>45680</v>
      </c>
      <c r="AA203" s="55"/>
      <c r="AB203" s="56">
        <f t="shared" ca="1" si="108"/>
        <v>-160</v>
      </c>
      <c r="AC203" s="55"/>
      <c r="AD203" s="57"/>
      <c r="AE203" s="58" t="str">
        <f t="shared" si="111"/>
        <v>-</v>
      </c>
      <c r="AF203" s="59"/>
      <c r="AG203" s="58" t="str">
        <f t="shared" si="112"/>
        <v/>
      </c>
      <c r="AH203" s="59"/>
      <c r="AI203" s="58" t="str">
        <f t="shared" si="113"/>
        <v/>
      </c>
      <c r="AJ203" s="59"/>
      <c r="AK203" s="58" t="str">
        <f t="shared" si="114"/>
        <v/>
      </c>
      <c r="AL203" s="59"/>
      <c r="AM203" s="58" t="str">
        <f t="shared" si="115"/>
        <v/>
      </c>
      <c r="AN203" s="59"/>
      <c r="AO203" s="58" t="str">
        <f t="shared" si="116"/>
        <v/>
      </c>
      <c r="AP203" s="59"/>
      <c r="AQ203" s="58" t="str">
        <f t="shared" si="117"/>
        <v/>
      </c>
      <c r="AR203" s="59"/>
      <c r="AS203" s="58" t="str">
        <f t="shared" si="118"/>
        <v/>
      </c>
      <c r="AT203" s="59"/>
      <c r="AU203" s="58" t="str">
        <f t="shared" si="119"/>
        <v/>
      </c>
      <c r="AV203" s="59"/>
      <c r="AW203" s="58" t="str">
        <f t="shared" si="120"/>
        <v/>
      </c>
      <c r="AX203" s="59"/>
      <c r="AY203" s="58" t="str">
        <f t="shared" si="121"/>
        <v/>
      </c>
      <c r="AZ203" s="59"/>
      <c r="BA203" s="58" t="str">
        <f t="shared" si="122"/>
        <v/>
      </c>
      <c r="BB203" s="59"/>
      <c r="BC203" s="58" t="str">
        <f t="shared" si="123"/>
        <v/>
      </c>
      <c r="BD203" s="59"/>
      <c r="BE203" s="58">
        <f t="shared" si="124"/>
        <v>1488</v>
      </c>
      <c r="BF203" s="59"/>
      <c r="BG203" s="58" t="str">
        <f t="shared" si="125"/>
        <v/>
      </c>
      <c r="BH203" s="59"/>
      <c r="BI203" s="58" t="str">
        <f t="shared" si="126"/>
        <v/>
      </c>
      <c r="BJ203" s="59"/>
      <c r="BK203" s="58" t="str">
        <f t="shared" si="127"/>
        <v/>
      </c>
      <c r="BL203" s="59"/>
      <c r="BM203" s="58" t="str">
        <f t="shared" si="128"/>
        <v/>
      </c>
      <c r="BN203" s="59"/>
      <c r="BO203" s="58" t="str">
        <f t="shared" si="129"/>
        <v/>
      </c>
      <c r="BP203" s="59"/>
      <c r="BQ203" s="58" t="str">
        <f t="shared" si="130"/>
        <v/>
      </c>
      <c r="BR203" s="59"/>
      <c r="BS203" s="58" t="str">
        <f t="shared" si="131"/>
        <v/>
      </c>
      <c r="BT203" s="59"/>
      <c r="BU203" s="58" t="str">
        <f t="shared" si="132"/>
        <v/>
      </c>
      <c r="BV203" s="59"/>
      <c r="BW203" s="58" t="str">
        <f t="shared" si="133"/>
        <v/>
      </c>
      <c r="BX203" s="59"/>
      <c r="BY203" s="58" t="str">
        <f t="shared" si="134"/>
        <v/>
      </c>
      <c r="BZ203" s="59"/>
    </row>
    <row r="204" spans="1:78" ht="14.5" hidden="1">
      <c r="A204" s="51" t="s">
        <v>58</v>
      </c>
      <c r="B204" s="52">
        <v>370</v>
      </c>
      <c r="C204" s="52" t="s">
        <v>188</v>
      </c>
      <c r="D204" s="41">
        <f t="shared" si="109"/>
        <v>5</v>
      </c>
      <c r="E204" s="170">
        <v>45667</v>
      </c>
      <c r="F204" s="41" t="s">
        <v>631</v>
      </c>
      <c r="G204" s="52" t="s">
        <v>136</v>
      </c>
      <c r="H204" s="52" t="s">
        <v>247</v>
      </c>
      <c r="I204" s="52" t="s">
        <v>163</v>
      </c>
      <c r="J204" s="52" t="s">
        <v>500</v>
      </c>
      <c r="K204" s="53">
        <v>45684</v>
      </c>
      <c r="L204" s="108">
        <v>1488</v>
      </c>
      <c r="M204" s="101">
        <v>1488</v>
      </c>
      <c r="N204" s="101"/>
      <c r="O204" s="107">
        <f t="shared" si="103"/>
        <v>1488</v>
      </c>
      <c r="P204" s="54">
        <f t="shared" si="104"/>
        <v>0</v>
      </c>
      <c r="Q204" s="101" t="s">
        <v>675</v>
      </c>
      <c r="R204" s="166">
        <v>45679</v>
      </c>
      <c r="S204" s="101"/>
      <c r="T204" s="102">
        <f t="shared" si="110"/>
        <v>0.85028571428571431</v>
      </c>
      <c r="U204" s="102">
        <v>5</v>
      </c>
      <c r="V204" s="99">
        <v>350</v>
      </c>
      <c r="W204" s="55">
        <f t="shared" si="105"/>
        <v>45664</v>
      </c>
      <c r="X204" s="55"/>
      <c r="Y204" s="56">
        <f t="shared" ca="1" si="106"/>
        <v>-176</v>
      </c>
      <c r="Z204" s="55">
        <f t="shared" si="107"/>
        <v>45680</v>
      </c>
      <c r="AA204" s="55"/>
      <c r="AB204" s="56">
        <f t="shared" ca="1" si="108"/>
        <v>-160</v>
      </c>
      <c r="AC204" s="55"/>
      <c r="AD204" s="57"/>
      <c r="AE204" s="58" t="str">
        <f t="shared" si="111"/>
        <v>-</v>
      </c>
      <c r="AF204" s="59"/>
      <c r="AG204" s="58" t="str">
        <f t="shared" si="112"/>
        <v/>
      </c>
      <c r="AH204" s="59"/>
      <c r="AI204" s="58" t="str">
        <f t="shared" si="113"/>
        <v/>
      </c>
      <c r="AJ204" s="59"/>
      <c r="AK204" s="58" t="str">
        <f t="shared" si="114"/>
        <v/>
      </c>
      <c r="AL204" s="59"/>
      <c r="AM204" s="58" t="str">
        <f t="shared" si="115"/>
        <v/>
      </c>
      <c r="AN204" s="59"/>
      <c r="AO204" s="58" t="str">
        <f t="shared" si="116"/>
        <v/>
      </c>
      <c r="AP204" s="59"/>
      <c r="AQ204" s="58" t="str">
        <f t="shared" si="117"/>
        <v/>
      </c>
      <c r="AR204" s="59"/>
      <c r="AS204" s="58" t="str">
        <f t="shared" si="118"/>
        <v/>
      </c>
      <c r="AT204" s="59"/>
      <c r="AU204" s="58" t="str">
        <f t="shared" si="119"/>
        <v/>
      </c>
      <c r="AV204" s="59"/>
      <c r="AW204" s="58" t="str">
        <f t="shared" si="120"/>
        <v/>
      </c>
      <c r="AX204" s="59"/>
      <c r="AY204" s="58" t="str">
        <f t="shared" si="121"/>
        <v/>
      </c>
      <c r="AZ204" s="59"/>
      <c r="BA204" s="58" t="str">
        <f t="shared" si="122"/>
        <v/>
      </c>
      <c r="BB204" s="59"/>
      <c r="BC204" s="58" t="str">
        <f t="shared" si="123"/>
        <v/>
      </c>
      <c r="BD204" s="59"/>
      <c r="BE204" s="58">
        <f t="shared" si="124"/>
        <v>1488</v>
      </c>
      <c r="BF204" s="59"/>
      <c r="BG204" s="58" t="str">
        <f t="shared" si="125"/>
        <v/>
      </c>
      <c r="BH204" s="59"/>
      <c r="BI204" s="58" t="str">
        <f t="shared" si="126"/>
        <v/>
      </c>
      <c r="BJ204" s="59"/>
      <c r="BK204" s="58" t="str">
        <f t="shared" si="127"/>
        <v/>
      </c>
      <c r="BL204" s="59"/>
      <c r="BM204" s="58" t="str">
        <f t="shared" si="128"/>
        <v/>
      </c>
      <c r="BN204" s="59"/>
      <c r="BO204" s="58" t="str">
        <f t="shared" si="129"/>
        <v/>
      </c>
      <c r="BP204" s="59"/>
      <c r="BQ204" s="58" t="str">
        <f t="shared" si="130"/>
        <v/>
      </c>
      <c r="BR204" s="59"/>
      <c r="BS204" s="58" t="str">
        <f t="shared" si="131"/>
        <v/>
      </c>
      <c r="BT204" s="59"/>
      <c r="BU204" s="58" t="str">
        <f t="shared" si="132"/>
        <v/>
      </c>
      <c r="BV204" s="59"/>
      <c r="BW204" s="58" t="str">
        <f t="shared" si="133"/>
        <v/>
      </c>
      <c r="BX204" s="59"/>
      <c r="BY204" s="58" t="str">
        <f t="shared" si="134"/>
        <v/>
      </c>
      <c r="BZ204" s="59"/>
    </row>
    <row r="205" spans="1:78" ht="14.5" hidden="1">
      <c r="A205" s="51" t="s">
        <v>58</v>
      </c>
      <c r="B205" s="52">
        <v>370</v>
      </c>
      <c r="C205" s="52" t="s">
        <v>188</v>
      </c>
      <c r="D205" s="41">
        <f t="shared" si="109"/>
        <v>5</v>
      </c>
      <c r="E205" s="170" t="s">
        <v>631</v>
      </c>
      <c r="F205" s="41" t="s">
        <v>631</v>
      </c>
      <c r="G205" s="52" t="s">
        <v>136</v>
      </c>
      <c r="H205" s="52" t="s">
        <v>247</v>
      </c>
      <c r="I205" s="52" t="s">
        <v>164</v>
      </c>
      <c r="J205" s="52" t="s">
        <v>500</v>
      </c>
      <c r="K205" s="53">
        <v>45684</v>
      </c>
      <c r="L205" s="108">
        <v>1488</v>
      </c>
      <c r="M205" s="101">
        <v>1488</v>
      </c>
      <c r="N205" s="101"/>
      <c r="O205" s="107">
        <f t="shared" si="103"/>
        <v>1488</v>
      </c>
      <c r="P205" s="54">
        <f t="shared" si="104"/>
        <v>0</v>
      </c>
      <c r="Q205" s="101" t="s">
        <v>676</v>
      </c>
      <c r="R205" s="166">
        <v>45679</v>
      </c>
      <c r="S205" s="101"/>
      <c r="T205" s="102">
        <f t="shared" si="110"/>
        <v>0.85028571428571431</v>
      </c>
      <c r="U205" s="102">
        <v>5</v>
      </c>
      <c r="V205" s="99">
        <v>350</v>
      </c>
      <c r="W205" s="55">
        <f t="shared" si="105"/>
        <v>45664</v>
      </c>
      <c r="X205" s="55"/>
      <c r="Y205" s="56">
        <f t="shared" ca="1" si="106"/>
        <v>-176</v>
      </c>
      <c r="Z205" s="55">
        <f t="shared" si="107"/>
        <v>45680</v>
      </c>
      <c r="AA205" s="55"/>
      <c r="AB205" s="56">
        <f t="shared" ca="1" si="108"/>
        <v>-160</v>
      </c>
      <c r="AC205" s="55"/>
      <c r="AD205" s="57"/>
      <c r="AE205" s="58" t="str">
        <f t="shared" si="111"/>
        <v>-</v>
      </c>
      <c r="AF205" s="59"/>
      <c r="AG205" s="58" t="str">
        <f t="shared" si="112"/>
        <v/>
      </c>
      <c r="AH205" s="59"/>
      <c r="AI205" s="58" t="str">
        <f t="shared" si="113"/>
        <v/>
      </c>
      <c r="AJ205" s="59"/>
      <c r="AK205" s="58" t="str">
        <f t="shared" si="114"/>
        <v/>
      </c>
      <c r="AL205" s="59"/>
      <c r="AM205" s="58" t="str">
        <f t="shared" si="115"/>
        <v/>
      </c>
      <c r="AN205" s="59"/>
      <c r="AO205" s="58" t="str">
        <f t="shared" si="116"/>
        <v/>
      </c>
      <c r="AP205" s="59"/>
      <c r="AQ205" s="58" t="str">
        <f t="shared" si="117"/>
        <v/>
      </c>
      <c r="AR205" s="59"/>
      <c r="AS205" s="58" t="str">
        <f t="shared" si="118"/>
        <v/>
      </c>
      <c r="AT205" s="59"/>
      <c r="AU205" s="58" t="str">
        <f t="shared" si="119"/>
        <v/>
      </c>
      <c r="AV205" s="59"/>
      <c r="AW205" s="58" t="str">
        <f t="shared" si="120"/>
        <v/>
      </c>
      <c r="AX205" s="59"/>
      <c r="AY205" s="58" t="str">
        <f t="shared" si="121"/>
        <v/>
      </c>
      <c r="AZ205" s="59"/>
      <c r="BA205" s="58" t="str">
        <f t="shared" si="122"/>
        <v/>
      </c>
      <c r="BB205" s="59"/>
      <c r="BC205" s="58" t="str">
        <f t="shared" si="123"/>
        <v/>
      </c>
      <c r="BD205" s="59"/>
      <c r="BE205" s="58">
        <f t="shared" si="124"/>
        <v>1488</v>
      </c>
      <c r="BF205" s="59"/>
      <c r="BG205" s="58" t="str">
        <f t="shared" si="125"/>
        <v/>
      </c>
      <c r="BH205" s="59"/>
      <c r="BI205" s="58" t="str">
        <f t="shared" si="126"/>
        <v/>
      </c>
      <c r="BJ205" s="59"/>
      <c r="BK205" s="58" t="str">
        <f t="shared" si="127"/>
        <v/>
      </c>
      <c r="BL205" s="59"/>
      <c r="BM205" s="58" t="str">
        <f t="shared" si="128"/>
        <v/>
      </c>
      <c r="BN205" s="59"/>
      <c r="BO205" s="58" t="str">
        <f t="shared" si="129"/>
        <v/>
      </c>
      <c r="BP205" s="59"/>
      <c r="BQ205" s="58" t="str">
        <f t="shared" si="130"/>
        <v/>
      </c>
      <c r="BR205" s="59"/>
      <c r="BS205" s="58" t="str">
        <f t="shared" si="131"/>
        <v/>
      </c>
      <c r="BT205" s="59"/>
      <c r="BU205" s="58" t="str">
        <f t="shared" si="132"/>
        <v/>
      </c>
      <c r="BV205" s="59"/>
      <c r="BW205" s="58" t="str">
        <f t="shared" si="133"/>
        <v/>
      </c>
      <c r="BX205" s="59"/>
      <c r="BY205" s="58" t="str">
        <f t="shared" si="134"/>
        <v/>
      </c>
      <c r="BZ205" s="59"/>
    </row>
    <row r="206" spans="1:78" ht="14.5" hidden="1">
      <c r="A206" s="51" t="s">
        <v>58</v>
      </c>
      <c r="B206" s="52">
        <v>370</v>
      </c>
      <c r="C206" s="52" t="s">
        <v>188</v>
      </c>
      <c r="D206" s="41">
        <f t="shared" si="109"/>
        <v>5</v>
      </c>
      <c r="E206" s="170">
        <v>45665</v>
      </c>
      <c r="F206" s="41" t="s">
        <v>631</v>
      </c>
      <c r="G206" s="52" t="s">
        <v>157</v>
      </c>
      <c r="H206" s="52" t="s">
        <v>538</v>
      </c>
      <c r="I206" s="52" t="s">
        <v>155</v>
      </c>
      <c r="J206" s="52" t="s">
        <v>428</v>
      </c>
      <c r="K206" s="53">
        <v>45684</v>
      </c>
      <c r="L206" s="108">
        <v>2262</v>
      </c>
      <c r="M206" s="101">
        <v>2262</v>
      </c>
      <c r="N206" s="101"/>
      <c r="O206" s="107">
        <f t="shared" si="103"/>
        <v>2262</v>
      </c>
      <c r="P206" s="54">
        <f t="shared" si="104"/>
        <v>0</v>
      </c>
      <c r="Q206" s="101" t="s">
        <v>178</v>
      </c>
      <c r="R206" s="101"/>
      <c r="S206" s="101"/>
      <c r="T206" s="102">
        <f t="shared" si="110"/>
        <v>0.377</v>
      </c>
      <c r="U206" s="102">
        <v>6</v>
      </c>
      <c r="V206" s="99">
        <v>1000</v>
      </c>
      <c r="W206" s="55">
        <f t="shared" si="105"/>
        <v>45664</v>
      </c>
      <c r="X206" s="55"/>
      <c r="Y206" s="56">
        <f t="shared" ca="1" si="106"/>
        <v>-176</v>
      </c>
      <c r="Z206" s="55">
        <f t="shared" si="107"/>
        <v>45680</v>
      </c>
      <c r="AA206" s="55"/>
      <c r="AB206" s="56">
        <f t="shared" ca="1" si="108"/>
        <v>-160</v>
      </c>
      <c r="AC206" s="55"/>
      <c r="AD206" s="57"/>
      <c r="AE206" s="58" t="str">
        <f t="shared" si="111"/>
        <v>-</v>
      </c>
      <c r="AF206" s="59"/>
      <c r="AG206" s="58" t="str">
        <f t="shared" si="112"/>
        <v/>
      </c>
      <c r="AH206" s="59"/>
      <c r="AI206" s="58" t="str">
        <f t="shared" si="113"/>
        <v/>
      </c>
      <c r="AJ206" s="59"/>
      <c r="AK206" s="58" t="str">
        <f t="shared" si="114"/>
        <v/>
      </c>
      <c r="AL206" s="59"/>
      <c r="AM206" s="58" t="str">
        <f t="shared" si="115"/>
        <v/>
      </c>
      <c r="AN206" s="59"/>
      <c r="AO206" s="58" t="str">
        <f t="shared" si="116"/>
        <v/>
      </c>
      <c r="AP206" s="59"/>
      <c r="AQ206" s="58" t="str">
        <f t="shared" si="117"/>
        <v/>
      </c>
      <c r="AR206" s="59"/>
      <c r="AS206" s="58" t="str">
        <f t="shared" si="118"/>
        <v/>
      </c>
      <c r="AT206" s="59"/>
      <c r="AU206" s="58" t="str">
        <f t="shared" si="119"/>
        <v/>
      </c>
      <c r="AV206" s="59"/>
      <c r="AW206" s="58" t="str">
        <f t="shared" si="120"/>
        <v/>
      </c>
      <c r="AX206" s="59"/>
      <c r="AY206" s="58" t="str">
        <f t="shared" si="121"/>
        <v/>
      </c>
      <c r="AZ206" s="59"/>
      <c r="BA206" s="58" t="str">
        <f t="shared" si="122"/>
        <v/>
      </c>
      <c r="BB206" s="59"/>
      <c r="BC206" s="58" t="str">
        <f t="shared" si="123"/>
        <v/>
      </c>
      <c r="BD206" s="59"/>
      <c r="BE206" s="58">
        <f t="shared" si="124"/>
        <v>2262</v>
      </c>
      <c r="BF206" s="59"/>
      <c r="BG206" s="58" t="str">
        <f t="shared" si="125"/>
        <v/>
      </c>
      <c r="BH206" s="59"/>
      <c r="BI206" s="58" t="str">
        <f t="shared" si="126"/>
        <v/>
      </c>
      <c r="BJ206" s="59"/>
      <c r="BK206" s="58" t="str">
        <f t="shared" si="127"/>
        <v/>
      </c>
      <c r="BL206" s="59"/>
      <c r="BM206" s="58" t="str">
        <f t="shared" si="128"/>
        <v/>
      </c>
      <c r="BN206" s="59"/>
      <c r="BO206" s="58" t="str">
        <f t="shared" si="129"/>
        <v/>
      </c>
      <c r="BP206" s="59"/>
      <c r="BQ206" s="58" t="str">
        <f t="shared" si="130"/>
        <v/>
      </c>
      <c r="BR206" s="59"/>
      <c r="BS206" s="58" t="str">
        <f t="shared" si="131"/>
        <v/>
      </c>
      <c r="BT206" s="59"/>
      <c r="BU206" s="58" t="str">
        <f t="shared" si="132"/>
        <v/>
      </c>
      <c r="BV206" s="59"/>
      <c r="BW206" s="58" t="str">
        <f t="shared" si="133"/>
        <v/>
      </c>
      <c r="BX206" s="59"/>
      <c r="BY206" s="58" t="str">
        <f t="shared" si="134"/>
        <v/>
      </c>
      <c r="BZ206" s="59"/>
    </row>
    <row r="207" spans="1:78" ht="14.5" hidden="1">
      <c r="A207" s="51" t="s">
        <v>58</v>
      </c>
      <c r="B207" s="52">
        <v>370</v>
      </c>
      <c r="C207" s="52" t="s">
        <v>188</v>
      </c>
      <c r="D207" s="41">
        <f t="shared" si="109"/>
        <v>5</v>
      </c>
      <c r="E207" s="170" t="s">
        <v>631</v>
      </c>
      <c r="F207" s="41" t="s">
        <v>631</v>
      </c>
      <c r="G207" s="52" t="s">
        <v>189</v>
      </c>
      <c r="H207" s="52" t="s">
        <v>242</v>
      </c>
      <c r="I207" s="52" t="s">
        <v>162</v>
      </c>
      <c r="J207" s="52" t="s">
        <v>432</v>
      </c>
      <c r="K207" s="53">
        <v>45684</v>
      </c>
      <c r="L207" s="108">
        <v>1420</v>
      </c>
      <c r="M207" s="101">
        <v>0</v>
      </c>
      <c r="N207" s="101"/>
      <c r="O207" s="107">
        <f t="shared" si="103"/>
        <v>1420</v>
      </c>
      <c r="P207" s="54">
        <f t="shared" si="104"/>
        <v>1420</v>
      </c>
      <c r="Q207" s="101" t="s">
        <v>178</v>
      </c>
      <c r="R207" s="166">
        <v>45682</v>
      </c>
      <c r="S207" s="101" t="s">
        <v>642</v>
      </c>
      <c r="T207" s="102">
        <f t="shared" si="110"/>
        <v>1.9722222222222223</v>
      </c>
      <c r="U207" s="102">
        <v>6</v>
      </c>
      <c r="V207" s="99">
        <v>120</v>
      </c>
      <c r="W207" s="55">
        <f t="shared" si="105"/>
        <v>45664</v>
      </c>
      <c r="X207" s="55"/>
      <c r="Y207" s="56">
        <f t="shared" ca="1" si="106"/>
        <v>-176</v>
      </c>
      <c r="Z207" s="55">
        <f t="shared" si="107"/>
        <v>45680</v>
      </c>
      <c r="AA207" s="55"/>
      <c r="AB207" s="56">
        <f t="shared" ca="1" si="108"/>
        <v>-160</v>
      </c>
      <c r="AC207" s="55"/>
      <c r="AD207" s="57"/>
      <c r="AE207" s="58" t="str">
        <f t="shared" si="111"/>
        <v>-</v>
      </c>
      <c r="AF207" s="59"/>
      <c r="AG207" s="58" t="str">
        <f t="shared" si="112"/>
        <v/>
      </c>
      <c r="AH207" s="59"/>
      <c r="AI207" s="58" t="str">
        <f t="shared" si="113"/>
        <v/>
      </c>
      <c r="AJ207" s="59"/>
      <c r="AK207" s="58" t="str">
        <f t="shared" si="114"/>
        <v/>
      </c>
      <c r="AL207" s="59"/>
      <c r="AM207" s="58" t="str">
        <f t="shared" si="115"/>
        <v/>
      </c>
      <c r="AN207" s="59"/>
      <c r="AO207" s="58" t="str">
        <f t="shared" si="116"/>
        <v/>
      </c>
      <c r="AP207" s="59"/>
      <c r="AQ207" s="58" t="str">
        <f t="shared" si="117"/>
        <v/>
      </c>
      <c r="AR207" s="59"/>
      <c r="AS207" s="58" t="str">
        <f t="shared" si="118"/>
        <v/>
      </c>
      <c r="AT207" s="59"/>
      <c r="AU207" s="58" t="str">
        <f t="shared" si="119"/>
        <v/>
      </c>
      <c r="AV207" s="59"/>
      <c r="AW207" s="58" t="str">
        <f t="shared" si="120"/>
        <v/>
      </c>
      <c r="AX207" s="59"/>
      <c r="AY207" s="58" t="str">
        <f t="shared" si="121"/>
        <v/>
      </c>
      <c r="AZ207" s="59"/>
      <c r="BA207" s="58" t="str">
        <f t="shared" si="122"/>
        <v/>
      </c>
      <c r="BB207" s="59"/>
      <c r="BC207" s="58" t="str">
        <f t="shared" si="123"/>
        <v/>
      </c>
      <c r="BD207" s="59"/>
      <c r="BE207" s="58">
        <f t="shared" si="124"/>
        <v>1420</v>
      </c>
      <c r="BF207" s="59"/>
      <c r="BG207" s="58" t="str">
        <f t="shared" si="125"/>
        <v/>
      </c>
      <c r="BH207" s="59"/>
      <c r="BI207" s="58" t="str">
        <f t="shared" si="126"/>
        <v/>
      </c>
      <c r="BJ207" s="59"/>
      <c r="BK207" s="58" t="str">
        <f t="shared" si="127"/>
        <v/>
      </c>
      <c r="BL207" s="59"/>
      <c r="BM207" s="58" t="str">
        <f t="shared" si="128"/>
        <v/>
      </c>
      <c r="BN207" s="59"/>
      <c r="BO207" s="58" t="str">
        <f t="shared" si="129"/>
        <v/>
      </c>
      <c r="BP207" s="59"/>
      <c r="BQ207" s="58" t="str">
        <f t="shared" si="130"/>
        <v/>
      </c>
      <c r="BR207" s="59"/>
      <c r="BS207" s="58" t="str">
        <f t="shared" si="131"/>
        <v/>
      </c>
      <c r="BT207" s="59"/>
      <c r="BU207" s="58" t="str">
        <f t="shared" si="132"/>
        <v/>
      </c>
      <c r="BV207" s="59"/>
      <c r="BW207" s="58" t="str">
        <f t="shared" si="133"/>
        <v/>
      </c>
      <c r="BX207" s="59"/>
      <c r="BY207" s="58" t="str">
        <f t="shared" si="134"/>
        <v/>
      </c>
      <c r="BZ207" s="59"/>
    </row>
    <row r="208" spans="1:78" ht="14.5" hidden="1">
      <c r="A208" s="51" t="s">
        <v>58</v>
      </c>
      <c r="B208" s="52">
        <v>370</v>
      </c>
      <c r="C208" s="52" t="s">
        <v>188</v>
      </c>
      <c r="D208" s="41">
        <f t="shared" si="109"/>
        <v>5</v>
      </c>
      <c r="E208" s="170" t="s">
        <v>631</v>
      </c>
      <c r="F208" s="41" t="s">
        <v>631</v>
      </c>
      <c r="G208" s="52" t="s">
        <v>391</v>
      </c>
      <c r="H208" s="52" t="s">
        <v>392</v>
      </c>
      <c r="I208" s="52" t="s">
        <v>393</v>
      </c>
      <c r="J208" s="52" t="s">
        <v>433</v>
      </c>
      <c r="K208" s="53">
        <v>45684</v>
      </c>
      <c r="L208" s="108">
        <v>2082</v>
      </c>
      <c r="M208" s="101"/>
      <c r="N208" s="101"/>
      <c r="O208" s="107">
        <f t="shared" si="103"/>
        <v>2082</v>
      </c>
      <c r="P208" s="54">
        <f t="shared" si="104"/>
        <v>2082</v>
      </c>
      <c r="Q208" s="101" t="s">
        <v>669</v>
      </c>
      <c r="R208" s="101"/>
      <c r="S208" s="101"/>
      <c r="T208" s="102">
        <f t="shared" si="110"/>
        <v>4.3375000000000004</v>
      </c>
      <c r="U208" s="102">
        <v>6</v>
      </c>
      <c r="V208" s="99">
        <v>80</v>
      </c>
      <c r="W208" s="55">
        <f t="shared" si="105"/>
        <v>45664</v>
      </c>
      <c r="X208" s="55"/>
      <c r="Y208" s="56">
        <f t="shared" ca="1" si="106"/>
        <v>-176</v>
      </c>
      <c r="Z208" s="55">
        <f t="shared" si="107"/>
        <v>45680</v>
      </c>
      <c r="AA208" s="55"/>
      <c r="AB208" s="56">
        <f t="shared" ca="1" si="108"/>
        <v>-160</v>
      </c>
      <c r="AC208" s="55"/>
      <c r="AD208" s="57"/>
      <c r="AE208" s="58" t="str">
        <f t="shared" si="111"/>
        <v>-</v>
      </c>
      <c r="AF208" s="59"/>
      <c r="AG208" s="58" t="str">
        <f t="shared" si="112"/>
        <v/>
      </c>
      <c r="AH208" s="59"/>
      <c r="AI208" s="58" t="str">
        <f t="shared" si="113"/>
        <v/>
      </c>
      <c r="AJ208" s="59"/>
      <c r="AK208" s="58" t="str">
        <f t="shared" si="114"/>
        <v/>
      </c>
      <c r="AL208" s="59"/>
      <c r="AM208" s="58" t="str">
        <f t="shared" si="115"/>
        <v/>
      </c>
      <c r="AN208" s="59"/>
      <c r="AO208" s="58" t="str">
        <f t="shared" si="116"/>
        <v/>
      </c>
      <c r="AP208" s="59"/>
      <c r="AQ208" s="58" t="str">
        <f t="shared" si="117"/>
        <v/>
      </c>
      <c r="AR208" s="59"/>
      <c r="AS208" s="58" t="str">
        <f t="shared" si="118"/>
        <v/>
      </c>
      <c r="AT208" s="59"/>
      <c r="AU208" s="58" t="str">
        <f t="shared" si="119"/>
        <v/>
      </c>
      <c r="AV208" s="59"/>
      <c r="AW208" s="58" t="str">
        <f t="shared" si="120"/>
        <v/>
      </c>
      <c r="AX208" s="59"/>
      <c r="AY208" s="58" t="str">
        <f t="shared" si="121"/>
        <v/>
      </c>
      <c r="AZ208" s="59"/>
      <c r="BA208" s="58" t="str">
        <f t="shared" si="122"/>
        <v/>
      </c>
      <c r="BB208" s="59"/>
      <c r="BC208" s="58" t="str">
        <f t="shared" si="123"/>
        <v/>
      </c>
      <c r="BD208" s="59"/>
      <c r="BE208" s="58">
        <f t="shared" si="124"/>
        <v>2082</v>
      </c>
      <c r="BF208" s="59"/>
      <c r="BG208" s="58" t="str">
        <f t="shared" si="125"/>
        <v/>
      </c>
      <c r="BH208" s="59"/>
      <c r="BI208" s="58" t="str">
        <f t="shared" si="126"/>
        <v/>
      </c>
      <c r="BJ208" s="59"/>
      <c r="BK208" s="58" t="str">
        <f t="shared" si="127"/>
        <v/>
      </c>
      <c r="BL208" s="59"/>
      <c r="BM208" s="58" t="str">
        <f t="shared" si="128"/>
        <v/>
      </c>
      <c r="BN208" s="59"/>
      <c r="BO208" s="58" t="str">
        <f t="shared" si="129"/>
        <v/>
      </c>
      <c r="BP208" s="59"/>
      <c r="BQ208" s="58" t="str">
        <f t="shared" si="130"/>
        <v/>
      </c>
      <c r="BR208" s="59"/>
      <c r="BS208" s="58" t="str">
        <f t="shared" si="131"/>
        <v/>
      </c>
      <c r="BT208" s="59"/>
      <c r="BU208" s="58" t="str">
        <f t="shared" si="132"/>
        <v/>
      </c>
      <c r="BV208" s="59"/>
      <c r="BW208" s="58" t="str">
        <f t="shared" si="133"/>
        <v/>
      </c>
      <c r="BX208" s="59"/>
      <c r="BY208" s="58" t="str">
        <f t="shared" si="134"/>
        <v/>
      </c>
      <c r="BZ208" s="59"/>
    </row>
    <row r="209" spans="1:78" ht="14.5">
      <c r="A209" s="51" t="s">
        <v>58</v>
      </c>
      <c r="B209" s="52">
        <v>373</v>
      </c>
      <c r="C209" s="52" t="s">
        <v>188</v>
      </c>
      <c r="D209" s="41">
        <f t="shared" si="109"/>
        <v>5</v>
      </c>
      <c r="E209" s="170">
        <v>45668</v>
      </c>
      <c r="F209" s="41" t="s">
        <v>631</v>
      </c>
      <c r="G209" s="52" t="s">
        <v>201</v>
      </c>
      <c r="H209" s="52" t="s">
        <v>247</v>
      </c>
      <c r="I209" s="52" t="s">
        <v>155</v>
      </c>
      <c r="J209" s="52" t="s">
        <v>442</v>
      </c>
      <c r="K209" s="53">
        <v>45685</v>
      </c>
      <c r="L209" s="108">
        <v>14256</v>
      </c>
      <c r="M209" s="101">
        <v>14256</v>
      </c>
      <c r="N209" s="101">
        <v>14256</v>
      </c>
      <c r="O209" s="107">
        <f t="shared" si="103"/>
        <v>0</v>
      </c>
      <c r="P209" s="54">
        <f t="shared" si="104"/>
        <v>0</v>
      </c>
      <c r="Q209" s="101" t="s">
        <v>639</v>
      </c>
      <c r="R209" s="101"/>
      <c r="S209" s="101"/>
      <c r="T209" s="102">
        <f t="shared" si="110"/>
        <v>8.1462857142857139</v>
      </c>
      <c r="U209" s="102">
        <v>5</v>
      </c>
      <c r="V209" s="99">
        <v>350</v>
      </c>
      <c r="W209" s="55">
        <f t="shared" si="105"/>
        <v>45665</v>
      </c>
      <c r="X209" s="55"/>
      <c r="Y209" s="56">
        <f t="shared" ca="1" si="106"/>
        <v>-175</v>
      </c>
      <c r="Z209" s="55">
        <f t="shared" si="107"/>
        <v>45681</v>
      </c>
      <c r="AA209" s="55"/>
      <c r="AB209" s="56">
        <f t="shared" ca="1" si="108"/>
        <v>-159</v>
      </c>
      <c r="AC209" s="55"/>
      <c r="AD209" s="57"/>
      <c r="AE209" s="58" t="str">
        <f t="shared" si="111"/>
        <v>-</v>
      </c>
      <c r="AF209" s="59"/>
      <c r="AG209" s="58" t="str">
        <f t="shared" si="112"/>
        <v/>
      </c>
      <c r="AH209" s="59"/>
      <c r="AI209" s="58" t="str">
        <f t="shared" si="113"/>
        <v/>
      </c>
      <c r="AJ209" s="59"/>
      <c r="AK209" s="58" t="str">
        <f t="shared" si="114"/>
        <v/>
      </c>
      <c r="AL209" s="59"/>
      <c r="AM209" s="58" t="str">
        <f t="shared" si="115"/>
        <v/>
      </c>
      <c r="AN209" s="59"/>
      <c r="AO209" s="58" t="str">
        <f t="shared" si="116"/>
        <v/>
      </c>
      <c r="AP209" s="59"/>
      <c r="AQ209" s="58" t="str">
        <f t="shared" si="117"/>
        <v/>
      </c>
      <c r="AR209" s="59"/>
      <c r="AS209" s="58" t="str">
        <f t="shared" si="118"/>
        <v/>
      </c>
      <c r="AT209" s="59"/>
      <c r="AU209" s="58" t="str">
        <f t="shared" si="119"/>
        <v/>
      </c>
      <c r="AV209" s="59"/>
      <c r="AW209" s="58" t="str">
        <f t="shared" si="120"/>
        <v/>
      </c>
      <c r="AX209" s="59"/>
      <c r="AY209" s="58" t="str">
        <f t="shared" si="121"/>
        <v/>
      </c>
      <c r="AZ209" s="59"/>
      <c r="BA209" s="58" t="str">
        <f t="shared" si="122"/>
        <v/>
      </c>
      <c r="BB209" s="59"/>
      <c r="BC209" s="58" t="str">
        <f t="shared" si="123"/>
        <v/>
      </c>
      <c r="BD209" s="59"/>
      <c r="BE209" s="58">
        <f t="shared" si="124"/>
        <v>14256</v>
      </c>
      <c r="BF209" s="59"/>
      <c r="BG209" s="58" t="str">
        <f t="shared" si="125"/>
        <v/>
      </c>
      <c r="BH209" s="59"/>
      <c r="BI209" s="58" t="str">
        <f t="shared" si="126"/>
        <v/>
      </c>
      <c r="BJ209" s="59"/>
      <c r="BK209" s="58" t="str">
        <f t="shared" si="127"/>
        <v/>
      </c>
      <c r="BL209" s="59"/>
      <c r="BM209" s="58" t="str">
        <f t="shared" si="128"/>
        <v/>
      </c>
      <c r="BN209" s="59"/>
      <c r="BO209" s="58" t="str">
        <f t="shared" si="129"/>
        <v/>
      </c>
      <c r="BP209" s="59"/>
      <c r="BQ209" s="58" t="str">
        <f t="shared" si="130"/>
        <v/>
      </c>
      <c r="BR209" s="59"/>
      <c r="BS209" s="58" t="str">
        <f t="shared" si="131"/>
        <v/>
      </c>
      <c r="BT209" s="59"/>
      <c r="BU209" s="58" t="str">
        <f t="shared" si="132"/>
        <v/>
      </c>
      <c r="BV209" s="59"/>
      <c r="BW209" s="58" t="str">
        <f t="shared" si="133"/>
        <v/>
      </c>
      <c r="BX209" s="59"/>
      <c r="BY209" s="58" t="str">
        <f t="shared" si="134"/>
        <v/>
      </c>
      <c r="BZ209" s="59"/>
    </row>
    <row r="210" spans="1:78" ht="14.5" hidden="1">
      <c r="A210" s="51" t="s">
        <v>58</v>
      </c>
      <c r="B210" s="52">
        <v>373</v>
      </c>
      <c r="C210" s="52" t="s">
        <v>188</v>
      </c>
      <c r="D210" s="41">
        <f t="shared" si="109"/>
        <v>5</v>
      </c>
      <c r="E210" s="170" t="s">
        <v>631</v>
      </c>
      <c r="F210" s="41" t="s">
        <v>631</v>
      </c>
      <c r="G210" s="52" t="s">
        <v>390</v>
      </c>
      <c r="H210" s="52" t="s">
        <v>242</v>
      </c>
      <c r="I210" s="52" t="s">
        <v>162</v>
      </c>
      <c r="J210" s="52" t="s">
        <v>430</v>
      </c>
      <c r="K210" s="53">
        <v>45685</v>
      </c>
      <c r="L210" s="108">
        <v>1800</v>
      </c>
      <c r="M210" s="101">
        <v>1800</v>
      </c>
      <c r="N210" s="101">
        <v>1800</v>
      </c>
      <c r="O210" s="107">
        <f t="shared" si="103"/>
        <v>0</v>
      </c>
      <c r="P210" s="54">
        <f t="shared" si="104"/>
        <v>0</v>
      </c>
      <c r="Q210" s="101" t="s">
        <v>431</v>
      </c>
      <c r="R210" s="101"/>
      <c r="S210" s="101"/>
      <c r="T210" s="102">
        <f t="shared" si="110"/>
        <v>2.5</v>
      </c>
      <c r="U210" s="102">
        <v>6</v>
      </c>
      <c r="V210" s="99">
        <v>120</v>
      </c>
      <c r="W210" s="55">
        <f t="shared" si="105"/>
        <v>45665</v>
      </c>
      <c r="X210" s="55"/>
      <c r="Y210" s="56">
        <f t="shared" ca="1" si="106"/>
        <v>-175</v>
      </c>
      <c r="Z210" s="55">
        <f t="shared" si="107"/>
        <v>45681</v>
      </c>
      <c r="AA210" s="55"/>
      <c r="AB210" s="56">
        <f t="shared" ca="1" si="108"/>
        <v>-159</v>
      </c>
      <c r="AC210" s="55"/>
      <c r="AD210" s="57"/>
      <c r="AE210" s="58" t="str">
        <f t="shared" si="111"/>
        <v>-</v>
      </c>
      <c r="AF210" s="59"/>
      <c r="AG210" s="58" t="str">
        <f t="shared" si="112"/>
        <v/>
      </c>
      <c r="AH210" s="59"/>
      <c r="AI210" s="58" t="str">
        <f t="shared" si="113"/>
        <v/>
      </c>
      <c r="AJ210" s="59"/>
      <c r="AK210" s="58" t="str">
        <f t="shared" si="114"/>
        <v/>
      </c>
      <c r="AL210" s="59"/>
      <c r="AM210" s="58" t="str">
        <f t="shared" si="115"/>
        <v/>
      </c>
      <c r="AN210" s="59"/>
      <c r="AO210" s="58" t="str">
        <f t="shared" si="116"/>
        <v/>
      </c>
      <c r="AP210" s="59"/>
      <c r="AQ210" s="58" t="str">
        <f t="shared" si="117"/>
        <v/>
      </c>
      <c r="AR210" s="59"/>
      <c r="AS210" s="58" t="str">
        <f t="shared" si="118"/>
        <v/>
      </c>
      <c r="AT210" s="59"/>
      <c r="AU210" s="58" t="str">
        <f t="shared" si="119"/>
        <v/>
      </c>
      <c r="AV210" s="59"/>
      <c r="AW210" s="58" t="str">
        <f t="shared" si="120"/>
        <v/>
      </c>
      <c r="AX210" s="59"/>
      <c r="AY210" s="58" t="str">
        <f t="shared" si="121"/>
        <v/>
      </c>
      <c r="AZ210" s="59"/>
      <c r="BA210" s="58" t="str">
        <f t="shared" si="122"/>
        <v/>
      </c>
      <c r="BB210" s="59"/>
      <c r="BC210" s="58" t="str">
        <f t="shared" si="123"/>
        <v/>
      </c>
      <c r="BD210" s="59"/>
      <c r="BE210" s="58">
        <f t="shared" si="124"/>
        <v>1800</v>
      </c>
      <c r="BF210" s="59"/>
      <c r="BG210" s="58" t="str">
        <f t="shared" si="125"/>
        <v/>
      </c>
      <c r="BH210" s="59"/>
      <c r="BI210" s="58" t="str">
        <f t="shared" si="126"/>
        <v/>
      </c>
      <c r="BJ210" s="59"/>
      <c r="BK210" s="58" t="str">
        <f t="shared" si="127"/>
        <v/>
      </c>
      <c r="BL210" s="59"/>
      <c r="BM210" s="58" t="str">
        <f t="shared" si="128"/>
        <v/>
      </c>
      <c r="BN210" s="59"/>
      <c r="BO210" s="58" t="str">
        <f t="shared" si="129"/>
        <v/>
      </c>
      <c r="BP210" s="59"/>
      <c r="BQ210" s="58" t="str">
        <f t="shared" si="130"/>
        <v/>
      </c>
      <c r="BR210" s="59"/>
      <c r="BS210" s="58" t="str">
        <f t="shared" si="131"/>
        <v/>
      </c>
      <c r="BT210" s="59"/>
      <c r="BU210" s="58" t="str">
        <f t="shared" si="132"/>
        <v/>
      </c>
      <c r="BV210" s="59"/>
      <c r="BW210" s="58" t="str">
        <f t="shared" si="133"/>
        <v/>
      </c>
      <c r="BX210" s="59"/>
      <c r="BY210" s="58" t="str">
        <f t="shared" si="134"/>
        <v/>
      </c>
      <c r="BZ210" s="59"/>
    </row>
    <row r="211" spans="1:78" ht="14.5" hidden="1">
      <c r="A211" s="51" t="s">
        <v>58</v>
      </c>
      <c r="B211" s="52">
        <v>373</v>
      </c>
      <c r="C211" s="52" t="s">
        <v>188</v>
      </c>
      <c r="D211" s="41">
        <f t="shared" si="109"/>
        <v>5</v>
      </c>
      <c r="E211" s="170" t="s">
        <v>631</v>
      </c>
      <c r="F211" s="41" t="s">
        <v>631</v>
      </c>
      <c r="G211" s="52" t="s">
        <v>189</v>
      </c>
      <c r="H211" s="52" t="s">
        <v>242</v>
      </c>
      <c r="I211" s="52" t="s">
        <v>162</v>
      </c>
      <c r="J211" s="52" t="s">
        <v>498</v>
      </c>
      <c r="K211" s="53">
        <v>45685</v>
      </c>
      <c r="L211" s="108">
        <v>1412</v>
      </c>
      <c r="M211" s="101"/>
      <c r="N211" s="101"/>
      <c r="O211" s="107">
        <f t="shared" si="103"/>
        <v>1412</v>
      </c>
      <c r="P211" s="54">
        <f t="shared" si="104"/>
        <v>1412</v>
      </c>
      <c r="Q211" s="101" t="s">
        <v>178</v>
      </c>
      <c r="R211" s="166">
        <v>45684</v>
      </c>
      <c r="S211" s="101" t="s">
        <v>642</v>
      </c>
      <c r="T211" s="102">
        <f t="shared" si="110"/>
        <v>1.961111111111111</v>
      </c>
      <c r="U211" s="102">
        <v>6</v>
      </c>
      <c r="V211" s="99">
        <v>120</v>
      </c>
      <c r="W211" s="55">
        <f t="shared" si="105"/>
        <v>45665</v>
      </c>
      <c r="X211" s="55"/>
      <c r="Y211" s="56">
        <f t="shared" ca="1" si="106"/>
        <v>-175</v>
      </c>
      <c r="Z211" s="55">
        <f t="shared" si="107"/>
        <v>45681</v>
      </c>
      <c r="AA211" s="55"/>
      <c r="AB211" s="56">
        <f t="shared" ca="1" si="108"/>
        <v>-159</v>
      </c>
      <c r="AC211" s="55"/>
      <c r="AD211" s="57"/>
      <c r="AE211" s="58" t="str">
        <f t="shared" si="111"/>
        <v>-</v>
      </c>
      <c r="AF211" s="59"/>
      <c r="AG211" s="58" t="str">
        <f t="shared" si="112"/>
        <v/>
      </c>
      <c r="AH211" s="59"/>
      <c r="AI211" s="58" t="str">
        <f t="shared" si="113"/>
        <v/>
      </c>
      <c r="AJ211" s="59"/>
      <c r="AK211" s="58" t="str">
        <f t="shared" si="114"/>
        <v/>
      </c>
      <c r="AL211" s="59"/>
      <c r="AM211" s="58" t="str">
        <f t="shared" si="115"/>
        <v/>
      </c>
      <c r="AN211" s="59"/>
      <c r="AO211" s="58" t="str">
        <f t="shared" si="116"/>
        <v/>
      </c>
      <c r="AP211" s="59"/>
      <c r="AQ211" s="58" t="str">
        <f t="shared" si="117"/>
        <v/>
      </c>
      <c r="AR211" s="59"/>
      <c r="AS211" s="58" t="str">
        <f t="shared" si="118"/>
        <v/>
      </c>
      <c r="AT211" s="59"/>
      <c r="AU211" s="58" t="str">
        <f t="shared" si="119"/>
        <v/>
      </c>
      <c r="AV211" s="59"/>
      <c r="AW211" s="58" t="str">
        <f t="shared" si="120"/>
        <v/>
      </c>
      <c r="AX211" s="59"/>
      <c r="AY211" s="58" t="str">
        <f t="shared" si="121"/>
        <v/>
      </c>
      <c r="AZ211" s="59"/>
      <c r="BA211" s="58" t="str">
        <f t="shared" si="122"/>
        <v/>
      </c>
      <c r="BB211" s="59"/>
      <c r="BC211" s="58" t="str">
        <f t="shared" si="123"/>
        <v/>
      </c>
      <c r="BD211" s="59"/>
      <c r="BE211" s="58">
        <f t="shared" si="124"/>
        <v>1412</v>
      </c>
      <c r="BF211" s="59"/>
      <c r="BG211" s="58" t="str">
        <f t="shared" si="125"/>
        <v/>
      </c>
      <c r="BH211" s="59"/>
      <c r="BI211" s="58" t="str">
        <f t="shared" si="126"/>
        <v/>
      </c>
      <c r="BJ211" s="59"/>
      <c r="BK211" s="58" t="str">
        <f t="shared" si="127"/>
        <v/>
      </c>
      <c r="BL211" s="59"/>
      <c r="BM211" s="58" t="str">
        <f t="shared" si="128"/>
        <v/>
      </c>
      <c r="BN211" s="59"/>
      <c r="BO211" s="58" t="str">
        <f t="shared" si="129"/>
        <v/>
      </c>
      <c r="BP211" s="59"/>
      <c r="BQ211" s="58" t="str">
        <f t="shared" si="130"/>
        <v/>
      </c>
      <c r="BR211" s="59"/>
      <c r="BS211" s="58" t="str">
        <f t="shared" si="131"/>
        <v/>
      </c>
      <c r="BT211" s="59"/>
      <c r="BU211" s="58" t="str">
        <f t="shared" si="132"/>
        <v/>
      </c>
      <c r="BV211" s="59"/>
      <c r="BW211" s="58" t="str">
        <f t="shared" si="133"/>
        <v/>
      </c>
      <c r="BX211" s="59"/>
      <c r="BY211" s="58" t="str">
        <f t="shared" si="134"/>
        <v/>
      </c>
      <c r="BZ211" s="59"/>
    </row>
    <row r="212" spans="1:78" ht="14.5" hidden="1">
      <c r="A212" s="51" t="s">
        <v>58</v>
      </c>
      <c r="B212" s="52">
        <v>373</v>
      </c>
      <c r="C212" s="52" t="s">
        <v>188</v>
      </c>
      <c r="D212" s="41">
        <f t="shared" si="109"/>
        <v>5</v>
      </c>
      <c r="E212" s="170">
        <v>45666</v>
      </c>
      <c r="F212" s="41" t="s">
        <v>631</v>
      </c>
      <c r="G212" s="52" t="s">
        <v>158</v>
      </c>
      <c r="H212" s="52" t="s">
        <v>242</v>
      </c>
      <c r="I212" s="52" t="s">
        <v>255</v>
      </c>
      <c r="J212" s="52" t="s">
        <v>498</v>
      </c>
      <c r="K212" s="53">
        <v>45685</v>
      </c>
      <c r="L212" s="108">
        <v>788</v>
      </c>
      <c r="M212" s="101">
        <v>788</v>
      </c>
      <c r="N212" s="101"/>
      <c r="O212" s="107">
        <f t="shared" si="103"/>
        <v>788</v>
      </c>
      <c r="P212" s="54">
        <f t="shared" si="104"/>
        <v>0</v>
      </c>
      <c r="Q212" s="101" t="s">
        <v>437</v>
      </c>
      <c r="R212" s="166">
        <v>45679</v>
      </c>
      <c r="S212" s="101"/>
      <c r="T212" s="102">
        <f t="shared" si="110"/>
        <v>1.0944444444444446</v>
      </c>
      <c r="U212" s="102">
        <v>6</v>
      </c>
      <c r="V212" s="99">
        <v>120</v>
      </c>
      <c r="W212" s="55">
        <f t="shared" si="105"/>
        <v>45665</v>
      </c>
      <c r="X212" s="55"/>
      <c r="Y212" s="56">
        <f t="shared" ca="1" si="106"/>
        <v>-175</v>
      </c>
      <c r="Z212" s="55">
        <f t="shared" si="107"/>
        <v>45681</v>
      </c>
      <c r="AA212" s="55"/>
      <c r="AB212" s="56">
        <f t="shared" ca="1" si="108"/>
        <v>-159</v>
      </c>
      <c r="AC212" s="55"/>
      <c r="AD212" s="57"/>
      <c r="AE212" s="58" t="str">
        <f t="shared" si="111"/>
        <v>-</v>
      </c>
      <c r="AF212" s="59"/>
      <c r="AG212" s="58" t="str">
        <f t="shared" si="112"/>
        <v/>
      </c>
      <c r="AH212" s="59"/>
      <c r="AI212" s="58" t="str">
        <f t="shared" si="113"/>
        <v/>
      </c>
      <c r="AJ212" s="59"/>
      <c r="AK212" s="58" t="str">
        <f t="shared" si="114"/>
        <v/>
      </c>
      <c r="AL212" s="59"/>
      <c r="AM212" s="58" t="str">
        <f t="shared" si="115"/>
        <v/>
      </c>
      <c r="AN212" s="59"/>
      <c r="AO212" s="58" t="str">
        <f t="shared" si="116"/>
        <v/>
      </c>
      <c r="AP212" s="59"/>
      <c r="AQ212" s="58" t="str">
        <f t="shared" si="117"/>
        <v/>
      </c>
      <c r="AR212" s="59"/>
      <c r="AS212" s="58" t="str">
        <f t="shared" si="118"/>
        <v/>
      </c>
      <c r="AT212" s="59"/>
      <c r="AU212" s="58" t="str">
        <f t="shared" si="119"/>
        <v/>
      </c>
      <c r="AV212" s="59"/>
      <c r="AW212" s="58" t="str">
        <f t="shared" si="120"/>
        <v/>
      </c>
      <c r="AX212" s="59"/>
      <c r="AY212" s="58" t="str">
        <f t="shared" si="121"/>
        <v/>
      </c>
      <c r="AZ212" s="59"/>
      <c r="BA212" s="58" t="str">
        <f t="shared" si="122"/>
        <v/>
      </c>
      <c r="BB212" s="59"/>
      <c r="BC212" s="58" t="str">
        <f t="shared" si="123"/>
        <v/>
      </c>
      <c r="BD212" s="59"/>
      <c r="BE212" s="58">
        <f t="shared" si="124"/>
        <v>788</v>
      </c>
      <c r="BF212" s="59"/>
      <c r="BG212" s="58" t="str">
        <f t="shared" si="125"/>
        <v/>
      </c>
      <c r="BH212" s="59"/>
      <c r="BI212" s="58" t="str">
        <f t="shared" si="126"/>
        <v/>
      </c>
      <c r="BJ212" s="59"/>
      <c r="BK212" s="58" t="str">
        <f t="shared" si="127"/>
        <v/>
      </c>
      <c r="BL212" s="59"/>
      <c r="BM212" s="58" t="str">
        <f t="shared" si="128"/>
        <v/>
      </c>
      <c r="BN212" s="59"/>
      <c r="BO212" s="58" t="str">
        <f t="shared" si="129"/>
        <v/>
      </c>
      <c r="BP212" s="59"/>
      <c r="BQ212" s="58" t="str">
        <f t="shared" si="130"/>
        <v/>
      </c>
      <c r="BR212" s="59"/>
      <c r="BS212" s="58" t="str">
        <f t="shared" si="131"/>
        <v/>
      </c>
      <c r="BT212" s="59"/>
      <c r="BU212" s="58" t="str">
        <f t="shared" si="132"/>
        <v/>
      </c>
      <c r="BV212" s="59"/>
      <c r="BW212" s="58" t="str">
        <f t="shared" si="133"/>
        <v/>
      </c>
      <c r="BX212" s="59"/>
      <c r="BY212" s="58" t="str">
        <f t="shared" si="134"/>
        <v/>
      </c>
      <c r="BZ212" s="59"/>
    </row>
    <row r="213" spans="1:78" ht="14.5" hidden="1">
      <c r="A213" s="51" t="s">
        <v>58</v>
      </c>
      <c r="B213" s="52">
        <v>374</v>
      </c>
      <c r="C213" s="52" t="s">
        <v>188</v>
      </c>
      <c r="D213" s="41">
        <f t="shared" si="109"/>
        <v>5</v>
      </c>
      <c r="E213" s="170" t="s">
        <v>646</v>
      </c>
      <c r="F213" s="41" t="s">
        <v>631</v>
      </c>
      <c r="G213" s="52" t="s">
        <v>390</v>
      </c>
      <c r="H213" s="52" t="s">
        <v>242</v>
      </c>
      <c r="I213" s="52" t="s">
        <v>162</v>
      </c>
      <c r="J213" s="52" t="s">
        <v>430</v>
      </c>
      <c r="K213" s="53">
        <v>45684</v>
      </c>
      <c r="L213" s="108">
        <v>1842</v>
      </c>
      <c r="M213" s="101">
        <v>1842</v>
      </c>
      <c r="N213" s="101">
        <v>1842</v>
      </c>
      <c r="O213" s="107">
        <f t="shared" si="103"/>
        <v>0</v>
      </c>
      <c r="P213" s="54">
        <f t="shared" si="104"/>
        <v>0</v>
      </c>
      <c r="Q213" s="101" t="s">
        <v>431</v>
      </c>
      <c r="R213" s="101"/>
      <c r="S213" s="101"/>
      <c r="T213" s="102">
        <f t="shared" si="110"/>
        <v>2.5583333333333331</v>
      </c>
      <c r="U213" s="102">
        <v>6</v>
      </c>
      <c r="V213" s="99">
        <v>120</v>
      </c>
      <c r="W213" s="55">
        <f t="shared" si="105"/>
        <v>45664</v>
      </c>
      <c r="X213" s="55"/>
      <c r="Y213" s="56">
        <f t="shared" ca="1" si="106"/>
        <v>-176</v>
      </c>
      <c r="Z213" s="55">
        <f t="shared" si="107"/>
        <v>45680</v>
      </c>
      <c r="AA213" s="55"/>
      <c r="AB213" s="56">
        <f t="shared" ca="1" si="108"/>
        <v>-160</v>
      </c>
      <c r="AC213" s="55"/>
      <c r="AD213" s="57"/>
      <c r="AE213" s="58" t="str">
        <f t="shared" si="111"/>
        <v>-</v>
      </c>
      <c r="AF213" s="59"/>
      <c r="AG213" s="58" t="str">
        <f t="shared" si="112"/>
        <v/>
      </c>
      <c r="AH213" s="59"/>
      <c r="AI213" s="58" t="str">
        <f t="shared" si="113"/>
        <v/>
      </c>
      <c r="AJ213" s="59"/>
      <c r="AK213" s="58" t="str">
        <f t="shared" si="114"/>
        <v/>
      </c>
      <c r="AL213" s="59"/>
      <c r="AM213" s="58" t="str">
        <f t="shared" si="115"/>
        <v/>
      </c>
      <c r="AN213" s="59"/>
      <c r="AO213" s="58" t="str">
        <f t="shared" si="116"/>
        <v/>
      </c>
      <c r="AP213" s="59"/>
      <c r="AQ213" s="58" t="str">
        <f t="shared" si="117"/>
        <v/>
      </c>
      <c r="AR213" s="59"/>
      <c r="AS213" s="58" t="str">
        <f t="shared" si="118"/>
        <v/>
      </c>
      <c r="AT213" s="59"/>
      <c r="AU213" s="58" t="str">
        <f t="shared" si="119"/>
        <v/>
      </c>
      <c r="AV213" s="59"/>
      <c r="AW213" s="58" t="str">
        <f t="shared" si="120"/>
        <v/>
      </c>
      <c r="AX213" s="59"/>
      <c r="AY213" s="58" t="str">
        <f t="shared" si="121"/>
        <v/>
      </c>
      <c r="AZ213" s="59"/>
      <c r="BA213" s="58" t="str">
        <f t="shared" si="122"/>
        <v/>
      </c>
      <c r="BB213" s="59"/>
      <c r="BC213" s="58" t="str">
        <f t="shared" si="123"/>
        <v/>
      </c>
      <c r="BD213" s="59"/>
      <c r="BE213" s="58">
        <f t="shared" si="124"/>
        <v>1842</v>
      </c>
      <c r="BF213" s="59"/>
      <c r="BG213" s="58" t="str">
        <f t="shared" si="125"/>
        <v/>
      </c>
      <c r="BH213" s="59"/>
      <c r="BI213" s="58" t="str">
        <f t="shared" si="126"/>
        <v/>
      </c>
      <c r="BJ213" s="59"/>
      <c r="BK213" s="58" t="str">
        <f t="shared" si="127"/>
        <v/>
      </c>
      <c r="BL213" s="59"/>
      <c r="BM213" s="58" t="str">
        <f t="shared" si="128"/>
        <v/>
      </c>
      <c r="BN213" s="59"/>
      <c r="BO213" s="58" t="str">
        <f t="shared" si="129"/>
        <v/>
      </c>
      <c r="BP213" s="59"/>
      <c r="BQ213" s="58" t="str">
        <f t="shared" si="130"/>
        <v/>
      </c>
      <c r="BR213" s="59"/>
      <c r="BS213" s="58" t="str">
        <f t="shared" si="131"/>
        <v/>
      </c>
      <c r="BT213" s="59"/>
      <c r="BU213" s="58" t="str">
        <f t="shared" si="132"/>
        <v/>
      </c>
      <c r="BV213" s="59"/>
      <c r="BW213" s="58" t="str">
        <f t="shared" si="133"/>
        <v/>
      </c>
      <c r="BX213" s="59"/>
      <c r="BY213" s="58" t="str">
        <f t="shared" si="134"/>
        <v/>
      </c>
      <c r="BZ213" s="59"/>
    </row>
    <row r="214" spans="1:78" ht="14.5" hidden="1">
      <c r="A214" s="51" t="s">
        <v>58</v>
      </c>
      <c r="B214" s="52">
        <v>374</v>
      </c>
      <c r="C214" s="52" t="s">
        <v>188</v>
      </c>
      <c r="D214" s="41">
        <f t="shared" si="109"/>
        <v>5</v>
      </c>
      <c r="E214" s="170" t="s">
        <v>646</v>
      </c>
      <c r="F214" s="41" t="s">
        <v>631</v>
      </c>
      <c r="G214" s="52" t="s">
        <v>189</v>
      </c>
      <c r="H214" s="52" t="s">
        <v>242</v>
      </c>
      <c r="I214" s="52" t="s">
        <v>162</v>
      </c>
      <c r="J214" s="52" t="s">
        <v>432</v>
      </c>
      <c r="K214" s="53">
        <v>45684</v>
      </c>
      <c r="L214" s="108">
        <v>224</v>
      </c>
      <c r="M214" s="101">
        <v>0</v>
      </c>
      <c r="N214" s="101"/>
      <c r="O214" s="107">
        <f t="shared" si="103"/>
        <v>224</v>
      </c>
      <c r="P214" s="54">
        <f t="shared" si="104"/>
        <v>224</v>
      </c>
      <c r="Q214" s="101" t="s">
        <v>178</v>
      </c>
      <c r="R214" s="166">
        <v>45684</v>
      </c>
      <c r="S214" s="101" t="s">
        <v>642</v>
      </c>
      <c r="T214" s="102">
        <f t="shared" si="110"/>
        <v>0.31111111111111112</v>
      </c>
      <c r="U214" s="102">
        <v>6</v>
      </c>
      <c r="V214" s="99">
        <v>120</v>
      </c>
      <c r="W214" s="55">
        <f t="shared" si="105"/>
        <v>45664</v>
      </c>
      <c r="X214" s="55"/>
      <c r="Y214" s="56">
        <f t="shared" ca="1" si="106"/>
        <v>-176</v>
      </c>
      <c r="Z214" s="55">
        <f t="shared" si="107"/>
        <v>45680</v>
      </c>
      <c r="AA214" s="55"/>
      <c r="AB214" s="56">
        <f t="shared" ca="1" si="108"/>
        <v>-160</v>
      </c>
      <c r="AC214" s="55"/>
      <c r="AD214" s="57"/>
      <c r="AE214" s="58" t="str">
        <f t="shared" si="111"/>
        <v>-</v>
      </c>
      <c r="AF214" s="59"/>
      <c r="AG214" s="58" t="str">
        <f t="shared" si="112"/>
        <v/>
      </c>
      <c r="AH214" s="59"/>
      <c r="AI214" s="58" t="str">
        <f t="shared" si="113"/>
        <v/>
      </c>
      <c r="AJ214" s="59"/>
      <c r="AK214" s="58" t="str">
        <f t="shared" si="114"/>
        <v/>
      </c>
      <c r="AL214" s="59"/>
      <c r="AM214" s="58" t="str">
        <f t="shared" si="115"/>
        <v/>
      </c>
      <c r="AN214" s="59"/>
      <c r="AO214" s="58" t="str">
        <f t="shared" si="116"/>
        <v/>
      </c>
      <c r="AP214" s="59"/>
      <c r="AQ214" s="58" t="str">
        <f t="shared" si="117"/>
        <v/>
      </c>
      <c r="AR214" s="59"/>
      <c r="AS214" s="58" t="str">
        <f t="shared" si="118"/>
        <v/>
      </c>
      <c r="AT214" s="59"/>
      <c r="AU214" s="58" t="str">
        <f t="shared" si="119"/>
        <v/>
      </c>
      <c r="AV214" s="59"/>
      <c r="AW214" s="58" t="str">
        <f t="shared" si="120"/>
        <v/>
      </c>
      <c r="AX214" s="59"/>
      <c r="AY214" s="58" t="str">
        <f t="shared" si="121"/>
        <v/>
      </c>
      <c r="AZ214" s="59"/>
      <c r="BA214" s="58" t="str">
        <f t="shared" si="122"/>
        <v/>
      </c>
      <c r="BB214" s="59"/>
      <c r="BC214" s="58" t="str">
        <f t="shared" si="123"/>
        <v/>
      </c>
      <c r="BD214" s="59"/>
      <c r="BE214" s="58">
        <f t="shared" si="124"/>
        <v>224</v>
      </c>
      <c r="BF214" s="59"/>
      <c r="BG214" s="58" t="str">
        <f t="shared" si="125"/>
        <v/>
      </c>
      <c r="BH214" s="59"/>
      <c r="BI214" s="58" t="str">
        <f t="shared" si="126"/>
        <v/>
      </c>
      <c r="BJ214" s="59"/>
      <c r="BK214" s="58" t="str">
        <f t="shared" si="127"/>
        <v/>
      </c>
      <c r="BL214" s="59"/>
      <c r="BM214" s="58" t="str">
        <f t="shared" si="128"/>
        <v/>
      </c>
      <c r="BN214" s="59"/>
      <c r="BO214" s="58" t="str">
        <f t="shared" si="129"/>
        <v/>
      </c>
      <c r="BP214" s="59"/>
      <c r="BQ214" s="58" t="str">
        <f t="shared" si="130"/>
        <v/>
      </c>
      <c r="BR214" s="59"/>
      <c r="BS214" s="58" t="str">
        <f t="shared" si="131"/>
        <v/>
      </c>
      <c r="BT214" s="59"/>
      <c r="BU214" s="58" t="str">
        <f t="shared" si="132"/>
        <v/>
      </c>
      <c r="BV214" s="59"/>
      <c r="BW214" s="58" t="str">
        <f t="shared" si="133"/>
        <v/>
      </c>
      <c r="BX214" s="59"/>
      <c r="BY214" s="58" t="str">
        <f t="shared" si="134"/>
        <v/>
      </c>
      <c r="BZ214" s="59"/>
    </row>
    <row r="215" spans="1:78" ht="14.5" hidden="1">
      <c r="A215" s="51" t="s">
        <v>58</v>
      </c>
      <c r="B215" s="52">
        <v>374</v>
      </c>
      <c r="C215" s="52" t="s">
        <v>188</v>
      </c>
      <c r="D215" s="41">
        <f t="shared" si="109"/>
        <v>5</v>
      </c>
      <c r="E215" s="170" t="s">
        <v>646</v>
      </c>
      <c r="F215" s="41" t="s">
        <v>631</v>
      </c>
      <c r="G215" s="52" t="s">
        <v>391</v>
      </c>
      <c r="H215" s="52" t="s">
        <v>392</v>
      </c>
      <c r="I215" s="52" t="s">
        <v>393</v>
      </c>
      <c r="J215" s="52" t="s">
        <v>433</v>
      </c>
      <c r="K215" s="53">
        <v>45684</v>
      </c>
      <c r="L215" s="108">
        <v>894</v>
      </c>
      <c r="M215" s="101">
        <v>0</v>
      </c>
      <c r="N215" s="101"/>
      <c r="O215" s="107">
        <f t="shared" si="103"/>
        <v>894</v>
      </c>
      <c r="P215" s="54">
        <f t="shared" si="104"/>
        <v>894</v>
      </c>
      <c r="Q215" s="101" t="s">
        <v>669</v>
      </c>
      <c r="R215" s="101"/>
      <c r="S215" s="101"/>
      <c r="T215" s="102">
        <f t="shared" si="110"/>
        <v>1.8625</v>
      </c>
      <c r="U215" s="102">
        <v>6</v>
      </c>
      <c r="V215" s="99">
        <v>80</v>
      </c>
      <c r="W215" s="55">
        <f t="shared" si="105"/>
        <v>45664</v>
      </c>
      <c r="X215" s="55"/>
      <c r="Y215" s="56">
        <f t="shared" ca="1" si="106"/>
        <v>-176</v>
      </c>
      <c r="Z215" s="55">
        <f t="shared" si="107"/>
        <v>45680</v>
      </c>
      <c r="AA215" s="55"/>
      <c r="AB215" s="56">
        <f t="shared" ca="1" si="108"/>
        <v>-160</v>
      </c>
      <c r="AC215" s="55"/>
      <c r="AD215" s="57"/>
      <c r="AE215" s="58" t="str">
        <f t="shared" si="111"/>
        <v>-</v>
      </c>
      <c r="AF215" s="59"/>
      <c r="AG215" s="58" t="str">
        <f t="shared" si="112"/>
        <v/>
      </c>
      <c r="AH215" s="59"/>
      <c r="AI215" s="58" t="str">
        <f t="shared" si="113"/>
        <v/>
      </c>
      <c r="AJ215" s="59"/>
      <c r="AK215" s="58" t="str">
        <f t="shared" si="114"/>
        <v/>
      </c>
      <c r="AL215" s="59"/>
      <c r="AM215" s="58" t="str">
        <f t="shared" si="115"/>
        <v/>
      </c>
      <c r="AN215" s="59"/>
      <c r="AO215" s="58" t="str">
        <f t="shared" si="116"/>
        <v/>
      </c>
      <c r="AP215" s="59"/>
      <c r="AQ215" s="58" t="str">
        <f t="shared" si="117"/>
        <v/>
      </c>
      <c r="AR215" s="59"/>
      <c r="AS215" s="58" t="str">
        <f t="shared" si="118"/>
        <v/>
      </c>
      <c r="AT215" s="59"/>
      <c r="AU215" s="58" t="str">
        <f t="shared" si="119"/>
        <v/>
      </c>
      <c r="AV215" s="59"/>
      <c r="AW215" s="58" t="str">
        <f t="shared" si="120"/>
        <v/>
      </c>
      <c r="AX215" s="59"/>
      <c r="AY215" s="58" t="str">
        <f t="shared" si="121"/>
        <v/>
      </c>
      <c r="AZ215" s="59"/>
      <c r="BA215" s="58" t="str">
        <f t="shared" si="122"/>
        <v/>
      </c>
      <c r="BB215" s="59"/>
      <c r="BC215" s="58" t="str">
        <f t="shared" si="123"/>
        <v/>
      </c>
      <c r="BD215" s="59"/>
      <c r="BE215" s="58">
        <f t="shared" si="124"/>
        <v>894</v>
      </c>
      <c r="BF215" s="59"/>
      <c r="BG215" s="58" t="str">
        <f t="shared" si="125"/>
        <v/>
      </c>
      <c r="BH215" s="59"/>
      <c r="BI215" s="58" t="str">
        <f t="shared" si="126"/>
        <v/>
      </c>
      <c r="BJ215" s="59"/>
      <c r="BK215" s="58" t="str">
        <f t="shared" si="127"/>
        <v/>
      </c>
      <c r="BL215" s="59"/>
      <c r="BM215" s="58" t="str">
        <f t="shared" si="128"/>
        <v/>
      </c>
      <c r="BN215" s="59"/>
      <c r="BO215" s="58" t="str">
        <f t="shared" si="129"/>
        <v/>
      </c>
      <c r="BP215" s="59"/>
      <c r="BQ215" s="58" t="str">
        <f t="shared" si="130"/>
        <v/>
      </c>
      <c r="BR215" s="59"/>
      <c r="BS215" s="58" t="str">
        <f t="shared" si="131"/>
        <v/>
      </c>
      <c r="BT215" s="59"/>
      <c r="BU215" s="58" t="str">
        <f t="shared" si="132"/>
        <v/>
      </c>
      <c r="BV215" s="59"/>
      <c r="BW215" s="58" t="str">
        <f t="shared" si="133"/>
        <v/>
      </c>
      <c r="BX215" s="59"/>
      <c r="BY215" s="58" t="str">
        <f t="shared" si="134"/>
        <v/>
      </c>
      <c r="BZ215" s="59"/>
    </row>
    <row r="216" spans="1:78" ht="14.5" hidden="1">
      <c r="A216" s="51" t="s">
        <v>58</v>
      </c>
      <c r="B216" s="52">
        <v>374</v>
      </c>
      <c r="C216" s="52" t="s">
        <v>188</v>
      </c>
      <c r="D216" s="41">
        <f t="shared" si="109"/>
        <v>5</v>
      </c>
      <c r="E216" s="170">
        <v>45667</v>
      </c>
      <c r="F216" s="41" t="s">
        <v>631</v>
      </c>
      <c r="G216" s="52" t="s">
        <v>190</v>
      </c>
      <c r="H216" s="52" t="s">
        <v>242</v>
      </c>
      <c r="I216" s="52" t="s">
        <v>543</v>
      </c>
      <c r="J216" s="52" t="s">
        <v>453</v>
      </c>
      <c r="K216" s="53">
        <v>45684</v>
      </c>
      <c r="L216" s="108">
        <v>1804</v>
      </c>
      <c r="M216" s="101">
        <v>1804</v>
      </c>
      <c r="N216" s="101"/>
      <c r="O216" s="107">
        <f t="shared" si="103"/>
        <v>1804</v>
      </c>
      <c r="P216" s="54">
        <f t="shared" si="104"/>
        <v>0</v>
      </c>
      <c r="Q216" s="101" t="s">
        <v>439</v>
      </c>
      <c r="R216" s="101"/>
      <c r="S216" s="101"/>
      <c r="T216" s="102">
        <f t="shared" si="110"/>
        <v>2.5055555555555555</v>
      </c>
      <c r="U216" s="102">
        <v>6</v>
      </c>
      <c r="V216" s="99">
        <v>120</v>
      </c>
      <c r="W216" s="55">
        <f t="shared" si="105"/>
        <v>45664</v>
      </c>
      <c r="X216" s="55"/>
      <c r="Y216" s="56">
        <f t="shared" ca="1" si="106"/>
        <v>-176</v>
      </c>
      <c r="Z216" s="55">
        <f t="shared" si="107"/>
        <v>45680</v>
      </c>
      <c r="AA216" s="55"/>
      <c r="AB216" s="56">
        <f t="shared" ca="1" si="108"/>
        <v>-160</v>
      </c>
      <c r="AC216" s="55"/>
      <c r="AD216" s="57"/>
      <c r="AE216" s="58" t="str">
        <f t="shared" si="111"/>
        <v>-</v>
      </c>
      <c r="AF216" s="59"/>
      <c r="AG216" s="58" t="str">
        <f t="shared" si="112"/>
        <v/>
      </c>
      <c r="AH216" s="59"/>
      <c r="AI216" s="58" t="str">
        <f t="shared" si="113"/>
        <v/>
      </c>
      <c r="AJ216" s="59"/>
      <c r="AK216" s="58" t="str">
        <f t="shared" si="114"/>
        <v/>
      </c>
      <c r="AL216" s="59"/>
      <c r="AM216" s="58" t="str">
        <f t="shared" si="115"/>
        <v/>
      </c>
      <c r="AN216" s="59"/>
      <c r="AO216" s="58" t="str">
        <f t="shared" si="116"/>
        <v/>
      </c>
      <c r="AP216" s="59"/>
      <c r="AQ216" s="58" t="str">
        <f t="shared" si="117"/>
        <v/>
      </c>
      <c r="AR216" s="59"/>
      <c r="AS216" s="58" t="str">
        <f t="shared" si="118"/>
        <v/>
      </c>
      <c r="AT216" s="59"/>
      <c r="AU216" s="58" t="str">
        <f t="shared" si="119"/>
        <v/>
      </c>
      <c r="AV216" s="59"/>
      <c r="AW216" s="58" t="str">
        <f t="shared" si="120"/>
        <v/>
      </c>
      <c r="AX216" s="59"/>
      <c r="AY216" s="58" t="str">
        <f t="shared" si="121"/>
        <v/>
      </c>
      <c r="AZ216" s="59"/>
      <c r="BA216" s="58" t="str">
        <f t="shared" si="122"/>
        <v/>
      </c>
      <c r="BB216" s="59"/>
      <c r="BC216" s="58" t="str">
        <f t="shared" si="123"/>
        <v/>
      </c>
      <c r="BD216" s="59"/>
      <c r="BE216" s="58">
        <f t="shared" si="124"/>
        <v>1804</v>
      </c>
      <c r="BF216" s="59"/>
      <c r="BG216" s="58" t="str">
        <f t="shared" si="125"/>
        <v/>
      </c>
      <c r="BH216" s="59"/>
      <c r="BI216" s="58" t="str">
        <f t="shared" si="126"/>
        <v/>
      </c>
      <c r="BJ216" s="59"/>
      <c r="BK216" s="58" t="str">
        <f t="shared" si="127"/>
        <v/>
      </c>
      <c r="BL216" s="59"/>
      <c r="BM216" s="58" t="str">
        <f t="shared" si="128"/>
        <v/>
      </c>
      <c r="BN216" s="59"/>
      <c r="BO216" s="58" t="str">
        <f t="shared" si="129"/>
        <v/>
      </c>
      <c r="BP216" s="59"/>
      <c r="BQ216" s="58" t="str">
        <f t="shared" si="130"/>
        <v/>
      </c>
      <c r="BR216" s="59"/>
      <c r="BS216" s="58" t="str">
        <f t="shared" si="131"/>
        <v/>
      </c>
      <c r="BT216" s="59"/>
      <c r="BU216" s="58" t="str">
        <f t="shared" si="132"/>
        <v/>
      </c>
      <c r="BV216" s="59"/>
      <c r="BW216" s="58" t="str">
        <f t="shared" si="133"/>
        <v/>
      </c>
      <c r="BX216" s="59"/>
      <c r="BY216" s="58" t="str">
        <f t="shared" si="134"/>
        <v/>
      </c>
      <c r="BZ216" s="59"/>
    </row>
    <row r="217" spans="1:78" ht="14.5" hidden="1">
      <c r="A217" s="51" t="s">
        <v>58</v>
      </c>
      <c r="B217" s="52">
        <v>375</v>
      </c>
      <c r="C217" s="52" t="s">
        <v>188</v>
      </c>
      <c r="D217" s="41">
        <f t="shared" si="109"/>
        <v>5</v>
      </c>
      <c r="E217" s="170">
        <v>45664</v>
      </c>
      <c r="F217" s="41" t="s">
        <v>631</v>
      </c>
      <c r="G217" s="52" t="s">
        <v>81</v>
      </c>
      <c r="H217" s="52" t="s">
        <v>290</v>
      </c>
      <c r="I217" s="52" t="s">
        <v>291</v>
      </c>
      <c r="J217" s="52" t="s">
        <v>544</v>
      </c>
      <c r="K217" s="53">
        <v>45685</v>
      </c>
      <c r="L217" s="108">
        <v>3240</v>
      </c>
      <c r="M217" s="101">
        <v>3240</v>
      </c>
      <c r="N217" s="101">
        <v>3240</v>
      </c>
      <c r="O217" s="107">
        <f t="shared" si="103"/>
        <v>0</v>
      </c>
      <c r="P217" s="54">
        <f t="shared" si="104"/>
        <v>0</v>
      </c>
      <c r="Q217" s="101" t="s">
        <v>436</v>
      </c>
      <c r="R217" s="101"/>
      <c r="S217" s="101"/>
      <c r="T217" s="102">
        <f t="shared" si="110"/>
        <v>0.16666666666666666</v>
      </c>
      <c r="U217" s="102">
        <v>6</v>
      </c>
      <c r="V217" s="100">
        <v>3240</v>
      </c>
      <c r="W217" s="55">
        <f t="shared" si="105"/>
        <v>45665</v>
      </c>
      <c r="X217" s="55"/>
      <c r="Y217" s="56">
        <f t="shared" ca="1" si="106"/>
        <v>-175</v>
      </c>
      <c r="Z217" s="55">
        <f t="shared" si="107"/>
        <v>45681</v>
      </c>
      <c r="AA217" s="55"/>
      <c r="AB217" s="56">
        <f t="shared" ca="1" si="108"/>
        <v>-159</v>
      </c>
      <c r="AC217" s="55"/>
      <c r="AD217" s="57"/>
      <c r="AE217" s="58" t="str">
        <f t="shared" si="111"/>
        <v>-</v>
      </c>
      <c r="AF217" s="59"/>
      <c r="AG217" s="58" t="str">
        <f t="shared" si="112"/>
        <v/>
      </c>
      <c r="AH217" s="59"/>
      <c r="AI217" s="58" t="str">
        <f t="shared" si="113"/>
        <v/>
      </c>
      <c r="AJ217" s="59"/>
      <c r="AK217" s="58" t="str">
        <f t="shared" si="114"/>
        <v/>
      </c>
      <c r="AL217" s="59"/>
      <c r="AM217" s="58" t="str">
        <f t="shared" si="115"/>
        <v/>
      </c>
      <c r="AN217" s="59"/>
      <c r="AO217" s="58" t="str">
        <f t="shared" si="116"/>
        <v/>
      </c>
      <c r="AP217" s="59"/>
      <c r="AQ217" s="58" t="str">
        <f t="shared" si="117"/>
        <v/>
      </c>
      <c r="AR217" s="59"/>
      <c r="AS217" s="58" t="str">
        <f t="shared" si="118"/>
        <v/>
      </c>
      <c r="AT217" s="59"/>
      <c r="AU217" s="58" t="str">
        <f t="shared" si="119"/>
        <v/>
      </c>
      <c r="AV217" s="59"/>
      <c r="AW217" s="58" t="str">
        <f t="shared" si="120"/>
        <v/>
      </c>
      <c r="AX217" s="59"/>
      <c r="AY217" s="58" t="str">
        <f t="shared" si="121"/>
        <v/>
      </c>
      <c r="AZ217" s="59"/>
      <c r="BA217" s="58" t="str">
        <f t="shared" si="122"/>
        <v/>
      </c>
      <c r="BB217" s="59"/>
      <c r="BC217" s="58" t="str">
        <f t="shared" si="123"/>
        <v/>
      </c>
      <c r="BD217" s="59"/>
      <c r="BE217" s="58">
        <f t="shared" si="124"/>
        <v>3240</v>
      </c>
      <c r="BF217" s="59"/>
      <c r="BG217" s="58" t="str">
        <f t="shared" si="125"/>
        <v/>
      </c>
      <c r="BH217" s="59"/>
      <c r="BI217" s="58" t="str">
        <f t="shared" si="126"/>
        <v/>
      </c>
      <c r="BJ217" s="59"/>
      <c r="BK217" s="58" t="str">
        <f t="shared" si="127"/>
        <v/>
      </c>
      <c r="BL217" s="59"/>
      <c r="BM217" s="58" t="str">
        <f t="shared" si="128"/>
        <v/>
      </c>
      <c r="BN217" s="59"/>
      <c r="BO217" s="58" t="str">
        <f t="shared" si="129"/>
        <v/>
      </c>
      <c r="BP217" s="59"/>
      <c r="BQ217" s="58" t="str">
        <f t="shared" si="130"/>
        <v/>
      </c>
      <c r="BR217" s="59"/>
      <c r="BS217" s="58" t="str">
        <f t="shared" si="131"/>
        <v/>
      </c>
      <c r="BT217" s="59"/>
      <c r="BU217" s="58" t="str">
        <f t="shared" si="132"/>
        <v/>
      </c>
      <c r="BV217" s="59"/>
      <c r="BW217" s="58" t="str">
        <f t="shared" si="133"/>
        <v/>
      </c>
      <c r="BX217" s="59"/>
      <c r="BY217" s="58" t="str">
        <f t="shared" si="134"/>
        <v/>
      </c>
      <c r="BZ217" s="59"/>
    </row>
    <row r="218" spans="1:78" ht="14.5" hidden="1">
      <c r="A218" s="51" t="s">
        <v>58</v>
      </c>
      <c r="B218" s="52">
        <v>375</v>
      </c>
      <c r="C218" s="52" t="s">
        <v>188</v>
      </c>
      <c r="D218" s="41">
        <f t="shared" si="109"/>
        <v>5</v>
      </c>
      <c r="E218" s="170">
        <v>45664</v>
      </c>
      <c r="F218" s="41" t="s">
        <v>631</v>
      </c>
      <c r="G218" s="52" t="s">
        <v>81</v>
      </c>
      <c r="H218" s="52" t="s">
        <v>290</v>
      </c>
      <c r="I218" s="52" t="s">
        <v>293</v>
      </c>
      <c r="J218" s="52" t="s">
        <v>544</v>
      </c>
      <c r="K218" s="53">
        <v>45685</v>
      </c>
      <c r="L218" s="108">
        <v>3240</v>
      </c>
      <c r="M218" s="101">
        <v>3240</v>
      </c>
      <c r="N218" s="101">
        <v>3240</v>
      </c>
      <c r="O218" s="107">
        <f t="shared" si="103"/>
        <v>0</v>
      </c>
      <c r="P218" s="54">
        <f t="shared" si="104"/>
        <v>0</v>
      </c>
      <c r="Q218" s="101" t="s">
        <v>436</v>
      </c>
      <c r="R218" s="101"/>
      <c r="S218" s="101"/>
      <c r="T218" s="102">
        <f t="shared" si="110"/>
        <v>0.16666666666666666</v>
      </c>
      <c r="U218" s="102">
        <v>6</v>
      </c>
      <c r="V218" s="100">
        <v>3240</v>
      </c>
      <c r="W218" s="55">
        <f t="shared" si="105"/>
        <v>45665</v>
      </c>
      <c r="X218" s="55"/>
      <c r="Y218" s="56">
        <f t="shared" ca="1" si="106"/>
        <v>-175</v>
      </c>
      <c r="Z218" s="55">
        <f t="shared" si="107"/>
        <v>45681</v>
      </c>
      <c r="AA218" s="55"/>
      <c r="AB218" s="56">
        <f t="shared" ca="1" si="108"/>
        <v>-159</v>
      </c>
      <c r="AC218" s="55"/>
      <c r="AD218" s="57"/>
      <c r="AE218" s="58" t="str">
        <f t="shared" si="111"/>
        <v>-</v>
      </c>
      <c r="AF218" s="59"/>
      <c r="AG218" s="58" t="str">
        <f t="shared" si="112"/>
        <v/>
      </c>
      <c r="AH218" s="59"/>
      <c r="AI218" s="58" t="str">
        <f t="shared" si="113"/>
        <v/>
      </c>
      <c r="AJ218" s="59"/>
      <c r="AK218" s="58" t="str">
        <f t="shared" si="114"/>
        <v/>
      </c>
      <c r="AL218" s="59"/>
      <c r="AM218" s="58" t="str">
        <f t="shared" si="115"/>
        <v/>
      </c>
      <c r="AN218" s="59"/>
      <c r="AO218" s="58" t="str">
        <f t="shared" si="116"/>
        <v/>
      </c>
      <c r="AP218" s="59"/>
      <c r="AQ218" s="58" t="str">
        <f t="shared" si="117"/>
        <v/>
      </c>
      <c r="AR218" s="59"/>
      <c r="AS218" s="58" t="str">
        <f t="shared" si="118"/>
        <v/>
      </c>
      <c r="AT218" s="59"/>
      <c r="AU218" s="58" t="str">
        <f t="shared" si="119"/>
        <v/>
      </c>
      <c r="AV218" s="59"/>
      <c r="AW218" s="58" t="str">
        <f t="shared" si="120"/>
        <v/>
      </c>
      <c r="AX218" s="59"/>
      <c r="AY218" s="58" t="str">
        <f t="shared" si="121"/>
        <v/>
      </c>
      <c r="AZ218" s="59"/>
      <c r="BA218" s="58" t="str">
        <f t="shared" si="122"/>
        <v/>
      </c>
      <c r="BB218" s="59"/>
      <c r="BC218" s="58" t="str">
        <f t="shared" si="123"/>
        <v/>
      </c>
      <c r="BD218" s="59"/>
      <c r="BE218" s="58">
        <f t="shared" si="124"/>
        <v>3240</v>
      </c>
      <c r="BF218" s="59"/>
      <c r="BG218" s="58" t="str">
        <f t="shared" si="125"/>
        <v/>
      </c>
      <c r="BH218" s="59"/>
      <c r="BI218" s="58" t="str">
        <f t="shared" si="126"/>
        <v/>
      </c>
      <c r="BJ218" s="59"/>
      <c r="BK218" s="58" t="str">
        <f t="shared" si="127"/>
        <v/>
      </c>
      <c r="BL218" s="59"/>
      <c r="BM218" s="58" t="str">
        <f t="shared" si="128"/>
        <v/>
      </c>
      <c r="BN218" s="59"/>
      <c r="BO218" s="58" t="str">
        <f t="shared" si="129"/>
        <v/>
      </c>
      <c r="BP218" s="59"/>
      <c r="BQ218" s="58" t="str">
        <f t="shared" si="130"/>
        <v/>
      </c>
      <c r="BR218" s="59"/>
      <c r="BS218" s="58" t="str">
        <f t="shared" si="131"/>
        <v/>
      </c>
      <c r="BT218" s="59"/>
      <c r="BU218" s="58" t="str">
        <f t="shared" si="132"/>
        <v/>
      </c>
      <c r="BV218" s="59"/>
      <c r="BW218" s="58" t="str">
        <f t="shared" si="133"/>
        <v/>
      </c>
      <c r="BX218" s="59"/>
      <c r="BY218" s="58" t="str">
        <f t="shared" si="134"/>
        <v/>
      </c>
      <c r="BZ218" s="59"/>
    </row>
    <row r="219" spans="1:78" ht="14.5" hidden="1">
      <c r="A219" s="51" t="s">
        <v>58</v>
      </c>
      <c r="B219" s="52">
        <v>375</v>
      </c>
      <c r="C219" s="52" t="s">
        <v>188</v>
      </c>
      <c r="D219" s="41">
        <f t="shared" si="109"/>
        <v>5</v>
      </c>
      <c r="E219" s="170">
        <v>45664</v>
      </c>
      <c r="F219" s="41" t="s">
        <v>631</v>
      </c>
      <c r="G219" s="52" t="s">
        <v>81</v>
      </c>
      <c r="H219" s="52" t="s">
        <v>290</v>
      </c>
      <c r="I219" s="52" t="s">
        <v>294</v>
      </c>
      <c r="J219" s="52" t="s">
        <v>544</v>
      </c>
      <c r="K219" s="53">
        <v>45685</v>
      </c>
      <c r="L219" s="108">
        <v>3240</v>
      </c>
      <c r="M219" s="101">
        <v>3240</v>
      </c>
      <c r="N219" s="101">
        <v>3240</v>
      </c>
      <c r="O219" s="107">
        <f t="shared" si="103"/>
        <v>0</v>
      </c>
      <c r="P219" s="54">
        <f t="shared" si="104"/>
        <v>0</v>
      </c>
      <c r="Q219" s="101" t="s">
        <v>436</v>
      </c>
      <c r="R219" s="101"/>
      <c r="S219" s="101"/>
      <c r="T219" s="102">
        <f t="shared" si="110"/>
        <v>0.16666666666666666</v>
      </c>
      <c r="U219" s="102">
        <v>6</v>
      </c>
      <c r="V219" s="100">
        <v>3240</v>
      </c>
      <c r="W219" s="55">
        <f t="shared" si="105"/>
        <v>45665</v>
      </c>
      <c r="X219" s="55"/>
      <c r="Y219" s="56">
        <f t="shared" ca="1" si="106"/>
        <v>-175</v>
      </c>
      <c r="Z219" s="55">
        <f t="shared" si="107"/>
        <v>45681</v>
      </c>
      <c r="AA219" s="55"/>
      <c r="AB219" s="56">
        <f t="shared" ca="1" si="108"/>
        <v>-159</v>
      </c>
      <c r="AC219" s="55"/>
      <c r="AD219" s="57"/>
      <c r="AE219" s="58" t="str">
        <f t="shared" si="111"/>
        <v>-</v>
      </c>
      <c r="AF219" s="59"/>
      <c r="AG219" s="58" t="str">
        <f t="shared" si="112"/>
        <v/>
      </c>
      <c r="AH219" s="59"/>
      <c r="AI219" s="58" t="str">
        <f t="shared" si="113"/>
        <v/>
      </c>
      <c r="AJ219" s="59"/>
      <c r="AK219" s="58" t="str">
        <f t="shared" si="114"/>
        <v/>
      </c>
      <c r="AL219" s="59"/>
      <c r="AM219" s="58" t="str">
        <f t="shared" si="115"/>
        <v/>
      </c>
      <c r="AN219" s="59"/>
      <c r="AO219" s="58" t="str">
        <f t="shared" si="116"/>
        <v/>
      </c>
      <c r="AP219" s="59"/>
      <c r="AQ219" s="58" t="str">
        <f t="shared" si="117"/>
        <v/>
      </c>
      <c r="AR219" s="59"/>
      <c r="AS219" s="58" t="str">
        <f t="shared" si="118"/>
        <v/>
      </c>
      <c r="AT219" s="59"/>
      <c r="AU219" s="58" t="str">
        <f t="shared" si="119"/>
        <v/>
      </c>
      <c r="AV219" s="59"/>
      <c r="AW219" s="58" t="str">
        <f t="shared" si="120"/>
        <v/>
      </c>
      <c r="AX219" s="59"/>
      <c r="AY219" s="58" t="str">
        <f t="shared" si="121"/>
        <v/>
      </c>
      <c r="AZ219" s="59"/>
      <c r="BA219" s="58" t="str">
        <f t="shared" si="122"/>
        <v/>
      </c>
      <c r="BB219" s="59"/>
      <c r="BC219" s="58" t="str">
        <f t="shared" si="123"/>
        <v/>
      </c>
      <c r="BD219" s="59"/>
      <c r="BE219" s="58">
        <f t="shared" si="124"/>
        <v>3240</v>
      </c>
      <c r="BF219" s="59"/>
      <c r="BG219" s="58" t="str">
        <f t="shared" si="125"/>
        <v/>
      </c>
      <c r="BH219" s="59"/>
      <c r="BI219" s="58" t="str">
        <f t="shared" si="126"/>
        <v/>
      </c>
      <c r="BJ219" s="59"/>
      <c r="BK219" s="58" t="str">
        <f t="shared" si="127"/>
        <v/>
      </c>
      <c r="BL219" s="59"/>
      <c r="BM219" s="58" t="str">
        <f t="shared" si="128"/>
        <v/>
      </c>
      <c r="BN219" s="59"/>
      <c r="BO219" s="58" t="str">
        <f t="shared" si="129"/>
        <v/>
      </c>
      <c r="BP219" s="59"/>
      <c r="BQ219" s="58" t="str">
        <f t="shared" si="130"/>
        <v/>
      </c>
      <c r="BR219" s="59"/>
      <c r="BS219" s="58" t="str">
        <f t="shared" si="131"/>
        <v/>
      </c>
      <c r="BT219" s="59"/>
      <c r="BU219" s="58" t="str">
        <f t="shared" si="132"/>
        <v/>
      </c>
      <c r="BV219" s="59"/>
      <c r="BW219" s="58" t="str">
        <f t="shared" si="133"/>
        <v/>
      </c>
      <c r="BX219" s="59"/>
      <c r="BY219" s="58" t="str">
        <f t="shared" si="134"/>
        <v/>
      </c>
      <c r="BZ219" s="59"/>
    </row>
    <row r="220" spans="1:78" ht="14.5" hidden="1">
      <c r="A220" s="51" t="s">
        <v>58</v>
      </c>
      <c r="B220" s="52">
        <v>375</v>
      </c>
      <c r="C220" s="52" t="s">
        <v>188</v>
      </c>
      <c r="D220" s="41">
        <f t="shared" si="109"/>
        <v>5</v>
      </c>
      <c r="E220" s="170" t="s">
        <v>631</v>
      </c>
      <c r="F220" s="41" t="s">
        <v>631</v>
      </c>
      <c r="G220" s="52" t="s">
        <v>545</v>
      </c>
      <c r="H220" s="52" t="s">
        <v>242</v>
      </c>
      <c r="I220" s="52" t="s">
        <v>162</v>
      </c>
      <c r="J220" s="52" t="s">
        <v>430</v>
      </c>
      <c r="K220" s="53">
        <v>45685</v>
      </c>
      <c r="L220" s="108">
        <v>498</v>
      </c>
      <c r="M220" s="101"/>
      <c r="N220" s="101"/>
      <c r="O220" s="107">
        <f t="shared" si="103"/>
        <v>498</v>
      </c>
      <c r="P220" s="54">
        <f t="shared" si="104"/>
        <v>498</v>
      </c>
      <c r="Q220" s="101" t="s">
        <v>431</v>
      </c>
      <c r="R220" s="101"/>
      <c r="S220" s="101"/>
      <c r="T220" s="102">
        <f t="shared" si="110"/>
        <v>0.69166666666666665</v>
      </c>
      <c r="U220" s="102">
        <v>6</v>
      </c>
      <c r="V220" s="99">
        <v>120</v>
      </c>
      <c r="W220" s="55">
        <f t="shared" si="105"/>
        <v>45665</v>
      </c>
      <c r="X220" s="55"/>
      <c r="Y220" s="56">
        <f t="shared" ca="1" si="106"/>
        <v>-175</v>
      </c>
      <c r="Z220" s="55">
        <f t="shared" si="107"/>
        <v>45681</v>
      </c>
      <c r="AA220" s="55"/>
      <c r="AB220" s="56">
        <f t="shared" ca="1" si="108"/>
        <v>-159</v>
      </c>
      <c r="AC220" s="55"/>
      <c r="AD220" s="57"/>
      <c r="AE220" s="58" t="str">
        <f t="shared" si="111"/>
        <v>-</v>
      </c>
      <c r="AF220" s="59"/>
      <c r="AG220" s="58" t="str">
        <f t="shared" si="112"/>
        <v/>
      </c>
      <c r="AH220" s="59"/>
      <c r="AI220" s="58" t="str">
        <f t="shared" si="113"/>
        <v/>
      </c>
      <c r="AJ220" s="59"/>
      <c r="AK220" s="58" t="str">
        <f t="shared" si="114"/>
        <v/>
      </c>
      <c r="AL220" s="59"/>
      <c r="AM220" s="58" t="str">
        <f t="shared" si="115"/>
        <v/>
      </c>
      <c r="AN220" s="59"/>
      <c r="AO220" s="58" t="str">
        <f t="shared" si="116"/>
        <v/>
      </c>
      <c r="AP220" s="59"/>
      <c r="AQ220" s="58" t="str">
        <f t="shared" si="117"/>
        <v/>
      </c>
      <c r="AR220" s="59"/>
      <c r="AS220" s="58" t="str">
        <f t="shared" si="118"/>
        <v/>
      </c>
      <c r="AT220" s="59"/>
      <c r="AU220" s="58" t="str">
        <f t="shared" si="119"/>
        <v/>
      </c>
      <c r="AV220" s="59"/>
      <c r="AW220" s="58" t="str">
        <f t="shared" si="120"/>
        <v/>
      </c>
      <c r="AX220" s="59"/>
      <c r="AY220" s="58" t="str">
        <f t="shared" si="121"/>
        <v/>
      </c>
      <c r="AZ220" s="59"/>
      <c r="BA220" s="58" t="str">
        <f t="shared" si="122"/>
        <v/>
      </c>
      <c r="BB220" s="59"/>
      <c r="BC220" s="58" t="str">
        <f t="shared" si="123"/>
        <v/>
      </c>
      <c r="BD220" s="59"/>
      <c r="BE220" s="58">
        <f t="shared" si="124"/>
        <v>498</v>
      </c>
      <c r="BF220" s="59"/>
      <c r="BG220" s="58" t="str">
        <f t="shared" si="125"/>
        <v/>
      </c>
      <c r="BH220" s="59"/>
      <c r="BI220" s="58" t="str">
        <f t="shared" si="126"/>
        <v/>
      </c>
      <c r="BJ220" s="59"/>
      <c r="BK220" s="58" t="str">
        <f t="shared" si="127"/>
        <v/>
      </c>
      <c r="BL220" s="59"/>
      <c r="BM220" s="58" t="str">
        <f t="shared" si="128"/>
        <v/>
      </c>
      <c r="BN220" s="59"/>
      <c r="BO220" s="58" t="str">
        <f t="shared" si="129"/>
        <v/>
      </c>
      <c r="BP220" s="59"/>
      <c r="BQ220" s="58" t="str">
        <f t="shared" si="130"/>
        <v/>
      </c>
      <c r="BR220" s="59"/>
      <c r="BS220" s="58" t="str">
        <f t="shared" si="131"/>
        <v/>
      </c>
      <c r="BT220" s="59"/>
      <c r="BU220" s="58" t="str">
        <f t="shared" si="132"/>
        <v/>
      </c>
      <c r="BV220" s="59"/>
      <c r="BW220" s="58" t="str">
        <f t="shared" si="133"/>
        <v/>
      </c>
      <c r="BX220" s="59"/>
      <c r="BY220" s="58" t="str">
        <f t="shared" si="134"/>
        <v/>
      </c>
      <c r="BZ220" s="59"/>
    </row>
    <row r="221" spans="1:78" ht="14.5" hidden="1">
      <c r="A221" s="51" t="s">
        <v>58</v>
      </c>
      <c r="B221" s="52">
        <v>375</v>
      </c>
      <c r="C221" s="52" t="s">
        <v>188</v>
      </c>
      <c r="D221" s="41">
        <f t="shared" si="109"/>
        <v>5</v>
      </c>
      <c r="E221" s="170">
        <v>45677</v>
      </c>
      <c r="F221" s="41" t="s">
        <v>631</v>
      </c>
      <c r="G221" s="52" t="s">
        <v>193</v>
      </c>
      <c r="H221" s="52" t="s">
        <v>300</v>
      </c>
      <c r="I221" s="52" t="s">
        <v>162</v>
      </c>
      <c r="J221" s="52" t="s">
        <v>440</v>
      </c>
      <c r="K221" s="53">
        <v>45685</v>
      </c>
      <c r="L221" s="108">
        <v>1980</v>
      </c>
      <c r="M221" s="101"/>
      <c r="N221" s="101"/>
      <c r="O221" s="107">
        <f t="shared" si="103"/>
        <v>1980</v>
      </c>
      <c r="P221" s="54">
        <f t="shared" si="104"/>
        <v>1980</v>
      </c>
      <c r="Q221" s="101" t="s">
        <v>178</v>
      </c>
      <c r="R221" s="101"/>
      <c r="S221" s="101"/>
      <c r="T221" s="102">
        <f t="shared" si="110"/>
        <v>2.75</v>
      </c>
      <c r="U221" s="102">
        <v>6</v>
      </c>
      <c r="V221" s="99">
        <v>120</v>
      </c>
      <c r="W221" s="55">
        <f t="shared" si="105"/>
        <v>45665</v>
      </c>
      <c r="X221" s="55"/>
      <c r="Y221" s="56">
        <f t="shared" ca="1" si="106"/>
        <v>-175</v>
      </c>
      <c r="Z221" s="55">
        <f t="shared" si="107"/>
        <v>45681</v>
      </c>
      <c r="AA221" s="55"/>
      <c r="AB221" s="56">
        <f t="shared" ca="1" si="108"/>
        <v>-159</v>
      </c>
      <c r="AC221" s="55"/>
      <c r="AD221" s="57"/>
      <c r="AE221" s="58" t="str">
        <f t="shared" si="111"/>
        <v>-</v>
      </c>
      <c r="AF221" s="59"/>
      <c r="AG221" s="58" t="str">
        <f t="shared" si="112"/>
        <v/>
      </c>
      <c r="AH221" s="59"/>
      <c r="AI221" s="58" t="str">
        <f t="shared" si="113"/>
        <v/>
      </c>
      <c r="AJ221" s="59"/>
      <c r="AK221" s="58" t="str">
        <f t="shared" si="114"/>
        <v/>
      </c>
      <c r="AL221" s="59"/>
      <c r="AM221" s="58" t="str">
        <f t="shared" si="115"/>
        <v/>
      </c>
      <c r="AN221" s="59"/>
      <c r="AO221" s="58" t="str">
        <f t="shared" si="116"/>
        <v/>
      </c>
      <c r="AP221" s="59"/>
      <c r="AQ221" s="58" t="str">
        <f t="shared" si="117"/>
        <v/>
      </c>
      <c r="AR221" s="59"/>
      <c r="AS221" s="58" t="str">
        <f t="shared" si="118"/>
        <v/>
      </c>
      <c r="AT221" s="59"/>
      <c r="AU221" s="58" t="str">
        <f t="shared" si="119"/>
        <v/>
      </c>
      <c r="AV221" s="59"/>
      <c r="AW221" s="58" t="str">
        <f t="shared" si="120"/>
        <v/>
      </c>
      <c r="AX221" s="59"/>
      <c r="AY221" s="58" t="str">
        <f t="shared" si="121"/>
        <v/>
      </c>
      <c r="AZ221" s="59"/>
      <c r="BA221" s="58" t="str">
        <f t="shared" si="122"/>
        <v/>
      </c>
      <c r="BB221" s="59"/>
      <c r="BC221" s="58" t="str">
        <f t="shared" si="123"/>
        <v/>
      </c>
      <c r="BD221" s="59"/>
      <c r="BE221" s="58">
        <f t="shared" si="124"/>
        <v>1980</v>
      </c>
      <c r="BF221" s="59"/>
      <c r="BG221" s="58" t="str">
        <f t="shared" si="125"/>
        <v/>
      </c>
      <c r="BH221" s="59"/>
      <c r="BI221" s="58" t="str">
        <f t="shared" si="126"/>
        <v/>
      </c>
      <c r="BJ221" s="59"/>
      <c r="BK221" s="58" t="str">
        <f t="shared" si="127"/>
        <v/>
      </c>
      <c r="BL221" s="59"/>
      <c r="BM221" s="58" t="str">
        <f t="shared" si="128"/>
        <v/>
      </c>
      <c r="BN221" s="59"/>
      <c r="BO221" s="58" t="str">
        <f t="shared" si="129"/>
        <v/>
      </c>
      <c r="BP221" s="59"/>
      <c r="BQ221" s="58" t="str">
        <f t="shared" si="130"/>
        <v/>
      </c>
      <c r="BR221" s="59"/>
      <c r="BS221" s="58" t="str">
        <f t="shared" si="131"/>
        <v/>
      </c>
      <c r="BT221" s="59"/>
      <c r="BU221" s="58" t="str">
        <f t="shared" si="132"/>
        <v/>
      </c>
      <c r="BV221" s="59"/>
      <c r="BW221" s="58" t="str">
        <f t="shared" si="133"/>
        <v/>
      </c>
      <c r="BX221" s="59"/>
      <c r="BY221" s="58" t="str">
        <f t="shared" si="134"/>
        <v/>
      </c>
      <c r="BZ221" s="59"/>
    </row>
    <row r="222" spans="1:78" ht="14.5" hidden="1">
      <c r="A222" s="51" t="s">
        <v>58</v>
      </c>
      <c r="B222" s="52">
        <v>375</v>
      </c>
      <c r="C222" s="52" t="s">
        <v>188</v>
      </c>
      <c r="D222" s="41">
        <f t="shared" si="109"/>
        <v>5</v>
      </c>
      <c r="E222" s="170" t="s">
        <v>631</v>
      </c>
      <c r="F222" s="41" t="s">
        <v>631</v>
      </c>
      <c r="G222" s="52" t="s">
        <v>195</v>
      </c>
      <c r="H222" s="52" t="s">
        <v>454</v>
      </c>
      <c r="I222" s="52" t="s">
        <v>162</v>
      </c>
      <c r="J222" s="52" t="s">
        <v>455</v>
      </c>
      <c r="K222" s="53">
        <v>45685</v>
      </c>
      <c r="L222" s="108">
        <v>2280</v>
      </c>
      <c r="M222" s="101">
        <v>2280</v>
      </c>
      <c r="N222" s="101"/>
      <c r="O222" s="107">
        <f t="shared" si="103"/>
        <v>2280</v>
      </c>
      <c r="P222" s="54">
        <f t="shared" si="104"/>
        <v>0</v>
      </c>
      <c r="Q222" s="101" t="s">
        <v>677</v>
      </c>
      <c r="R222" s="101"/>
      <c r="S222" s="101"/>
      <c r="T222" s="102">
        <f t="shared" si="110"/>
        <v>3.1666666666666665</v>
      </c>
      <c r="U222" s="102">
        <v>6</v>
      </c>
      <c r="V222" s="99">
        <v>120</v>
      </c>
      <c r="W222" s="55">
        <f t="shared" si="105"/>
        <v>45665</v>
      </c>
      <c r="X222" s="55"/>
      <c r="Y222" s="56">
        <f t="shared" ca="1" si="106"/>
        <v>-175</v>
      </c>
      <c r="Z222" s="55">
        <f t="shared" si="107"/>
        <v>45681</v>
      </c>
      <c r="AA222" s="55"/>
      <c r="AB222" s="56">
        <f t="shared" ca="1" si="108"/>
        <v>-159</v>
      </c>
      <c r="AC222" s="55"/>
      <c r="AD222" s="57"/>
      <c r="AE222" s="58" t="str">
        <f t="shared" si="111"/>
        <v>-</v>
      </c>
      <c r="AF222" s="59"/>
      <c r="AG222" s="58" t="str">
        <f t="shared" si="112"/>
        <v/>
      </c>
      <c r="AH222" s="59"/>
      <c r="AI222" s="58" t="str">
        <f t="shared" si="113"/>
        <v/>
      </c>
      <c r="AJ222" s="59"/>
      <c r="AK222" s="58" t="str">
        <f t="shared" si="114"/>
        <v/>
      </c>
      <c r="AL222" s="59"/>
      <c r="AM222" s="58" t="str">
        <f t="shared" si="115"/>
        <v/>
      </c>
      <c r="AN222" s="59"/>
      <c r="AO222" s="58" t="str">
        <f t="shared" si="116"/>
        <v/>
      </c>
      <c r="AP222" s="59"/>
      <c r="AQ222" s="58" t="str">
        <f t="shared" si="117"/>
        <v/>
      </c>
      <c r="AR222" s="59"/>
      <c r="AS222" s="58" t="str">
        <f t="shared" si="118"/>
        <v/>
      </c>
      <c r="AT222" s="59"/>
      <c r="AU222" s="58" t="str">
        <f t="shared" si="119"/>
        <v/>
      </c>
      <c r="AV222" s="59"/>
      <c r="AW222" s="58" t="str">
        <f t="shared" si="120"/>
        <v/>
      </c>
      <c r="AX222" s="59"/>
      <c r="AY222" s="58" t="str">
        <f t="shared" si="121"/>
        <v/>
      </c>
      <c r="AZ222" s="59"/>
      <c r="BA222" s="58" t="str">
        <f t="shared" si="122"/>
        <v/>
      </c>
      <c r="BB222" s="59"/>
      <c r="BC222" s="58" t="str">
        <f t="shared" si="123"/>
        <v/>
      </c>
      <c r="BD222" s="59"/>
      <c r="BE222" s="58">
        <f t="shared" si="124"/>
        <v>2280</v>
      </c>
      <c r="BF222" s="59"/>
      <c r="BG222" s="58" t="str">
        <f t="shared" si="125"/>
        <v/>
      </c>
      <c r="BH222" s="59"/>
      <c r="BI222" s="58" t="str">
        <f t="shared" si="126"/>
        <v/>
      </c>
      <c r="BJ222" s="59"/>
      <c r="BK222" s="58" t="str">
        <f t="shared" si="127"/>
        <v/>
      </c>
      <c r="BL222" s="59"/>
      <c r="BM222" s="58" t="str">
        <f t="shared" si="128"/>
        <v/>
      </c>
      <c r="BN222" s="59"/>
      <c r="BO222" s="58" t="str">
        <f t="shared" si="129"/>
        <v/>
      </c>
      <c r="BP222" s="59"/>
      <c r="BQ222" s="58" t="str">
        <f t="shared" si="130"/>
        <v/>
      </c>
      <c r="BR222" s="59"/>
      <c r="BS222" s="58" t="str">
        <f t="shared" si="131"/>
        <v/>
      </c>
      <c r="BT222" s="59"/>
      <c r="BU222" s="58" t="str">
        <f t="shared" si="132"/>
        <v/>
      </c>
      <c r="BV222" s="59"/>
      <c r="BW222" s="58" t="str">
        <f t="shared" si="133"/>
        <v/>
      </c>
      <c r="BX222" s="59"/>
      <c r="BY222" s="58" t="str">
        <f t="shared" si="134"/>
        <v/>
      </c>
      <c r="BZ222" s="59"/>
    </row>
    <row r="223" spans="1:78" ht="14.5" hidden="1">
      <c r="A223" s="51" t="s">
        <v>58</v>
      </c>
      <c r="B223" s="52">
        <v>375</v>
      </c>
      <c r="C223" s="52" t="s">
        <v>188</v>
      </c>
      <c r="D223" s="41">
        <f t="shared" si="109"/>
        <v>5</v>
      </c>
      <c r="E223" s="170" t="s">
        <v>631</v>
      </c>
      <c r="F223" s="41" t="s">
        <v>631</v>
      </c>
      <c r="G223" s="52" t="s">
        <v>546</v>
      </c>
      <c r="H223" s="52" t="s">
        <v>468</v>
      </c>
      <c r="I223" s="52" t="s">
        <v>547</v>
      </c>
      <c r="J223" s="52" t="s">
        <v>548</v>
      </c>
      <c r="K223" s="53">
        <v>45685</v>
      </c>
      <c r="L223" s="108">
        <v>1696</v>
      </c>
      <c r="M223" s="101"/>
      <c r="N223" s="101"/>
      <c r="O223" s="107">
        <f t="shared" si="103"/>
        <v>1696</v>
      </c>
      <c r="P223" s="54">
        <f t="shared" si="104"/>
        <v>1696</v>
      </c>
      <c r="Q223" s="101" t="s">
        <v>178</v>
      </c>
      <c r="R223" s="101"/>
      <c r="S223" s="101"/>
      <c r="T223" s="102">
        <f t="shared" si="110"/>
        <v>2.3555555555555556</v>
      </c>
      <c r="U223" s="102">
        <v>6</v>
      </c>
      <c r="V223" s="99">
        <v>120</v>
      </c>
      <c r="W223" s="55">
        <f t="shared" si="105"/>
        <v>45665</v>
      </c>
      <c r="X223" s="55"/>
      <c r="Y223" s="56">
        <f t="shared" ca="1" si="106"/>
        <v>-175</v>
      </c>
      <c r="Z223" s="55">
        <f t="shared" si="107"/>
        <v>45681</v>
      </c>
      <c r="AA223" s="55"/>
      <c r="AB223" s="56">
        <f t="shared" ca="1" si="108"/>
        <v>-159</v>
      </c>
      <c r="AC223" s="55"/>
      <c r="AD223" s="57"/>
      <c r="AE223" s="58" t="str">
        <f t="shared" si="111"/>
        <v>-</v>
      </c>
      <c r="AF223" s="59"/>
      <c r="AG223" s="58" t="str">
        <f t="shared" si="112"/>
        <v/>
      </c>
      <c r="AH223" s="59"/>
      <c r="AI223" s="58" t="str">
        <f t="shared" si="113"/>
        <v/>
      </c>
      <c r="AJ223" s="59"/>
      <c r="AK223" s="58" t="str">
        <f t="shared" si="114"/>
        <v/>
      </c>
      <c r="AL223" s="59"/>
      <c r="AM223" s="58" t="str">
        <f t="shared" si="115"/>
        <v/>
      </c>
      <c r="AN223" s="59"/>
      <c r="AO223" s="58" t="str">
        <f t="shared" si="116"/>
        <v/>
      </c>
      <c r="AP223" s="59"/>
      <c r="AQ223" s="58" t="str">
        <f t="shared" si="117"/>
        <v/>
      </c>
      <c r="AR223" s="59"/>
      <c r="AS223" s="58" t="str">
        <f t="shared" si="118"/>
        <v/>
      </c>
      <c r="AT223" s="59"/>
      <c r="AU223" s="58" t="str">
        <f t="shared" si="119"/>
        <v/>
      </c>
      <c r="AV223" s="59"/>
      <c r="AW223" s="58" t="str">
        <f t="shared" si="120"/>
        <v/>
      </c>
      <c r="AX223" s="59"/>
      <c r="AY223" s="58" t="str">
        <f t="shared" si="121"/>
        <v/>
      </c>
      <c r="AZ223" s="59"/>
      <c r="BA223" s="58" t="str">
        <f t="shared" si="122"/>
        <v/>
      </c>
      <c r="BB223" s="59"/>
      <c r="BC223" s="58" t="str">
        <f t="shared" si="123"/>
        <v/>
      </c>
      <c r="BD223" s="59"/>
      <c r="BE223" s="58">
        <f t="shared" si="124"/>
        <v>1696</v>
      </c>
      <c r="BF223" s="59"/>
      <c r="BG223" s="58" t="str">
        <f t="shared" si="125"/>
        <v/>
      </c>
      <c r="BH223" s="59"/>
      <c r="BI223" s="58" t="str">
        <f t="shared" si="126"/>
        <v/>
      </c>
      <c r="BJ223" s="59"/>
      <c r="BK223" s="58" t="str">
        <f t="shared" si="127"/>
        <v/>
      </c>
      <c r="BL223" s="59"/>
      <c r="BM223" s="58" t="str">
        <f t="shared" si="128"/>
        <v/>
      </c>
      <c r="BN223" s="59"/>
      <c r="BO223" s="58" t="str">
        <f t="shared" si="129"/>
        <v/>
      </c>
      <c r="BP223" s="59"/>
      <c r="BQ223" s="58" t="str">
        <f t="shared" si="130"/>
        <v/>
      </c>
      <c r="BR223" s="59"/>
      <c r="BS223" s="58" t="str">
        <f t="shared" si="131"/>
        <v/>
      </c>
      <c r="BT223" s="59"/>
      <c r="BU223" s="58" t="str">
        <f t="shared" si="132"/>
        <v/>
      </c>
      <c r="BV223" s="59"/>
      <c r="BW223" s="58" t="str">
        <f t="shared" si="133"/>
        <v/>
      </c>
      <c r="BX223" s="59"/>
      <c r="BY223" s="58" t="str">
        <f t="shared" si="134"/>
        <v/>
      </c>
      <c r="BZ223" s="59"/>
    </row>
    <row r="224" spans="1:78" ht="14.5" hidden="1">
      <c r="A224" s="51" t="s">
        <v>58</v>
      </c>
      <c r="B224" s="52">
        <v>375</v>
      </c>
      <c r="C224" s="52" t="s">
        <v>188</v>
      </c>
      <c r="D224" s="41">
        <f t="shared" si="109"/>
        <v>5</v>
      </c>
      <c r="E224" s="170" t="s">
        <v>631</v>
      </c>
      <c r="F224" s="41" t="s">
        <v>631</v>
      </c>
      <c r="G224" s="52" t="s">
        <v>158</v>
      </c>
      <c r="H224" s="52" t="s">
        <v>242</v>
      </c>
      <c r="I224" s="52" t="s">
        <v>154</v>
      </c>
      <c r="J224" s="52" t="s">
        <v>432</v>
      </c>
      <c r="K224" s="53">
        <v>45685</v>
      </c>
      <c r="L224" s="108">
        <v>1316</v>
      </c>
      <c r="M224" s="101">
        <v>1316</v>
      </c>
      <c r="N224" s="101"/>
      <c r="O224" s="107">
        <f t="shared" si="103"/>
        <v>1316</v>
      </c>
      <c r="P224" s="54">
        <f t="shared" si="104"/>
        <v>0</v>
      </c>
      <c r="Q224" s="101" t="s">
        <v>630</v>
      </c>
      <c r="R224" s="101"/>
      <c r="S224" s="101"/>
      <c r="T224" s="102">
        <f t="shared" si="110"/>
        <v>1.8277777777777777</v>
      </c>
      <c r="U224" s="102">
        <v>6</v>
      </c>
      <c r="V224" s="99">
        <v>120</v>
      </c>
      <c r="W224" s="55">
        <f t="shared" si="105"/>
        <v>45665</v>
      </c>
      <c r="X224" s="55"/>
      <c r="Y224" s="56">
        <f t="shared" ca="1" si="106"/>
        <v>-175</v>
      </c>
      <c r="Z224" s="55">
        <f t="shared" si="107"/>
        <v>45681</v>
      </c>
      <c r="AA224" s="55"/>
      <c r="AB224" s="56">
        <f t="shared" ca="1" si="108"/>
        <v>-159</v>
      </c>
      <c r="AC224" s="55"/>
      <c r="AD224" s="57"/>
      <c r="AE224" s="58" t="str">
        <f t="shared" si="111"/>
        <v>-</v>
      </c>
      <c r="AF224" s="59"/>
      <c r="AG224" s="58" t="str">
        <f t="shared" si="112"/>
        <v/>
      </c>
      <c r="AH224" s="59"/>
      <c r="AI224" s="58" t="str">
        <f t="shared" si="113"/>
        <v/>
      </c>
      <c r="AJ224" s="59"/>
      <c r="AK224" s="58" t="str">
        <f t="shared" si="114"/>
        <v/>
      </c>
      <c r="AL224" s="59"/>
      <c r="AM224" s="58" t="str">
        <f t="shared" si="115"/>
        <v/>
      </c>
      <c r="AN224" s="59"/>
      <c r="AO224" s="58" t="str">
        <f t="shared" si="116"/>
        <v/>
      </c>
      <c r="AP224" s="59"/>
      <c r="AQ224" s="58" t="str">
        <f t="shared" si="117"/>
        <v/>
      </c>
      <c r="AR224" s="59"/>
      <c r="AS224" s="58" t="str">
        <f t="shared" si="118"/>
        <v/>
      </c>
      <c r="AT224" s="59"/>
      <c r="AU224" s="58" t="str">
        <f t="shared" si="119"/>
        <v/>
      </c>
      <c r="AV224" s="59"/>
      <c r="AW224" s="58" t="str">
        <f t="shared" si="120"/>
        <v/>
      </c>
      <c r="AX224" s="59"/>
      <c r="AY224" s="58" t="str">
        <f t="shared" si="121"/>
        <v/>
      </c>
      <c r="AZ224" s="59"/>
      <c r="BA224" s="58" t="str">
        <f t="shared" si="122"/>
        <v/>
      </c>
      <c r="BB224" s="59"/>
      <c r="BC224" s="58" t="str">
        <f t="shared" si="123"/>
        <v/>
      </c>
      <c r="BD224" s="59"/>
      <c r="BE224" s="58">
        <f t="shared" si="124"/>
        <v>1316</v>
      </c>
      <c r="BF224" s="59"/>
      <c r="BG224" s="58" t="str">
        <f t="shared" si="125"/>
        <v/>
      </c>
      <c r="BH224" s="59"/>
      <c r="BI224" s="58" t="str">
        <f t="shared" si="126"/>
        <v/>
      </c>
      <c r="BJ224" s="59"/>
      <c r="BK224" s="58" t="str">
        <f t="shared" si="127"/>
        <v/>
      </c>
      <c r="BL224" s="59"/>
      <c r="BM224" s="58" t="str">
        <f t="shared" si="128"/>
        <v/>
      </c>
      <c r="BN224" s="59"/>
      <c r="BO224" s="58" t="str">
        <f t="shared" si="129"/>
        <v/>
      </c>
      <c r="BP224" s="59"/>
      <c r="BQ224" s="58" t="str">
        <f t="shared" si="130"/>
        <v/>
      </c>
      <c r="BR224" s="59"/>
      <c r="BS224" s="58" t="str">
        <f t="shared" si="131"/>
        <v/>
      </c>
      <c r="BT224" s="59"/>
      <c r="BU224" s="58" t="str">
        <f t="shared" si="132"/>
        <v/>
      </c>
      <c r="BV224" s="59"/>
      <c r="BW224" s="58" t="str">
        <f t="shared" si="133"/>
        <v/>
      </c>
      <c r="BX224" s="59"/>
      <c r="BY224" s="58" t="str">
        <f t="shared" si="134"/>
        <v/>
      </c>
      <c r="BZ224" s="59"/>
    </row>
    <row r="225" spans="1:78" ht="14.5" hidden="1">
      <c r="A225" s="51" t="s">
        <v>58</v>
      </c>
      <c r="B225" s="52">
        <v>375</v>
      </c>
      <c r="C225" s="52" t="s">
        <v>188</v>
      </c>
      <c r="D225" s="41">
        <f t="shared" si="109"/>
        <v>5</v>
      </c>
      <c r="E225" s="170">
        <v>45666</v>
      </c>
      <c r="F225" s="41" t="s">
        <v>631</v>
      </c>
      <c r="G225" s="52" t="s">
        <v>158</v>
      </c>
      <c r="H225" s="52" t="s">
        <v>242</v>
      </c>
      <c r="I225" s="52" t="s">
        <v>255</v>
      </c>
      <c r="J225" s="52" t="s">
        <v>498</v>
      </c>
      <c r="K225" s="53">
        <v>45685</v>
      </c>
      <c r="L225" s="108">
        <v>668</v>
      </c>
      <c r="M225" s="101">
        <v>668</v>
      </c>
      <c r="N225" s="101"/>
      <c r="O225" s="107">
        <f t="shared" si="103"/>
        <v>668</v>
      </c>
      <c r="P225" s="54">
        <f t="shared" si="104"/>
        <v>0</v>
      </c>
      <c r="Q225" s="101" t="s">
        <v>437</v>
      </c>
      <c r="R225" s="101"/>
      <c r="S225" s="101"/>
      <c r="T225" s="102">
        <f t="shared" si="110"/>
        <v>0.92777777777777781</v>
      </c>
      <c r="U225" s="102">
        <v>6</v>
      </c>
      <c r="V225" s="99">
        <v>120</v>
      </c>
      <c r="W225" s="55">
        <f t="shared" si="105"/>
        <v>45665</v>
      </c>
      <c r="X225" s="55"/>
      <c r="Y225" s="56">
        <f t="shared" ca="1" si="106"/>
        <v>-175</v>
      </c>
      <c r="Z225" s="55">
        <f t="shared" si="107"/>
        <v>45681</v>
      </c>
      <c r="AA225" s="55"/>
      <c r="AB225" s="56">
        <f t="shared" ca="1" si="108"/>
        <v>-159</v>
      </c>
      <c r="AC225" s="55"/>
      <c r="AD225" s="57"/>
      <c r="AE225" s="58" t="str">
        <f t="shared" si="111"/>
        <v>-</v>
      </c>
      <c r="AF225" s="59"/>
      <c r="AG225" s="58" t="str">
        <f t="shared" si="112"/>
        <v/>
      </c>
      <c r="AH225" s="59"/>
      <c r="AI225" s="58" t="str">
        <f t="shared" si="113"/>
        <v/>
      </c>
      <c r="AJ225" s="59"/>
      <c r="AK225" s="58" t="str">
        <f t="shared" si="114"/>
        <v/>
      </c>
      <c r="AL225" s="59"/>
      <c r="AM225" s="58" t="str">
        <f t="shared" si="115"/>
        <v/>
      </c>
      <c r="AN225" s="59"/>
      <c r="AO225" s="58" t="str">
        <f t="shared" si="116"/>
        <v/>
      </c>
      <c r="AP225" s="59"/>
      <c r="AQ225" s="58" t="str">
        <f t="shared" si="117"/>
        <v/>
      </c>
      <c r="AR225" s="59"/>
      <c r="AS225" s="58" t="str">
        <f t="shared" si="118"/>
        <v/>
      </c>
      <c r="AT225" s="59"/>
      <c r="AU225" s="58" t="str">
        <f t="shared" si="119"/>
        <v/>
      </c>
      <c r="AV225" s="59"/>
      <c r="AW225" s="58" t="str">
        <f t="shared" si="120"/>
        <v/>
      </c>
      <c r="AX225" s="59"/>
      <c r="AY225" s="58" t="str">
        <f t="shared" si="121"/>
        <v/>
      </c>
      <c r="AZ225" s="59"/>
      <c r="BA225" s="58" t="str">
        <f t="shared" si="122"/>
        <v/>
      </c>
      <c r="BB225" s="59"/>
      <c r="BC225" s="58" t="str">
        <f t="shared" si="123"/>
        <v/>
      </c>
      <c r="BD225" s="59"/>
      <c r="BE225" s="58">
        <f t="shared" si="124"/>
        <v>668</v>
      </c>
      <c r="BF225" s="59"/>
      <c r="BG225" s="58" t="str">
        <f t="shared" si="125"/>
        <v/>
      </c>
      <c r="BH225" s="59"/>
      <c r="BI225" s="58" t="str">
        <f t="shared" si="126"/>
        <v/>
      </c>
      <c r="BJ225" s="59"/>
      <c r="BK225" s="58" t="str">
        <f t="shared" si="127"/>
        <v/>
      </c>
      <c r="BL225" s="59"/>
      <c r="BM225" s="58" t="str">
        <f t="shared" si="128"/>
        <v/>
      </c>
      <c r="BN225" s="59"/>
      <c r="BO225" s="58" t="str">
        <f t="shared" si="129"/>
        <v/>
      </c>
      <c r="BP225" s="59"/>
      <c r="BQ225" s="58" t="str">
        <f t="shared" si="130"/>
        <v/>
      </c>
      <c r="BR225" s="59"/>
      <c r="BS225" s="58" t="str">
        <f t="shared" si="131"/>
        <v/>
      </c>
      <c r="BT225" s="59"/>
      <c r="BU225" s="58" t="str">
        <f t="shared" si="132"/>
        <v/>
      </c>
      <c r="BV225" s="59"/>
      <c r="BW225" s="58" t="str">
        <f t="shared" si="133"/>
        <v/>
      </c>
      <c r="BX225" s="59"/>
      <c r="BY225" s="58" t="str">
        <f t="shared" si="134"/>
        <v/>
      </c>
      <c r="BZ225" s="59"/>
    </row>
    <row r="226" spans="1:78" ht="14.5" hidden="1">
      <c r="A226" s="51" t="s">
        <v>58</v>
      </c>
      <c r="B226" s="52">
        <v>378</v>
      </c>
      <c r="C226" s="52" t="s">
        <v>188</v>
      </c>
      <c r="D226" s="41">
        <f t="shared" si="109"/>
        <v>5</v>
      </c>
      <c r="E226" s="170">
        <v>45669</v>
      </c>
      <c r="F226" s="41" t="s">
        <v>631</v>
      </c>
      <c r="G226" s="52" t="s">
        <v>157</v>
      </c>
      <c r="H226" s="52" t="s">
        <v>243</v>
      </c>
      <c r="I226" s="52" t="s">
        <v>535</v>
      </c>
      <c r="J226" s="52" t="s">
        <v>428</v>
      </c>
      <c r="K226" s="53">
        <v>45686</v>
      </c>
      <c r="L226" s="108">
        <v>3750</v>
      </c>
      <c r="M226" s="101"/>
      <c r="N226" s="101"/>
      <c r="O226" s="107">
        <f t="shared" si="103"/>
        <v>3750</v>
      </c>
      <c r="P226" s="54">
        <f t="shared" si="104"/>
        <v>3750</v>
      </c>
      <c r="Q226" s="101" t="s">
        <v>429</v>
      </c>
      <c r="R226" s="101"/>
      <c r="S226" s="101"/>
      <c r="T226" s="102">
        <f t="shared" si="110"/>
        <v>0.625</v>
      </c>
      <c r="U226" s="102">
        <v>6</v>
      </c>
      <c r="V226" s="99">
        <v>1000</v>
      </c>
      <c r="W226" s="55">
        <f t="shared" si="105"/>
        <v>45666</v>
      </c>
      <c r="X226" s="55"/>
      <c r="Y226" s="56">
        <f t="shared" ca="1" si="106"/>
        <v>-174</v>
      </c>
      <c r="Z226" s="55">
        <f t="shared" si="107"/>
        <v>45682</v>
      </c>
      <c r="AA226" s="55"/>
      <c r="AB226" s="56">
        <f t="shared" ca="1" si="108"/>
        <v>-158</v>
      </c>
      <c r="AC226" s="55"/>
      <c r="AD226" s="57"/>
      <c r="AE226" s="58" t="str">
        <f t="shared" si="111"/>
        <v>-</v>
      </c>
      <c r="AF226" s="59"/>
      <c r="AG226" s="58" t="str">
        <f t="shared" si="112"/>
        <v/>
      </c>
      <c r="AH226" s="59"/>
      <c r="AI226" s="58" t="str">
        <f t="shared" si="113"/>
        <v/>
      </c>
      <c r="AJ226" s="59"/>
      <c r="AK226" s="58" t="str">
        <f t="shared" si="114"/>
        <v/>
      </c>
      <c r="AL226" s="59"/>
      <c r="AM226" s="58" t="str">
        <f t="shared" si="115"/>
        <v/>
      </c>
      <c r="AN226" s="59"/>
      <c r="AO226" s="58" t="str">
        <f t="shared" si="116"/>
        <v/>
      </c>
      <c r="AP226" s="59"/>
      <c r="AQ226" s="58" t="str">
        <f t="shared" si="117"/>
        <v/>
      </c>
      <c r="AR226" s="59"/>
      <c r="AS226" s="58" t="str">
        <f t="shared" si="118"/>
        <v/>
      </c>
      <c r="AT226" s="59"/>
      <c r="AU226" s="58" t="str">
        <f t="shared" si="119"/>
        <v/>
      </c>
      <c r="AV226" s="59"/>
      <c r="AW226" s="58" t="str">
        <f t="shared" si="120"/>
        <v/>
      </c>
      <c r="AX226" s="59"/>
      <c r="AY226" s="58" t="str">
        <f t="shared" si="121"/>
        <v/>
      </c>
      <c r="AZ226" s="59"/>
      <c r="BA226" s="58" t="str">
        <f t="shared" si="122"/>
        <v/>
      </c>
      <c r="BB226" s="59"/>
      <c r="BC226" s="58" t="str">
        <f t="shared" si="123"/>
        <v/>
      </c>
      <c r="BD226" s="59"/>
      <c r="BE226" s="58">
        <f t="shared" si="124"/>
        <v>3750</v>
      </c>
      <c r="BF226" s="59"/>
      <c r="BG226" s="58" t="str">
        <f t="shared" si="125"/>
        <v/>
      </c>
      <c r="BH226" s="59"/>
      <c r="BI226" s="58" t="str">
        <f t="shared" si="126"/>
        <v/>
      </c>
      <c r="BJ226" s="59"/>
      <c r="BK226" s="58" t="str">
        <f t="shared" si="127"/>
        <v/>
      </c>
      <c r="BL226" s="59"/>
      <c r="BM226" s="58" t="str">
        <f t="shared" si="128"/>
        <v/>
      </c>
      <c r="BN226" s="59"/>
      <c r="BO226" s="58" t="str">
        <f t="shared" si="129"/>
        <v/>
      </c>
      <c r="BP226" s="59"/>
      <c r="BQ226" s="58" t="str">
        <f t="shared" si="130"/>
        <v/>
      </c>
      <c r="BR226" s="59"/>
      <c r="BS226" s="58" t="str">
        <f t="shared" si="131"/>
        <v/>
      </c>
      <c r="BT226" s="59"/>
      <c r="BU226" s="58" t="str">
        <f t="shared" si="132"/>
        <v/>
      </c>
      <c r="BV226" s="59"/>
      <c r="BW226" s="58" t="str">
        <f t="shared" si="133"/>
        <v/>
      </c>
      <c r="BX226" s="59"/>
      <c r="BY226" s="58" t="str">
        <f t="shared" si="134"/>
        <v/>
      </c>
      <c r="BZ226" s="59"/>
    </row>
    <row r="227" spans="1:78" ht="14.5" hidden="1">
      <c r="A227" s="51" t="s">
        <v>58</v>
      </c>
      <c r="B227" s="52">
        <v>378</v>
      </c>
      <c r="C227" s="52" t="s">
        <v>188</v>
      </c>
      <c r="D227" s="41">
        <f t="shared" si="109"/>
        <v>5</v>
      </c>
      <c r="E227" s="170">
        <v>45667</v>
      </c>
      <c r="F227" s="41" t="s">
        <v>631</v>
      </c>
      <c r="G227" s="52" t="s">
        <v>189</v>
      </c>
      <c r="H227" s="52" t="s">
        <v>242</v>
      </c>
      <c r="I227" s="52" t="s">
        <v>162</v>
      </c>
      <c r="J227" s="52" t="s">
        <v>432</v>
      </c>
      <c r="K227" s="53">
        <v>45686</v>
      </c>
      <c r="L227" s="108">
        <v>2384</v>
      </c>
      <c r="M227" s="101"/>
      <c r="N227" s="101"/>
      <c r="O227" s="107">
        <f t="shared" si="103"/>
        <v>2384</v>
      </c>
      <c r="P227" s="54">
        <f t="shared" si="104"/>
        <v>2384</v>
      </c>
      <c r="Q227" s="101" t="s">
        <v>178</v>
      </c>
      <c r="R227" s="166">
        <v>45685</v>
      </c>
      <c r="S227" s="101" t="s">
        <v>642</v>
      </c>
      <c r="T227" s="102">
        <f t="shared" si="110"/>
        <v>3.3111111111111109</v>
      </c>
      <c r="U227" s="102">
        <v>6</v>
      </c>
      <c r="V227" s="99">
        <v>120</v>
      </c>
      <c r="W227" s="55">
        <f t="shared" si="105"/>
        <v>45666</v>
      </c>
      <c r="X227" s="55"/>
      <c r="Y227" s="56">
        <f t="shared" ca="1" si="106"/>
        <v>-174</v>
      </c>
      <c r="Z227" s="55">
        <f t="shared" si="107"/>
        <v>45682</v>
      </c>
      <c r="AA227" s="55"/>
      <c r="AB227" s="56">
        <f t="shared" ca="1" si="108"/>
        <v>-158</v>
      </c>
      <c r="AC227" s="55"/>
      <c r="AD227" s="57"/>
      <c r="AE227" s="58" t="str">
        <f t="shared" si="111"/>
        <v>-</v>
      </c>
      <c r="AF227" s="59"/>
      <c r="AG227" s="58" t="str">
        <f t="shared" si="112"/>
        <v/>
      </c>
      <c r="AH227" s="59"/>
      <c r="AI227" s="58" t="str">
        <f t="shared" si="113"/>
        <v/>
      </c>
      <c r="AJ227" s="59"/>
      <c r="AK227" s="58" t="str">
        <f t="shared" si="114"/>
        <v/>
      </c>
      <c r="AL227" s="59"/>
      <c r="AM227" s="58" t="str">
        <f t="shared" si="115"/>
        <v/>
      </c>
      <c r="AN227" s="59"/>
      <c r="AO227" s="58" t="str">
        <f t="shared" si="116"/>
        <v/>
      </c>
      <c r="AP227" s="59"/>
      <c r="AQ227" s="58" t="str">
        <f t="shared" si="117"/>
        <v/>
      </c>
      <c r="AR227" s="59"/>
      <c r="AS227" s="58" t="str">
        <f t="shared" si="118"/>
        <v/>
      </c>
      <c r="AT227" s="59"/>
      <c r="AU227" s="58" t="str">
        <f t="shared" si="119"/>
        <v/>
      </c>
      <c r="AV227" s="59"/>
      <c r="AW227" s="58" t="str">
        <f t="shared" si="120"/>
        <v/>
      </c>
      <c r="AX227" s="59"/>
      <c r="AY227" s="58" t="str">
        <f t="shared" si="121"/>
        <v/>
      </c>
      <c r="AZ227" s="59"/>
      <c r="BA227" s="58" t="str">
        <f t="shared" si="122"/>
        <v/>
      </c>
      <c r="BB227" s="59"/>
      <c r="BC227" s="58" t="str">
        <f t="shared" si="123"/>
        <v/>
      </c>
      <c r="BD227" s="59"/>
      <c r="BE227" s="58">
        <f t="shared" si="124"/>
        <v>2384</v>
      </c>
      <c r="BF227" s="59"/>
      <c r="BG227" s="58" t="str">
        <f t="shared" si="125"/>
        <v/>
      </c>
      <c r="BH227" s="59"/>
      <c r="BI227" s="58" t="str">
        <f t="shared" si="126"/>
        <v/>
      </c>
      <c r="BJ227" s="59"/>
      <c r="BK227" s="58" t="str">
        <f t="shared" si="127"/>
        <v/>
      </c>
      <c r="BL227" s="59"/>
      <c r="BM227" s="58" t="str">
        <f t="shared" si="128"/>
        <v/>
      </c>
      <c r="BN227" s="59"/>
      <c r="BO227" s="58" t="str">
        <f t="shared" si="129"/>
        <v/>
      </c>
      <c r="BP227" s="59"/>
      <c r="BQ227" s="58" t="str">
        <f t="shared" si="130"/>
        <v/>
      </c>
      <c r="BR227" s="59"/>
      <c r="BS227" s="58" t="str">
        <f t="shared" si="131"/>
        <v/>
      </c>
      <c r="BT227" s="59"/>
      <c r="BU227" s="58" t="str">
        <f t="shared" si="132"/>
        <v/>
      </c>
      <c r="BV227" s="59"/>
      <c r="BW227" s="58" t="str">
        <f t="shared" si="133"/>
        <v/>
      </c>
      <c r="BX227" s="59"/>
      <c r="BY227" s="58" t="str">
        <f t="shared" si="134"/>
        <v/>
      </c>
      <c r="BZ227" s="59"/>
    </row>
    <row r="228" spans="1:78" ht="14.5">
      <c r="A228" s="51" t="s">
        <v>58</v>
      </c>
      <c r="B228" s="52">
        <v>379</v>
      </c>
      <c r="C228" s="52" t="s">
        <v>188</v>
      </c>
      <c r="D228" s="41">
        <f t="shared" si="109"/>
        <v>5</v>
      </c>
      <c r="E228" s="170" t="s">
        <v>631</v>
      </c>
      <c r="F228" s="41" t="s">
        <v>631</v>
      </c>
      <c r="G228" s="52" t="s">
        <v>201</v>
      </c>
      <c r="H228" s="52" t="s">
        <v>247</v>
      </c>
      <c r="I228" s="52" t="s">
        <v>155</v>
      </c>
      <c r="J228" s="52" t="s">
        <v>442</v>
      </c>
      <c r="K228" s="53">
        <v>45685</v>
      </c>
      <c r="L228" s="108">
        <v>14256</v>
      </c>
      <c r="M228" s="101">
        <v>14256</v>
      </c>
      <c r="N228" s="101">
        <v>14256</v>
      </c>
      <c r="O228" s="107">
        <f t="shared" si="103"/>
        <v>0</v>
      </c>
      <c r="P228" s="54">
        <f t="shared" si="104"/>
        <v>0</v>
      </c>
      <c r="Q228" s="101" t="s">
        <v>654</v>
      </c>
      <c r="R228" s="101"/>
      <c r="S228" s="101"/>
      <c r="T228" s="102">
        <f t="shared" si="110"/>
        <v>8.1462857142857139</v>
      </c>
      <c r="U228" s="102">
        <v>5</v>
      </c>
      <c r="V228" s="99">
        <v>350</v>
      </c>
      <c r="W228" s="55">
        <f t="shared" si="105"/>
        <v>45665</v>
      </c>
      <c r="X228" s="55"/>
      <c r="Y228" s="56">
        <f t="shared" ca="1" si="106"/>
        <v>-175</v>
      </c>
      <c r="Z228" s="55">
        <f t="shared" si="107"/>
        <v>45681</v>
      </c>
      <c r="AA228" s="55"/>
      <c r="AB228" s="56">
        <f t="shared" ca="1" si="108"/>
        <v>-159</v>
      </c>
      <c r="AC228" s="55"/>
      <c r="AD228" s="57"/>
      <c r="AE228" s="58" t="str">
        <f t="shared" si="111"/>
        <v>-</v>
      </c>
      <c r="AF228" s="59"/>
      <c r="AG228" s="58" t="str">
        <f t="shared" si="112"/>
        <v/>
      </c>
      <c r="AH228" s="59"/>
      <c r="AI228" s="58" t="str">
        <f t="shared" si="113"/>
        <v/>
      </c>
      <c r="AJ228" s="59"/>
      <c r="AK228" s="58" t="str">
        <f t="shared" si="114"/>
        <v/>
      </c>
      <c r="AL228" s="59"/>
      <c r="AM228" s="58" t="str">
        <f t="shared" si="115"/>
        <v/>
      </c>
      <c r="AN228" s="59"/>
      <c r="AO228" s="58" t="str">
        <f t="shared" si="116"/>
        <v/>
      </c>
      <c r="AP228" s="59"/>
      <c r="AQ228" s="58" t="str">
        <f t="shared" si="117"/>
        <v/>
      </c>
      <c r="AR228" s="59"/>
      <c r="AS228" s="58" t="str">
        <f t="shared" si="118"/>
        <v/>
      </c>
      <c r="AT228" s="59"/>
      <c r="AU228" s="58" t="str">
        <f t="shared" si="119"/>
        <v/>
      </c>
      <c r="AV228" s="59"/>
      <c r="AW228" s="58" t="str">
        <f t="shared" si="120"/>
        <v/>
      </c>
      <c r="AX228" s="59"/>
      <c r="AY228" s="58" t="str">
        <f t="shared" si="121"/>
        <v/>
      </c>
      <c r="AZ228" s="59"/>
      <c r="BA228" s="58" t="str">
        <f t="shared" si="122"/>
        <v/>
      </c>
      <c r="BB228" s="59"/>
      <c r="BC228" s="58" t="str">
        <f t="shared" si="123"/>
        <v/>
      </c>
      <c r="BD228" s="59"/>
      <c r="BE228" s="58">
        <f t="shared" si="124"/>
        <v>14256</v>
      </c>
      <c r="BF228" s="59"/>
      <c r="BG228" s="58" t="str">
        <f t="shared" si="125"/>
        <v/>
      </c>
      <c r="BH228" s="59"/>
      <c r="BI228" s="58" t="str">
        <f t="shared" si="126"/>
        <v/>
      </c>
      <c r="BJ228" s="59"/>
      <c r="BK228" s="58" t="str">
        <f t="shared" si="127"/>
        <v/>
      </c>
      <c r="BL228" s="59"/>
      <c r="BM228" s="58" t="str">
        <f t="shared" si="128"/>
        <v/>
      </c>
      <c r="BN228" s="59"/>
      <c r="BO228" s="58" t="str">
        <f t="shared" si="129"/>
        <v/>
      </c>
      <c r="BP228" s="59"/>
      <c r="BQ228" s="58" t="str">
        <f t="shared" si="130"/>
        <v/>
      </c>
      <c r="BR228" s="59"/>
      <c r="BS228" s="58" t="str">
        <f t="shared" si="131"/>
        <v/>
      </c>
      <c r="BT228" s="59"/>
      <c r="BU228" s="58" t="str">
        <f t="shared" si="132"/>
        <v/>
      </c>
      <c r="BV228" s="59"/>
      <c r="BW228" s="58" t="str">
        <f t="shared" si="133"/>
        <v/>
      </c>
      <c r="BX228" s="59"/>
      <c r="BY228" s="58" t="str">
        <f t="shared" si="134"/>
        <v/>
      </c>
      <c r="BZ228" s="59"/>
    </row>
    <row r="229" spans="1:78" ht="14.5" hidden="1">
      <c r="A229" s="51" t="s">
        <v>58</v>
      </c>
      <c r="B229" s="52">
        <v>379</v>
      </c>
      <c r="C229" s="52" t="s">
        <v>188</v>
      </c>
      <c r="D229" s="41">
        <f t="shared" si="109"/>
        <v>5</v>
      </c>
      <c r="E229" s="170" t="s">
        <v>631</v>
      </c>
      <c r="F229" s="41" t="s">
        <v>631</v>
      </c>
      <c r="G229" s="52" t="s">
        <v>157</v>
      </c>
      <c r="H229" s="52" t="s">
        <v>243</v>
      </c>
      <c r="I229" s="52" t="s">
        <v>162</v>
      </c>
      <c r="J229" s="52" t="s">
        <v>428</v>
      </c>
      <c r="K229" s="53">
        <v>45685</v>
      </c>
      <c r="L229" s="108">
        <v>3738</v>
      </c>
      <c r="M229" s="101">
        <v>3738</v>
      </c>
      <c r="N229" s="101">
        <v>3738</v>
      </c>
      <c r="O229" s="107">
        <f t="shared" si="103"/>
        <v>0</v>
      </c>
      <c r="P229" s="54">
        <f t="shared" si="104"/>
        <v>0</v>
      </c>
      <c r="Q229" s="101" t="s">
        <v>429</v>
      </c>
      <c r="R229" s="101"/>
      <c r="S229" s="101"/>
      <c r="T229" s="102">
        <f t="shared" si="110"/>
        <v>0.623</v>
      </c>
      <c r="U229" s="102">
        <v>6</v>
      </c>
      <c r="V229" s="99">
        <v>1000</v>
      </c>
      <c r="W229" s="55">
        <f t="shared" si="105"/>
        <v>45665</v>
      </c>
      <c r="X229" s="55"/>
      <c r="Y229" s="56">
        <f t="shared" ca="1" si="106"/>
        <v>-175</v>
      </c>
      <c r="Z229" s="55">
        <f t="shared" si="107"/>
        <v>45681</v>
      </c>
      <c r="AA229" s="55"/>
      <c r="AB229" s="56">
        <f t="shared" ca="1" si="108"/>
        <v>-159</v>
      </c>
      <c r="AC229" s="55"/>
      <c r="AD229" s="57"/>
      <c r="AE229" s="58" t="str">
        <f t="shared" si="111"/>
        <v>-</v>
      </c>
      <c r="AF229" s="59"/>
      <c r="AG229" s="58" t="str">
        <f t="shared" si="112"/>
        <v/>
      </c>
      <c r="AH229" s="59"/>
      <c r="AI229" s="58" t="str">
        <f t="shared" si="113"/>
        <v/>
      </c>
      <c r="AJ229" s="59"/>
      <c r="AK229" s="58" t="str">
        <f t="shared" si="114"/>
        <v/>
      </c>
      <c r="AL229" s="59"/>
      <c r="AM229" s="58" t="str">
        <f t="shared" si="115"/>
        <v/>
      </c>
      <c r="AN229" s="59"/>
      <c r="AO229" s="58" t="str">
        <f t="shared" si="116"/>
        <v/>
      </c>
      <c r="AP229" s="59"/>
      <c r="AQ229" s="58" t="str">
        <f t="shared" si="117"/>
        <v/>
      </c>
      <c r="AR229" s="59"/>
      <c r="AS229" s="58" t="str">
        <f t="shared" si="118"/>
        <v/>
      </c>
      <c r="AT229" s="59"/>
      <c r="AU229" s="58" t="str">
        <f t="shared" si="119"/>
        <v/>
      </c>
      <c r="AV229" s="59"/>
      <c r="AW229" s="58" t="str">
        <f t="shared" si="120"/>
        <v/>
      </c>
      <c r="AX229" s="59"/>
      <c r="AY229" s="58" t="str">
        <f t="shared" si="121"/>
        <v/>
      </c>
      <c r="AZ229" s="59"/>
      <c r="BA229" s="58" t="str">
        <f t="shared" si="122"/>
        <v/>
      </c>
      <c r="BB229" s="59"/>
      <c r="BC229" s="58" t="str">
        <f t="shared" si="123"/>
        <v/>
      </c>
      <c r="BD229" s="59"/>
      <c r="BE229" s="58">
        <f t="shared" si="124"/>
        <v>3738</v>
      </c>
      <c r="BF229" s="59"/>
      <c r="BG229" s="58" t="str">
        <f t="shared" si="125"/>
        <v/>
      </c>
      <c r="BH229" s="59"/>
      <c r="BI229" s="58" t="str">
        <f t="shared" si="126"/>
        <v/>
      </c>
      <c r="BJ229" s="59"/>
      <c r="BK229" s="58" t="str">
        <f t="shared" si="127"/>
        <v/>
      </c>
      <c r="BL229" s="59"/>
      <c r="BM229" s="58" t="str">
        <f t="shared" si="128"/>
        <v/>
      </c>
      <c r="BN229" s="59"/>
      <c r="BO229" s="58" t="str">
        <f t="shared" si="129"/>
        <v/>
      </c>
      <c r="BP229" s="59"/>
      <c r="BQ229" s="58" t="str">
        <f t="shared" si="130"/>
        <v/>
      </c>
      <c r="BR229" s="59"/>
      <c r="BS229" s="58" t="str">
        <f t="shared" si="131"/>
        <v/>
      </c>
      <c r="BT229" s="59"/>
      <c r="BU229" s="58" t="str">
        <f t="shared" si="132"/>
        <v/>
      </c>
      <c r="BV229" s="59"/>
      <c r="BW229" s="58" t="str">
        <f t="shared" si="133"/>
        <v/>
      </c>
      <c r="BX229" s="59"/>
      <c r="BY229" s="58" t="str">
        <f t="shared" si="134"/>
        <v/>
      </c>
      <c r="BZ229" s="59"/>
    </row>
    <row r="230" spans="1:78" ht="14.5" hidden="1">
      <c r="A230" s="51" t="s">
        <v>58</v>
      </c>
      <c r="B230" s="52">
        <v>379</v>
      </c>
      <c r="C230" s="52" t="s">
        <v>188</v>
      </c>
      <c r="D230" s="41">
        <f t="shared" si="109"/>
        <v>5</v>
      </c>
      <c r="E230" s="170" t="s">
        <v>631</v>
      </c>
      <c r="F230" s="41" t="s">
        <v>631</v>
      </c>
      <c r="G230" s="52" t="s">
        <v>158</v>
      </c>
      <c r="H230" s="52" t="s">
        <v>242</v>
      </c>
      <c r="I230" s="52" t="s">
        <v>535</v>
      </c>
      <c r="J230" s="52" t="s">
        <v>432</v>
      </c>
      <c r="K230" s="53">
        <v>45685</v>
      </c>
      <c r="L230" s="108">
        <v>1412</v>
      </c>
      <c r="M230" s="101">
        <v>1412</v>
      </c>
      <c r="N230" s="101"/>
      <c r="O230" s="107">
        <f t="shared" si="103"/>
        <v>1412</v>
      </c>
      <c r="P230" s="54">
        <f t="shared" si="104"/>
        <v>0</v>
      </c>
      <c r="Q230" s="101" t="s">
        <v>439</v>
      </c>
      <c r="R230" s="166">
        <v>45679</v>
      </c>
      <c r="S230" s="101"/>
      <c r="T230" s="102">
        <f t="shared" si="110"/>
        <v>1.961111111111111</v>
      </c>
      <c r="U230" s="102">
        <v>6</v>
      </c>
      <c r="V230" s="99">
        <v>120</v>
      </c>
      <c r="W230" s="55">
        <f t="shared" si="105"/>
        <v>45665</v>
      </c>
      <c r="X230" s="55"/>
      <c r="Y230" s="56">
        <f t="shared" ca="1" si="106"/>
        <v>-175</v>
      </c>
      <c r="Z230" s="55">
        <f t="shared" si="107"/>
        <v>45681</v>
      </c>
      <c r="AA230" s="55"/>
      <c r="AB230" s="56">
        <f t="shared" ca="1" si="108"/>
        <v>-159</v>
      </c>
      <c r="AC230" s="55"/>
      <c r="AD230" s="57"/>
      <c r="AE230" s="58" t="str">
        <f t="shared" si="111"/>
        <v>-</v>
      </c>
      <c r="AF230" s="59"/>
      <c r="AG230" s="58" t="str">
        <f t="shared" si="112"/>
        <v/>
      </c>
      <c r="AH230" s="59"/>
      <c r="AI230" s="58" t="str">
        <f t="shared" si="113"/>
        <v/>
      </c>
      <c r="AJ230" s="59"/>
      <c r="AK230" s="58" t="str">
        <f t="shared" si="114"/>
        <v/>
      </c>
      <c r="AL230" s="59"/>
      <c r="AM230" s="58" t="str">
        <f t="shared" si="115"/>
        <v/>
      </c>
      <c r="AN230" s="59"/>
      <c r="AO230" s="58" t="str">
        <f t="shared" si="116"/>
        <v/>
      </c>
      <c r="AP230" s="59"/>
      <c r="AQ230" s="58" t="str">
        <f t="shared" si="117"/>
        <v/>
      </c>
      <c r="AR230" s="59"/>
      <c r="AS230" s="58" t="str">
        <f t="shared" si="118"/>
        <v/>
      </c>
      <c r="AT230" s="59"/>
      <c r="AU230" s="58" t="str">
        <f t="shared" si="119"/>
        <v/>
      </c>
      <c r="AV230" s="59"/>
      <c r="AW230" s="58" t="str">
        <f t="shared" si="120"/>
        <v/>
      </c>
      <c r="AX230" s="59"/>
      <c r="AY230" s="58" t="str">
        <f t="shared" si="121"/>
        <v/>
      </c>
      <c r="AZ230" s="59"/>
      <c r="BA230" s="58" t="str">
        <f t="shared" si="122"/>
        <v/>
      </c>
      <c r="BB230" s="59"/>
      <c r="BC230" s="58" t="str">
        <f t="shared" si="123"/>
        <v/>
      </c>
      <c r="BD230" s="59"/>
      <c r="BE230" s="58">
        <f t="shared" si="124"/>
        <v>1412</v>
      </c>
      <c r="BF230" s="59"/>
      <c r="BG230" s="58" t="str">
        <f t="shared" si="125"/>
        <v/>
      </c>
      <c r="BH230" s="59"/>
      <c r="BI230" s="58" t="str">
        <f t="shared" si="126"/>
        <v/>
      </c>
      <c r="BJ230" s="59"/>
      <c r="BK230" s="58" t="str">
        <f t="shared" si="127"/>
        <v/>
      </c>
      <c r="BL230" s="59"/>
      <c r="BM230" s="58" t="str">
        <f t="shared" si="128"/>
        <v/>
      </c>
      <c r="BN230" s="59"/>
      <c r="BO230" s="58" t="str">
        <f t="shared" si="129"/>
        <v/>
      </c>
      <c r="BP230" s="59"/>
      <c r="BQ230" s="58" t="str">
        <f t="shared" si="130"/>
        <v/>
      </c>
      <c r="BR230" s="59"/>
      <c r="BS230" s="58" t="str">
        <f t="shared" si="131"/>
        <v/>
      </c>
      <c r="BT230" s="59"/>
      <c r="BU230" s="58" t="str">
        <f t="shared" si="132"/>
        <v/>
      </c>
      <c r="BV230" s="59"/>
      <c r="BW230" s="58" t="str">
        <f t="shared" si="133"/>
        <v/>
      </c>
      <c r="BX230" s="59"/>
      <c r="BY230" s="58" t="str">
        <f t="shared" si="134"/>
        <v/>
      </c>
      <c r="BZ230" s="59"/>
    </row>
    <row r="231" spans="1:78" ht="14.5" hidden="1">
      <c r="A231" s="51" t="s">
        <v>58</v>
      </c>
      <c r="B231" s="52">
        <v>379</v>
      </c>
      <c r="C231" s="52" t="s">
        <v>188</v>
      </c>
      <c r="D231" s="41">
        <f t="shared" si="109"/>
        <v>5</v>
      </c>
      <c r="E231" s="170" t="s">
        <v>646</v>
      </c>
      <c r="F231" s="41" t="s">
        <v>631</v>
      </c>
      <c r="G231" s="52" t="s">
        <v>391</v>
      </c>
      <c r="H231" s="52" t="s">
        <v>392</v>
      </c>
      <c r="I231" s="52" t="s">
        <v>393</v>
      </c>
      <c r="J231" s="52" t="s">
        <v>433</v>
      </c>
      <c r="K231" s="53">
        <v>45685</v>
      </c>
      <c r="L231" s="108">
        <v>1188</v>
      </c>
      <c r="M231" s="101"/>
      <c r="N231" s="101"/>
      <c r="O231" s="107">
        <f t="shared" si="103"/>
        <v>1188</v>
      </c>
      <c r="P231" s="54">
        <f t="shared" si="104"/>
        <v>1188</v>
      </c>
      <c r="Q231" s="101" t="s">
        <v>669</v>
      </c>
      <c r="R231" s="101"/>
      <c r="S231" s="101"/>
      <c r="T231" s="102">
        <f t="shared" si="110"/>
        <v>2.4750000000000001</v>
      </c>
      <c r="U231" s="102">
        <v>6</v>
      </c>
      <c r="V231" s="99">
        <v>80</v>
      </c>
      <c r="W231" s="55">
        <f t="shared" si="105"/>
        <v>45665</v>
      </c>
      <c r="X231" s="55"/>
      <c r="Y231" s="56">
        <f t="shared" ca="1" si="106"/>
        <v>-175</v>
      </c>
      <c r="Z231" s="55">
        <f t="shared" si="107"/>
        <v>45681</v>
      </c>
      <c r="AA231" s="55"/>
      <c r="AB231" s="56">
        <f t="shared" ca="1" si="108"/>
        <v>-159</v>
      </c>
      <c r="AC231" s="55"/>
      <c r="AD231" s="57"/>
      <c r="AE231" s="58" t="str">
        <f t="shared" si="111"/>
        <v>-</v>
      </c>
      <c r="AF231" s="59"/>
      <c r="AG231" s="58" t="str">
        <f t="shared" si="112"/>
        <v/>
      </c>
      <c r="AH231" s="59"/>
      <c r="AI231" s="58" t="str">
        <f t="shared" si="113"/>
        <v/>
      </c>
      <c r="AJ231" s="59"/>
      <c r="AK231" s="58" t="str">
        <f t="shared" si="114"/>
        <v/>
      </c>
      <c r="AL231" s="59"/>
      <c r="AM231" s="58" t="str">
        <f t="shared" si="115"/>
        <v/>
      </c>
      <c r="AN231" s="59"/>
      <c r="AO231" s="58" t="str">
        <f t="shared" si="116"/>
        <v/>
      </c>
      <c r="AP231" s="59"/>
      <c r="AQ231" s="58" t="str">
        <f t="shared" si="117"/>
        <v/>
      </c>
      <c r="AR231" s="59"/>
      <c r="AS231" s="58" t="str">
        <f t="shared" si="118"/>
        <v/>
      </c>
      <c r="AT231" s="59"/>
      <c r="AU231" s="58" t="str">
        <f t="shared" si="119"/>
        <v/>
      </c>
      <c r="AV231" s="59"/>
      <c r="AW231" s="58" t="str">
        <f t="shared" si="120"/>
        <v/>
      </c>
      <c r="AX231" s="59"/>
      <c r="AY231" s="58" t="str">
        <f t="shared" si="121"/>
        <v/>
      </c>
      <c r="AZ231" s="59"/>
      <c r="BA231" s="58" t="str">
        <f t="shared" si="122"/>
        <v/>
      </c>
      <c r="BB231" s="59"/>
      <c r="BC231" s="58" t="str">
        <f t="shared" si="123"/>
        <v/>
      </c>
      <c r="BD231" s="59"/>
      <c r="BE231" s="58">
        <f t="shared" si="124"/>
        <v>1188</v>
      </c>
      <c r="BF231" s="59"/>
      <c r="BG231" s="58" t="str">
        <f t="shared" si="125"/>
        <v/>
      </c>
      <c r="BH231" s="59"/>
      <c r="BI231" s="58" t="str">
        <f t="shared" si="126"/>
        <v/>
      </c>
      <c r="BJ231" s="59"/>
      <c r="BK231" s="58" t="str">
        <f t="shared" si="127"/>
        <v/>
      </c>
      <c r="BL231" s="59"/>
      <c r="BM231" s="58" t="str">
        <f t="shared" si="128"/>
        <v/>
      </c>
      <c r="BN231" s="59"/>
      <c r="BO231" s="58" t="str">
        <f t="shared" si="129"/>
        <v/>
      </c>
      <c r="BP231" s="59"/>
      <c r="BQ231" s="58" t="str">
        <f t="shared" si="130"/>
        <v/>
      </c>
      <c r="BR231" s="59"/>
      <c r="BS231" s="58" t="str">
        <f t="shared" si="131"/>
        <v/>
      </c>
      <c r="BT231" s="59"/>
      <c r="BU231" s="58" t="str">
        <f t="shared" si="132"/>
        <v/>
      </c>
      <c r="BV231" s="59"/>
      <c r="BW231" s="58" t="str">
        <f t="shared" si="133"/>
        <v/>
      </c>
      <c r="BX231" s="59"/>
      <c r="BY231" s="58" t="str">
        <f t="shared" si="134"/>
        <v/>
      </c>
      <c r="BZ231" s="59"/>
    </row>
    <row r="232" spans="1:78" ht="14.5" hidden="1">
      <c r="A232" s="51" t="s">
        <v>58</v>
      </c>
      <c r="B232" s="52">
        <v>380</v>
      </c>
      <c r="C232" s="52" t="s">
        <v>188</v>
      </c>
      <c r="D232" s="41">
        <f t="shared" si="109"/>
        <v>5</v>
      </c>
      <c r="E232" s="170" t="s">
        <v>646</v>
      </c>
      <c r="F232" s="41" t="s">
        <v>631</v>
      </c>
      <c r="G232" s="52" t="s">
        <v>502</v>
      </c>
      <c r="H232" s="52" t="s">
        <v>289</v>
      </c>
      <c r="I232" s="52" t="s">
        <v>155</v>
      </c>
      <c r="J232" s="52" t="s">
        <v>503</v>
      </c>
      <c r="K232" s="53">
        <v>45689</v>
      </c>
      <c r="L232" s="108">
        <v>360</v>
      </c>
      <c r="M232" s="101">
        <v>0</v>
      </c>
      <c r="N232" s="101"/>
      <c r="O232" s="107">
        <f t="shared" si="103"/>
        <v>360</v>
      </c>
      <c r="P232" s="54">
        <f t="shared" si="104"/>
        <v>360</v>
      </c>
      <c r="Q232" s="101" t="s">
        <v>504</v>
      </c>
      <c r="R232" s="101"/>
      <c r="S232" s="101"/>
      <c r="T232" s="102">
        <f t="shared" si="110"/>
        <v>1.875</v>
      </c>
      <c r="U232" s="102">
        <v>6</v>
      </c>
      <c r="V232" s="99">
        <f>480/15</f>
        <v>32</v>
      </c>
      <c r="W232" s="55">
        <f t="shared" si="105"/>
        <v>45669</v>
      </c>
      <c r="X232" s="55"/>
      <c r="Y232" s="56">
        <f t="shared" ca="1" si="106"/>
        <v>-171</v>
      </c>
      <c r="Z232" s="55">
        <f t="shared" si="107"/>
        <v>45685</v>
      </c>
      <c r="AA232" s="55"/>
      <c r="AB232" s="56">
        <f t="shared" ca="1" si="108"/>
        <v>-155</v>
      </c>
      <c r="AC232" s="55"/>
      <c r="AD232" s="57"/>
      <c r="AE232" s="58" t="str">
        <f t="shared" si="111"/>
        <v>-</v>
      </c>
      <c r="AF232" s="59"/>
      <c r="AG232" s="58" t="str">
        <f t="shared" si="112"/>
        <v/>
      </c>
      <c r="AH232" s="59"/>
      <c r="AI232" s="58" t="str">
        <f t="shared" si="113"/>
        <v/>
      </c>
      <c r="AJ232" s="59"/>
      <c r="AK232" s="58" t="str">
        <f t="shared" si="114"/>
        <v/>
      </c>
      <c r="AL232" s="59"/>
      <c r="AM232" s="58" t="str">
        <f t="shared" si="115"/>
        <v/>
      </c>
      <c r="AN232" s="59"/>
      <c r="AO232" s="58" t="str">
        <f t="shared" si="116"/>
        <v/>
      </c>
      <c r="AP232" s="59"/>
      <c r="AQ232" s="58" t="str">
        <f t="shared" si="117"/>
        <v/>
      </c>
      <c r="AR232" s="59"/>
      <c r="AS232" s="58" t="str">
        <f t="shared" si="118"/>
        <v/>
      </c>
      <c r="AT232" s="59"/>
      <c r="AU232" s="58" t="str">
        <f t="shared" si="119"/>
        <v/>
      </c>
      <c r="AV232" s="59"/>
      <c r="AW232" s="58" t="str">
        <f t="shared" si="120"/>
        <v/>
      </c>
      <c r="AX232" s="59"/>
      <c r="AY232" s="58" t="str">
        <f t="shared" si="121"/>
        <v/>
      </c>
      <c r="AZ232" s="59"/>
      <c r="BA232" s="58" t="str">
        <f t="shared" si="122"/>
        <v/>
      </c>
      <c r="BB232" s="59"/>
      <c r="BC232" s="58" t="str">
        <f t="shared" si="123"/>
        <v/>
      </c>
      <c r="BD232" s="59"/>
      <c r="BE232" s="58" t="str">
        <f t="shared" si="124"/>
        <v/>
      </c>
      <c r="BF232" s="59"/>
      <c r="BG232" s="58">
        <f t="shared" si="125"/>
        <v>360</v>
      </c>
      <c r="BH232" s="59"/>
      <c r="BI232" s="58" t="str">
        <f t="shared" si="126"/>
        <v/>
      </c>
      <c r="BJ232" s="59"/>
      <c r="BK232" s="58" t="str">
        <f t="shared" si="127"/>
        <v/>
      </c>
      <c r="BL232" s="59"/>
      <c r="BM232" s="58" t="str">
        <f t="shared" si="128"/>
        <v/>
      </c>
      <c r="BN232" s="59"/>
      <c r="BO232" s="58" t="str">
        <f t="shared" si="129"/>
        <v/>
      </c>
      <c r="BP232" s="59"/>
      <c r="BQ232" s="58" t="str">
        <f t="shared" si="130"/>
        <v/>
      </c>
      <c r="BR232" s="59"/>
      <c r="BS232" s="58" t="str">
        <f t="shared" si="131"/>
        <v/>
      </c>
      <c r="BT232" s="59"/>
      <c r="BU232" s="58" t="str">
        <f t="shared" si="132"/>
        <v/>
      </c>
      <c r="BV232" s="59"/>
      <c r="BW232" s="58" t="str">
        <f t="shared" si="133"/>
        <v/>
      </c>
      <c r="BX232" s="59"/>
      <c r="BY232" s="58" t="str">
        <f t="shared" si="134"/>
        <v/>
      </c>
      <c r="BZ232" s="59"/>
    </row>
    <row r="233" spans="1:78" ht="14.5" hidden="1">
      <c r="A233" s="51" t="s">
        <v>58</v>
      </c>
      <c r="B233" s="52">
        <v>380</v>
      </c>
      <c r="C233" s="52" t="s">
        <v>188</v>
      </c>
      <c r="D233" s="41">
        <f t="shared" si="109"/>
        <v>5</v>
      </c>
      <c r="E233" s="170" t="s">
        <v>646</v>
      </c>
      <c r="F233" s="41" t="s">
        <v>631</v>
      </c>
      <c r="G233" s="52" t="s">
        <v>502</v>
      </c>
      <c r="H233" s="52" t="s">
        <v>289</v>
      </c>
      <c r="I233" s="52" t="s">
        <v>154</v>
      </c>
      <c r="J233" s="52" t="s">
        <v>503</v>
      </c>
      <c r="K233" s="53">
        <v>45689</v>
      </c>
      <c r="L233" s="108">
        <v>300</v>
      </c>
      <c r="M233" s="101">
        <v>0</v>
      </c>
      <c r="N233" s="101"/>
      <c r="O233" s="107">
        <f t="shared" si="103"/>
        <v>300</v>
      </c>
      <c r="P233" s="54">
        <f t="shared" si="104"/>
        <v>300</v>
      </c>
      <c r="Q233" s="101" t="s">
        <v>505</v>
      </c>
      <c r="R233" s="101"/>
      <c r="S233" s="101"/>
      <c r="T233" s="102">
        <f t="shared" si="110"/>
        <v>1.5625</v>
      </c>
      <c r="U233" s="102">
        <v>6</v>
      </c>
      <c r="V233" s="99">
        <f>480/15</f>
        <v>32</v>
      </c>
      <c r="W233" s="55">
        <f t="shared" si="105"/>
        <v>45669</v>
      </c>
      <c r="X233" s="55"/>
      <c r="Y233" s="56">
        <f t="shared" ca="1" si="106"/>
        <v>-171</v>
      </c>
      <c r="Z233" s="55">
        <f t="shared" si="107"/>
        <v>45685</v>
      </c>
      <c r="AA233" s="55"/>
      <c r="AB233" s="56">
        <f t="shared" ca="1" si="108"/>
        <v>-155</v>
      </c>
      <c r="AC233" s="55"/>
      <c r="AD233" s="57"/>
      <c r="AE233" s="58" t="str">
        <f t="shared" si="111"/>
        <v>-</v>
      </c>
      <c r="AF233" s="59"/>
      <c r="AG233" s="58" t="str">
        <f t="shared" si="112"/>
        <v/>
      </c>
      <c r="AH233" s="59"/>
      <c r="AI233" s="58" t="str">
        <f t="shared" si="113"/>
        <v/>
      </c>
      <c r="AJ233" s="59"/>
      <c r="AK233" s="58" t="str">
        <f t="shared" si="114"/>
        <v/>
      </c>
      <c r="AL233" s="59"/>
      <c r="AM233" s="58" t="str">
        <f t="shared" si="115"/>
        <v/>
      </c>
      <c r="AN233" s="59"/>
      <c r="AO233" s="58" t="str">
        <f t="shared" si="116"/>
        <v/>
      </c>
      <c r="AP233" s="59"/>
      <c r="AQ233" s="58" t="str">
        <f t="shared" si="117"/>
        <v/>
      </c>
      <c r="AR233" s="59"/>
      <c r="AS233" s="58" t="str">
        <f t="shared" si="118"/>
        <v/>
      </c>
      <c r="AT233" s="59"/>
      <c r="AU233" s="58" t="str">
        <f t="shared" si="119"/>
        <v/>
      </c>
      <c r="AV233" s="59"/>
      <c r="AW233" s="58" t="str">
        <f t="shared" si="120"/>
        <v/>
      </c>
      <c r="AX233" s="59"/>
      <c r="AY233" s="58" t="str">
        <f t="shared" si="121"/>
        <v/>
      </c>
      <c r="AZ233" s="59"/>
      <c r="BA233" s="58" t="str">
        <f t="shared" si="122"/>
        <v/>
      </c>
      <c r="BB233" s="59"/>
      <c r="BC233" s="58" t="str">
        <f t="shared" si="123"/>
        <v/>
      </c>
      <c r="BD233" s="59"/>
      <c r="BE233" s="58" t="str">
        <f t="shared" si="124"/>
        <v/>
      </c>
      <c r="BF233" s="59"/>
      <c r="BG233" s="58">
        <f t="shared" si="125"/>
        <v>300</v>
      </c>
      <c r="BH233" s="59"/>
      <c r="BI233" s="58" t="str">
        <f t="shared" si="126"/>
        <v/>
      </c>
      <c r="BJ233" s="59"/>
      <c r="BK233" s="58" t="str">
        <f t="shared" si="127"/>
        <v/>
      </c>
      <c r="BL233" s="59"/>
      <c r="BM233" s="58" t="str">
        <f t="shared" si="128"/>
        <v/>
      </c>
      <c r="BN233" s="59"/>
      <c r="BO233" s="58" t="str">
        <f t="shared" si="129"/>
        <v/>
      </c>
      <c r="BP233" s="59"/>
      <c r="BQ233" s="58" t="str">
        <f t="shared" si="130"/>
        <v/>
      </c>
      <c r="BR233" s="59"/>
      <c r="BS233" s="58" t="str">
        <f t="shared" si="131"/>
        <v/>
      </c>
      <c r="BT233" s="59"/>
      <c r="BU233" s="58" t="str">
        <f t="shared" si="132"/>
        <v/>
      </c>
      <c r="BV233" s="59"/>
      <c r="BW233" s="58" t="str">
        <f t="shared" si="133"/>
        <v/>
      </c>
      <c r="BX233" s="59"/>
      <c r="BY233" s="58" t="str">
        <f t="shared" si="134"/>
        <v/>
      </c>
      <c r="BZ233" s="59"/>
    </row>
    <row r="234" spans="1:78" ht="14.5" hidden="1">
      <c r="A234" s="51" t="s">
        <v>446</v>
      </c>
      <c r="B234" s="52" t="s">
        <v>551</v>
      </c>
      <c r="C234" s="52" t="s">
        <v>60</v>
      </c>
      <c r="D234" s="41">
        <f t="shared" si="109"/>
        <v>5</v>
      </c>
      <c r="E234" s="170"/>
      <c r="F234" s="41"/>
      <c r="G234" s="52" t="s">
        <v>187</v>
      </c>
      <c r="H234" s="52" t="s">
        <v>448</v>
      </c>
      <c r="I234" s="52" t="s">
        <v>164</v>
      </c>
      <c r="J234" s="52" t="s">
        <v>449</v>
      </c>
      <c r="K234" s="53">
        <v>45687</v>
      </c>
      <c r="L234" s="108">
        <v>9000</v>
      </c>
      <c r="M234" s="101"/>
      <c r="N234" s="101"/>
      <c r="O234" s="101">
        <f>+L234-N234</f>
        <v>9000</v>
      </c>
      <c r="P234" s="54">
        <f>+L234-M234</f>
        <v>9000</v>
      </c>
      <c r="Q234" s="101" t="s">
        <v>439</v>
      </c>
      <c r="R234" s="101"/>
      <c r="S234" s="101"/>
      <c r="T234" s="102">
        <f t="shared" si="110"/>
        <v>1.3636363636363635</v>
      </c>
      <c r="U234" s="102">
        <v>6</v>
      </c>
      <c r="V234" s="99">
        <v>1100</v>
      </c>
      <c r="W234" s="55">
        <f>+K234-(28)</f>
        <v>45659</v>
      </c>
      <c r="X234" s="55"/>
      <c r="Y234" s="56">
        <f t="shared" ca="1" si="106"/>
        <v>-181</v>
      </c>
      <c r="Z234" s="55">
        <f t="shared" si="107"/>
        <v>45675</v>
      </c>
      <c r="AA234" s="55"/>
      <c r="AB234" s="56">
        <f t="shared" ca="1" si="108"/>
        <v>-165</v>
      </c>
      <c r="AC234" s="55"/>
      <c r="AD234" s="57"/>
      <c r="AE234" s="58" t="str">
        <f t="shared" si="111"/>
        <v>-</v>
      </c>
      <c r="AF234" s="59"/>
      <c r="AG234" s="58" t="str">
        <f t="shared" si="112"/>
        <v/>
      </c>
      <c r="AH234" s="59"/>
      <c r="AI234" s="58" t="str">
        <f t="shared" si="113"/>
        <v/>
      </c>
      <c r="AJ234" s="59"/>
      <c r="AK234" s="58" t="str">
        <f t="shared" si="114"/>
        <v/>
      </c>
      <c r="AL234" s="59"/>
      <c r="AM234" s="58" t="str">
        <f t="shared" si="115"/>
        <v/>
      </c>
      <c r="AN234" s="59"/>
      <c r="AO234" s="58" t="str">
        <f t="shared" si="116"/>
        <v/>
      </c>
      <c r="AP234" s="59"/>
      <c r="AQ234" s="58" t="str">
        <f t="shared" si="117"/>
        <v/>
      </c>
      <c r="AR234" s="59"/>
      <c r="AS234" s="58" t="str">
        <f t="shared" si="118"/>
        <v/>
      </c>
      <c r="AT234" s="59"/>
      <c r="AU234" s="58" t="str">
        <f t="shared" si="119"/>
        <v/>
      </c>
      <c r="AV234" s="59"/>
      <c r="AW234" s="58" t="str">
        <f t="shared" si="120"/>
        <v/>
      </c>
      <c r="AX234" s="59"/>
      <c r="AY234" s="58" t="str">
        <f t="shared" si="121"/>
        <v/>
      </c>
      <c r="AZ234" s="59"/>
      <c r="BA234" s="58" t="str">
        <f t="shared" si="122"/>
        <v/>
      </c>
      <c r="BB234" s="59"/>
      <c r="BC234" s="58">
        <f t="shared" si="123"/>
        <v>9000</v>
      </c>
      <c r="BD234" s="59"/>
      <c r="BE234" s="58" t="str">
        <f t="shared" si="124"/>
        <v/>
      </c>
      <c r="BF234" s="59"/>
      <c r="BG234" s="58" t="str">
        <f t="shared" si="125"/>
        <v/>
      </c>
      <c r="BH234" s="59"/>
      <c r="BI234" s="58" t="str">
        <f t="shared" si="126"/>
        <v/>
      </c>
      <c r="BJ234" s="59"/>
      <c r="BK234" s="58" t="str">
        <f t="shared" si="127"/>
        <v/>
      </c>
      <c r="BL234" s="59"/>
      <c r="BM234" s="58" t="str">
        <f t="shared" si="128"/>
        <v/>
      </c>
      <c r="BN234" s="59"/>
      <c r="BO234" s="58" t="str">
        <f t="shared" si="129"/>
        <v/>
      </c>
      <c r="BP234" s="59"/>
      <c r="BQ234" s="58" t="str">
        <f t="shared" si="130"/>
        <v/>
      </c>
      <c r="BR234" s="59"/>
      <c r="BS234" s="58" t="str">
        <f t="shared" si="131"/>
        <v/>
      </c>
      <c r="BT234" s="59"/>
      <c r="BU234" s="58" t="str">
        <f t="shared" si="132"/>
        <v/>
      </c>
      <c r="BV234" s="59"/>
      <c r="BW234" s="58" t="str">
        <f t="shared" si="133"/>
        <v/>
      </c>
      <c r="BX234" s="59"/>
      <c r="BY234" s="58" t="str">
        <f t="shared" si="134"/>
        <v/>
      </c>
      <c r="BZ234" s="59"/>
    </row>
    <row r="235" spans="1:78" ht="14.5" hidden="1">
      <c r="A235" s="51" t="s">
        <v>446</v>
      </c>
      <c r="B235" s="52" t="s">
        <v>551</v>
      </c>
      <c r="C235" s="52" t="s">
        <v>60</v>
      </c>
      <c r="D235" s="41">
        <f t="shared" si="109"/>
        <v>5</v>
      </c>
      <c r="E235" s="170"/>
      <c r="F235" s="41"/>
      <c r="G235" s="52" t="s">
        <v>187</v>
      </c>
      <c r="H235" s="52" t="s">
        <v>448</v>
      </c>
      <c r="I235" s="52" t="s">
        <v>155</v>
      </c>
      <c r="J235" s="52" t="s">
        <v>449</v>
      </c>
      <c r="K235" s="53">
        <v>45687</v>
      </c>
      <c r="L235" s="108">
        <v>9000</v>
      </c>
      <c r="M235" s="101"/>
      <c r="N235" s="101"/>
      <c r="O235" s="101">
        <f>+L235-N235</f>
        <v>9000</v>
      </c>
      <c r="P235" s="54">
        <f>+L235-M235</f>
        <v>9000</v>
      </c>
      <c r="Q235" s="101" t="s">
        <v>504</v>
      </c>
      <c r="R235" s="101"/>
      <c r="S235" s="101"/>
      <c r="T235" s="102">
        <f t="shared" si="110"/>
        <v>1.3636363636363635</v>
      </c>
      <c r="U235" s="102">
        <v>6</v>
      </c>
      <c r="V235" s="99">
        <v>1100</v>
      </c>
      <c r="W235" s="55">
        <f>+K235-(28)</f>
        <v>45659</v>
      </c>
      <c r="X235" s="55"/>
      <c r="Y235" s="56">
        <f t="shared" ca="1" si="106"/>
        <v>-181</v>
      </c>
      <c r="Z235" s="55">
        <f t="shared" si="107"/>
        <v>45675</v>
      </c>
      <c r="AA235" s="55"/>
      <c r="AB235" s="56">
        <f t="shared" ca="1" si="108"/>
        <v>-165</v>
      </c>
      <c r="AC235" s="55"/>
      <c r="AD235" s="57"/>
      <c r="AE235" s="58" t="str">
        <f t="shared" si="111"/>
        <v>-</v>
      </c>
      <c r="AF235" s="59"/>
      <c r="AG235" s="58" t="str">
        <f t="shared" si="112"/>
        <v/>
      </c>
      <c r="AH235" s="59"/>
      <c r="AI235" s="58" t="str">
        <f t="shared" si="113"/>
        <v/>
      </c>
      <c r="AJ235" s="59"/>
      <c r="AK235" s="58" t="str">
        <f t="shared" si="114"/>
        <v/>
      </c>
      <c r="AL235" s="59"/>
      <c r="AM235" s="58" t="str">
        <f t="shared" si="115"/>
        <v/>
      </c>
      <c r="AN235" s="59"/>
      <c r="AO235" s="58" t="str">
        <f t="shared" si="116"/>
        <v/>
      </c>
      <c r="AP235" s="59"/>
      <c r="AQ235" s="58" t="str">
        <f t="shared" si="117"/>
        <v/>
      </c>
      <c r="AR235" s="59"/>
      <c r="AS235" s="58" t="str">
        <f t="shared" si="118"/>
        <v/>
      </c>
      <c r="AT235" s="59"/>
      <c r="AU235" s="58" t="str">
        <f t="shared" si="119"/>
        <v/>
      </c>
      <c r="AV235" s="59"/>
      <c r="AW235" s="58" t="str">
        <f t="shared" si="120"/>
        <v/>
      </c>
      <c r="AX235" s="59"/>
      <c r="AY235" s="58" t="str">
        <f t="shared" si="121"/>
        <v/>
      </c>
      <c r="AZ235" s="59"/>
      <c r="BA235" s="58" t="str">
        <f t="shared" si="122"/>
        <v/>
      </c>
      <c r="BB235" s="59"/>
      <c r="BC235" s="58">
        <f t="shared" si="123"/>
        <v>9000</v>
      </c>
      <c r="BD235" s="59"/>
      <c r="BE235" s="58" t="str">
        <f t="shared" si="124"/>
        <v/>
      </c>
      <c r="BF235" s="59"/>
      <c r="BG235" s="58" t="str">
        <f t="shared" si="125"/>
        <v/>
      </c>
      <c r="BH235" s="59"/>
      <c r="BI235" s="58" t="str">
        <f t="shared" si="126"/>
        <v/>
      </c>
      <c r="BJ235" s="59"/>
      <c r="BK235" s="58" t="str">
        <f t="shared" si="127"/>
        <v/>
      </c>
      <c r="BL235" s="59"/>
      <c r="BM235" s="58" t="str">
        <f t="shared" si="128"/>
        <v/>
      </c>
      <c r="BN235" s="59"/>
      <c r="BO235" s="58" t="str">
        <f t="shared" si="129"/>
        <v/>
      </c>
      <c r="BP235" s="59"/>
      <c r="BQ235" s="58" t="str">
        <f t="shared" si="130"/>
        <v/>
      </c>
      <c r="BR235" s="59"/>
      <c r="BS235" s="58" t="str">
        <f t="shared" si="131"/>
        <v/>
      </c>
      <c r="BT235" s="59"/>
      <c r="BU235" s="58" t="str">
        <f t="shared" si="132"/>
        <v/>
      </c>
      <c r="BV235" s="59"/>
      <c r="BW235" s="58" t="str">
        <f t="shared" si="133"/>
        <v/>
      </c>
      <c r="BX235" s="59"/>
      <c r="BY235" s="58" t="str">
        <f t="shared" si="134"/>
        <v/>
      </c>
      <c r="BZ235" s="59"/>
    </row>
    <row r="236" spans="1:78" ht="14.5" hidden="1">
      <c r="A236" s="51" t="s">
        <v>446</v>
      </c>
      <c r="B236" s="52" t="s">
        <v>551</v>
      </c>
      <c r="C236" s="52" t="s">
        <v>60</v>
      </c>
      <c r="D236" s="41">
        <f t="shared" si="109"/>
        <v>5</v>
      </c>
      <c r="E236" s="170"/>
      <c r="F236" s="41"/>
      <c r="G236" s="52" t="s">
        <v>187</v>
      </c>
      <c r="H236" s="52" t="s">
        <v>448</v>
      </c>
      <c r="I236" s="52" t="s">
        <v>450</v>
      </c>
      <c r="J236" s="52" t="s">
        <v>449</v>
      </c>
      <c r="K236" s="53">
        <v>45687</v>
      </c>
      <c r="L236" s="108">
        <v>6000</v>
      </c>
      <c r="M236" s="101"/>
      <c r="N236" s="101"/>
      <c r="O236" s="101">
        <f>+L236-N236</f>
        <v>6000</v>
      </c>
      <c r="P236" s="54">
        <f>+L236-M236</f>
        <v>6000</v>
      </c>
      <c r="Q236" s="101" t="s">
        <v>630</v>
      </c>
      <c r="R236" s="101"/>
      <c r="S236" s="101"/>
      <c r="T236" s="102">
        <f t="shared" si="110"/>
        <v>0.90909090909090906</v>
      </c>
      <c r="U236" s="102">
        <v>6</v>
      </c>
      <c r="V236" s="99">
        <v>1100</v>
      </c>
      <c r="W236" s="55">
        <f>+K236-(28)</f>
        <v>45659</v>
      </c>
      <c r="X236" s="55"/>
      <c r="Y236" s="56">
        <f t="shared" ca="1" si="106"/>
        <v>-181</v>
      </c>
      <c r="Z236" s="55">
        <f t="shared" si="107"/>
        <v>45675</v>
      </c>
      <c r="AA236" s="55"/>
      <c r="AB236" s="56">
        <f t="shared" ca="1" si="108"/>
        <v>-165</v>
      </c>
      <c r="AC236" s="55"/>
      <c r="AD236" s="57"/>
      <c r="AE236" s="58" t="str">
        <f t="shared" si="111"/>
        <v>-</v>
      </c>
      <c r="AF236" s="59"/>
      <c r="AG236" s="58" t="str">
        <f t="shared" si="112"/>
        <v/>
      </c>
      <c r="AH236" s="59"/>
      <c r="AI236" s="58" t="str">
        <f t="shared" si="113"/>
        <v/>
      </c>
      <c r="AJ236" s="59"/>
      <c r="AK236" s="58" t="str">
        <f t="shared" si="114"/>
        <v/>
      </c>
      <c r="AL236" s="59"/>
      <c r="AM236" s="58" t="str">
        <f t="shared" si="115"/>
        <v/>
      </c>
      <c r="AN236" s="59"/>
      <c r="AO236" s="58" t="str">
        <f t="shared" si="116"/>
        <v/>
      </c>
      <c r="AP236" s="59"/>
      <c r="AQ236" s="58" t="str">
        <f t="shared" si="117"/>
        <v/>
      </c>
      <c r="AR236" s="59"/>
      <c r="AS236" s="58" t="str">
        <f t="shared" si="118"/>
        <v/>
      </c>
      <c r="AT236" s="59"/>
      <c r="AU236" s="58" t="str">
        <f t="shared" si="119"/>
        <v/>
      </c>
      <c r="AV236" s="59"/>
      <c r="AW236" s="58" t="str">
        <f t="shared" si="120"/>
        <v/>
      </c>
      <c r="AX236" s="59"/>
      <c r="AY236" s="58" t="str">
        <f t="shared" si="121"/>
        <v/>
      </c>
      <c r="AZ236" s="59"/>
      <c r="BA236" s="58" t="str">
        <f t="shared" si="122"/>
        <v/>
      </c>
      <c r="BB236" s="59"/>
      <c r="BC236" s="58">
        <f t="shared" si="123"/>
        <v>6000</v>
      </c>
      <c r="BD236" s="59"/>
      <c r="BE236" s="58" t="str">
        <f t="shared" si="124"/>
        <v/>
      </c>
      <c r="BF236" s="59"/>
      <c r="BG236" s="58" t="str">
        <f t="shared" si="125"/>
        <v/>
      </c>
      <c r="BH236" s="59"/>
      <c r="BI236" s="58" t="str">
        <f t="shared" si="126"/>
        <v/>
      </c>
      <c r="BJ236" s="59"/>
      <c r="BK236" s="58" t="str">
        <f t="shared" si="127"/>
        <v/>
      </c>
      <c r="BL236" s="59"/>
      <c r="BM236" s="58" t="str">
        <f t="shared" si="128"/>
        <v/>
      </c>
      <c r="BN236" s="59"/>
      <c r="BO236" s="58" t="str">
        <f t="shared" si="129"/>
        <v/>
      </c>
      <c r="BP236" s="59"/>
      <c r="BQ236" s="58" t="str">
        <f t="shared" si="130"/>
        <v/>
      </c>
      <c r="BR236" s="59"/>
      <c r="BS236" s="58" t="str">
        <f t="shared" si="131"/>
        <v/>
      </c>
      <c r="BT236" s="59"/>
      <c r="BU236" s="58" t="str">
        <f t="shared" si="132"/>
        <v/>
      </c>
      <c r="BV236" s="59"/>
      <c r="BW236" s="58" t="str">
        <f t="shared" si="133"/>
        <v/>
      </c>
      <c r="BX236" s="59"/>
      <c r="BY236" s="58" t="str">
        <f t="shared" si="134"/>
        <v/>
      </c>
      <c r="BZ236" s="59"/>
    </row>
    <row r="237" spans="1:78" ht="14.5" hidden="1">
      <c r="A237" s="51" t="s">
        <v>58</v>
      </c>
      <c r="B237" s="52">
        <v>380</v>
      </c>
      <c r="C237" s="52" t="s">
        <v>188</v>
      </c>
      <c r="D237" s="41">
        <f t="shared" si="109"/>
        <v>5</v>
      </c>
      <c r="E237" s="170" t="s">
        <v>646</v>
      </c>
      <c r="F237" s="41" t="s">
        <v>631</v>
      </c>
      <c r="G237" s="52" t="s">
        <v>502</v>
      </c>
      <c r="H237" s="52" t="s">
        <v>289</v>
      </c>
      <c r="I237" s="52" t="s">
        <v>156</v>
      </c>
      <c r="J237" s="52" t="s">
        <v>503</v>
      </c>
      <c r="K237" s="53">
        <v>45689</v>
      </c>
      <c r="L237" s="108">
        <v>240</v>
      </c>
      <c r="M237" s="101">
        <v>0</v>
      </c>
      <c r="N237" s="101"/>
      <c r="O237" s="107">
        <f t="shared" ref="O237:O300" si="135">+L237-N237</f>
        <v>240</v>
      </c>
      <c r="P237" s="54">
        <f t="shared" ref="P237:P300" si="136">+L237-M237</f>
        <v>240</v>
      </c>
      <c r="Q237" s="101" t="s">
        <v>506</v>
      </c>
      <c r="R237" s="101"/>
      <c r="S237" s="101"/>
      <c r="T237" s="102">
        <f t="shared" si="110"/>
        <v>1.25</v>
      </c>
      <c r="U237" s="102">
        <v>6</v>
      </c>
      <c r="V237" s="99">
        <f>480/15</f>
        <v>32</v>
      </c>
      <c r="W237" s="55">
        <f t="shared" ref="W237:W255" si="137">+K237-(20)</f>
        <v>45669</v>
      </c>
      <c r="X237" s="55"/>
      <c r="Y237" s="56">
        <f t="shared" ca="1" si="106"/>
        <v>-171</v>
      </c>
      <c r="Z237" s="55">
        <f t="shared" si="107"/>
        <v>45685</v>
      </c>
      <c r="AA237" s="55"/>
      <c r="AB237" s="56">
        <f t="shared" ca="1" si="108"/>
        <v>-155</v>
      </c>
      <c r="AC237" s="55"/>
      <c r="AD237" s="57"/>
      <c r="AE237" s="58" t="str">
        <f t="shared" si="111"/>
        <v>-</v>
      </c>
      <c r="AF237" s="59"/>
      <c r="AG237" s="58" t="str">
        <f t="shared" si="112"/>
        <v/>
      </c>
      <c r="AH237" s="59"/>
      <c r="AI237" s="58" t="str">
        <f t="shared" si="113"/>
        <v/>
      </c>
      <c r="AJ237" s="59"/>
      <c r="AK237" s="58" t="str">
        <f t="shared" si="114"/>
        <v/>
      </c>
      <c r="AL237" s="59"/>
      <c r="AM237" s="58" t="str">
        <f t="shared" si="115"/>
        <v/>
      </c>
      <c r="AN237" s="59"/>
      <c r="AO237" s="58" t="str">
        <f t="shared" si="116"/>
        <v/>
      </c>
      <c r="AP237" s="59"/>
      <c r="AQ237" s="58" t="str">
        <f t="shared" si="117"/>
        <v/>
      </c>
      <c r="AR237" s="59"/>
      <c r="AS237" s="58" t="str">
        <f t="shared" si="118"/>
        <v/>
      </c>
      <c r="AT237" s="59"/>
      <c r="AU237" s="58" t="str">
        <f t="shared" si="119"/>
        <v/>
      </c>
      <c r="AV237" s="59"/>
      <c r="AW237" s="58" t="str">
        <f t="shared" si="120"/>
        <v/>
      </c>
      <c r="AX237" s="59"/>
      <c r="AY237" s="58" t="str">
        <f t="shared" si="121"/>
        <v/>
      </c>
      <c r="AZ237" s="59"/>
      <c r="BA237" s="58" t="str">
        <f t="shared" si="122"/>
        <v/>
      </c>
      <c r="BB237" s="59"/>
      <c r="BC237" s="58" t="str">
        <f t="shared" si="123"/>
        <v/>
      </c>
      <c r="BD237" s="59"/>
      <c r="BE237" s="58" t="str">
        <f t="shared" si="124"/>
        <v/>
      </c>
      <c r="BF237" s="59"/>
      <c r="BG237" s="58">
        <f t="shared" si="125"/>
        <v>240</v>
      </c>
      <c r="BH237" s="59"/>
      <c r="BI237" s="58" t="str">
        <f t="shared" si="126"/>
        <v/>
      </c>
      <c r="BJ237" s="59"/>
      <c r="BK237" s="58" t="str">
        <f t="shared" si="127"/>
        <v/>
      </c>
      <c r="BL237" s="59"/>
      <c r="BM237" s="58" t="str">
        <f t="shared" si="128"/>
        <v/>
      </c>
      <c r="BN237" s="59"/>
      <c r="BO237" s="58" t="str">
        <f t="shared" si="129"/>
        <v/>
      </c>
      <c r="BP237" s="59"/>
      <c r="BQ237" s="58" t="str">
        <f t="shared" si="130"/>
        <v/>
      </c>
      <c r="BR237" s="59"/>
      <c r="BS237" s="58" t="str">
        <f t="shared" si="131"/>
        <v/>
      </c>
      <c r="BT237" s="59"/>
      <c r="BU237" s="58" t="str">
        <f t="shared" si="132"/>
        <v/>
      </c>
      <c r="BV237" s="59"/>
      <c r="BW237" s="58" t="str">
        <f t="shared" si="133"/>
        <v/>
      </c>
      <c r="BX237" s="59"/>
      <c r="BY237" s="58" t="str">
        <f t="shared" si="134"/>
        <v/>
      </c>
      <c r="BZ237" s="59"/>
    </row>
    <row r="238" spans="1:78" ht="14.5" hidden="1">
      <c r="A238" s="51" t="s">
        <v>58</v>
      </c>
      <c r="B238" s="52">
        <v>380</v>
      </c>
      <c r="C238" s="52" t="s">
        <v>188</v>
      </c>
      <c r="D238" s="41">
        <f t="shared" si="109"/>
        <v>5</v>
      </c>
      <c r="E238" s="170" t="s">
        <v>631</v>
      </c>
      <c r="F238" s="41" t="s">
        <v>631</v>
      </c>
      <c r="G238" s="52" t="s">
        <v>157</v>
      </c>
      <c r="H238" s="52" t="s">
        <v>243</v>
      </c>
      <c r="I238" s="52" t="s">
        <v>162</v>
      </c>
      <c r="J238" s="52" t="s">
        <v>428</v>
      </c>
      <c r="K238" s="53">
        <v>45689</v>
      </c>
      <c r="L238" s="108">
        <v>3792</v>
      </c>
      <c r="M238" s="101">
        <v>3792</v>
      </c>
      <c r="N238" s="101">
        <v>3792</v>
      </c>
      <c r="O238" s="107">
        <f t="shared" si="135"/>
        <v>0</v>
      </c>
      <c r="P238" s="54">
        <f t="shared" si="136"/>
        <v>0</v>
      </c>
      <c r="Q238" s="101" t="s">
        <v>429</v>
      </c>
      <c r="R238" s="101"/>
      <c r="S238" s="101"/>
      <c r="T238" s="102">
        <f t="shared" si="110"/>
        <v>0.63200000000000001</v>
      </c>
      <c r="U238" s="102">
        <v>6</v>
      </c>
      <c r="V238" s="99">
        <v>1000</v>
      </c>
      <c r="W238" s="55">
        <f t="shared" si="137"/>
        <v>45669</v>
      </c>
      <c r="X238" s="55"/>
      <c r="Y238" s="56">
        <f t="shared" ca="1" si="106"/>
        <v>-171</v>
      </c>
      <c r="Z238" s="55">
        <f t="shared" si="107"/>
        <v>45685</v>
      </c>
      <c r="AA238" s="55"/>
      <c r="AB238" s="56">
        <f t="shared" ca="1" si="108"/>
        <v>-155</v>
      </c>
      <c r="AC238" s="55"/>
      <c r="AD238" s="57"/>
      <c r="AE238" s="58" t="str">
        <f t="shared" si="111"/>
        <v>-</v>
      </c>
      <c r="AF238" s="59"/>
      <c r="AG238" s="58" t="str">
        <f t="shared" si="112"/>
        <v/>
      </c>
      <c r="AH238" s="59"/>
      <c r="AI238" s="58" t="str">
        <f t="shared" si="113"/>
        <v/>
      </c>
      <c r="AJ238" s="59"/>
      <c r="AK238" s="58" t="str">
        <f t="shared" si="114"/>
        <v/>
      </c>
      <c r="AL238" s="59"/>
      <c r="AM238" s="58" t="str">
        <f t="shared" si="115"/>
        <v/>
      </c>
      <c r="AN238" s="59"/>
      <c r="AO238" s="58" t="str">
        <f t="shared" si="116"/>
        <v/>
      </c>
      <c r="AP238" s="59"/>
      <c r="AQ238" s="58" t="str">
        <f t="shared" si="117"/>
        <v/>
      </c>
      <c r="AR238" s="59"/>
      <c r="AS238" s="58" t="str">
        <f t="shared" si="118"/>
        <v/>
      </c>
      <c r="AT238" s="59"/>
      <c r="AU238" s="58" t="str">
        <f t="shared" si="119"/>
        <v/>
      </c>
      <c r="AV238" s="59"/>
      <c r="AW238" s="58" t="str">
        <f t="shared" si="120"/>
        <v/>
      </c>
      <c r="AX238" s="59"/>
      <c r="AY238" s="58" t="str">
        <f t="shared" si="121"/>
        <v/>
      </c>
      <c r="AZ238" s="59"/>
      <c r="BA238" s="58" t="str">
        <f t="shared" si="122"/>
        <v/>
      </c>
      <c r="BB238" s="59"/>
      <c r="BC238" s="58" t="str">
        <f t="shared" si="123"/>
        <v/>
      </c>
      <c r="BD238" s="59"/>
      <c r="BE238" s="58" t="str">
        <f t="shared" si="124"/>
        <v/>
      </c>
      <c r="BF238" s="59"/>
      <c r="BG238" s="58">
        <f t="shared" si="125"/>
        <v>3792</v>
      </c>
      <c r="BH238" s="59"/>
      <c r="BI238" s="58" t="str">
        <f t="shared" si="126"/>
        <v/>
      </c>
      <c r="BJ238" s="59"/>
      <c r="BK238" s="58" t="str">
        <f t="shared" si="127"/>
        <v/>
      </c>
      <c r="BL238" s="59"/>
      <c r="BM238" s="58" t="str">
        <f t="shared" si="128"/>
        <v/>
      </c>
      <c r="BN238" s="59"/>
      <c r="BO238" s="58" t="str">
        <f t="shared" si="129"/>
        <v/>
      </c>
      <c r="BP238" s="59"/>
      <c r="BQ238" s="58" t="str">
        <f t="shared" si="130"/>
        <v/>
      </c>
      <c r="BR238" s="59"/>
      <c r="BS238" s="58" t="str">
        <f t="shared" si="131"/>
        <v/>
      </c>
      <c r="BT238" s="59"/>
      <c r="BU238" s="58" t="str">
        <f t="shared" si="132"/>
        <v/>
      </c>
      <c r="BV238" s="59"/>
      <c r="BW238" s="58" t="str">
        <f t="shared" si="133"/>
        <v/>
      </c>
      <c r="BX238" s="59"/>
      <c r="BY238" s="58" t="str">
        <f t="shared" si="134"/>
        <v/>
      </c>
      <c r="BZ238" s="59"/>
    </row>
    <row r="239" spans="1:78" ht="14.5" hidden="1">
      <c r="A239" s="51" t="s">
        <v>58</v>
      </c>
      <c r="B239" s="52">
        <v>380</v>
      </c>
      <c r="C239" s="52" t="s">
        <v>188</v>
      </c>
      <c r="D239" s="41">
        <f t="shared" si="109"/>
        <v>5</v>
      </c>
      <c r="E239" s="170" t="s">
        <v>631</v>
      </c>
      <c r="F239" s="41" t="s">
        <v>631</v>
      </c>
      <c r="G239" s="52" t="s">
        <v>390</v>
      </c>
      <c r="H239" s="52" t="s">
        <v>242</v>
      </c>
      <c r="I239" s="52" t="s">
        <v>162</v>
      </c>
      <c r="J239" s="52" t="s">
        <v>497</v>
      </c>
      <c r="K239" s="53">
        <v>45689</v>
      </c>
      <c r="L239" s="108">
        <v>3276</v>
      </c>
      <c r="M239" s="101">
        <v>3276</v>
      </c>
      <c r="N239" s="101">
        <v>3276</v>
      </c>
      <c r="O239" s="107">
        <f t="shared" si="135"/>
        <v>0</v>
      </c>
      <c r="P239" s="54">
        <f t="shared" si="136"/>
        <v>0</v>
      </c>
      <c r="Q239" s="101" t="s">
        <v>431</v>
      </c>
      <c r="R239" s="101"/>
      <c r="S239" s="101"/>
      <c r="T239" s="102">
        <f t="shared" si="110"/>
        <v>4.55</v>
      </c>
      <c r="U239" s="102">
        <v>6</v>
      </c>
      <c r="V239" s="99">
        <v>120</v>
      </c>
      <c r="W239" s="55">
        <f t="shared" si="137"/>
        <v>45669</v>
      </c>
      <c r="X239" s="55"/>
      <c r="Y239" s="56">
        <f t="shared" ca="1" si="106"/>
        <v>-171</v>
      </c>
      <c r="Z239" s="55">
        <f t="shared" si="107"/>
        <v>45685</v>
      </c>
      <c r="AA239" s="55"/>
      <c r="AB239" s="56">
        <f t="shared" ca="1" si="108"/>
        <v>-155</v>
      </c>
      <c r="AC239" s="55"/>
      <c r="AD239" s="57"/>
      <c r="AE239" s="58" t="str">
        <f t="shared" si="111"/>
        <v>-</v>
      </c>
      <c r="AF239" s="59"/>
      <c r="AG239" s="58" t="str">
        <f t="shared" si="112"/>
        <v/>
      </c>
      <c r="AH239" s="59"/>
      <c r="AI239" s="58" t="str">
        <f t="shared" si="113"/>
        <v/>
      </c>
      <c r="AJ239" s="59"/>
      <c r="AK239" s="58" t="str">
        <f t="shared" si="114"/>
        <v/>
      </c>
      <c r="AL239" s="59"/>
      <c r="AM239" s="58" t="str">
        <f t="shared" si="115"/>
        <v/>
      </c>
      <c r="AN239" s="59"/>
      <c r="AO239" s="58" t="str">
        <f t="shared" si="116"/>
        <v/>
      </c>
      <c r="AP239" s="59"/>
      <c r="AQ239" s="58" t="str">
        <f t="shared" si="117"/>
        <v/>
      </c>
      <c r="AR239" s="59"/>
      <c r="AS239" s="58" t="str">
        <f t="shared" si="118"/>
        <v/>
      </c>
      <c r="AT239" s="59"/>
      <c r="AU239" s="58" t="str">
        <f t="shared" si="119"/>
        <v/>
      </c>
      <c r="AV239" s="59"/>
      <c r="AW239" s="58" t="str">
        <f t="shared" si="120"/>
        <v/>
      </c>
      <c r="AX239" s="59"/>
      <c r="AY239" s="58" t="str">
        <f t="shared" si="121"/>
        <v/>
      </c>
      <c r="AZ239" s="59"/>
      <c r="BA239" s="58" t="str">
        <f t="shared" si="122"/>
        <v/>
      </c>
      <c r="BB239" s="59"/>
      <c r="BC239" s="58" t="str">
        <f t="shared" si="123"/>
        <v/>
      </c>
      <c r="BD239" s="59"/>
      <c r="BE239" s="58" t="str">
        <f t="shared" si="124"/>
        <v/>
      </c>
      <c r="BF239" s="59"/>
      <c r="BG239" s="58">
        <f t="shared" si="125"/>
        <v>3276</v>
      </c>
      <c r="BH239" s="59"/>
      <c r="BI239" s="58" t="str">
        <f t="shared" si="126"/>
        <v/>
      </c>
      <c r="BJ239" s="59"/>
      <c r="BK239" s="58" t="str">
        <f t="shared" si="127"/>
        <v/>
      </c>
      <c r="BL239" s="59"/>
      <c r="BM239" s="58" t="str">
        <f t="shared" si="128"/>
        <v/>
      </c>
      <c r="BN239" s="59"/>
      <c r="BO239" s="58" t="str">
        <f t="shared" si="129"/>
        <v/>
      </c>
      <c r="BP239" s="59"/>
      <c r="BQ239" s="58" t="str">
        <f t="shared" si="130"/>
        <v/>
      </c>
      <c r="BR239" s="59"/>
      <c r="BS239" s="58" t="str">
        <f t="shared" si="131"/>
        <v/>
      </c>
      <c r="BT239" s="59"/>
      <c r="BU239" s="58" t="str">
        <f t="shared" si="132"/>
        <v/>
      </c>
      <c r="BV239" s="59"/>
      <c r="BW239" s="58" t="str">
        <f t="shared" si="133"/>
        <v/>
      </c>
      <c r="BX239" s="59"/>
      <c r="BY239" s="58" t="str">
        <f t="shared" si="134"/>
        <v/>
      </c>
      <c r="BZ239" s="59"/>
    </row>
    <row r="240" spans="1:78" ht="14.5" hidden="1">
      <c r="A240" s="51" t="s">
        <v>58</v>
      </c>
      <c r="B240" s="52">
        <v>381</v>
      </c>
      <c r="C240" s="52" t="s">
        <v>188</v>
      </c>
      <c r="D240" s="41">
        <f t="shared" si="109"/>
        <v>5</v>
      </c>
      <c r="E240" s="170">
        <v>45667</v>
      </c>
      <c r="F240" s="41" t="s">
        <v>631</v>
      </c>
      <c r="G240" s="52" t="s">
        <v>193</v>
      </c>
      <c r="H240" s="52" t="s">
        <v>300</v>
      </c>
      <c r="I240" s="52" t="s">
        <v>162</v>
      </c>
      <c r="J240" s="52" t="s">
        <v>440</v>
      </c>
      <c r="K240" s="53">
        <v>45689</v>
      </c>
      <c r="L240" s="108">
        <v>2080</v>
      </c>
      <c r="M240" s="101"/>
      <c r="N240" s="101"/>
      <c r="O240" s="107">
        <f t="shared" si="135"/>
        <v>2080</v>
      </c>
      <c r="P240" s="54">
        <f t="shared" si="136"/>
        <v>2080</v>
      </c>
      <c r="Q240" s="101" t="s">
        <v>178</v>
      </c>
      <c r="R240" s="101"/>
      <c r="S240" s="101"/>
      <c r="T240" s="102">
        <f t="shared" si="110"/>
        <v>2.8888888888888888</v>
      </c>
      <c r="U240" s="102">
        <v>6</v>
      </c>
      <c r="V240" s="99">
        <v>120</v>
      </c>
      <c r="W240" s="55">
        <f t="shared" si="137"/>
        <v>45669</v>
      </c>
      <c r="X240" s="55"/>
      <c r="Y240" s="56">
        <f t="shared" ca="1" si="106"/>
        <v>-171</v>
      </c>
      <c r="Z240" s="55">
        <f t="shared" si="107"/>
        <v>45685</v>
      </c>
      <c r="AA240" s="55"/>
      <c r="AB240" s="56">
        <f t="shared" ca="1" si="108"/>
        <v>-155</v>
      </c>
      <c r="AC240" s="55"/>
      <c r="AD240" s="57"/>
      <c r="AE240" s="58" t="str">
        <f t="shared" si="111"/>
        <v>-</v>
      </c>
      <c r="AF240" s="59"/>
      <c r="AG240" s="58" t="str">
        <f t="shared" si="112"/>
        <v/>
      </c>
      <c r="AH240" s="59"/>
      <c r="AI240" s="58" t="str">
        <f t="shared" si="113"/>
        <v/>
      </c>
      <c r="AJ240" s="59"/>
      <c r="AK240" s="58" t="str">
        <f t="shared" si="114"/>
        <v/>
      </c>
      <c r="AL240" s="59"/>
      <c r="AM240" s="58" t="str">
        <f t="shared" si="115"/>
        <v/>
      </c>
      <c r="AN240" s="59"/>
      <c r="AO240" s="58" t="str">
        <f t="shared" si="116"/>
        <v/>
      </c>
      <c r="AP240" s="59"/>
      <c r="AQ240" s="58" t="str">
        <f t="shared" si="117"/>
        <v/>
      </c>
      <c r="AR240" s="59"/>
      <c r="AS240" s="58" t="str">
        <f t="shared" si="118"/>
        <v/>
      </c>
      <c r="AT240" s="59"/>
      <c r="AU240" s="58" t="str">
        <f t="shared" si="119"/>
        <v/>
      </c>
      <c r="AV240" s="59"/>
      <c r="AW240" s="58" t="str">
        <f t="shared" si="120"/>
        <v/>
      </c>
      <c r="AX240" s="59"/>
      <c r="AY240" s="58" t="str">
        <f t="shared" si="121"/>
        <v/>
      </c>
      <c r="AZ240" s="59"/>
      <c r="BA240" s="58" t="str">
        <f t="shared" si="122"/>
        <v/>
      </c>
      <c r="BB240" s="59"/>
      <c r="BC240" s="58" t="str">
        <f t="shared" si="123"/>
        <v/>
      </c>
      <c r="BD240" s="59"/>
      <c r="BE240" s="58" t="str">
        <f t="shared" si="124"/>
        <v/>
      </c>
      <c r="BF240" s="59"/>
      <c r="BG240" s="58">
        <f t="shared" si="125"/>
        <v>2080</v>
      </c>
      <c r="BH240" s="59"/>
      <c r="BI240" s="58" t="str">
        <f t="shared" si="126"/>
        <v/>
      </c>
      <c r="BJ240" s="59"/>
      <c r="BK240" s="58" t="str">
        <f t="shared" si="127"/>
        <v/>
      </c>
      <c r="BL240" s="59"/>
      <c r="BM240" s="58" t="str">
        <f t="shared" si="128"/>
        <v/>
      </c>
      <c r="BN240" s="59"/>
      <c r="BO240" s="58" t="str">
        <f t="shared" si="129"/>
        <v/>
      </c>
      <c r="BP240" s="59"/>
      <c r="BQ240" s="58" t="str">
        <f t="shared" si="130"/>
        <v/>
      </c>
      <c r="BR240" s="59"/>
      <c r="BS240" s="58" t="str">
        <f t="shared" si="131"/>
        <v/>
      </c>
      <c r="BT240" s="59"/>
      <c r="BU240" s="58" t="str">
        <f t="shared" si="132"/>
        <v/>
      </c>
      <c r="BV240" s="59"/>
      <c r="BW240" s="58" t="str">
        <f t="shared" si="133"/>
        <v/>
      </c>
      <c r="BX240" s="59"/>
      <c r="BY240" s="58" t="str">
        <f t="shared" si="134"/>
        <v/>
      </c>
      <c r="BZ240" s="59"/>
    </row>
    <row r="241" spans="1:78" ht="14.5" hidden="1">
      <c r="A241" s="51" t="s">
        <v>58</v>
      </c>
      <c r="B241" s="52">
        <v>381</v>
      </c>
      <c r="C241" s="52" t="s">
        <v>188</v>
      </c>
      <c r="D241" s="41">
        <f t="shared" si="109"/>
        <v>5</v>
      </c>
      <c r="E241" s="170">
        <v>45667</v>
      </c>
      <c r="F241" s="41" t="s">
        <v>631</v>
      </c>
      <c r="G241" s="52" t="s">
        <v>136</v>
      </c>
      <c r="H241" s="52" t="s">
        <v>247</v>
      </c>
      <c r="I241" s="52" t="s">
        <v>162</v>
      </c>
      <c r="J241" s="52" t="s">
        <v>442</v>
      </c>
      <c r="K241" s="53">
        <v>45689</v>
      </c>
      <c r="L241" s="108">
        <v>8160</v>
      </c>
      <c r="M241" s="101">
        <v>8160</v>
      </c>
      <c r="N241" s="101">
        <v>1320</v>
      </c>
      <c r="O241" s="107">
        <f t="shared" si="135"/>
        <v>6840</v>
      </c>
      <c r="P241" s="54">
        <f t="shared" si="136"/>
        <v>0</v>
      </c>
      <c r="Q241" s="101" t="s">
        <v>678</v>
      </c>
      <c r="R241" s="101"/>
      <c r="S241" s="101"/>
      <c r="T241" s="102">
        <f t="shared" si="110"/>
        <v>4.6628571428571428</v>
      </c>
      <c r="U241" s="102">
        <v>5</v>
      </c>
      <c r="V241" s="99">
        <v>350</v>
      </c>
      <c r="W241" s="55">
        <f t="shared" si="137"/>
        <v>45669</v>
      </c>
      <c r="X241" s="55"/>
      <c r="Y241" s="56">
        <f t="shared" ca="1" si="106"/>
        <v>-171</v>
      </c>
      <c r="Z241" s="55">
        <f t="shared" si="107"/>
        <v>45685</v>
      </c>
      <c r="AA241" s="55"/>
      <c r="AB241" s="56">
        <f t="shared" ca="1" si="108"/>
        <v>-155</v>
      </c>
      <c r="AC241" s="55"/>
      <c r="AD241" s="57"/>
      <c r="AE241" s="58" t="str">
        <f t="shared" si="111"/>
        <v>-</v>
      </c>
      <c r="AF241" s="59"/>
      <c r="AG241" s="58" t="str">
        <f t="shared" si="112"/>
        <v/>
      </c>
      <c r="AH241" s="59"/>
      <c r="AI241" s="58" t="str">
        <f t="shared" si="113"/>
        <v/>
      </c>
      <c r="AJ241" s="59"/>
      <c r="AK241" s="58" t="str">
        <f t="shared" si="114"/>
        <v/>
      </c>
      <c r="AL241" s="59"/>
      <c r="AM241" s="58" t="str">
        <f t="shared" si="115"/>
        <v/>
      </c>
      <c r="AN241" s="59"/>
      <c r="AO241" s="58" t="str">
        <f t="shared" si="116"/>
        <v/>
      </c>
      <c r="AP241" s="59"/>
      <c r="AQ241" s="58" t="str">
        <f t="shared" si="117"/>
        <v/>
      </c>
      <c r="AR241" s="59"/>
      <c r="AS241" s="58" t="str">
        <f t="shared" si="118"/>
        <v/>
      </c>
      <c r="AT241" s="59"/>
      <c r="AU241" s="58" t="str">
        <f t="shared" si="119"/>
        <v/>
      </c>
      <c r="AV241" s="59"/>
      <c r="AW241" s="58" t="str">
        <f t="shared" si="120"/>
        <v/>
      </c>
      <c r="AX241" s="59"/>
      <c r="AY241" s="58" t="str">
        <f t="shared" si="121"/>
        <v/>
      </c>
      <c r="AZ241" s="59"/>
      <c r="BA241" s="58" t="str">
        <f t="shared" si="122"/>
        <v/>
      </c>
      <c r="BB241" s="59"/>
      <c r="BC241" s="58" t="str">
        <f t="shared" si="123"/>
        <v/>
      </c>
      <c r="BD241" s="59"/>
      <c r="BE241" s="58" t="str">
        <f t="shared" si="124"/>
        <v/>
      </c>
      <c r="BF241" s="59"/>
      <c r="BG241" s="58">
        <f t="shared" si="125"/>
        <v>8160</v>
      </c>
      <c r="BH241" s="59"/>
      <c r="BI241" s="58" t="str">
        <f t="shared" si="126"/>
        <v/>
      </c>
      <c r="BJ241" s="59"/>
      <c r="BK241" s="58" t="str">
        <f t="shared" si="127"/>
        <v/>
      </c>
      <c r="BL241" s="59"/>
      <c r="BM241" s="58" t="str">
        <f t="shared" si="128"/>
        <v/>
      </c>
      <c r="BN241" s="59"/>
      <c r="BO241" s="58" t="str">
        <f t="shared" si="129"/>
        <v/>
      </c>
      <c r="BP241" s="59"/>
      <c r="BQ241" s="58" t="str">
        <f t="shared" si="130"/>
        <v/>
      </c>
      <c r="BR241" s="59"/>
      <c r="BS241" s="58" t="str">
        <f t="shared" si="131"/>
        <v/>
      </c>
      <c r="BT241" s="59"/>
      <c r="BU241" s="58" t="str">
        <f t="shared" si="132"/>
        <v/>
      </c>
      <c r="BV241" s="59"/>
      <c r="BW241" s="58" t="str">
        <f t="shared" si="133"/>
        <v/>
      </c>
      <c r="BX241" s="59"/>
      <c r="BY241" s="58" t="str">
        <f t="shared" si="134"/>
        <v/>
      </c>
      <c r="BZ241" s="59"/>
    </row>
    <row r="242" spans="1:78" ht="14.5" hidden="1">
      <c r="A242" s="51" t="s">
        <v>58</v>
      </c>
      <c r="B242" s="52">
        <v>381</v>
      </c>
      <c r="C242" s="52" t="s">
        <v>188</v>
      </c>
      <c r="D242" s="41">
        <f t="shared" si="109"/>
        <v>5</v>
      </c>
      <c r="E242" s="170">
        <v>45667</v>
      </c>
      <c r="F242" s="41" t="s">
        <v>631</v>
      </c>
      <c r="G242" s="52" t="s">
        <v>136</v>
      </c>
      <c r="H242" s="52" t="s">
        <v>247</v>
      </c>
      <c r="I242" s="52" t="s">
        <v>163</v>
      </c>
      <c r="J242" s="52" t="s">
        <v>442</v>
      </c>
      <c r="K242" s="53">
        <v>45689</v>
      </c>
      <c r="L242" s="108">
        <v>8160</v>
      </c>
      <c r="M242" s="101">
        <v>8160</v>
      </c>
      <c r="N242" s="101">
        <v>2517</v>
      </c>
      <c r="O242" s="107">
        <f t="shared" si="135"/>
        <v>5643</v>
      </c>
      <c r="P242" s="54">
        <f t="shared" si="136"/>
        <v>0</v>
      </c>
      <c r="Q242" s="101" t="s">
        <v>678</v>
      </c>
      <c r="R242" s="101"/>
      <c r="S242" s="101"/>
      <c r="T242" s="102">
        <f t="shared" si="110"/>
        <v>4.6628571428571428</v>
      </c>
      <c r="U242" s="102">
        <v>5</v>
      </c>
      <c r="V242" s="99">
        <v>350</v>
      </c>
      <c r="W242" s="55">
        <f t="shared" si="137"/>
        <v>45669</v>
      </c>
      <c r="X242" s="55"/>
      <c r="Y242" s="56">
        <f t="shared" ca="1" si="106"/>
        <v>-171</v>
      </c>
      <c r="Z242" s="55">
        <f t="shared" si="107"/>
        <v>45685</v>
      </c>
      <c r="AA242" s="55"/>
      <c r="AB242" s="56">
        <f t="shared" ca="1" si="108"/>
        <v>-155</v>
      </c>
      <c r="AC242" s="55"/>
      <c r="AD242" s="57"/>
      <c r="AE242" s="58" t="str">
        <f t="shared" si="111"/>
        <v>-</v>
      </c>
      <c r="AF242" s="59"/>
      <c r="AG242" s="58" t="str">
        <f t="shared" si="112"/>
        <v/>
      </c>
      <c r="AH242" s="59"/>
      <c r="AI242" s="58" t="str">
        <f t="shared" si="113"/>
        <v/>
      </c>
      <c r="AJ242" s="59"/>
      <c r="AK242" s="58" t="str">
        <f t="shared" si="114"/>
        <v/>
      </c>
      <c r="AL242" s="59"/>
      <c r="AM242" s="58" t="str">
        <f t="shared" si="115"/>
        <v/>
      </c>
      <c r="AN242" s="59"/>
      <c r="AO242" s="58" t="str">
        <f t="shared" si="116"/>
        <v/>
      </c>
      <c r="AP242" s="59"/>
      <c r="AQ242" s="58" t="str">
        <f t="shared" si="117"/>
        <v/>
      </c>
      <c r="AR242" s="59"/>
      <c r="AS242" s="58" t="str">
        <f t="shared" si="118"/>
        <v/>
      </c>
      <c r="AT242" s="59"/>
      <c r="AU242" s="58" t="str">
        <f t="shared" si="119"/>
        <v/>
      </c>
      <c r="AV242" s="59"/>
      <c r="AW242" s="58" t="str">
        <f t="shared" si="120"/>
        <v/>
      </c>
      <c r="AX242" s="59"/>
      <c r="AY242" s="58" t="str">
        <f t="shared" si="121"/>
        <v/>
      </c>
      <c r="AZ242" s="59"/>
      <c r="BA242" s="58" t="str">
        <f t="shared" si="122"/>
        <v/>
      </c>
      <c r="BB242" s="59"/>
      <c r="BC242" s="58" t="str">
        <f t="shared" si="123"/>
        <v/>
      </c>
      <c r="BD242" s="59"/>
      <c r="BE242" s="58" t="str">
        <f t="shared" si="124"/>
        <v/>
      </c>
      <c r="BF242" s="59"/>
      <c r="BG242" s="58">
        <f t="shared" si="125"/>
        <v>8160</v>
      </c>
      <c r="BH242" s="59"/>
      <c r="BI242" s="58" t="str">
        <f t="shared" si="126"/>
        <v/>
      </c>
      <c r="BJ242" s="59"/>
      <c r="BK242" s="58" t="str">
        <f t="shared" si="127"/>
        <v/>
      </c>
      <c r="BL242" s="59"/>
      <c r="BM242" s="58" t="str">
        <f t="shared" si="128"/>
        <v/>
      </c>
      <c r="BN242" s="59"/>
      <c r="BO242" s="58" t="str">
        <f t="shared" si="129"/>
        <v/>
      </c>
      <c r="BP242" s="59"/>
      <c r="BQ242" s="58" t="str">
        <f t="shared" si="130"/>
        <v/>
      </c>
      <c r="BR242" s="59"/>
      <c r="BS242" s="58" t="str">
        <f t="shared" si="131"/>
        <v/>
      </c>
      <c r="BT242" s="59"/>
      <c r="BU242" s="58" t="str">
        <f t="shared" si="132"/>
        <v/>
      </c>
      <c r="BV242" s="59"/>
      <c r="BW242" s="58" t="str">
        <f t="shared" si="133"/>
        <v/>
      </c>
      <c r="BX242" s="59"/>
      <c r="BY242" s="58" t="str">
        <f t="shared" si="134"/>
        <v/>
      </c>
      <c r="BZ242" s="59"/>
    </row>
    <row r="243" spans="1:78" ht="14.5" hidden="1">
      <c r="A243" s="51" t="s">
        <v>58</v>
      </c>
      <c r="B243" s="52">
        <v>381</v>
      </c>
      <c r="C243" s="52" t="s">
        <v>188</v>
      </c>
      <c r="D243" s="41">
        <f t="shared" si="109"/>
        <v>5</v>
      </c>
      <c r="E243" s="170" t="s">
        <v>631</v>
      </c>
      <c r="F243" s="41" t="s">
        <v>631</v>
      </c>
      <c r="G243" s="52" t="s">
        <v>136</v>
      </c>
      <c r="H243" s="52" t="s">
        <v>247</v>
      </c>
      <c r="I243" s="52" t="s">
        <v>164</v>
      </c>
      <c r="J243" s="52" t="s">
        <v>442</v>
      </c>
      <c r="K243" s="53">
        <v>45689</v>
      </c>
      <c r="L243" s="108">
        <v>8160</v>
      </c>
      <c r="M243" s="101">
        <v>8160</v>
      </c>
      <c r="N243" s="101">
        <v>4800</v>
      </c>
      <c r="O243" s="107">
        <f t="shared" si="135"/>
        <v>3360</v>
      </c>
      <c r="P243" s="54">
        <f t="shared" si="136"/>
        <v>0</v>
      </c>
      <c r="Q243" s="101" t="s">
        <v>675</v>
      </c>
      <c r="R243" s="101"/>
      <c r="S243" s="101"/>
      <c r="T243" s="102">
        <f t="shared" si="110"/>
        <v>4.6628571428571428</v>
      </c>
      <c r="U243" s="102">
        <v>5</v>
      </c>
      <c r="V243" s="99">
        <v>350</v>
      </c>
      <c r="W243" s="55">
        <f t="shared" si="137"/>
        <v>45669</v>
      </c>
      <c r="X243" s="55"/>
      <c r="Y243" s="56">
        <f t="shared" ca="1" si="106"/>
        <v>-171</v>
      </c>
      <c r="Z243" s="55">
        <f t="shared" si="107"/>
        <v>45685</v>
      </c>
      <c r="AA243" s="55"/>
      <c r="AB243" s="56">
        <f t="shared" ca="1" si="108"/>
        <v>-155</v>
      </c>
      <c r="AC243" s="55"/>
      <c r="AD243" s="57"/>
      <c r="AE243" s="58" t="str">
        <f t="shared" si="111"/>
        <v>-</v>
      </c>
      <c r="AF243" s="59"/>
      <c r="AG243" s="58" t="str">
        <f t="shared" si="112"/>
        <v/>
      </c>
      <c r="AH243" s="59"/>
      <c r="AI243" s="58" t="str">
        <f t="shared" si="113"/>
        <v/>
      </c>
      <c r="AJ243" s="59"/>
      <c r="AK243" s="58" t="str">
        <f t="shared" si="114"/>
        <v/>
      </c>
      <c r="AL243" s="59"/>
      <c r="AM243" s="58" t="str">
        <f t="shared" si="115"/>
        <v/>
      </c>
      <c r="AN243" s="59"/>
      <c r="AO243" s="58" t="str">
        <f t="shared" si="116"/>
        <v/>
      </c>
      <c r="AP243" s="59"/>
      <c r="AQ243" s="58" t="str">
        <f t="shared" si="117"/>
        <v/>
      </c>
      <c r="AR243" s="59"/>
      <c r="AS243" s="58" t="str">
        <f t="shared" si="118"/>
        <v/>
      </c>
      <c r="AT243" s="59"/>
      <c r="AU243" s="58" t="str">
        <f t="shared" si="119"/>
        <v/>
      </c>
      <c r="AV243" s="59"/>
      <c r="AW243" s="58" t="str">
        <f t="shared" si="120"/>
        <v/>
      </c>
      <c r="AX243" s="59"/>
      <c r="AY243" s="58" t="str">
        <f t="shared" si="121"/>
        <v/>
      </c>
      <c r="AZ243" s="59"/>
      <c r="BA243" s="58" t="str">
        <f t="shared" si="122"/>
        <v/>
      </c>
      <c r="BB243" s="59"/>
      <c r="BC243" s="58" t="str">
        <f t="shared" si="123"/>
        <v/>
      </c>
      <c r="BD243" s="59"/>
      <c r="BE243" s="58" t="str">
        <f t="shared" si="124"/>
        <v/>
      </c>
      <c r="BF243" s="59"/>
      <c r="BG243" s="58">
        <f t="shared" si="125"/>
        <v>8160</v>
      </c>
      <c r="BH243" s="59"/>
      <c r="BI243" s="58" t="str">
        <f t="shared" si="126"/>
        <v/>
      </c>
      <c r="BJ243" s="59"/>
      <c r="BK243" s="58" t="str">
        <f t="shared" si="127"/>
        <v/>
      </c>
      <c r="BL243" s="59"/>
      <c r="BM243" s="58" t="str">
        <f t="shared" si="128"/>
        <v/>
      </c>
      <c r="BN243" s="59"/>
      <c r="BO243" s="58" t="str">
        <f t="shared" si="129"/>
        <v/>
      </c>
      <c r="BP243" s="59"/>
      <c r="BQ243" s="58" t="str">
        <f t="shared" si="130"/>
        <v/>
      </c>
      <c r="BR243" s="59"/>
      <c r="BS243" s="58" t="str">
        <f t="shared" si="131"/>
        <v/>
      </c>
      <c r="BT243" s="59"/>
      <c r="BU243" s="58" t="str">
        <f t="shared" si="132"/>
        <v/>
      </c>
      <c r="BV243" s="59"/>
      <c r="BW243" s="58" t="str">
        <f t="shared" si="133"/>
        <v/>
      </c>
      <c r="BX243" s="59"/>
      <c r="BY243" s="58" t="str">
        <f t="shared" si="134"/>
        <v/>
      </c>
      <c r="BZ243" s="59"/>
    </row>
    <row r="244" spans="1:78" ht="14.5">
      <c r="A244" s="51" t="s">
        <v>58</v>
      </c>
      <c r="B244" s="52">
        <v>381</v>
      </c>
      <c r="C244" s="52" t="s">
        <v>188</v>
      </c>
      <c r="D244" s="41">
        <f t="shared" si="109"/>
        <v>5</v>
      </c>
      <c r="E244" s="170" t="s">
        <v>631</v>
      </c>
      <c r="F244" s="41" t="s">
        <v>631</v>
      </c>
      <c r="G244" s="52" t="s">
        <v>201</v>
      </c>
      <c r="H244" s="52" t="s">
        <v>247</v>
      </c>
      <c r="I244" s="52" t="s">
        <v>155</v>
      </c>
      <c r="J244" s="52" t="s">
        <v>442</v>
      </c>
      <c r="K244" s="53">
        <v>45689</v>
      </c>
      <c r="L244" s="108">
        <v>14256</v>
      </c>
      <c r="M244" s="101">
        <v>14256</v>
      </c>
      <c r="N244" s="101"/>
      <c r="O244" s="107">
        <f t="shared" si="135"/>
        <v>14256</v>
      </c>
      <c r="P244" s="54">
        <f t="shared" si="136"/>
        <v>0</v>
      </c>
      <c r="Q244" s="101" t="s">
        <v>654</v>
      </c>
      <c r="R244" s="101"/>
      <c r="S244" s="101"/>
      <c r="T244" s="102">
        <f t="shared" si="110"/>
        <v>8.1462857142857139</v>
      </c>
      <c r="U244" s="102">
        <v>5</v>
      </c>
      <c r="V244" s="99">
        <v>350</v>
      </c>
      <c r="W244" s="55">
        <f t="shared" si="137"/>
        <v>45669</v>
      </c>
      <c r="X244" s="55"/>
      <c r="Y244" s="56">
        <f t="shared" ca="1" si="106"/>
        <v>-171</v>
      </c>
      <c r="Z244" s="55">
        <f t="shared" si="107"/>
        <v>45685</v>
      </c>
      <c r="AA244" s="55"/>
      <c r="AB244" s="56">
        <f t="shared" ca="1" si="108"/>
        <v>-155</v>
      </c>
      <c r="AC244" s="55"/>
      <c r="AD244" s="57"/>
      <c r="AE244" s="58" t="str">
        <f t="shared" si="111"/>
        <v>-</v>
      </c>
      <c r="AF244" s="59"/>
      <c r="AG244" s="58" t="str">
        <f t="shared" si="112"/>
        <v/>
      </c>
      <c r="AH244" s="59"/>
      <c r="AI244" s="58" t="str">
        <f t="shared" si="113"/>
        <v/>
      </c>
      <c r="AJ244" s="59"/>
      <c r="AK244" s="58" t="str">
        <f t="shared" si="114"/>
        <v/>
      </c>
      <c r="AL244" s="59"/>
      <c r="AM244" s="58" t="str">
        <f t="shared" si="115"/>
        <v/>
      </c>
      <c r="AN244" s="59"/>
      <c r="AO244" s="58" t="str">
        <f t="shared" si="116"/>
        <v/>
      </c>
      <c r="AP244" s="59"/>
      <c r="AQ244" s="58" t="str">
        <f t="shared" si="117"/>
        <v/>
      </c>
      <c r="AR244" s="59"/>
      <c r="AS244" s="58" t="str">
        <f t="shared" si="118"/>
        <v/>
      </c>
      <c r="AT244" s="59"/>
      <c r="AU244" s="58" t="str">
        <f t="shared" si="119"/>
        <v/>
      </c>
      <c r="AV244" s="59"/>
      <c r="AW244" s="58" t="str">
        <f t="shared" si="120"/>
        <v/>
      </c>
      <c r="AX244" s="59"/>
      <c r="AY244" s="58" t="str">
        <f t="shared" si="121"/>
        <v/>
      </c>
      <c r="AZ244" s="59"/>
      <c r="BA244" s="58" t="str">
        <f t="shared" si="122"/>
        <v/>
      </c>
      <c r="BB244" s="59"/>
      <c r="BC244" s="58" t="str">
        <f t="shared" si="123"/>
        <v/>
      </c>
      <c r="BD244" s="59"/>
      <c r="BE244" s="58" t="str">
        <f t="shared" si="124"/>
        <v/>
      </c>
      <c r="BF244" s="59"/>
      <c r="BG244" s="58">
        <f t="shared" si="125"/>
        <v>14256</v>
      </c>
      <c r="BH244" s="59"/>
      <c r="BI244" s="58" t="str">
        <f t="shared" si="126"/>
        <v/>
      </c>
      <c r="BJ244" s="59"/>
      <c r="BK244" s="58" t="str">
        <f t="shared" si="127"/>
        <v/>
      </c>
      <c r="BL244" s="59"/>
      <c r="BM244" s="58" t="str">
        <f t="shared" si="128"/>
        <v/>
      </c>
      <c r="BN244" s="59"/>
      <c r="BO244" s="58" t="str">
        <f t="shared" si="129"/>
        <v/>
      </c>
      <c r="BP244" s="59"/>
      <c r="BQ244" s="58" t="str">
        <f t="shared" si="130"/>
        <v/>
      </c>
      <c r="BR244" s="59"/>
      <c r="BS244" s="58" t="str">
        <f t="shared" si="131"/>
        <v/>
      </c>
      <c r="BT244" s="59"/>
      <c r="BU244" s="58" t="str">
        <f t="shared" si="132"/>
        <v/>
      </c>
      <c r="BV244" s="59"/>
      <c r="BW244" s="58" t="str">
        <f t="shared" si="133"/>
        <v/>
      </c>
      <c r="BX244" s="59"/>
      <c r="BY244" s="58" t="str">
        <f t="shared" si="134"/>
        <v/>
      </c>
      <c r="BZ244" s="59"/>
    </row>
    <row r="245" spans="1:78" ht="14.5" hidden="1">
      <c r="A245" s="51" t="s">
        <v>58</v>
      </c>
      <c r="B245" s="52">
        <v>381</v>
      </c>
      <c r="C245" s="52" t="s">
        <v>188</v>
      </c>
      <c r="D245" s="41">
        <f t="shared" si="109"/>
        <v>5</v>
      </c>
      <c r="E245" s="170" t="s">
        <v>679</v>
      </c>
      <c r="F245" s="41" t="s">
        <v>631</v>
      </c>
      <c r="G245" s="52" t="s">
        <v>502</v>
      </c>
      <c r="H245" s="52" t="s">
        <v>289</v>
      </c>
      <c r="I245" s="52" t="s">
        <v>155</v>
      </c>
      <c r="J245" s="52" t="s">
        <v>503</v>
      </c>
      <c r="K245" s="53">
        <v>45689</v>
      </c>
      <c r="L245" s="108">
        <v>1860</v>
      </c>
      <c r="M245" s="101"/>
      <c r="N245" s="101"/>
      <c r="O245" s="107">
        <f t="shared" si="135"/>
        <v>1860</v>
      </c>
      <c r="P245" s="54">
        <f t="shared" si="136"/>
        <v>1860</v>
      </c>
      <c r="Q245" s="101" t="s">
        <v>504</v>
      </c>
      <c r="R245" s="101"/>
      <c r="S245" s="101"/>
      <c r="T245" s="102">
        <f t="shared" si="110"/>
        <v>9.6875</v>
      </c>
      <c r="U245" s="102">
        <v>6</v>
      </c>
      <c r="V245" s="99">
        <f>480/15</f>
        <v>32</v>
      </c>
      <c r="W245" s="55">
        <f t="shared" si="137"/>
        <v>45669</v>
      </c>
      <c r="X245" s="55"/>
      <c r="Y245" s="56">
        <f t="shared" ca="1" si="106"/>
        <v>-171</v>
      </c>
      <c r="Z245" s="55">
        <f t="shared" si="107"/>
        <v>45685</v>
      </c>
      <c r="AA245" s="55"/>
      <c r="AB245" s="56">
        <f t="shared" ca="1" si="108"/>
        <v>-155</v>
      </c>
      <c r="AC245" s="55"/>
      <c r="AD245" s="57"/>
      <c r="AE245" s="58" t="str">
        <f t="shared" si="111"/>
        <v>-</v>
      </c>
      <c r="AF245" s="59"/>
      <c r="AG245" s="58" t="str">
        <f t="shared" si="112"/>
        <v/>
      </c>
      <c r="AH245" s="59"/>
      <c r="AI245" s="58" t="str">
        <f t="shared" si="113"/>
        <v/>
      </c>
      <c r="AJ245" s="59"/>
      <c r="AK245" s="58" t="str">
        <f t="shared" si="114"/>
        <v/>
      </c>
      <c r="AL245" s="59"/>
      <c r="AM245" s="58" t="str">
        <f t="shared" si="115"/>
        <v/>
      </c>
      <c r="AN245" s="59"/>
      <c r="AO245" s="58" t="str">
        <f t="shared" si="116"/>
        <v/>
      </c>
      <c r="AP245" s="59"/>
      <c r="AQ245" s="58" t="str">
        <f t="shared" si="117"/>
        <v/>
      </c>
      <c r="AR245" s="59"/>
      <c r="AS245" s="58" t="str">
        <f t="shared" si="118"/>
        <v/>
      </c>
      <c r="AT245" s="59"/>
      <c r="AU245" s="58" t="str">
        <f t="shared" si="119"/>
        <v/>
      </c>
      <c r="AV245" s="59"/>
      <c r="AW245" s="58" t="str">
        <f t="shared" si="120"/>
        <v/>
      </c>
      <c r="AX245" s="59"/>
      <c r="AY245" s="58" t="str">
        <f t="shared" si="121"/>
        <v/>
      </c>
      <c r="AZ245" s="59"/>
      <c r="BA245" s="58" t="str">
        <f t="shared" si="122"/>
        <v/>
      </c>
      <c r="BB245" s="59"/>
      <c r="BC245" s="58" t="str">
        <f t="shared" si="123"/>
        <v/>
      </c>
      <c r="BD245" s="59"/>
      <c r="BE245" s="58" t="str">
        <f t="shared" si="124"/>
        <v/>
      </c>
      <c r="BF245" s="59"/>
      <c r="BG245" s="58">
        <f t="shared" si="125"/>
        <v>1860</v>
      </c>
      <c r="BH245" s="59"/>
      <c r="BI245" s="58" t="str">
        <f t="shared" si="126"/>
        <v/>
      </c>
      <c r="BJ245" s="59"/>
      <c r="BK245" s="58" t="str">
        <f t="shared" si="127"/>
        <v/>
      </c>
      <c r="BL245" s="59"/>
      <c r="BM245" s="58" t="str">
        <f t="shared" si="128"/>
        <v/>
      </c>
      <c r="BN245" s="59"/>
      <c r="BO245" s="58" t="str">
        <f t="shared" si="129"/>
        <v/>
      </c>
      <c r="BP245" s="59"/>
      <c r="BQ245" s="58" t="str">
        <f t="shared" si="130"/>
        <v/>
      </c>
      <c r="BR245" s="59"/>
      <c r="BS245" s="58" t="str">
        <f t="shared" si="131"/>
        <v/>
      </c>
      <c r="BT245" s="59"/>
      <c r="BU245" s="58" t="str">
        <f t="shared" si="132"/>
        <v/>
      </c>
      <c r="BV245" s="59"/>
      <c r="BW245" s="58" t="str">
        <f t="shared" si="133"/>
        <v/>
      </c>
      <c r="BX245" s="59"/>
      <c r="BY245" s="58" t="str">
        <f t="shared" si="134"/>
        <v/>
      </c>
      <c r="BZ245" s="59"/>
    </row>
    <row r="246" spans="1:78" ht="14.5" hidden="1">
      <c r="A246" s="51" t="s">
        <v>58</v>
      </c>
      <c r="B246" s="52">
        <v>381</v>
      </c>
      <c r="C246" s="52" t="s">
        <v>188</v>
      </c>
      <c r="D246" s="41">
        <f t="shared" si="109"/>
        <v>5</v>
      </c>
      <c r="E246" s="170" t="s">
        <v>679</v>
      </c>
      <c r="F246" s="41" t="s">
        <v>631</v>
      </c>
      <c r="G246" s="52" t="s">
        <v>502</v>
      </c>
      <c r="H246" s="52" t="s">
        <v>289</v>
      </c>
      <c r="I246" s="52" t="s">
        <v>154</v>
      </c>
      <c r="J246" s="52" t="s">
        <v>503</v>
      </c>
      <c r="K246" s="53">
        <v>45689</v>
      </c>
      <c r="L246" s="108">
        <v>1550</v>
      </c>
      <c r="M246" s="101"/>
      <c r="N246" s="101"/>
      <c r="O246" s="107">
        <f t="shared" si="135"/>
        <v>1550</v>
      </c>
      <c r="P246" s="54">
        <f t="shared" si="136"/>
        <v>1550</v>
      </c>
      <c r="Q246" s="101" t="s">
        <v>505</v>
      </c>
      <c r="R246" s="101"/>
      <c r="S246" s="101"/>
      <c r="T246" s="102">
        <f t="shared" si="110"/>
        <v>8.0729166666666661</v>
      </c>
      <c r="U246" s="102">
        <v>6</v>
      </c>
      <c r="V246" s="99">
        <f>480/15</f>
        <v>32</v>
      </c>
      <c r="W246" s="55">
        <f t="shared" si="137"/>
        <v>45669</v>
      </c>
      <c r="X246" s="55"/>
      <c r="Y246" s="56">
        <f t="shared" ca="1" si="106"/>
        <v>-171</v>
      </c>
      <c r="Z246" s="55">
        <f t="shared" si="107"/>
        <v>45685</v>
      </c>
      <c r="AA246" s="55"/>
      <c r="AB246" s="56">
        <f t="shared" ca="1" si="108"/>
        <v>-155</v>
      </c>
      <c r="AC246" s="55"/>
      <c r="AD246" s="57"/>
      <c r="AE246" s="58" t="str">
        <f t="shared" si="111"/>
        <v>-</v>
      </c>
      <c r="AF246" s="59"/>
      <c r="AG246" s="58" t="str">
        <f t="shared" si="112"/>
        <v/>
      </c>
      <c r="AH246" s="59"/>
      <c r="AI246" s="58" t="str">
        <f t="shared" si="113"/>
        <v/>
      </c>
      <c r="AJ246" s="59"/>
      <c r="AK246" s="58" t="str">
        <f t="shared" si="114"/>
        <v/>
      </c>
      <c r="AL246" s="59"/>
      <c r="AM246" s="58" t="str">
        <f t="shared" si="115"/>
        <v/>
      </c>
      <c r="AN246" s="59"/>
      <c r="AO246" s="58" t="str">
        <f t="shared" si="116"/>
        <v/>
      </c>
      <c r="AP246" s="59"/>
      <c r="AQ246" s="58" t="str">
        <f t="shared" si="117"/>
        <v/>
      </c>
      <c r="AR246" s="59"/>
      <c r="AS246" s="58" t="str">
        <f t="shared" si="118"/>
        <v/>
      </c>
      <c r="AT246" s="59"/>
      <c r="AU246" s="58" t="str">
        <f t="shared" si="119"/>
        <v/>
      </c>
      <c r="AV246" s="59"/>
      <c r="AW246" s="58" t="str">
        <f t="shared" si="120"/>
        <v/>
      </c>
      <c r="AX246" s="59"/>
      <c r="AY246" s="58" t="str">
        <f t="shared" si="121"/>
        <v/>
      </c>
      <c r="AZ246" s="59"/>
      <c r="BA246" s="58" t="str">
        <f t="shared" si="122"/>
        <v/>
      </c>
      <c r="BB246" s="59"/>
      <c r="BC246" s="58" t="str">
        <f t="shared" si="123"/>
        <v/>
      </c>
      <c r="BD246" s="59"/>
      <c r="BE246" s="58" t="str">
        <f t="shared" si="124"/>
        <v/>
      </c>
      <c r="BF246" s="59"/>
      <c r="BG246" s="58">
        <f t="shared" si="125"/>
        <v>1550</v>
      </c>
      <c r="BH246" s="59"/>
      <c r="BI246" s="58" t="str">
        <f t="shared" si="126"/>
        <v/>
      </c>
      <c r="BJ246" s="59"/>
      <c r="BK246" s="58" t="str">
        <f t="shared" si="127"/>
        <v/>
      </c>
      <c r="BL246" s="59"/>
      <c r="BM246" s="58" t="str">
        <f t="shared" si="128"/>
        <v/>
      </c>
      <c r="BN246" s="59"/>
      <c r="BO246" s="58" t="str">
        <f t="shared" si="129"/>
        <v/>
      </c>
      <c r="BP246" s="59"/>
      <c r="BQ246" s="58" t="str">
        <f t="shared" si="130"/>
        <v/>
      </c>
      <c r="BR246" s="59"/>
      <c r="BS246" s="58" t="str">
        <f t="shared" si="131"/>
        <v/>
      </c>
      <c r="BT246" s="59"/>
      <c r="BU246" s="58" t="str">
        <f t="shared" si="132"/>
        <v/>
      </c>
      <c r="BV246" s="59"/>
      <c r="BW246" s="58" t="str">
        <f t="shared" si="133"/>
        <v/>
      </c>
      <c r="BX246" s="59"/>
      <c r="BY246" s="58" t="str">
        <f t="shared" si="134"/>
        <v/>
      </c>
      <c r="BZ246" s="59"/>
    </row>
    <row r="247" spans="1:78" ht="14.5" hidden="1">
      <c r="A247" s="51" t="s">
        <v>58</v>
      </c>
      <c r="B247" s="52">
        <v>381</v>
      </c>
      <c r="C247" s="52" t="s">
        <v>188</v>
      </c>
      <c r="D247" s="41">
        <f t="shared" si="109"/>
        <v>5</v>
      </c>
      <c r="E247" s="170" t="s">
        <v>679</v>
      </c>
      <c r="F247" s="41" t="s">
        <v>631</v>
      </c>
      <c r="G247" s="52" t="s">
        <v>502</v>
      </c>
      <c r="H247" s="52" t="s">
        <v>289</v>
      </c>
      <c r="I247" s="52" t="s">
        <v>156</v>
      </c>
      <c r="J247" s="52" t="s">
        <v>503</v>
      </c>
      <c r="K247" s="53">
        <v>45689</v>
      </c>
      <c r="L247" s="108">
        <v>1240</v>
      </c>
      <c r="M247" s="101"/>
      <c r="N247" s="101"/>
      <c r="O247" s="107">
        <f t="shared" si="135"/>
        <v>1240</v>
      </c>
      <c r="P247" s="54">
        <f t="shared" si="136"/>
        <v>1240</v>
      </c>
      <c r="Q247" s="101" t="s">
        <v>506</v>
      </c>
      <c r="R247" s="101"/>
      <c r="S247" s="101"/>
      <c r="T247" s="102">
        <f t="shared" si="110"/>
        <v>6.458333333333333</v>
      </c>
      <c r="U247" s="102">
        <v>6</v>
      </c>
      <c r="V247" s="99">
        <f>480/15</f>
        <v>32</v>
      </c>
      <c r="W247" s="55">
        <f t="shared" si="137"/>
        <v>45669</v>
      </c>
      <c r="X247" s="55"/>
      <c r="Y247" s="56">
        <f t="shared" ca="1" si="106"/>
        <v>-171</v>
      </c>
      <c r="Z247" s="55">
        <f t="shared" si="107"/>
        <v>45685</v>
      </c>
      <c r="AA247" s="55"/>
      <c r="AB247" s="56">
        <f t="shared" ca="1" si="108"/>
        <v>-155</v>
      </c>
      <c r="AC247" s="55"/>
      <c r="AD247" s="57"/>
      <c r="AE247" s="58" t="str">
        <f t="shared" si="111"/>
        <v>-</v>
      </c>
      <c r="AF247" s="59"/>
      <c r="AG247" s="58" t="str">
        <f t="shared" si="112"/>
        <v/>
      </c>
      <c r="AH247" s="59"/>
      <c r="AI247" s="58" t="str">
        <f t="shared" si="113"/>
        <v/>
      </c>
      <c r="AJ247" s="59"/>
      <c r="AK247" s="58" t="str">
        <f t="shared" si="114"/>
        <v/>
      </c>
      <c r="AL247" s="59"/>
      <c r="AM247" s="58" t="str">
        <f t="shared" si="115"/>
        <v/>
      </c>
      <c r="AN247" s="59"/>
      <c r="AO247" s="58" t="str">
        <f t="shared" si="116"/>
        <v/>
      </c>
      <c r="AP247" s="59"/>
      <c r="AQ247" s="58" t="str">
        <f t="shared" si="117"/>
        <v/>
      </c>
      <c r="AR247" s="59"/>
      <c r="AS247" s="58" t="str">
        <f t="shared" si="118"/>
        <v/>
      </c>
      <c r="AT247" s="59"/>
      <c r="AU247" s="58" t="str">
        <f t="shared" si="119"/>
        <v/>
      </c>
      <c r="AV247" s="59"/>
      <c r="AW247" s="58" t="str">
        <f t="shared" si="120"/>
        <v/>
      </c>
      <c r="AX247" s="59"/>
      <c r="AY247" s="58" t="str">
        <f t="shared" si="121"/>
        <v/>
      </c>
      <c r="AZ247" s="59"/>
      <c r="BA247" s="58" t="str">
        <f t="shared" si="122"/>
        <v/>
      </c>
      <c r="BB247" s="59"/>
      <c r="BC247" s="58" t="str">
        <f t="shared" si="123"/>
        <v/>
      </c>
      <c r="BD247" s="59"/>
      <c r="BE247" s="58" t="str">
        <f t="shared" si="124"/>
        <v/>
      </c>
      <c r="BF247" s="59"/>
      <c r="BG247" s="58">
        <f t="shared" si="125"/>
        <v>1240</v>
      </c>
      <c r="BH247" s="59"/>
      <c r="BI247" s="58" t="str">
        <f t="shared" si="126"/>
        <v/>
      </c>
      <c r="BJ247" s="59"/>
      <c r="BK247" s="58" t="str">
        <f t="shared" si="127"/>
        <v/>
      </c>
      <c r="BL247" s="59"/>
      <c r="BM247" s="58" t="str">
        <f t="shared" si="128"/>
        <v/>
      </c>
      <c r="BN247" s="59"/>
      <c r="BO247" s="58" t="str">
        <f t="shared" si="129"/>
        <v/>
      </c>
      <c r="BP247" s="59"/>
      <c r="BQ247" s="58" t="str">
        <f t="shared" si="130"/>
        <v/>
      </c>
      <c r="BR247" s="59"/>
      <c r="BS247" s="58" t="str">
        <f t="shared" si="131"/>
        <v/>
      </c>
      <c r="BT247" s="59"/>
      <c r="BU247" s="58" t="str">
        <f t="shared" si="132"/>
        <v/>
      </c>
      <c r="BV247" s="59"/>
      <c r="BW247" s="58" t="str">
        <f t="shared" si="133"/>
        <v/>
      </c>
      <c r="BX247" s="59"/>
      <c r="BY247" s="58" t="str">
        <f t="shared" si="134"/>
        <v/>
      </c>
      <c r="BZ247" s="59"/>
    </row>
    <row r="248" spans="1:78" ht="14.5" hidden="1">
      <c r="A248" s="51" t="s">
        <v>58</v>
      </c>
      <c r="B248" s="52">
        <v>381</v>
      </c>
      <c r="C248" s="52" t="s">
        <v>188</v>
      </c>
      <c r="D248" s="41">
        <f t="shared" si="109"/>
        <v>5</v>
      </c>
      <c r="E248" s="170" t="s">
        <v>631</v>
      </c>
      <c r="F248" s="41" t="s">
        <v>631</v>
      </c>
      <c r="G248" s="52" t="s">
        <v>390</v>
      </c>
      <c r="H248" s="52" t="s">
        <v>242</v>
      </c>
      <c r="I248" s="52" t="s">
        <v>162</v>
      </c>
      <c r="J248" s="52" t="s">
        <v>497</v>
      </c>
      <c r="K248" s="53">
        <v>45689</v>
      </c>
      <c r="L248" s="108">
        <v>1080</v>
      </c>
      <c r="M248" s="101">
        <v>1080</v>
      </c>
      <c r="N248" s="101"/>
      <c r="O248" s="107">
        <f t="shared" si="135"/>
        <v>1080</v>
      </c>
      <c r="P248" s="54">
        <f t="shared" si="136"/>
        <v>0</v>
      </c>
      <c r="Q248" s="101" t="s">
        <v>439</v>
      </c>
      <c r="R248" s="101"/>
      <c r="S248" s="101"/>
      <c r="T248" s="102">
        <f t="shared" si="110"/>
        <v>1.5</v>
      </c>
      <c r="U248" s="102">
        <v>6</v>
      </c>
      <c r="V248" s="99">
        <v>120</v>
      </c>
      <c r="W248" s="55">
        <f t="shared" si="137"/>
        <v>45669</v>
      </c>
      <c r="X248" s="55"/>
      <c r="Y248" s="56">
        <f t="shared" ca="1" si="106"/>
        <v>-171</v>
      </c>
      <c r="Z248" s="55">
        <f t="shared" si="107"/>
        <v>45685</v>
      </c>
      <c r="AA248" s="55"/>
      <c r="AB248" s="56">
        <f t="shared" ca="1" si="108"/>
        <v>-155</v>
      </c>
      <c r="AC248" s="55">
        <v>45679</v>
      </c>
      <c r="AD248" s="57"/>
      <c r="AE248" s="58" t="str">
        <f t="shared" si="111"/>
        <v>-</v>
      </c>
      <c r="AF248" s="59"/>
      <c r="AG248" s="58" t="str">
        <f t="shared" si="112"/>
        <v/>
      </c>
      <c r="AH248" s="59"/>
      <c r="AI248" s="58" t="str">
        <f t="shared" si="113"/>
        <v/>
      </c>
      <c r="AJ248" s="59"/>
      <c r="AK248" s="58" t="str">
        <f t="shared" si="114"/>
        <v/>
      </c>
      <c r="AL248" s="59"/>
      <c r="AM248" s="58" t="str">
        <f t="shared" si="115"/>
        <v/>
      </c>
      <c r="AN248" s="59"/>
      <c r="AO248" s="58" t="str">
        <f t="shared" si="116"/>
        <v/>
      </c>
      <c r="AP248" s="59"/>
      <c r="AQ248" s="58" t="str">
        <f t="shared" si="117"/>
        <v/>
      </c>
      <c r="AR248" s="59"/>
      <c r="AS248" s="58" t="str">
        <f t="shared" si="118"/>
        <v/>
      </c>
      <c r="AT248" s="59"/>
      <c r="AU248" s="58" t="str">
        <f t="shared" si="119"/>
        <v/>
      </c>
      <c r="AV248" s="59"/>
      <c r="AW248" s="58" t="str">
        <f t="shared" si="120"/>
        <v/>
      </c>
      <c r="AX248" s="59"/>
      <c r="AY248" s="58" t="str">
        <f t="shared" si="121"/>
        <v/>
      </c>
      <c r="AZ248" s="59"/>
      <c r="BA248" s="58" t="str">
        <f t="shared" si="122"/>
        <v/>
      </c>
      <c r="BB248" s="59"/>
      <c r="BC248" s="58" t="str">
        <f t="shared" si="123"/>
        <v/>
      </c>
      <c r="BD248" s="59"/>
      <c r="BE248" s="58" t="str">
        <f t="shared" si="124"/>
        <v/>
      </c>
      <c r="BF248" s="59"/>
      <c r="BG248" s="58">
        <f t="shared" si="125"/>
        <v>1080</v>
      </c>
      <c r="BH248" s="59"/>
      <c r="BI248" s="58" t="str">
        <f t="shared" si="126"/>
        <v/>
      </c>
      <c r="BJ248" s="59"/>
      <c r="BK248" s="58" t="str">
        <f t="shared" si="127"/>
        <v/>
      </c>
      <c r="BL248" s="59"/>
      <c r="BM248" s="58" t="str">
        <f t="shared" si="128"/>
        <v/>
      </c>
      <c r="BN248" s="59"/>
      <c r="BO248" s="58" t="str">
        <f t="shared" si="129"/>
        <v/>
      </c>
      <c r="BP248" s="59"/>
      <c r="BQ248" s="58" t="str">
        <f t="shared" si="130"/>
        <v/>
      </c>
      <c r="BR248" s="59"/>
      <c r="BS248" s="58" t="str">
        <f t="shared" si="131"/>
        <v/>
      </c>
      <c r="BT248" s="59"/>
      <c r="BU248" s="58" t="str">
        <f t="shared" si="132"/>
        <v/>
      </c>
      <c r="BV248" s="59"/>
      <c r="BW248" s="58" t="str">
        <f t="shared" si="133"/>
        <v/>
      </c>
      <c r="BX248" s="59"/>
      <c r="BY248" s="58" t="str">
        <f t="shared" si="134"/>
        <v/>
      </c>
      <c r="BZ248" s="59"/>
    </row>
    <row r="249" spans="1:78" ht="14.5" hidden="1">
      <c r="A249" s="51" t="s">
        <v>58</v>
      </c>
      <c r="B249" s="52">
        <v>381</v>
      </c>
      <c r="C249" s="52" t="s">
        <v>188</v>
      </c>
      <c r="D249" s="41">
        <f t="shared" si="109"/>
        <v>5</v>
      </c>
      <c r="E249" s="170" t="s">
        <v>631</v>
      </c>
      <c r="F249" s="41" t="s">
        <v>631</v>
      </c>
      <c r="G249" s="52" t="s">
        <v>189</v>
      </c>
      <c r="H249" s="52" t="s">
        <v>242</v>
      </c>
      <c r="I249" s="52" t="s">
        <v>162</v>
      </c>
      <c r="J249" s="52" t="s">
        <v>432</v>
      </c>
      <c r="K249" s="53">
        <v>45689</v>
      </c>
      <c r="L249" s="108">
        <v>1412</v>
      </c>
      <c r="M249" s="101"/>
      <c r="N249" s="101"/>
      <c r="O249" s="107">
        <f t="shared" si="135"/>
        <v>1412</v>
      </c>
      <c r="P249" s="54">
        <f t="shared" si="136"/>
        <v>1412</v>
      </c>
      <c r="Q249" s="101" t="s">
        <v>178</v>
      </c>
      <c r="R249" s="166">
        <v>45686</v>
      </c>
      <c r="S249" s="101"/>
      <c r="T249" s="102">
        <f t="shared" si="110"/>
        <v>1.961111111111111</v>
      </c>
      <c r="U249" s="102">
        <v>6</v>
      </c>
      <c r="V249" s="99">
        <v>120</v>
      </c>
      <c r="W249" s="55">
        <f t="shared" si="137"/>
        <v>45669</v>
      </c>
      <c r="X249" s="55"/>
      <c r="Y249" s="56">
        <f t="shared" ref="Y249:Y312" ca="1" si="138">+IF(X249="",W249-TODAY(),W249-X249)</f>
        <v>-171</v>
      </c>
      <c r="Z249" s="55">
        <f t="shared" ref="Z249:Z308" si="139">+W249+16</f>
        <v>45685</v>
      </c>
      <c r="AA249" s="55"/>
      <c r="AB249" s="56">
        <f t="shared" ref="AB249:AB312" ca="1" si="140">+IF(AA249="",Z249-TODAY(),Z249-AA249)</f>
        <v>-155</v>
      </c>
      <c r="AC249" s="55"/>
      <c r="AD249" s="57"/>
      <c r="AE249" s="58" t="str">
        <f t="shared" si="111"/>
        <v>-</v>
      </c>
      <c r="AF249" s="59"/>
      <c r="AG249" s="58" t="str">
        <f t="shared" si="112"/>
        <v/>
      </c>
      <c r="AH249" s="59"/>
      <c r="AI249" s="58" t="str">
        <f t="shared" si="113"/>
        <v/>
      </c>
      <c r="AJ249" s="59"/>
      <c r="AK249" s="58" t="str">
        <f t="shared" si="114"/>
        <v/>
      </c>
      <c r="AL249" s="59"/>
      <c r="AM249" s="58" t="str">
        <f t="shared" si="115"/>
        <v/>
      </c>
      <c r="AN249" s="59"/>
      <c r="AO249" s="58" t="str">
        <f t="shared" si="116"/>
        <v/>
      </c>
      <c r="AP249" s="59"/>
      <c r="AQ249" s="58" t="str">
        <f t="shared" si="117"/>
        <v/>
      </c>
      <c r="AR249" s="59"/>
      <c r="AS249" s="58" t="str">
        <f t="shared" si="118"/>
        <v/>
      </c>
      <c r="AT249" s="59"/>
      <c r="AU249" s="58" t="str">
        <f t="shared" si="119"/>
        <v/>
      </c>
      <c r="AV249" s="59"/>
      <c r="AW249" s="58" t="str">
        <f t="shared" si="120"/>
        <v/>
      </c>
      <c r="AX249" s="59"/>
      <c r="AY249" s="58" t="str">
        <f t="shared" si="121"/>
        <v/>
      </c>
      <c r="AZ249" s="59"/>
      <c r="BA249" s="58" t="str">
        <f t="shared" si="122"/>
        <v/>
      </c>
      <c r="BB249" s="59"/>
      <c r="BC249" s="58" t="str">
        <f t="shared" si="123"/>
        <v/>
      </c>
      <c r="BD249" s="59"/>
      <c r="BE249" s="58" t="str">
        <f t="shared" si="124"/>
        <v/>
      </c>
      <c r="BF249" s="59"/>
      <c r="BG249" s="58">
        <f t="shared" si="125"/>
        <v>1412</v>
      </c>
      <c r="BH249" s="59"/>
      <c r="BI249" s="58" t="str">
        <f t="shared" si="126"/>
        <v/>
      </c>
      <c r="BJ249" s="59"/>
      <c r="BK249" s="58" t="str">
        <f t="shared" si="127"/>
        <v/>
      </c>
      <c r="BL249" s="59"/>
      <c r="BM249" s="58" t="str">
        <f t="shared" si="128"/>
        <v/>
      </c>
      <c r="BN249" s="59"/>
      <c r="BO249" s="58" t="str">
        <f t="shared" si="129"/>
        <v/>
      </c>
      <c r="BP249" s="59"/>
      <c r="BQ249" s="58" t="str">
        <f t="shared" si="130"/>
        <v/>
      </c>
      <c r="BR249" s="59"/>
      <c r="BS249" s="58" t="str">
        <f t="shared" si="131"/>
        <v/>
      </c>
      <c r="BT249" s="59"/>
      <c r="BU249" s="58" t="str">
        <f t="shared" si="132"/>
        <v/>
      </c>
      <c r="BV249" s="59"/>
      <c r="BW249" s="58" t="str">
        <f t="shared" si="133"/>
        <v/>
      </c>
      <c r="BX249" s="59"/>
      <c r="BY249" s="58" t="str">
        <f t="shared" si="134"/>
        <v/>
      </c>
      <c r="BZ249" s="59"/>
    </row>
    <row r="250" spans="1:78" ht="14.5" hidden="1">
      <c r="A250" s="51" t="s">
        <v>58</v>
      </c>
      <c r="B250" s="52">
        <v>386</v>
      </c>
      <c r="C250" s="52" t="s">
        <v>188</v>
      </c>
      <c r="D250" s="41">
        <f t="shared" si="109"/>
        <v>5</v>
      </c>
      <c r="E250" s="41" t="s">
        <v>631</v>
      </c>
      <c r="F250" s="41" t="s">
        <v>631</v>
      </c>
      <c r="G250" s="52" t="s">
        <v>193</v>
      </c>
      <c r="H250" s="52" t="s">
        <v>246</v>
      </c>
      <c r="I250" s="52" t="s">
        <v>162</v>
      </c>
      <c r="J250" s="52" t="s">
        <v>434</v>
      </c>
      <c r="K250" s="53">
        <v>45689</v>
      </c>
      <c r="L250" s="108">
        <f>2610*2</f>
        <v>5220</v>
      </c>
      <c r="M250" s="101">
        <v>5220</v>
      </c>
      <c r="N250" s="101">
        <v>5220</v>
      </c>
      <c r="O250" s="107">
        <f t="shared" si="135"/>
        <v>0</v>
      </c>
      <c r="P250" s="54">
        <f t="shared" si="136"/>
        <v>0</v>
      </c>
      <c r="Q250" s="101" t="s">
        <v>680</v>
      </c>
      <c r="R250" s="166">
        <v>45665</v>
      </c>
      <c r="S250" s="101" t="s">
        <v>681</v>
      </c>
      <c r="T250" s="102">
        <f t="shared" si="110"/>
        <v>14.914285714285715</v>
      </c>
      <c r="U250" s="102">
        <v>1</v>
      </c>
      <c r="V250" s="99">
        <v>350</v>
      </c>
      <c r="W250" s="55">
        <f t="shared" si="137"/>
        <v>45669</v>
      </c>
      <c r="X250" s="55">
        <v>45627</v>
      </c>
      <c r="Y250" s="56">
        <f t="shared" ca="1" si="138"/>
        <v>42</v>
      </c>
      <c r="Z250" s="55">
        <f t="shared" si="139"/>
        <v>45685</v>
      </c>
      <c r="AA250" s="55"/>
      <c r="AB250" s="56">
        <f t="shared" ca="1" si="140"/>
        <v>-155</v>
      </c>
      <c r="AC250" s="55"/>
      <c r="AD250" s="57"/>
      <c r="AE250" s="58" t="str">
        <f t="shared" si="111"/>
        <v>-</v>
      </c>
      <c r="AF250" s="59"/>
      <c r="AG250" s="58" t="str">
        <f t="shared" si="112"/>
        <v/>
      </c>
      <c r="AH250" s="59"/>
      <c r="AI250" s="58" t="str">
        <f t="shared" si="113"/>
        <v/>
      </c>
      <c r="AJ250" s="59"/>
      <c r="AK250" s="58" t="str">
        <f t="shared" si="114"/>
        <v/>
      </c>
      <c r="AL250" s="59"/>
      <c r="AM250" s="58" t="str">
        <f t="shared" si="115"/>
        <v/>
      </c>
      <c r="AN250" s="59"/>
      <c r="AO250" s="58" t="str">
        <f t="shared" si="116"/>
        <v/>
      </c>
      <c r="AP250" s="59"/>
      <c r="AQ250" s="58" t="str">
        <f t="shared" si="117"/>
        <v/>
      </c>
      <c r="AR250" s="59"/>
      <c r="AS250" s="58" t="str">
        <f t="shared" si="118"/>
        <v/>
      </c>
      <c r="AT250" s="59"/>
      <c r="AU250" s="58" t="str">
        <f t="shared" si="119"/>
        <v/>
      </c>
      <c r="AV250" s="59"/>
      <c r="AW250" s="58" t="str">
        <f t="shared" si="120"/>
        <v/>
      </c>
      <c r="AX250" s="59"/>
      <c r="AY250" s="58" t="str">
        <f t="shared" si="121"/>
        <v/>
      </c>
      <c r="AZ250" s="59"/>
      <c r="BA250" s="58" t="str">
        <f t="shared" si="122"/>
        <v/>
      </c>
      <c r="BB250" s="59"/>
      <c r="BC250" s="58" t="str">
        <f t="shared" si="123"/>
        <v/>
      </c>
      <c r="BD250" s="59"/>
      <c r="BE250" s="58" t="str">
        <f t="shared" si="124"/>
        <v/>
      </c>
      <c r="BF250" s="59"/>
      <c r="BG250" s="58">
        <f t="shared" si="125"/>
        <v>5220</v>
      </c>
      <c r="BH250" s="59"/>
      <c r="BI250" s="58" t="str">
        <f t="shared" si="126"/>
        <v/>
      </c>
      <c r="BJ250" s="59"/>
      <c r="BK250" s="58" t="str">
        <f t="shared" si="127"/>
        <v/>
      </c>
      <c r="BL250" s="59"/>
      <c r="BM250" s="58" t="str">
        <f t="shared" si="128"/>
        <v/>
      </c>
      <c r="BN250" s="59"/>
      <c r="BO250" s="58" t="str">
        <f t="shared" si="129"/>
        <v/>
      </c>
      <c r="BP250" s="59"/>
      <c r="BQ250" s="58" t="str">
        <f t="shared" si="130"/>
        <v/>
      </c>
      <c r="BR250" s="59"/>
      <c r="BS250" s="58" t="str">
        <f t="shared" si="131"/>
        <v/>
      </c>
      <c r="BT250" s="59"/>
      <c r="BU250" s="58" t="str">
        <f t="shared" si="132"/>
        <v/>
      </c>
      <c r="BV250" s="59"/>
      <c r="BW250" s="58" t="str">
        <f t="shared" si="133"/>
        <v/>
      </c>
      <c r="BX250" s="59"/>
      <c r="BY250" s="58" t="str">
        <f t="shared" si="134"/>
        <v/>
      </c>
      <c r="BZ250" s="59"/>
    </row>
    <row r="251" spans="1:78" ht="14.5" hidden="1">
      <c r="A251" s="51" t="s">
        <v>58</v>
      </c>
      <c r="B251" s="52">
        <v>386</v>
      </c>
      <c r="C251" s="52" t="s">
        <v>188</v>
      </c>
      <c r="D251" s="41">
        <f t="shared" si="109"/>
        <v>5</v>
      </c>
      <c r="E251" s="170" t="s">
        <v>631</v>
      </c>
      <c r="F251" s="41" t="s">
        <v>631</v>
      </c>
      <c r="G251" s="52" t="s">
        <v>136</v>
      </c>
      <c r="H251" s="52" t="s">
        <v>247</v>
      </c>
      <c r="I251" s="52" t="s">
        <v>162</v>
      </c>
      <c r="J251" s="52" t="s">
        <v>500</v>
      </c>
      <c r="K251" s="53">
        <v>45689</v>
      </c>
      <c r="L251" s="108">
        <v>4656</v>
      </c>
      <c r="M251" s="101">
        <v>4656</v>
      </c>
      <c r="N251" s="101">
        <v>4656</v>
      </c>
      <c r="O251" s="107">
        <f t="shared" si="135"/>
        <v>0</v>
      </c>
      <c r="P251" s="54">
        <f t="shared" si="136"/>
        <v>0</v>
      </c>
      <c r="Q251" s="101" t="s">
        <v>676</v>
      </c>
      <c r="R251" s="166">
        <v>45661</v>
      </c>
      <c r="S251" s="101"/>
      <c r="T251" s="102">
        <f t="shared" si="110"/>
        <v>2.6605714285714286</v>
      </c>
      <c r="U251" s="102">
        <v>5</v>
      </c>
      <c r="V251" s="99">
        <v>350</v>
      </c>
      <c r="W251" s="55">
        <f t="shared" si="137"/>
        <v>45669</v>
      </c>
      <c r="X251" s="55">
        <v>45627</v>
      </c>
      <c r="Y251" s="56">
        <f t="shared" ca="1" si="138"/>
        <v>42</v>
      </c>
      <c r="Z251" s="55">
        <f t="shared" si="139"/>
        <v>45685</v>
      </c>
      <c r="AA251" s="55"/>
      <c r="AB251" s="56">
        <f t="shared" ca="1" si="140"/>
        <v>-155</v>
      </c>
      <c r="AC251" s="55"/>
      <c r="AD251" s="57"/>
      <c r="AE251" s="58" t="str">
        <f t="shared" si="111"/>
        <v>-</v>
      </c>
      <c r="AF251" s="59"/>
      <c r="AG251" s="58" t="str">
        <f t="shared" si="112"/>
        <v/>
      </c>
      <c r="AH251" s="59"/>
      <c r="AI251" s="58" t="str">
        <f t="shared" si="113"/>
        <v/>
      </c>
      <c r="AJ251" s="59"/>
      <c r="AK251" s="58" t="str">
        <f t="shared" si="114"/>
        <v/>
      </c>
      <c r="AL251" s="59"/>
      <c r="AM251" s="58" t="str">
        <f t="shared" si="115"/>
        <v/>
      </c>
      <c r="AN251" s="59"/>
      <c r="AO251" s="58" t="str">
        <f t="shared" si="116"/>
        <v/>
      </c>
      <c r="AP251" s="59"/>
      <c r="AQ251" s="58" t="str">
        <f t="shared" si="117"/>
        <v/>
      </c>
      <c r="AR251" s="59"/>
      <c r="AS251" s="58" t="str">
        <f t="shared" si="118"/>
        <v/>
      </c>
      <c r="AT251" s="59"/>
      <c r="AU251" s="58" t="str">
        <f t="shared" si="119"/>
        <v/>
      </c>
      <c r="AV251" s="59"/>
      <c r="AW251" s="58" t="str">
        <f t="shared" si="120"/>
        <v/>
      </c>
      <c r="AX251" s="59"/>
      <c r="AY251" s="58" t="str">
        <f t="shared" si="121"/>
        <v/>
      </c>
      <c r="AZ251" s="59"/>
      <c r="BA251" s="58" t="str">
        <f t="shared" si="122"/>
        <v/>
      </c>
      <c r="BB251" s="59"/>
      <c r="BC251" s="58" t="str">
        <f t="shared" si="123"/>
        <v/>
      </c>
      <c r="BD251" s="59"/>
      <c r="BE251" s="58" t="str">
        <f t="shared" si="124"/>
        <v/>
      </c>
      <c r="BF251" s="59"/>
      <c r="BG251" s="58">
        <f t="shared" si="125"/>
        <v>4656</v>
      </c>
      <c r="BH251" s="59"/>
      <c r="BI251" s="58" t="str">
        <f t="shared" si="126"/>
        <v/>
      </c>
      <c r="BJ251" s="59"/>
      <c r="BK251" s="58" t="str">
        <f t="shared" si="127"/>
        <v/>
      </c>
      <c r="BL251" s="59"/>
      <c r="BM251" s="58" t="str">
        <f t="shared" si="128"/>
        <v/>
      </c>
      <c r="BN251" s="59"/>
      <c r="BO251" s="58" t="str">
        <f t="shared" si="129"/>
        <v/>
      </c>
      <c r="BP251" s="59"/>
      <c r="BQ251" s="58" t="str">
        <f t="shared" si="130"/>
        <v/>
      </c>
      <c r="BR251" s="59"/>
      <c r="BS251" s="58" t="str">
        <f t="shared" si="131"/>
        <v/>
      </c>
      <c r="BT251" s="59"/>
      <c r="BU251" s="58" t="str">
        <f t="shared" si="132"/>
        <v/>
      </c>
      <c r="BV251" s="59"/>
      <c r="BW251" s="58" t="str">
        <f t="shared" si="133"/>
        <v/>
      </c>
      <c r="BX251" s="59"/>
      <c r="BY251" s="58" t="str">
        <f t="shared" si="134"/>
        <v/>
      </c>
      <c r="BZ251" s="59"/>
    </row>
    <row r="252" spans="1:78" ht="14.5" hidden="1">
      <c r="A252" s="51" t="s">
        <v>58</v>
      </c>
      <c r="B252" s="52">
        <v>386</v>
      </c>
      <c r="C252" s="52" t="s">
        <v>188</v>
      </c>
      <c r="D252" s="41">
        <f t="shared" si="109"/>
        <v>5</v>
      </c>
      <c r="E252" s="170" t="s">
        <v>631</v>
      </c>
      <c r="F252" s="41" t="s">
        <v>646</v>
      </c>
      <c r="G252" s="52" t="s">
        <v>136</v>
      </c>
      <c r="H252" s="52" t="s">
        <v>247</v>
      </c>
      <c r="I252" s="52" t="s">
        <v>163</v>
      </c>
      <c r="J252" s="52" t="s">
        <v>500</v>
      </c>
      <c r="K252" s="53">
        <v>45689</v>
      </c>
      <c r="L252" s="108">
        <v>4656</v>
      </c>
      <c r="M252" s="101">
        <v>4656</v>
      </c>
      <c r="N252" s="101">
        <v>4656</v>
      </c>
      <c r="O252" s="107">
        <f t="shared" si="135"/>
        <v>0</v>
      </c>
      <c r="P252" s="54">
        <f t="shared" si="136"/>
        <v>0</v>
      </c>
      <c r="Q252" s="101" t="s">
        <v>678</v>
      </c>
      <c r="R252" s="166">
        <v>45665</v>
      </c>
      <c r="S252" s="105" t="s">
        <v>682</v>
      </c>
      <c r="T252" s="102">
        <f t="shared" si="110"/>
        <v>2.6605714285714286</v>
      </c>
      <c r="U252" s="102">
        <v>5</v>
      </c>
      <c r="V252" s="99">
        <v>350</v>
      </c>
      <c r="W252" s="55">
        <f t="shared" si="137"/>
        <v>45669</v>
      </c>
      <c r="X252" s="55">
        <v>45627</v>
      </c>
      <c r="Y252" s="56">
        <f t="shared" ca="1" si="138"/>
        <v>42</v>
      </c>
      <c r="Z252" s="55">
        <f t="shared" si="139"/>
        <v>45685</v>
      </c>
      <c r="AA252" s="55"/>
      <c r="AB252" s="56">
        <f t="shared" ca="1" si="140"/>
        <v>-155</v>
      </c>
      <c r="AC252" s="55"/>
      <c r="AD252" s="57"/>
      <c r="AE252" s="58" t="str">
        <f t="shared" si="111"/>
        <v>-</v>
      </c>
      <c r="AF252" s="59"/>
      <c r="AG252" s="58" t="str">
        <f t="shared" si="112"/>
        <v/>
      </c>
      <c r="AH252" s="59"/>
      <c r="AI252" s="58" t="str">
        <f t="shared" si="113"/>
        <v/>
      </c>
      <c r="AJ252" s="59"/>
      <c r="AK252" s="58" t="str">
        <f t="shared" si="114"/>
        <v/>
      </c>
      <c r="AL252" s="59"/>
      <c r="AM252" s="58" t="str">
        <f t="shared" si="115"/>
        <v/>
      </c>
      <c r="AN252" s="59"/>
      <c r="AO252" s="58" t="str">
        <f t="shared" si="116"/>
        <v/>
      </c>
      <c r="AP252" s="59"/>
      <c r="AQ252" s="58" t="str">
        <f t="shared" si="117"/>
        <v/>
      </c>
      <c r="AR252" s="59"/>
      <c r="AS252" s="58" t="str">
        <f t="shared" si="118"/>
        <v/>
      </c>
      <c r="AT252" s="59"/>
      <c r="AU252" s="58" t="str">
        <f t="shared" si="119"/>
        <v/>
      </c>
      <c r="AV252" s="59"/>
      <c r="AW252" s="58" t="str">
        <f t="shared" si="120"/>
        <v/>
      </c>
      <c r="AX252" s="59"/>
      <c r="AY252" s="58" t="str">
        <f t="shared" si="121"/>
        <v/>
      </c>
      <c r="AZ252" s="59"/>
      <c r="BA252" s="58" t="str">
        <f t="shared" si="122"/>
        <v/>
      </c>
      <c r="BB252" s="59"/>
      <c r="BC252" s="58" t="str">
        <f t="shared" si="123"/>
        <v/>
      </c>
      <c r="BD252" s="59"/>
      <c r="BE252" s="58" t="str">
        <f t="shared" si="124"/>
        <v/>
      </c>
      <c r="BF252" s="59"/>
      <c r="BG252" s="58">
        <f t="shared" si="125"/>
        <v>4656</v>
      </c>
      <c r="BH252" s="59"/>
      <c r="BI252" s="58" t="str">
        <f t="shared" si="126"/>
        <v/>
      </c>
      <c r="BJ252" s="59"/>
      <c r="BK252" s="58" t="str">
        <f t="shared" si="127"/>
        <v/>
      </c>
      <c r="BL252" s="59"/>
      <c r="BM252" s="58" t="str">
        <f t="shared" si="128"/>
        <v/>
      </c>
      <c r="BN252" s="59"/>
      <c r="BO252" s="58" t="str">
        <f t="shared" si="129"/>
        <v/>
      </c>
      <c r="BP252" s="59"/>
      <c r="BQ252" s="58" t="str">
        <f t="shared" si="130"/>
        <v/>
      </c>
      <c r="BR252" s="59"/>
      <c r="BS252" s="58" t="str">
        <f t="shared" si="131"/>
        <v/>
      </c>
      <c r="BT252" s="59"/>
      <c r="BU252" s="58" t="str">
        <f t="shared" si="132"/>
        <v/>
      </c>
      <c r="BV252" s="59"/>
      <c r="BW252" s="58" t="str">
        <f t="shared" si="133"/>
        <v/>
      </c>
      <c r="BX252" s="59"/>
      <c r="BY252" s="58" t="str">
        <f t="shared" si="134"/>
        <v/>
      </c>
      <c r="BZ252" s="59"/>
    </row>
    <row r="253" spans="1:78" ht="14.5" hidden="1">
      <c r="A253" s="51" t="s">
        <v>58</v>
      </c>
      <c r="B253" s="52">
        <v>386</v>
      </c>
      <c r="C253" s="52" t="s">
        <v>188</v>
      </c>
      <c r="D253" s="41">
        <f t="shared" si="109"/>
        <v>5</v>
      </c>
      <c r="E253" s="41" t="s">
        <v>631</v>
      </c>
      <c r="F253" s="41" t="s">
        <v>631</v>
      </c>
      <c r="G253" s="52" t="s">
        <v>136</v>
      </c>
      <c r="H253" s="52" t="s">
        <v>247</v>
      </c>
      <c r="I253" s="52" t="s">
        <v>164</v>
      </c>
      <c r="J253" s="52" t="s">
        <v>500</v>
      </c>
      <c r="K253" s="53">
        <v>45689</v>
      </c>
      <c r="L253" s="108">
        <v>4656</v>
      </c>
      <c r="M253" s="101">
        <v>4656</v>
      </c>
      <c r="N253" s="101">
        <v>4656</v>
      </c>
      <c r="O253" s="107">
        <f t="shared" si="135"/>
        <v>0</v>
      </c>
      <c r="P253" s="54">
        <f t="shared" si="136"/>
        <v>0</v>
      </c>
      <c r="Q253" s="101" t="s">
        <v>639</v>
      </c>
      <c r="R253" s="166">
        <v>45661</v>
      </c>
      <c r="S253" s="101"/>
      <c r="T253" s="102">
        <f t="shared" si="110"/>
        <v>2.6605714285714286</v>
      </c>
      <c r="U253" s="102">
        <v>5</v>
      </c>
      <c r="V253" s="99">
        <v>350</v>
      </c>
      <c r="W253" s="55">
        <f t="shared" si="137"/>
        <v>45669</v>
      </c>
      <c r="X253" s="55">
        <v>45627</v>
      </c>
      <c r="Y253" s="56">
        <f t="shared" ca="1" si="138"/>
        <v>42</v>
      </c>
      <c r="Z253" s="55">
        <f t="shared" si="139"/>
        <v>45685</v>
      </c>
      <c r="AA253" s="55"/>
      <c r="AB253" s="56">
        <f t="shared" ca="1" si="140"/>
        <v>-155</v>
      </c>
      <c r="AC253" s="55"/>
      <c r="AD253" s="57"/>
      <c r="AE253" s="58" t="str">
        <f t="shared" si="111"/>
        <v>-</v>
      </c>
      <c r="AF253" s="59"/>
      <c r="AG253" s="58" t="str">
        <f t="shared" si="112"/>
        <v/>
      </c>
      <c r="AH253" s="59"/>
      <c r="AI253" s="58" t="str">
        <f t="shared" si="113"/>
        <v/>
      </c>
      <c r="AJ253" s="59"/>
      <c r="AK253" s="58" t="str">
        <f t="shared" si="114"/>
        <v/>
      </c>
      <c r="AL253" s="59"/>
      <c r="AM253" s="58" t="str">
        <f t="shared" si="115"/>
        <v/>
      </c>
      <c r="AN253" s="59"/>
      <c r="AO253" s="58" t="str">
        <f t="shared" si="116"/>
        <v/>
      </c>
      <c r="AP253" s="59"/>
      <c r="AQ253" s="58" t="str">
        <f t="shared" si="117"/>
        <v/>
      </c>
      <c r="AR253" s="59"/>
      <c r="AS253" s="58" t="str">
        <f t="shared" si="118"/>
        <v/>
      </c>
      <c r="AT253" s="59"/>
      <c r="AU253" s="58" t="str">
        <f t="shared" si="119"/>
        <v/>
      </c>
      <c r="AV253" s="59"/>
      <c r="AW253" s="58" t="str">
        <f t="shared" si="120"/>
        <v/>
      </c>
      <c r="AX253" s="59"/>
      <c r="AY253" s="58" t="str">
        <f t="shared" si="121"/>
        <v/>
      </c>
      <c r="AZ253" s="59"/>
      <c r="BA253" s="58" t="str">
        <f t="shared" si="122"/>
        <v/>
      </c>
      <c r="BB253" s="59"/>
      <c r="BC253" s="58" t="str">
        <f t="shared" si="123"/>
        <v/>
      </c>
      <c r="BD253" s="59"/>
      <c r="BE253" s="58" t="str">
        <f t="shared" si="124"/>
        <v/>
      </c>
      <c r="BF253" s="59"/>
      <c r="BG253" s="58">
        <f t="shared" si="125"/>
        <v>4656</v>
      </c>
      <c r="BH253" s="59"/>
      <c r="BI253" s="58" t="str">
        <f t="shared" si="126"/>
        <v/>
      </c>
      <c r="BJ253" s="59"/>
      <c r="BK253" s="58" t="str">
        <f t="shared" si="127"/>
        <v/>
      </c>
      <c r="BL253" s="59"/>
      <c r="BM253" s="58" t="str">
        <f t="shared" si="128"/>
        <v/>
      </c>
      <c r="BN253" s="59"/>
      <c r="BO253" s="58" t="str">
        <f t="shared" si="129"/>
        <v/>
      </c>
      <c r="BP253" s="59"/>
      <c r="BQ253" s="58" t="str">
        <f t="shared" si="130"/>
        <v/>
      </c>
      <c r="BR253" s="59"/>
      <c r="BS253" s="58" t="str">
        <f t="shared" si="131"/>
        <v/>
      </c>
      <c r="BT253" s="59"/>
      <c r="BU253" s="58" t="str">
        <f t="shared" si="132"/>
        <v/>
      </c>
      <c r="BV253" s="59"/>
      <c r="BW253" s="58" t="str">
        <f t="shared" si="133"/>
        <v/>
      </c>
      <c r="BX253" s="59"/>
      <c r="BY253" s="58" t="str">
        <f t="shared" si="134"/>
        <v/>
      </c>
      <c r="BZ253" s="59"/>
    </row>
    <row r="254" spans="1:78" ht="14.5" hidden="1">
      <c r="A254" s="51" t="s">
        <v>58</v>
      </c>
      <c r="B254" s="52">
        <v>386</v>
      </c>
      <c r="C254" s="52" t="s">
        <v>188</v>
      </c>
      <c r="D254" s="41">
        <f t="shared" si="109"/>
        <v>5</v>
      </c>
      <c r="E254" s="41" t="s">
        <v>631</v>
      </c>
      <c r="F254" s="41" t="s">
        <v>631</v>
      </c>
      <c r="G254" s="52" t="s">
        <v>195</v>
      </c>
      <c r="H254" s="52" t="s">
        <v>286</v>
      </c>
      <c r="I254" s="52" t="s">
        <v>162</v>
      </c>
      <c r="J254" s="52" t="s">
        <v>508</v>
      </c>
      <c r="K254" s="53">
        <v>45689</v>
      </c>
      <c r="L254" s="108">
        <v>4914</v>
      </c>
      <c r="M254" s="101">
        <v>4914</v>
      </c>
      <c r="N254" s="101">
        <v>4914</v>
      </c>
      <c r="O254" s="107">
        <f t="shared" si="135"/>
        <v>0</v>
      </c>
      <c r="P254" s="54">
        <f t="shared" si="136"/>
        <v>0</v>
      </c>
      <c r="Q254" s="101" t="s">
        <v>431</v>
      </c>
      <c r="R254" s="166">
        <v>45664</v>
      </c>
      <c r="S254" s="101"/>
      <c r="T254" s="102">
        <f t="shared" si="110"/>
        <v>6.8250000000000002</v>
      </c>
      <c r="U254" s="102">
        <v>6</v>
      </c>
      <c r="V254" s="99">
        <v>120</v>
      </c>
      <c r="W254" s="55">
        <f t="shared" si="137"/>
        <v>45669</v>
      </c>
      <c r="X254" s="55">
        <v>45627</v>
      </c>
      <c r="Y254" s="56">
        <f t="shared" ca="1" si="138"/>
        <v>42</v>
      </c>
      <c r="Z254" s="55">
        <f t="shared" si="139"/>
        <v>45685</v>
      </c>
      <c r="AA254" s="55"/>
      <c r="AB254" s="56">
        <f t="shared" ca="1" si="140"/>
        <v>-155</v>
      </c>
      <c r="AC254" s="55"/>
      <c r="AD254" s="57"/>
      <c r="AE254" s="58" t="str">
        <f t="shared" si="111"/>
        <v>-</v>
      </c>
      <c r="AF254" s="59"/>
      <c r="AG254" s="58" t="str">
        <f t="shared" si="112"/>
        <v/>
      </c>
      <c r="AH254" s="59"/>
      <c r="AI254" s="58" t="str">
        <f t="shared" si="113"/>
        <v/>
      </c>
      <c r="AJ254" s="59"/>
      <c r="AK254" s="58" t="str">
        <f t="shared" si="114"/>
        <v/>
      </c>
      <c r="AL254" s="59"/>
      <c r="AM254" s="58" t="str">
        <f t="shared" si="115"/>
        <v/>
      </c>
      <c r="AN254" s="59"/>
      <c r="AO254" s="58" t="str">
        <f t="shared" si="116"/>
        <v/>
      </c>
      <c r="AP254" s="59"/>
      <c r="AQ254" s="58" t="str">
        <f t="shared" si="117"/>
        <v/>
      </c>
      <c r="AR254" s="59"/>
      <c r="AS254" s="58" t="str">
        <f t="shared" si="118"/>
        <v/>
      </c>
      <c r="AT254" s="59"/>
      <c r="AU254" s="58" t="str">
        <f t="shared" si="119"/>
        <v/>
      </c>
      <c r="AV254" s="59"/>
      <c r="AW254" s="58" t="str">
        <f t="shared" si="120"/>
        <v/>
      </c>
      <c r="AX254" s="59"/>
      <c r="AY254" s="58" t="str">
        <f t="shared" si="121"/>
        <v/>
      </c>
      <c r="AZ254" s="59"/>
      <c r="BA254" s="58" t="str">
        <f t="shared" si="122"/>
        <v/>
      </c>
      <c r="BB254" s="59"/>
      <c r="BC254" s="58" t="str">
        <f t="shared" si="123"/>
        <v/>
      </c>
      <c r="BD254" s="59"/>
      <c r="BE254" s="58" t="str">
        <f t="shared" si="124"/>
        <v/>
      </c>
      <c r="BF254" s="59"/>
      <c r="BG254" s="58">
        <f t="shared" si="125"/>
        <v>4914</v>
      </c>
      <c r="BH254" s="59"/>
      <c r="BI254" s="58" t="str">
        <f t="shared" si="126"/>
        <v/>
      </c>
      <c r="BJ254" s="59"/>
      <c r="BK254" s="58" t="str">
        <f t="shared" si="127"/>
        <v/>
      </c>
      <c r="BL254" s="59"/>
      <c r="BM254" s="58" t="str">
        <f t="shared" si="128"/>
        <v/>
      </c>
      <c r="BN254" s="59"/>
      <c r="BO254" s="58" t="str">
        <f t="shared" si="129"/>
        <v/>
      </c>
      <c r="BP254" s="59"/>
      <c r="BQ254" s="58" t="str">
        <f t="shared" si="130"/>
        <v/>
      </c>
      <c r="BR254" s="59"/>
      <c r="BS254" s="58" t="str">
        <f t="shared" si="131"/>
        <v/>
      </c>
      <c r="BT254" s="59"/>
      <c r="BU254" s="58" t="str">
        <f t="shared" si="132"/>
        <v/>
      </c>
      <c r="BV254" s="59"/>
      <c r="BW254" s="58" t="str">
        <f t="shared" si="133"/>
        <v/>
      </c>
      <c r="BX254" s="59"/>
      <c r="BY254" s="58" t="str">
        <f t="shared" si="134"/>
        <v/>
      </c>
      <c r="BZ254" s="59"/>
    </row>
    <row r="255" spans="1:78" ht="14.5" hidden="1">
      <c r="A255" s="51" t="s">
        <v>58</v>
      </c>
      <c r="B255" s="52">
        <v>386</v>
      </c>
      <c r="C255" s="52" t="s">
        <v>188</v>
      </c>
      <c r="D255" s="41">
        <f t="shared" si="109"/>
        <v>5</v>
      </c>
      <c r="E255" s="41" t="s">
        <v>631</v>
      </c>
      <c r="F255" s="41" t="s">
        <v>631</v>
      </c>
      <c r="G255" s="52" t="s">
        <v>391</v>
      </c>
      <c r="H255" s="52" t="s">
        <v>392</v>
      </c>
      <c r="I255" s="52" t="s">
        <v>393</v>
      </c>
      <c r="J255" s="52" t="s">
        <v>433</v>
      </c>
      <c r="K255" s="53">
        <v>45689</v>
      </c>
      <c r="L255" s="108">
        <v>1764</v>
      </c>
      <c r="M255" s="101">
        <v>0</v>
      </c>
      <c r="N255" s="101"/>
      <c r="O255" s="107">
        <f t="shared" si="135"/>
        <v>1764</v>
      </c>
      <c r="P255" s="54">
        <f t="shared" si="136"/>
        <v>1764</v>
      </c>
      <c r="Q255" s="101" t="s">
        <v>443</v>
      </c>
      <c r="R255" s="166">
        <v>45665</v>
      </c>
      <c r="S255" s="101" t="s">
        <v>683</v>
      </c>
      <c r="T255" s="102">
        <f t="shared" si="110"/>
        <v>3.6749999999999998</v>
      </c>
      <c r="U255" s="102">
        <v>6</v>
      </c>
      <c r="V255" s="99">
        <v>80</v>
      </c>
      <c r="W255" s="55">
        <f t="shared" si="137"/>
        <v>45669</v>
      </c>
      <c r="X255" s="55">
        <v>45627</v>
      </c>
      <c r="Y255" s="56">
        <f t="shared" ca="1" si="138"/>
        <v>42</v>
      </c>
      <c r="Z255" s="55">
        <f t="shared" si="139"/>
        <v>45685</v>
      </c>
      <c r="AA255" s="55"/>
      <c r="AB255" s="56">
        <f t="shared" ca="1" si="140"/>
        <v>-155</v>
      </c>
      <c r="AC255" s="55"/>
      <c r="AD255" s="57"/>
      <c r="AE255" s="58" t="str">
        <f t="shared" si="111"/>
        <v>-</v>
      </c>
      <c r="AF255" s="59"/>
      <c r="AG255" s="58" t="str">
        <f t="shared" si="112"/>
        <v/>
      </c>
      <c r="AH255" s="59"/>
      <c r="AI255" s="58" t="str">
        <f t="shared" si="113"/>
        <v/>
      </c>
      <c r="AJ255" s="59"/>
      <c r="AK255" s="58" t="str">
        <f t="shared" si="114"/>
        <v/>
      </c>
      <c r="AL255" s="59"/>
      <c r="AM255" s="58" t="str">
        <f t="shared" si="115"/>
        <v/>
      </c>
      <c r="AN255" s="59"/>
      <c r="AO255" s="58" t="str">
        <f t="shared" si="116"/>
        <v/>
      </c>
      <c r="AP255" s="59"/>
      <c r="AQ255" s="58" t="str">
        <f t="shared" si="117"/>
        <v/>
      </c>
      <c r="AR255" s="59"/>
      <c r="AS255" s="58" t="str">
        <f t="shared" si="118"/>
        <v/>
      </c>
      <c r="AT255" s="59"/>
      <c r="AU255" s="58" t="str">
        <f t="shared" si="119"/>
        <v/>
      </c>
      <c r="AV255" s="59"/>
      <c r="AW255" s="58" t="str">
        <f t="shared" si="120"/>
        <v/>
      </c>
      <c r="AX255" s="59"/>
      <c r="AY255" s="58" t="str">
        <f t="shared" si="121"/>
        <v/>
      </c>
      <c r="AZ255" s="59"/>
      <c r="BA255" s="58" t="str">
        <f t="shared" si="122"/>
        <v/>
      </c>
      <c r="BB255" s="59"/>
      <c r="BC255" s="58" t="str">
        <f t="shared" si="123"/>
        <v/>
      </c>
      <c r="BD255" s="59"/>
      <c r="BE255" s="58" t="str">
        <f t="shared" si="124"/>
        <v/>
      </c>
      <c r="BF255" s="59"/>
      <c r="BG255" s="58">
        <f t="shared" si="125"/>
        <v>1764</v>
      </c>
      <c r="BH255" s="59"/>
      <c r="BI255" s="58" t="str">
        <f t="shared" si="126"/>
        <v/>
      </c>
      <c r="BJ255" s="59"/>
      <c r="BK255" s="58" t="str">
        <f t="shared" si="127"/>
        <v/>
      </c>
      <c r="BL255" s="59"/>
      <c r="BM255" s="58" t="str">
        <f t="shared" si="128"/>
        <v/>
      </c>
      <c r="BN255" s="59"/>
      <c r="BO255" s="58" t="str">
        <f t="shared" si="129"/>
        <v/>
      </c>
      <c r="BP255" s="59"/>
      <c r="BQ255" s="58" t="str">
        <f t="shared" si="130"/>
        <v/>
      </c>
      <c r="BR255" s="59"/>
      <c r="BS255" s="58" t="str">
        <f t="shared" si="131"/>
        <v/>
      </c>
      <c r="BT255" s="59"/>
      <c r="BU255" s="58" t="str">
        <f t="shared" si="132"/>
        <v/>
      </c>
      <c r="BV255" s="59"/>
      <c r="BW255" s="58" t="str">
        <f t="shared" si="133"/>
        <v/>
      </c>
      <c r="BX255" s="59"/>
      <c r="BY255" s="58" t="str">
        <f t="shared" si="134"/>
        <v/>
      </c>
      <c r="BZ255" s="59"/>
    </row>
    <row r="256" spans="1:78" ht="14.5" hidden="1">
      <c r="A256" s="51" t="s">
        <v>466</v>
      </c>
      <c r="B256" s="52">
        <v>351</v>
      </c>
      <c r="C256" s="52" t="s">
        <v>552</v>
      </c>
      <c r="D256" s="41">
        <f t="shared" si="109"/>
        <v>5</v>
      </c>
      <c r="E256" s="170"/>
      <c r="F256" s="41"/>
      <c r="G256" s="52" t="s">
        <v>553</v>
      </c>
      <c r="H256" s="52" t="s">
        <v>554</v>
      </c>
      <c r="I256" s="52" t="s">
        <v>555</v>
      </c>
      <c r="J256" s="52" t="s">
        <v>556</v>
      </c>
      <c r="K256" s="53">
        <v>45687</v>
      </c>
      <c r="L256" s="108">
        <v>0</v>
      </c>
      <c r="M256" s="101"/>
      <c r="N256" s="101"/>
      <c r="O256" s="101">
        <f t="shared" si="135"/>
        <v>0</v>
      </c>
      <c r="P256" s="54">
        <f t="shared" si="136"/>
        <v>0</v>
      </c>
      <c r="Q256" s="101" t="s">
        <v>178</v>
      </c>
      <c r="R256" s="101"/>
      <c r="S256" s="101"/>
      <c r="T256" s="102">
        <f t="shared" si="110"/>
        <v>0</v>
      </c>
      <c r="U256" s="102">
        <v>6</v>
      </c>
      <c r="V256" s="99">
        <v>80</v>
      </c>
      <c r="W256" s="55">
        <f t="shared" ref="W256:W262" si="141">+K256-(32)</f>
        <v>45655</v>
      </c>
      <c r="X256" s="55">
        <v>45626</v>
      </c>
      <c r="Y256" s="56">
        <f t="shared" ca="1" si="138"/>
        <v>29</v>
      </c>
      <c r="Z256" s="55">
        <f t="shared" si="139"/>
        <v>45671</v>
      </c>
      <c r="AA256" s="55"/>
      <c r="AB256" s="56">
        <f t="shared" ca="1" si="140"/>
        <v>-169</v>
      </c>
      <c r="AC256" s="55"/>
      <c r="AD256" s="57"/>
      <c r="AE256" s="58" t="str">
        <f t="shared" si="111"/>
        <v>-</v>
      </c>
      <c r="AF256" s="59"/>
      <c r="AG256" s="58" t="str">
        <f t="shared" si="112"/>
        <v/>
      </c>
      <c r="AH256" s="59"/>
      <c r="AI256" s="58" t="str">
        <f t="shared" si="113"/>
        <v/>
      </c>
      <c r="AJ256" s="59"/>
      <c r="AK256" s="58" t="str">
        <f t="shared" si="114"/>
        <v/>
      </c>
      <c r="AL256" s="59"/>
      <c r="AM256" s="58" t="str">
        <f t="shared" si="115"/>
        <v/>
      </c>
      <c r="AN256" s="59"/>
      <c r="AO256" s="58" t="str">
        <f t="shared" si="116"/>
        <v/>
      </c>
      <c r="AP256" s="59"/>
      <c r="AQ256" s="58" t="str">
        <f t="shared" si="117"/>
        <v/>
      </c>
      <c r="AR256" s="59"/>
      <c r="AS256" s="58" t="str">
        <f t="shared" si="118"/>
        <v/>
      </c>
      <c r="AT256" s="59"/>
      <c r="AU256" s="58" t="str">
        <f t="shared" si="119"/>
        <v/>
      </c>
      <c r="AV256" s="59"/>
      <c r="AW256" s="58" t="str">
        <f t="shared" si="120"/>
        <v/>
      </c>
      <c r="AX256" s="59"/>
      <c r="AY256" s="58" t="str">
        <f t="shared" si="121"/>
        <v/>
      </c>
      <c r="AZ256" s="59"/>
      <c r="BA256" s="58" t="str">
        <f t="shared" si="122"/>
        <v/>
      </c>
      <c r="BB256" s="59"/>
      <c r="BC256" s="58" t="str">
        <f t="shared" si="123"/>
        <v/>
      </c>
      <c r="BD256" s="59"/>
      <c r="BE256" s="58" t="str">
        <f t="shared" si="124"/>
        <v/>
      </c>
      <c r="BF256" s="59"/>
      <c r="BG256" s="58" t="str">
        <f t="shared" si="125"/>
        <v/>
      </c>
      <c r="BH256" s="59"/>
      <c r="BI256" s="58" t="str">
        <f t="shared" si="126"/>
        <v/>
      </c>
      <c r="BJ256" s="59"/>
      <c r="BK256" s="58" t="str">
        <f t="shared" si="127"/>
        <v/>
      </c>
      <c r="BL256" s="59"/>
      <c r="BM256" s="58" t="str">
        <f t="shared" si="128"/>
        <v/>
      </c>
      <c r="BN256" s="59"/>
      <c r="BO256" s="58" t="str">
        <f t="shared" si="129"/>
        <v/>
      </c>
      <c r="BP256" s="59"/>
      <c r="BQ256" s="58" t="str">
        <f t="shared" si="130"/>
        <v/>
      </c>
      <c r="BR256" s="59"/>
      <c r="BS256" s="58" t="str">
        <f t="shared" si="131"/>
        <v/>
      </c>
      <c r="BT256" s="59"/>
      <c r="BU256" s="58" t="str">
        <f t="shared" si="132"/>
        <v/>
      </c>
      <c r="BV256" s="59"/>
      <c r="BW256" s="58" t="str">
        <f t="shared" si="133"/>
        <v/>
      </c>
      <c r="BX256" s="59"/>
      <c r="BY256" s="58" t="str">
        <f t="shared" si="134"/>
        <v/>
      </c>
      <c r="BZ256" s="59"/>
    </row>
    <row r="257" spans="1:78" ht="14.5" hidden="1">
      <c r="A257" s="51" t="s">
        <v>466</v>
      </c>
      <c r="B257" s="52">
        <v>351</v>
      </c>
      <c r="C257" s="52" t="s">
        <v>552</v>
      </c>
      <c r="D257" s="41">
        <f t="shared" si="109"/>
        <v>5</v>
      </c>
      <c r="E257" s="170"/>
      <c r="F257" s="41"/>
      <c r="G257" s="52" t="s">
        <v>160</v>
      </c>
      <c r="H257" s="52" t="s">
        <v>557</v>
      </c>
      <c r="I257" s="52" t="s">
        <v>160</v>
      </c>
      <c r="J257" s="52" t="s">
        <v>558</v>
      </c>
      <c r="K257" s="53">
        <v>45687</v>
      </c>
      <c r="L257" s="108">
        <v>6705</v>
      </c>
      <c r="M257" s="101">
        <v>6500</v>
      </c>
      <c r="N257" s="101">
        <v>3900</v>
      </c>
      <c r="O257" s="101">
        <f t="shared" si="135"/>
        <v>2805</v>
      </c>
      <c r="P257" s="54">
        <f t="shared" si="136"/>
        <v>205</v>
      </c>
      <c r="Q257" s="101" t="s">
        <v>178</v>
      </c>
      <c r="R257" s="101"/>
      <c r="S257" s="101"/>
      <c r="T257" s="102">
        <f t="shared" si="110"/>
        <v>13.96875</v>
      </c>
      <c r="U257" s="102">
        <v>6</v>
      </c>
      <c r="V257" s="99">
        <v>80</v>
      </c>
      <c r="W257" s="55">
        <f t="shared" si="141"/>
        <v>45655</v>
      </c>
      <c r="X257" s="55">
        <v>45626</v>
      </c>
      <c r="Y257" s="56">
        <f t="shared" ca="1" si="138"/>
        <v>29</v>
      </c>
      <c r="Z257" s="55">
        <f t="shared" si="139"/>
        <v>45671</v>
      </c>
      <c r="AA257" s="55"/>
      <c r="AB257" s="56">
        <f t="shared" ca="1" si="140"/>
        <v>-169</v>
      </c>
      <c r="AC257" s="55"/>
      <c r="AD257" s="57"/>
      <c r="AE257" s="58" t="str">
        <f t="shared" si="111"/>
        <v>-</v>
      </c>
      <c r="AF257" s="59"/>
      <c r="AG257" s="58" t="str">
        <f t="shared" si="112"/>
        <v/>
      </c>
      <c r="AH257" s="59"/>
      <c r="AI257" s="58" t="str">
        <f t="shared" si="113"/>
        <v/>
      </c>
      <c r="AJ257" s="59"/>
      <c r="AK257" s="58" t="str">
        <f t="shared" si="114"/>
        <v/>
      </c>
      <c r="AL257" s="59"/>
      <c r="AM257" s="58" t="str">
        <f t="shared" si="115"/>
        <v/>
      </c>
      <c r="AN257" s="59"/>
      <c r="AO257" s="58" t="str">
        <f t="shared" si="116"/>
        <v/>
      </c>
      <c r="AP257" s="59"/>
      <c r="AQ257" s="58" t="str">
        <f t="shared" si="117"/>
        <v/>
      </c>
      <c r="AR257" s="59"/>
      <c r="AS257" s="58" t="str">
        <f t="shared" si="118"/>
        <v/>
      </c>
      <c r="AT257" s="59"/>
      <c r="AU257" s="58" t="str">
        <f t="shared" si="119"/>
        <v/>
      </c>
      <c r="AV257" s="59"/>
      <c r="AW257" s="58" t="str">
        <f t="shared" si="120"/>
        <v/>
      </c>
      <c r="AX257" s="59"/>
      <c r="AY257" s="58" t="str">
        <f t="shared" si="121"/>
        <v/>
      </c>
      <c r="AZ257" s="59"/>
      <c r="BA257" s="58" t="str">
        <f t="shared" si="122"/>
        <v/>
      </c>
      <c r="BB257" s="59"/>
      <c r="BC257" s="58" t="str">
        <f t="shared" si="123"/>
        <v/>
      </c>
      <c r="BD257" s="59"/>
      <c r="BE257" s="58" t="str">
        <f t="shared" si="124"/>
        <v/>
      </c>
      <c r="BF257" s="59"/>
      <c r="BG257" s="58" t="str">
        <f t="shared" si="125"/>
        <v/>
      </c>
      <c r="BH257" s="59"/>
      <c r="BI257" s="58" t="str">
        <f t="shared" si="126"/>
        <v/>
      </c>
      <c r="BJ257" s="59"/>
      <c r="BK257" s="58" t="str">
        <f t="shared" si="127"/>
        <v/>
      </c>
      <c r="BL257" s="59"/>
      <c r="BM257" s="58" t="str">
        <f t="shared" si="128"/>
        <v/>
      </c>
      <c r="BN257" s="59"/>
      <c r="BO257" s="58" t="str">
        <f t="shared" si="129"/>
        <v/>
      </c>
      <c r="BP257" s="59"/>
      <c r="BQ257" s="58" t="str">
        <f t="shared" si="130"/>
        <v/>
      </c>
      <c r="BR257" s="59"/>
      <c r="BS257" s="58" t="str">
        <f t="shared" si="131"/>
        <v/>
      </c>
      <c r="BT257" s="59"/>
      <c r="BU257" s="58" t="str">
        <f t="shared" si="132"/>
        <v/>
      </c>
      <c r="BV257" s="59"/>
      <c r="BW257" s="58" t="str">
        <f t="shared" si="133"/>
        <v/>
      </c>
      <c r="BX257" s="59"/>
      <c r="BY257" s="58" t="str">
        <f t="shared" si="134"/>
        <v/>
      </c>
      <c r="BZ257" s="59"/>
    </row>
    <row r="258" spans="1:78" ht="14.5" hidden="1">
      <c r="A258" s="51" t="s">
        <v>466</v>
      </c>
      <c r="B258" s="52">
        <v>351</v>
      </c>
      <c r="C258" s="52" t="s">
        <v>552</v>
      </c>
      <c r="D258" s="41">
        <f t="shared" si="109"/>
        <v>5</v>
      </c>
      <c r="E258" s="170"/>
      <c r="F258" s="41"/>
      <c r="G258" s="52" t="s">
        <v>160</v>
      </c>
      <c r="H258" s="52" t="s">
        <v>557</v>
      </c>
      <c r="I258" s="52" t="s">
        <v>160</v>
      </c>
      <c r="J258" s="52" t="s">
        <v>558</v>
      </c>
      <c r="K258" s="53">
        <v>45687</v>
      </c>
      <c r="L258" s="108">
        <v>8744</v>
      </c>
      <c r="M258" s="101"/>
      <c r="N258" s="101"/>
      <c r="O258" s="101">
        <f t="shared" si="135"/>
        <v>8744</v>
      </c>
      <c r="P258" s="54">
        <f t="shared" si="136"/>
        <v>8744</v>
      </c>
      <c r="Q258" s="101" t="s">
        <v>178</v>
      </c>
      <c r="R258" s="101"/>
      <c r="S258" s="101"/>
      <c r="T258" s="102">
        <f t="shared" si="110"/>
        <v>18.216666666666665</v>
      </c>
      <c r="U258" s="102">
        <v>6</v>
      </c>
      <c r="V258" s="99">
        <v>80</v>
      </c>
      <c r="W258" s="55">
        <f t="shared" si="141"/>
        <v>45655</v>
      </c>
      <c r="X258" s="55">
        <v>45626</v>
      </c>
      <c r="Y258" s="56">
        <f t="shared" ca="1" si="138"/>
        <v>29</v>
      </c>
      <c r="Z258" s="55">
        <f t="shared" si="139"/>
        <v>45671</v>
      </c>
      <c r="AA258" s="55"/>
      <c r="AB258" s="56">
        <f t="shared" ca="1" si="140"/>
        <v>-169</v>
      </c>
      <c r="AC258" s="55"/>
      <c r="AD258" s="57"/>
      <c r="AE258" s="58" t="str">
        <f t="shared" si="111"/>
        <v>-</v>
      </c>
      <c r="AF258" s="59"/>
      <c r="AG258" s="58" t="str">
        <f t="shared" si="112"/>
        <v/>
      </c>
      <c r="AH258" s="59"/>
      <c r="AI258" s="58" t="str">
        <f t="shared" si="113"/>
        <v/>
      </c>
      <c r="AJ258" s="59"/>
      <c r="AK258" s="58" t="str">
        <f t="shared" si="114"/>
        <v/>
      </c>
      <c r="AL258" s="59"/>
      <c r="AM258" s="58" t="str">
        <f t="shared" si="115"/>
        <v/>
      </c>
      <c r="AN258" s="59"/>
      <c r="AO258" s="58" t="str">
        <f t="shared" si="116"/>
        <v/>
      </c>
      <c r="AP258" s="59"/>
      <c r="AQ258" s="58" t="str">
        <f t="shared" si="117"/>
        <v/>
      </c>
      <c r="AR258" s="59"/>
      <c r="AS258" s="58" t="str">
        <f t="shared" si="118"/>
        <v/>
      </c>
      <c r="AT258" s="59"/>
      <c r="AU258" s="58" t="str">
        <f t="shared" si="119"/>
        <v/>
      </c>
      <c r="AV258" s="59"/>
      <c r="AW258" s="58" t="str">
        <f t="shared" si="120"/>
        <v/>
      </c>
      <c r="AX258" s="59"/>
      <c r="AY258" s="58" t="str">
        <f t="shared" si="121"/>
        <v/>
      </c>
      <c r="AZ258" s="59"/>
      <c r="BA258" s="58" t="str">
        <f t="shared" si="122"/>
        <v/>
      </c>
      <c r="BB258" s="59"/>
      <c r="BC258" s="58" t="str">
        <f t="shared" si="123"/>
        <v/>
      </c>
      <c r="BD258" s="59"/>
      <c r="BE258" s="58" t="str">
        <f t="shared" si="124"/>
        <v/>
      </c>
      <c r="BF258" s="59"/>
      <c r="BG258" s="58" t="str">
        <f t="shared" si="125"/>
        <v/>
      </c>
      <c r="BH258" s="59"/>
      <c r="BI258" s="58" t="str">
        <f t="shared" si="126"/>
        <v/>
      </c>
      <c r="BJ258" s="59"/>
      <c r="BK258" s="58" t="str">
        <f t="shared" si="127"/>
        <v/>
      </c>
      <c r="BL258" s="59"/>
      <c r="BM258" s="58" t="str">
        <f t="shared" si="128"/>
        <v/>
      </c>
      <c r="BN258" s="59"/>
      <c r="BO258" s="58" t="str">
        <f t="shared" si="129"/>
        <v/>
      </c>
      <c r="BP258" s="59"/>
      <c r="BQ258" s="58" t="str">
        <f t="shared" si="130"/>
        <v/>
      </c>
      <c r="BR258" s="59"/>
      <c r="BS258" s="58" t="str">
        <f t="shared" si="131"/>
        <v/>
      </c>
      <c r="BT258" s="59"/>
      <c r="BU258" s="58" t="str">
        <f t="shared" si="132"/>
        <v/>
      </c>
      <c r="BV258" s="59"/>
      <c r="BW258" s="58" t="str">
        <f t="shared" si="133"/>
        <v/>
      </c>
      <c r="BX258" s="59"/>
      <c r="BY258" s="58" t="str">
        <f t="shared" si="134"/>
        <v/>
      </c>
      <c r="BZ258" s="59"/>
    </row>
    <row r="259" spans="1:78" ht="14.5" hidden="1">
      <c r="A259" s="51" t="s">
        <v>466</v>
      </c>
      <c r="B259" s="52">
        <v>351</v>
      </c>
      <c r="C259" s="52" t="s">
        <v>552</v>
      </c>
      <c r="D259" s="41">
        <f t="shared" si="109"/>
        <v>5</v>
      </c>
      <c r="E259" s="170"/>
      <c r="F259" s="41"/>
      <c r="G259" s="52" t="s">
        <v>559</v>
      </c>
      <c r="H259" s="52" t="s">
        <v>557</v>
      </c>
      <c r="I259" s="52" t="s">
        <v>559</v>
      </c>
      <c r="J259" s="52" t="s">
        <v>558</v>
      </c>
      <c r="K259" s="53">
        <v>45687</v>
      </c>
      <c r="L259" s="108">
        <v>5871</v>
      </c>
      <c r="M259" s="101"/>
      <c r="N259" s="101"/>
      <c r="O259" s="101">
        <f t="shared" si="135"/>
        <v>5871</v>
      </c>
      <c r="P259" s="54">
        <f t="shared" si="136"/>
        <v>5871</v>
      </c>
      <c r="Q259" s="101" t="s">
        <v>178</v>
      </c>
      <c r="R259" s="101"/>
      <c r="S259" s="101"/>
      <c r="T259" s="102">
        <f t="shared" si="110"/>
        <v>12.231249999999999</v>
      </c>
      <c r="U259" s="102">
        <v>6</v>
      </c>
      <c r="V259" s="99">
        <v>80</v>
      </c>
      <c r="W259" s="55">
        <f t="shared" si="141"/>
        <v>45655</v>
      </c>
      <c r="X259" s="55">
        <v>45626</v>
      </c>
      <c r="Y259" s="56">
        <f t="shared" ca="1" si="138"/>
        <v>29</v>
      </c>
      <c r="Z259" s="55">
        <f t="shared" si="139"/>
        <v>45671</v>
      </c>
      <c r="AA259" s="55"/>
      <c r="AB259" s="56">
        <f t="shared" ca="1" si="140"/>
        <v>-169</v>
      </c>
      <c r="AC259" s="55"/>
      <c r="AD259" s="57"/>
      <c r="AE259" s="58" t="str">
        <f t="shared" si="111"/>
        <v>-</v>
      </c>
      <c r="AF259" s="59"/>
      <c r="AG259" s="58" t="str">
        <f t="shared" si="112"/>
        <v/>
      </c>
      <c r="AH259" s="59"/>
      <c r="AI259" s="58" t="str">
        <f t="shared" si="113"/>
        <v/>
      </c>
      <c r="AJ259" s="59"/>
      <c r="AK259" s="58" t="str">
        <f t="shared" si="114"/>
        <v/>
      </c>
      <c r="AL259" s="59"/>
      <c r="AM259" s="58" t="str">
        <f t="shared" si="115"/>
        <v/>
      </c>
      <c r="AN259" s="59"/>
      <c r="AO259" s="58" t="str">
        <f t="shared" si="116"/>
        <v/>
      </c>
      <c r="AP259" s="59"/>
      <c r="AQ259" s="58" t="str">
        <f t="shared" si="117"/>
        <v/>
      </c>
      <c r="AR259" s="59"/>
      <c r="AS259" s="58" t="str">
        <f t="shared" si="118"/>
        <v/>
      </c>
      <c r="AT259" s="59"/>
      <c r="AU259" s="58" t="str">
        <f t="shared" si="119"/>
        <v/>
      </c>
      <c r="AV259" s="59"/>
      <c r="AW259" s="58" t="str">
        <f t="shared" si="120"/>
        <v/>
      </c>
      <c r="AX259" s="59"/>
      <c r="AY259" s="58" t="str">
        <f t="shared" si="121"/>
        <v/>
      </c>
      <c r="AZ259" s="59"/>
      <c r="BA259" s="58" t="str">
        <f t="shared" si="122"/>
        <v/>
      </c>
      <c r="BB259" s="59"/>
      <c r="BC259" s="58" t="str">
        <f t="shared" si="123"/>
        <v/>
      </c>
      <c r="BD259" s="59"/>
      <c r="BE259" s="58" t="str">
        <f t="shared" si="124"/>
        <v/>
      </c>
      <c r="BF259" s="59"/>
      <c r="BG259" s="58" t="str">
        <f t="shared" si="125"/>
        <v/>
      </c>
      <c r="BH259" s="59"/>
      <c r="BI259" s="58" t="str">
        <f t="shared" si="126"/>
        <v/>
      </c>
      <c r="BJ259" s="59"/>
      <c r="BK259" s="58" t="str">
        <f t="shared" si="127"/>
        <v/>
      </c>
      <c r="BL259" s="59"/>
      <c r="BM259" s="58" t="str">
        <f t="shared" si="128"/>
        <v/>
      </c>
      <c r="BN259" s="59"/>
      <c r="BO259" s="58" t="str">
        <f t="shared" si="129"/>
        <v/>
      </c>
      <c r="BP259" s="59"/>
      <c r="BQ259" s="58" t="str">
        <f t="shared" si="130"/>
        <v/>
      </c>
      <c r="BR259" s="59"/>
      <c r="BS259" s="58" t="str">
        <f t="shared" si="131"/>
        <v/>
      </c>
      <c r="BT259" s="59"/>
      <c r="BU259" s="58" t="str">
        <f t="shared" si="132"/>
        <v/>
      </c>
      <c r="BV259" s="59"/>
      <c r="BW259" s="58" t="str">
        <f t="shared" si="133"/>
        <v/>
      </c>
      <c r="BX259" s="59"/>
      <c r="BY259" s="58" t="str">
        <f t="shared" si="134"/>
        <v/>
      </c>
      <c r="BZ259" s="59"/>
    </row>
    <row r="260" spans="1:78" ht="14.5" hidden="1">
      <c r="A260" s="51" t="s">
        <v>466</v>
      </c>
      <c r="B260" s="52">
        <v>351</v>
      </c>
      <c r="C260" s="52" t="s">
        <v>552</v>
      </c>
      <c r="D260" s="41">
        <f t="shared" si="109"/>
        <v>5</v>
      </c>
      <c r="E260" s="170"/>
      <c r="F260" s="41"/>
      <c r="G260" s="52" t="s">
        <v>559</v>
      </c>
      <c r="H260" s="52" t="s">
        <v>557</v>
      </c>
      <c r="I260" s="52" t="s">
        <v>559</v>
      </c>
      <c r="J260" s="52" t="s">
        <v>558</v>
      </c>
      <c r="K260" s="53">
        <v>45687</v>
      </c>
      <c r="L260" s="108">
        <v>4429</v>
      </c>
      <c r="M260" s="101">
        <v>0</v>
      </c>
      <c r="N260" s="101"/>
      <c r="O260" s="101">
        <f t="shared" si="135"/>
        <v>4429</v>
      </c>
      <c r="P260" s="54">
        <f t="shared" si="136"/>
        <v>4429</v>
      </c>
      <c r="Q260" s="101" t="s">
        <v>178</v>
      </c>
      <c r="R260" s="101"/>
      <c r="S260" s="101"/>
      <c r="T260" s="102">
        <f t="shared" si="110"/>
        <v>9.2270833333333329</v>
      </c>
      <c r="U260" s="102">
        <v>6</v>
      </c>
      <c r="V260" s="99">
        <v>80</v>
      </c>
      <c r="W260" s="55">
        <f t="shared" si="141"/>
        <v>45655</v>
      </c>
      <c r="X260" s="55">
        <v>45626</v>
      </c>
      <c r="Y260" s="56">
        <f t="shared" ca="1" si="138"/>
        <v>29</v>
      </c>
      <c r="Z260" s="55">
        <f t="shared" si="139"/>
        <v>45671</v>
      </c>
      <c r="AA260" s="55"/>
      <c r="AB260" s="56">
        <f t="shared" ca="1" si="140"/>
        <v>-169</v>
      </c>
      <c r="AC260" s="55"/>
      <c r="AD260" s="57"/>
      <c r="AE260" s="58" t="str">
        <f t="shared" si="111"/>
        <v>-</v>
      </c>
      <c r="AF260" s="59"/>
      <c r="AG260" s="58" t="str">
        <f t="shared" si="112"/>
        <v/>
      </c>
      <c r="AH260" s="59"/>
      <c r="AI260" s="58" t="str">
        <f t="shared" si="113"/>
        <v/>
      </c>
      <c r="AJ260" s="59"/>
      <c r="AK260" s="58" t="str">
        <f t="shared" si="114"/>
        <v/>
      </c>
      <c r="AL260" s="59"/>
      <c r="AM260" s="58" t="str">
        <f t="shared" si="115"/>
        <v/>
      </c>
      <c r="AN260" s="59"/>
      <c r="AO260" s="58" t="str">
        <f t="shared" si="116"/>
        <v/>
      </c>
      <c r="AP260" s="59"/>
      <c r="AQ260" s="58" t="str">
        <f t="shared" si="117"/>
        <v/>
      </c>
      <c r="AR260" s="59"/>
      <c r="AS260" s="58" t="str">
        <f t="shared" si="118"/>
        <v/>
      </c>
      <c r="AT260" s="59"/>
      <c r="AU260" s="58" t="str">
        <f t="shared" si="119"/>
        <v/>
      </c>
      <c r="AV260" s="59"/>
      <c r="AW260" s="58" t="str">
        <f t="shared" si="120"/>
        <v/>
      </c>
      <c r="AX260" s="59"/>
      <c r="AY260" s="58" t="str">
        <f t="shared" si="121"/>
        <v/>
      </c>
      <c r="AZ260" s="59"/>
      <c r="BA260" s="58" t="str">
        <f t="shared" si="122"/>
        <v/>
      </c>
      <c r="BB260" s="59"/>
      <c r="BC260" s="58" t="str">
        <f t="shared" si="123"/>
        <v/>
      </c>
      <c r="BD260" s="59"/>
      <c r="BE260" s="58" t="str">
        <f t="shared" si="124"/>
        <v/>
      </c>
      <c r="BF260" s="59"/>
      <c r="BG260" s="58" t="str">
        <f t="shared" si="125"/>
        <v/>
      </c>
      <c r="BH260" s="59"/>
      <c r="BI260" s="58" t="str">
        <f t="shared" si="126"/>
        <v/>
      </c>
      <c r="BJ260" s="59"/>
      <c r="BK260" s="58" t="str">
        <f t="shared" si="127"/>
        <v/>
      </c>
      <c r="BL260" s="59"/>
      <c r="BM260" s="58" t="str">
        <f t="shared" si="128"/>
        <v/>
      </c>
      <c r="BN260" s="59"/>
      <c r="BO260" s="58" t="str">
        <f t="shared" si="129"/>
        <v/>
      </c>
      <c r="BP260" s="59"/>
      <c r="BQ260" s="58" t="str">
        <f t="shared" si="130"/>
        <v/>
      </c>
      <c r="BR260" s="59"/>
      <c r="BS260" s="58" t="str">
        <f t="shared" si="131"/>
        <v/>
      </c>
      <c r="BT260" s="59"/>
      <c r="BU260" s="58" t="str">
        <f t="shared" si="132"/>
        <v/>
      </c>
      <c r="BV260" s="59"/>
      <c r="BW260" s="58" t="str">
        <f t="shared" si="133"/>
        <v/>
      </c>
      <c r="BX260" s="59"/>
      <c r="BY260" s="58" t="str">
        <f t="shared" si="134"/>
        <v/>
      </c>
      <c r="BZ260" s="59"/>
    </row>
    <row r="261" spans="1:78" ht="14.5" hidden="1">
      <c r="A261" s="51" t="s">
        <v>466</v>
      </c>
      <c r="B261" s="52">
        <v>351</v>
      </c>
      <c r="C261" s="52" t="s">
        <v>552</v>
      </c>
      <c r="D261" s="41">
        <f t="shared" si="109"/>
        <v>5</v>
      </c>
      <c r="E261" s="170"/>
      <c r="F261" s="41"/>
      <c r="G261" s="52" t="s">
        <v>161</v>
      </c>
      <c r="H261" s="52" t="s">
        <v>557</v>
      </c>
      <c r="I261" s="52" t="s">
        <v>161</v>
      </c>
      <c r="J261" s="52" t="s">
        <v>558</v>
      </c>
      <c r="K261" s="53">
        <v>45687</v>
      </c>
      <c r="L261" s="108">
        <v>5871</v>
      </c>
      <c r="M261" s="101">
        <v>0</v>
      </c>
      <c r="N261" s="101"/>
      <c r="O261" s="101">
        <f t="shared" si="135"/>
        <v>5871</v>
      </c>
      <c r="P261" s="54">
        <f t="shared" si="136"/>
        <v>5871</v>
      </c>
      <c r="Q261" s="101" t="s">
        <v>178</v>
      </c>
      <c r="R261" s="101"/>
      <c r="S261" s="101"/>
      <c r="T261" s="102">
        <f t="shared" si="110"/>
        <v>12.231249999999999</v>
      </c>
      <c r="U261" s="102">
        <v>6</v>
      </c>
      <c r="V261" s="99">
        <v>80</v>
      </c>
      <c r="W261" s="55">
        <f t="shared" si="141"/>
        <v>45655</v>
      </c>
      <c r="X261" s="55">
        <v>45626</v>
      </c>
      <c r="Y261" s="56">
        <f t="shared" ca="1" si="138"/>
        <v>29</v>
      </c>
      <c r="Z261" s="55">
        <f t="shared" si="139"/>
        <v>45671</v>
      </c>
      <c r="AA261" s="55"/>
      <c r="AB261" s="56">
        <f t="shared" ca="1" si="140"/>
        <v>-169</v>
      </c>
      <c r="AC261" s="55"/>
      <c r="AD261" s="57"/>
      <c r="AE261" s="58" t="str">
        <f t="shared" si="111"/>
        <v>-</v>
      </c>
      <c r="AF261" s="59"/>
      <c r="AG261" s="58" t="str">
        <f t="shared" si="112"/>
        <v/>
      </c>
      <c r="AH261" s="59"/>
      <c r="AI261" s="58" t="str">
        <f t="shared" si="113"/>
        <v/>
      </c>
      <c r="AJ261" s="59"/>
      <c r="AK261" s="58" t="str">
        <f t="shared" si="114"/>
        <v/>
      </c>
      <c r="AL261" s="59"/>
      <c r="AM261" s="58" t="str">
        <f t="shared" si="115"/>
        <v/>
      </c>
      <c r="AN261" s="59"/>
      <c r="AO261" s="58" t="str">
        <f t="shared" si="116"/>
        <v/>
      </c>
      <c r="AP261" s="59"/>
      <c r="AQ261" s="58" t="str">
        <f t="shared" si="117"/>
        <v/>
      </c>
      <c r="AR261" s="59"/>
      <c r="AS261" s="58" t="str">
        <f t="shared" si="118"/>
        <v/>
      </c>
      <c r="AT261" s="59"/>
      <c r="AU261" s="58" t="str">
        <f t="shared" si="119"/>
        <v/>
      </c>
      <c r="AV261" s="59"/>
      <c r="AW261" s="58" t="str">
        <f t="shared" si="120"/>
        <v/>
      </c>
      <c r="AX261" s="59"/>
      <c r="AY261" s="58" t="str">
        <f t="shared" si="121"/>
        <v/>
      </c>
      <c r="AZ261" s="59"/>
      <c r="BA261" s="58" t="str">
        <f t="shared" si="122"/>
        <v/>
      </c>
      <c r="BB261" s="59"/>
      <c r="BC261" s="58" t="str">
        <f t="shared" si="123"/>
        <v/>
      </c>
      <c r="BD261" s="59"/>
      <c r="BE261" s="58" t="str">
        <f t="shared" si="124"/>
        <v/>
      </c>
      <c r="BF261" s="59"/>
      <c r="BG261" s="58" t="str">
        <f t="shared" si="125"/>
        <v/>
      </c>
      <c r="BH261" s="59"/>
      <c r="BI261" s="58" t="str">
        <f t="shared" si="126"/>
        <v/>
      </c>
      <c r="BJ261" s="59"/>
      <c r="BK261" s="58" t="str">
        <f t="shared" si="127"/>
        <v/>
      </c>
      <c r="BL261" s="59"/>
      <c r="BM261" s="58" t="str">
        <f t="shared" si="128"/>
        <v/>
      </c>
      <c r="BN261" s="59"/>
      <c r="BO261" s="58" t="str">
        <f t="shared" si="129"/>
        <v/>
      </c>
      <c r="BP261" s="59"/>
      <c r="BQ261" s="58" t="str">
        <f t="shared" si="130"/>
        <v/>
      </c>
      <c r="BR261" s="59"/>
      <c r="BS261" s="58" t="str">
        <f t="shared" si="131"/>
        <v/>
      </c>
      <c r="BT261" s="59"/>
      <c r="BU261" s="58" t="str">
        <f t="shared" si="132"/>
        <v/>
      </c>
      <c r="BV261" s="59"/>
      <c r="BW261" s="58" t="str">
        <f t="shared" si="133"/>
        <v/>
      </c>
      <c r="BX261" s="59"/>
      <c r="BY261" s="58" t="str">
        <f t="shared" si="134"/>
        <v/>
      </c>
      <c r="BZ261" s="59"/>
    </row>
    <row r="262" spans="1:78" ht="14.5" hidden="1">
      <c r="A262" s="51" t="s">
        <v>466</v>
      </c>
      <c r="B262" s="52">
        <v>351</v>
      </c>
      <c r="C262" s="52" t="s">
        <v>552</v>
      </c>
      <c r="D262" s="41">
        <f t="shared" si="109"/>
        <v>5</v>
      </c>
      <c r="E262" s="170"/>
      <c r="F262" s="41"/>
      <c r="G262" s="52" t="s">
        <v>161</v>
      </c>
      <c r="H262" s="52" t="s">
        <v>557</v>
      </c>
      <c r="I262" s="52" t="s">
        <v>161</v>
      </c>
      <c r="J262" s="52" t="s">
        <v>558</v>
      </c>
      <c r="K262" s="53">
        <v>45687</v>
      </c>
      <c r="L262" s="108">
        <v>4429</v>
      </c>
      <c r="M262" s="101">
        <v>0</v>
      </c>
      <c r="N262" s="101"/>
      <c r="O262" s="101">
        <f t="shared" si="135"/>
        <v>4429</v>
      </c>
      <c r="P262" s="54">
        <f t="shared" si="136"/>
        <v>4429</v>
      </c>
      <c r="Q262" s="101" t="s">
        <v>178</v>
      </c>
      <c r="R262" s="101"/>
      <c r="S262" s="101"/>
      <c r="T262" s="102">
        <f t="shared" si="110"/>
        <v>9.2270833333333329</v>
      </c>
      <c r="U262" s="102">
        <v>6</v>
      </c>
      <c r="V262" s="99">
        <v>80</v>
      </c>
      <c r="W262" s="55">
        <f t="shared" si="141"/>
        <v>45655</v>
      </c>
      <c r="X262" s="55">
        <v>45626</v>
      </c>
      <c r="Y262" s="56">
        <f t="shared" ca="1" si="138"/>
        <v>29</v>
      </c>
      <c r="Z262" s="55">
        <f t="shared" si="139"/>
        <v>45671</v>
      </c>
      <c r="AA262" s="55"/>
      <c r="AB262" s="56">
        <f t="shared" ca="1" si="140"/>
        <v>-169</v>
      </c>
      <c r="AC262" s="55"/>
      <c r="AD262" s="57"/>
      <c r="AE262" s="58" t="str">
        <f t="shared" si="111"/>
        <v>-</v>
      </c>
      <c r="AF262" s="59"/>
      <c r="AG262" s="58" t="str">
        <f t="shared" si="112"/>
        <v/>
      </c>
      <c r="AH262" s="59"/>
      <c r="AI262" s="58" t="str">
        <f t="shared" si="113"/>
        <v/>
      </c>
      <c r="AJ262" s="59"/>
      <c r="AK262" s="58" t="str">
        <f t="shared" si="114"/>
        <v/>
      </c>
      <c r="AL262" s="59"/>
      <c r="AM262" s="58" t="str">
        <f t="shared" si="115"/>
        <v/>
      </c>
      <c r="AN262" s="59"/>
      <c r="AO262" s="58" t="str">
        <f t="shared" si="116"/>
        <v/>
      </c>
      <c r="AP262" s="59"/>
      <c r="AQ262" s="58" t="str">
        <f t="shared" si="117"/>
        <v/>
      </c>
      <c r="AR262" s="59"/>
      <c r="AS262" s="58" t="str">
        <f t="shared" si="118"/>
        <v/>
      </c>
      <c r="AT262" s="59"/>
      <c r="AU262" s="58" t="str">
        <f t="shared" si="119"/>
        <v/>
      </c>
      <c r="AV262" s="59"/>
      <c r="AW262" s="58" t="str">
        <f t="shared" si="120"/>
        <v/>
      </c>
      <c r="AX262" s="59"/>
      <c r="AY262" s="58" t="str">
        <f t="shared" si="121"/>
        <v/>
      </c>
      <c r="AZ262" s="59"/>
      <c r="BA262" s="58" t="str">
        <f t="shared" si="122"/>
        <v/>
      </c>
      <c r="BB262" s="59"/>
      <c r="BC262" s="58" t="str">
        <f t="shared" si="123"/>
        <v/>
      </c>
      <c r="BD262" s="59"/>
      <c r="BE262" s="58" t="str">
        <f t="shared" si="124"/>
        <v/>
      </c>
      <c r="BF262" s="59"/>
      <c r="BG262" s="58" t="str">
        <f t="shared" si="125"/>
        <v/>
      </c>
      <c r="BH262" s="59"/>
      <c r="BI262" s="58" t="str">
        <f t="shared" si="126"/>
        <v/>
      </c>
      <c r="BJ262" s="59"/>
      <c r="BK262" s="58" t="str">
        <f t="shared" si="127"/>
        <v/>
      </c>
      <c r="BL262" s="59"/>
      <c r="BM262" s="58" t="str">
        <f t="shared" si="128"/>
        <v/>
      </c>
      <c r="BN262" s="59"/>
      <c r="BO262" s="58" t="str">
        <f t="shared" si="129"/>
        <v/>
      </c>
      <c r="BP262" s="59"/>
      <c r="BQ262" s="58" t="str">
        <f t="shared" si="130"/>
        <v/>
      </c>
      <c r="BR262" s="59"/>
      <c r="BS262" s="58" t="str">
        <f t="shared" si="131"/>
        <v/>
      </c>
      <c r="BT262" s="59"/>
      <c r="BU262" s="58" t="str">
        <f t="shared" si="132"/>
        <v/>
      </c>
      <c r="BV262" s="59"/>
      <c r="BW262" s="58" t="str">
        <f t="shared" si="133"/>
        <v/>
      </c>
      <c r="BX262" s="59"/>
      <c r="BY262" s="58" t="str">
        <f t="shared" si="134"/>
        <v/>
      </c>
      <c r="BZ262" s="59"/>
    </row>
    <row r="263" spans="1:78" ht="14.5" hidden="1">
      <c r="A263" s="51" t="s">
        <v>58</v>
      </c>
      <c r="B263" s="52">
        <v>388</v>
      </c>
      <c r="C263" s="52" t="s">
        <v>188</v>
      </c>
      <c r="D263" s="41">
        <f t="shared" ref="D263:D326" si="142">+WEEKNUM(K263)</f>
        <v>5</v>
      </c>
      <c r="E263" s="41" t="s">
        <v>631</v>
      </c>
      <c r="F263" s="41" t="s">
        <v>631</v>
      </c>
      <c r="G263" s="52" t="s">
        <v>158</v>
      </c>
      <c r="H263" s="52" t="s">
        <v>242</v>
      </c>
      <c r="I263" s="52" t="s">
        <v>154</v>
      </c>
      <c r="J263" s="52" t="s">
        <v>432</v>
      </c>
      <c r="K263" s="53">
        <v>45689</v>
      </c>
      <c r="L263" s="108">
        <v>684</v>
      </c>
      <c r="M263" s="101">
        <v>684</v>
      </c>
      <c r="N263" s="101">
        <v>684</v>
      </c>
      <c r="O263" s="107">
        <f t="shared" si="135"/>
        <v>0</v>
      </c>
      <c r="P263" s="54">
        <f t="shared" si="136"/>
        <v>0</v>
      </c>
      <c r="Q263" s="101" t="s">
        <v>178</v>
      </c>
      <c r="R263" s="166">
        <v>45661</v>
      </c>
      <c r="S263" s="101" t="s">
        <v>684</v>
      </c>
      <c r="T263" s="102">
        <f t="shared" ref="T263:T326" si="143">L263/(V263*U263)</f>
        <v>0.95</v>
      </c>
      <c r="U263" s="102">
        <v>6</v>
      </c>
      <c r="V263" s="99">
        <v>120</v>
      </c>
      <c r="W263" s="55">
        <f t="shared" ref="W263:W308" si="144">+K263-(20)</f>
        <v>45669</v>
      </c>
      <c r="X263" s="55">
        <v>45620</v>
      </c>
      <c r="Y263" s="56">
        <f t="shared" ca="1" si="138"/>
        <v>49</v>
      </c>
      <c r="Z263" s="55">
        <f t="shared" si="139"/>
        <v>45685</v>
      </c>
      <c r="AA263" s="55"/>
      <c r="AB263" s="56">
        <f t="shared" ca="1" si="140"/>
        <v>-155</v>
      </c>
      <c r="AC263" s="55"/>
      <c r="AD263" s="57"/>
      <c r="AE263" s="58" t="str">
        <f t="shared" ref="AE263:AE326" si="145">+IF($AE$4=WEEKNUM(W263),L263,"-")</f>
        <v>-</v>
      </c>
      <c r="AF263" s="59"/>
      <c r="AG263" s="58" t="str">
        <f t="shared" ref="AG263:AG326" si="146">+IF($AG$4=WEEKNUM(W263),L263,"")</f>
        <v/>
      </c>
      <c r="AH263" s="59"/>
      <c r="AI263" s="58" t="str">
        <f t="shared" ref="AI263:AI326" si="147">+IF($AI$4=WEEKNUM(W263),L263,"")</f>
        <v/>
      </c>
      <c r="AJ263" s="59"/>
      <c r="AK263" s="58" t="str">
        <f t="shared" ref="AK263:AK326" si="148">+IF($AK$4=WEEKNUM(W263),L263,"")</f>
        <v/>
      </c>
      <c r="AL263" s="59"/>
      <c r="AM263" s="58" t="str">
        <f t="shared" ref="AM263:AM326" si="149">+IF($AM$4=WEEKNUM(W263),L263,"")</f>
        <v/>
      </c>
      <c r="AN263" s="59"/>
      <c r="AO263" s="58" t="str">
        <f t="shared" ref="AO263:AO326" si="150">+IF($AO$4=WEEKNUM(W263),L263,"")</f>
        <v/>
      </c>
      <c r="AP263" s="59"/>
      <c r="AQ263" s="58" t="str">
        <f t="shared" ref="AQ263:AQ326" si="151">+IF($AQ$4=WEEKNUM(W263),L263,"")</f>
        <v/>
      </c>
      <c r="AR263" s="59"/>
      <c r="AS263" s="58" t="str">
        <f t="shared" ref="AS263:AS326" si="152">+IF($AS$4=WEEKNUM(W263),L263,"")</f>
        <v/>
      </c>
      <c r="AT263" s="59"/>
      <c r="AU263" s="58" t="str">
        <f t="shared" ref="AU263:AU326" si="153">+IF($AU$4=WEEKNUM(W263),L263,"")</f>
        <v/>
      </c>
      <c r="AV263" s="59"/>
      <c r="AW263" s="58" t="str">
        <f t="shared" ref="AW263:AW326" si="154">+IF($AW$4=WEEKNUM(W263),L263,"")</f>
        <v/>
      </c>
      <c r="AX263" s="59"/>
      <c r="AY263" s="58" t="str">
        <f t="shared" ref="AY263:AY326" si="155">+IF($AY$4=WEEKNUM(W263),L263,"")</f>
        <v/>
      </c>
      <c r="AZ263" s="59"/>
      <c r="BA263" s="58" t="str">
        <f t="shared" ref="BA263:BA326" si="156">+IF($BA$4=WEEKNUM(W263),L263,"")</f>
        <v/>
      </c>
      <c r="BB263" s="59"/>
      <c r="BC263" s="58" t="str">
        <f t="shared" ref="BC263:BC326" si="157">+IF($BC$4=WEEKNUM(W263),L263,"")</f>
        <v/>
      </c>
      <c r="BD263" s="59"/>
      <c r="BE263" s="58" t="str">
        <f t="shared" ref="BE263:BE326" si="158">+IF($BE$4=WEEKNUM(W263),L263,"")</f>
        <v/>
      </c>
      <c r="BF263" s="59"/>
      <c r="BG263" s="58">
        <f t="shared" ref="BG263:BG326" si="159">+IF($BG$4=WEEKNUM(W263),L263,"")</f>
        <v>684</v>
      </c>
      <c r="BH263" s="59"/>
      <c r="BI263" s="58" t="str">
        <f t="shared" ref="BI263:BI326" si="160">+IF($BI$4=WEEKNUM(W263),L263,"")</f>
        <v/>
      </c>
      <c r="BJ263" s="59"/>
      <c r="BK263" s="58" t="str">
        <f t="shared" ref="BK263:BK326" si="161">+IF($BK$4=WEEKNUM(W263),L263,"")</f>
        <v/>
      </c>
      <c r="BL263" s="59"/>
      <c r="BM263" s="58" t="str">
        <f t="shared" ref="BM263:BM326" si="162">+IF($BM$4=WEEKNUM(W263),L263,"")</f>
        <v/>
      </c>
      <c r="BN263" s="59"/>
      <c r="BO263" s="58" t="str">
        <f t="shared" ref="BO263:BO326" si="163">+IF($BO$4=WEEKNUM(W263),L263,"")</f>
        <v/>
      </c>
      <c r="BP263" s="59"/>
      <c r="BQ263" s="58" t="str">
        <f t="shared" ref="BQ263:BQ326" si="164">+IF($BQ$4=WEEKNUM(W263),L263,"")</f>
        <v/>
      </c>
      <c r="BR263" s="59"/>
      <c r="BS263" s="58" t="str">
        <f t="shared" ref="BS263:BS326" si="165">+IF($BS$4=WEEKNUM(W263),L263,"")</f>
        <v/>
      </c>
      <c r="BT263" s="59"/>
      <c r="BU263" s="58" t="str">
        <f t="shared" ref="BU263:BU326" si="166">+IF($BU$4=WEEKNUM(W263),L263,"")</f>
        <v/>
      </c>
      <c r="BV263" s="59"/>
      <c r="BW263" s="58" t="str">
        <f t="shared" ref="BW263:BW326" si="167">+IF($BW$4=WEEKNUM(W263),L263,"")</f>
        <v/>
      </c>
      <c r="BX263" s="59"/>
      <c r="BY263" s="58" t="str">
        <f t="shared" ref="BY263:BY326" si="168">+IF($BY$4=WEEKNUM(W263),L263,"")</f>
        <v/>
      </c>
      <c r="BZ263" s="59"/>
    </row>
    <row r="264" spans="1:78" ht="14.5" hidden="1">
      <c r="A264" s="51">
        <f>+E264</f>
        <v>7</v>
      </c>
      <c r="B264" s="52">
        <v>388</v>
      </c>
      <c r="C264" s="52" t="s">
        <v>188</v>
      </c>
      <c r="D264" s="41">
        <f t="shared" si="142"/>
        <v>5</v>
      </c>
      <c r="E264" s="41">
        <v>7</v>
      </c>
      <c r="F264" s="41" t="s">
        <v>631</v>
      </c>
      <c r="G264" s="52" t="s">
        <v>189</v>
      </c>
      <c r="H264" s="52" t="s">
        <v>242</v>
      </c>
      <c r="I264" s="52" t="s">
        <v>162</v>
      </c>
      <c r="J264" s="52" t="s">
        <v>432</v>
      </c>
      <c r="K264" s="53">
        <v>45689</v>
      </c>
      <c r="L264" s="108">
        <v>3044</v>
      </c>
      <c r="M264" s="101">
        <v>3044</v>
      </c>
      <c r="N264" s="101">
        <v>3044</v>
      </c>
      <c r="O264" s="107">
        <f t="shared" si="135"/>
        <v>0</v>
      </c>
      <c r="P264" s="54">
        <f t="shared" si="136"/>
        <v>0</v>
      </c>
      <c r="Q264" s="101" t="s">
        <v>178</v>
      </c>
      <c r="R264" s="175">
        <v>45679</v>
      </c>
      <c r="S264" s="176" t="s">
        <v>665</v>
      </c>
      <c r="T264" s="102">
        <f t="shared" si="143"/>
        <v>4.2277777777777779</v>
      </c>
      <c r="U264" s="102">
        <v>6</v>
      </c>
      <c r="V264" s="99">
        <v>120</v>
      </c>
      <c r="W264" s="55">
        <f t="shared" si="144"/>
        <v>45669</v>
      </c>
      <c r="X264" s="55">
        <v>45620</v>
      </c>
      <c r="Y264" s="56">
        <f t="shared" ca="1" si="138"/>
        <v>49</v>
      </c>
      <c r="Z264" s="55">
        <f t="shared" si="139"/>
        <v>45685</v>
      </c>
      <c r="AA264" s="55"/>
      <c r="AB264" s="56">
        <f t="shared" ca="1" si="140"/>
        <v>-155</v>
      </c>
      <c r="AC264" s="55"/>
      <c r="AD264" s="57"/>
      <c r="AE264" s="58" t="str">
        <f t="shared" si="145"/>
        <v>-</v>
      </c>
      <c r="AF264" s="59"/>
      <c r="AG264" s="58" t="str">
        <f t="shared" si="146"/>
        <v/>
      </c>
      <c r="AH264" s="59"/>
      <c r="AI264" s="58" t="str">
        <f t="shared" si="147"/>
        <v/>
      </c>
      <c r="AJ264" s="59"/>
      <c r="AK264" s="58" t="str">
        <f t="shared" si="148"/>
        <v/>
      </c>
      <c r="AL264" s="59"/>
      <c r="AM264" s="58" t="str">
        <f t="shared" si="149"/>
        <v/>
      </c>
      <c r="AN264" s="59"/>
      <c r="AO264" s="58" t="str">
        <f t="shared" si="150"/>
        <v/>
      </c>
      <c r="AP264" s="59"/>
      <c r="AQ264" s="58" t="str">
        <f t="shared" si="151"/>
        <v/>
      </c>
      <c r="AR264" s="59"/>
      <c r="AS264" s="58" t="str">
        <f t="shared" si="152"/>
        <v/>
      </c>
      <c r="AT264" s="59"/>
      <c r="AU264" s="58" t="str">
        <f t="shared" si="153"/>
        <v/>
      </c>
      <c r="AV264" s="59"/>
      <c r="AW264" s="58" t="str">
        <f t="shared" si="154"/>
        <v/>
      </c>
      <c r="AX264" s="59"/>
      <c r="AY264" s="58" t="str">
        <f t="shared" si="155"/>
        <v/>
      </c>
      <c r="AZ264" s="59"/>
      <c r="BA264" s="58" t="str">
        <f t="shared" si="156"/>
        <v/>
      </c>
      <c r="BB264" s="59"/>
      <c r="BC264" s="58" t="str">
        <f t="shared" si="157"/>
        <v/>
      </c>
      <c r="BD264" s="59"/>
      <c r="BE264" s="58" t="str">
        <f t="shared" si="158"/>
        <v/>
      </c>
      <c r="BF264" s="59"/>
      <c r="BG264" s="58">
        <f t="shared" si="159"/>
        <v>3044</v>
      </c>
      <c r="BH264" s="59"/>
      <c r="BI264" s="58" t="str">
        <f t="shared" si="160"/>
        <v/>
      </c>
      <c r="BJ264" s="59"/>
      <c r="BK264" s="58" t="str">
        <f t="shared" si="161"/>
        <v/>
      </c>
      <c r="BL264" s="59"/>
      <c r="BM264" s="58" t="str">
        <f t="shared" si="162"/>
        <v/>
      </c>
      <c r="BN264" s="59"/>
      <c r="BO264" s="58" t="str">
        <f t="shared" si="163"/>
        <v/>
      </c>
      <c r="BP264" s="59"/>
      <c r="BQ264" s="58" t="str">
        <f t="shared" si="164"/>
        <v/>
      </c>
      <c r="BR264" s="59"/>
      <c r="BS264" s="58" t="str">
        <f t="shared" si="165"/>
        <v/>
      </c>
      <c r="BT264" s="59"/>
      <c r="BU264" s="58" t="str">
        <f t="shared" si="166"/>
        <v/>
      </c>
      <c r="BV264" s="59"/>
      <c r="BW264" s="58" t="str">
        <f t="shared" si="167"/>
        <v/>
      </c>
      <c r="BX264" s="59"/>
      <c r="BY264" s="58" t="str">
        <f t="shared" si="168"/>
        <v/>
      </c>
      <c r="BZ264" s="59"/>
    </row>
    <row r="265" spans="1:78" ht="14.5" hidden="1">
      <c r="A265" s="51" t="s">
        <v>58</v>
      </c>
      <c r="B265" s="52">
        <v>389</v>
      </c>
      <c r="C265" s="52" t="s">
        <v>188</v>
      </c>
      <c r="D265" s="41">
        <f t="shared" si="142"/>
        <v>5</v>
      </c>
      <c r="E265" s="41" t="s">
        <v>631</v>
      </c>
      <c r="F265" s="41" t="s">
        <v>685</v>
      </c>
      <c r="G265" s="159" t="s">
        <v>189</v>
      </c>
      <c r="H265" s="52" t="s">
        <v>242</v>
      </c>
      <c r="I265" s="52" t="s">
        <v>162</v>
      </c>
      <c r="J265" s="52" t="s">
        <v>432</v>
      </c>
      <c r="K265" s="53">
        <v>45689</v>
      </c>
      <c r="L265" s="108">
        <v>3728</v>
      </c>
      <c r="M265" s="198">
        <v>3728</v>
      </c>
      <c r="N265" s="101"/>
      <c r="O265" s="107">
        <f t="shared" si="135"/>
        <v>3728</v>
      </c>
      <c r="P265" s="54">
        <f t="shared" si="136"/>
        <v>0</v>
      </c>
      <c r="Q265" s="101" t="s">
        <v>178</v>
      </c>
      <c r="R265" s="166">
        <v>45692</v>
      </c>
      <c r="S265" s="101" t="s">
        <v>642</v>
      </c>
      <c r="T265" s="102">
        <f t="shared" si="143"/>
        <v>5.177777777777778</v>
      </c>
      <c r="U265" s="102">
        <v>6</v>
      </c>
      <c r="V265" s="99">
        <v>120</v>
      </c>
      <c r="W265" s="55">
        <f t="shared" si="144"/>
        <v>45669</v>
      </c>
      <c r="X265" s="55">
        <v>45627</v>
      </c>
      <c r="Y265" s="56">
        <f t="shared" ca="1" si="138"/>
        <v>42</v>
      </c>
      <c r="Z265" s="55">
        <f t="shared" si="139"/>
        <v>45685</v>
      </c>
      <c r="AA265" s="55"/>
      <c r="AB265" s="56">
        <f t="shared" ca="1" si="140"/>
        <v>-155</v>
      </c>
      <c r="AC265" s="55"/>
      <c r="AD265" s="57"/>
      <c r="AE265" s="58" t="str">
        <f t="shared" si="145"/>
        <v>-</v>
      </c>
      <c r="AF265" s="59"/>
      <c r="AG265" s="58" t="str">
        <f t="shared" si="146"/>
        <v/>
      </c>
      <c r="AH265" s="59"/>
      <c r="AI265" s="58" t="str">
        <f t="shared" si="147"/>
        <v/>
      </c>
      <c r="AJ265" s="59"/>
      <c r="AK265" s="58" t="str">
        <f t="shared" si="148"/>
        <v/>
      </c>
      <c r="AL265" s="59"/>
      <c r="AM265" s="58" t="str">
        <f t="shared" si="149"/>
        <v/>
      </c>
      <c r="AN265" s="59"/>
      <c r="AO265" s="58" t="str">
        <f t="shared" si="150"/>
        <v/>
      </c>
      <c r="AP265" s="59"/>
      <c r="AQ265" s="58" t="str">
        <f t="shared" si="151"/>
        <v/>
      </c>
      <c r="AR265" s="59"/>
      <c r="AS265" s="58" t="str">
        <f t="shared" si="152"/>
        <v/>
      </c>
      <c r="AT265" s="59"/>
      <c r="AU265" s="58" t="str">
        <f t="shared" si="153"/>
        <v/>
      </c>
      <c r="AV265" s="59"/>
      <c r="AW265" s="58" t="str">
        <f t="shared" si="154"/>
        <v/>
      </c>
      <c r="AX265" s="59"/>
      <c r="AY265" s="58" t="str">
        <f t="shared" si="155"/>
        <v/>
      </c>
      <c r="AZ265" s="59"/>
      <c r="BA265" s="58" t="str">
        <f t="shared" si="156"/>
        <v/>
      </c>
      <c r="BB265" s="59"/>
      <c r="BC265" s="58" t="str">
        <f t="shared" si="157"/>
        <v/>
      </c>
      <c r="BD265" s="59"/>
      <c r="BE265" s="58" t="str">
        <f t="shared" si="158"/>
        <v/>
      </c>
      <c r="BF265" s="59"/>
      <c r="BG265" s="58">
        <f t="shared" si="159"/>
        <v>3728</v>
      </c>
      <c r="BH265" s="59"/>
      <c r="BI265" s="58" t="str">
        <f t="shared" si="160"/>
        <v/>
      </c>
      <c r="BJ265" s="59"/>
      <c r="BK265" s="58" t="str">
        <f t="shared" si="161"/>
        <v/>
      </c>
      <c r="BL265" s="59"/>
      <c r="BM265" s="58" t="str">
        <f t="shared" si="162"/>
        <v/>
      </c>
      <c r="BN265" s="59"/>
      <c r="BO265" s="58" t="str">
        <f t="shared" si="163"/>
        <v/>
      </c>
      <c r="BP265" s="59"/>
      <c r="BQ265" s="58" t="str">
        <f t="shared" si="164"/>
        <v/>
      </c>
      <c r="BR265" s="59"/>
      <c r="BS265" s="58" t="str">
        <f t="shared" si="165"/>
        <v/>
      </c>
      <c r="BT265" s="59"/>
      <c r="BU265" s="58" t="str">
        <f t="shared" si="166"/>
        <v/>
      </c>
      <c r="BV265" s="59"/>
      <c r="BW265" s="58" t="str">
        <f t="shared" si="167"/>
        <v/>
      </c>
      <c r="BX265" s="59"/>
      <c r="BY265" s="58" t="str">
        <f t="shared" si="168"/>
        <v/>
      </c>
      <c r="BZ265" s="59"/>
    </row>
    <row r="266" spans="1:78" ht="14.5" hidden="1">
      <c r="A266" s="51" t="s">
        <v>58</v>
      </c>
      <c r="B266" s="52">
        <v>390</v>
      </c>
      <c r="C266" s="52" t="s">
        <v>188</v>
      </c>
      <c r="D266" s="41">
        <f t="shared" si="142"/>
        <v>5</v>
      </c>
      <c r="E266" s="41" t="s">
        <v>631</v>
      </c>
      <c r="F266" s="41" t="s">
        <v>631</v>
      </c>
      <c r="G266" s="52" t="s">
        <v>193</v>
      </c>
      <c r="H266" s="52" t="s">
        <v>246</v>
      </c>
      <c r="I266" s="52" t="s">
        <v>162</v>
      </c>
      <c r="J266" s="52" t="s">
        <v>434</v>
      </c>
      <c r="K266" s="53">
        <v>45689</v>
      </c>
      <c r="L266" s="108">
        <f>2520*2</f>
        <v>5040</v>
      </c>
      <c r="M266" s="101">
        <v>5040</v>
      </c>
      <c r="N266" s="101">
        <v>5040</v>
      </c>
      <c r="O266" s="107">
        <f t="shared" si="135"/>
        <v>0</v>
      </c>
      <c r="P266" s="54">
        <f t="shared" si="136"/>
        <v>0</v>
      </c>
      <c r="Q266" s="101" t="s">
        <v>686</v>
      </c>
      <c r="R266" s="166">
        <v>45663</v>
      </c>
      <c r="S266" s="101" t="s">
        <v>655</v>
      </c>
      <c r="T266" s="102">
        <f t="shared" si="143"/>
        <v>14.4</v>
      </c>
      <c r="U266" s="102">
        <v>1</v>
      </c>
      <c r="V266" s="99">
        <v>350</v>
      </c>
      <c r="W266" s="55">
        <f t="shared" si="144"/>
        <v>45669</v>
      </c>
      <c r="X266" s="55">
        <v>45635</v>
      </c>
      <c r="Y266" s="56">
        <f t="shared" ca="1" si="138"/>
        <v>34</v>
      </c>
      <c r="Z266" s="55">
        <f t="shared" si="139"/>
        <v>45685</v>
      </c>
      <c r="AA266" s="55"/>
      <c r="AB266" s="56">
        <f t="shared" ca="1" si="140"/>
        <v>-155</v>
      </c>
      <c r="AC266" s="55"/>
      <c r="AD266" s="57"/>
      <c r="AE266" s="58" t="str">
        <f t="shared" si="145"/>
        <v>-</v>
      </c>
      <c r="AF266" s="59"/>
      <c r="AG266" s="58" t="str">
        <f t="shared" si="146"/>
        <v/>
      </c>
      <c r="AH266" s="59"/>
      <c r="AI266" s="58" t="str">
        <f t="shared" si="147"/>
        <v/>
      </c>
      <c r="AJ266" s="59"/>
      <c r="AK266" s="58" t="str">
        <f t="shared" si="148"/>
        <v/>
      </c>
      <c r="AL266" s="59"/>
      <c r="AM266" s="58" t="str">
        <f t="shared" si="149"/>
        <v/>
      </c>
      <c r="AN266" s="59"/>
      <c r="AO266" s="58" t="str">
        <f t="shared" si="150"/>
        <v/>
      </c>
      <c r="AP266" s="59"/>
      <c r="AQ266" s="58" t="str">
        <f t="shared" si="151"/>
        <v/>
      </c>
      <c r="AR266" s="59"/>
      <c r="AS266" s="58" t="str">
        <f t="shared" si="152"/>
        <v/>
      </c>
      <c r="AT266" s="59"/>
      <c r="AU266" s="58" t="str">
        <f t="shared" si="153"/>
        <v/>
      </c>
      <c r="AV266" s="59"/>
      <c r="AW266" s="58" t="str">
        <f t="shared" si="154"/>
        <v/>
      </c>
      <c r="AX266" s="59"/>
      <c r="AY266" s="58" t="str">
        <f t="shared" si="155"/>
        <v/>
      </c>
      <c r="AZ266" s="59"/>
      <c r="BA266" s="58" t="str">
        <f t="shared" si="156"/>
        <v/>
      </c>
      <c r="BB266" s="59"/>
      <c r="BC266" s="58" t="str">
        <f t="shared" si="157"/>
        <v/>
      </c>
      <c r="BD266" s="59"/>
      <c r="BE266" s="58" t="str">
        <f t="shared" si="158"/>
        <v/>
      </c>
      <c r="BF266" s="59"/>
      <c r="BG266" s="58">
        <f t="shared" si="159"/>
        <v>5040</v>
      </c>
      <c r="BH266" s="59"/>
      <c r="BI266" s="58" t="str">
        <f t="shared" si="160"/>
        <v/>
      </c>
      <c r="BJ266" s="59"/>
      <c r="BK266" s="58" t="str">
        <f t="shared" si="161"/>
        <v/>
      </c>
      <c r="BL266" s="59"/>
      <c r="BM266" s="58" t="str">
        <f t="shared" si="162"/>
        <v/>
      </c>
      <c r="BN266" s="59"/>
      <c r="BO266" s="58" t="str">
        <f t="shared" si="163"/>
        <v/>
      </c>
      <c r="BP266" s="59"/>
      <c r="BQ266" s="58" t="str">
        <f t="shared" si="164"/>
        <v/>
      </c>
      <c r="BR266" s="59"/>
      <c r="BS266" s="58" t="str">
        <f t="shared" si="165"/>
        <v/>
      </c>
      <c r="BT266" s="59"/>
      <c r="BU266" s="58" t="str">
        <f t="shared" si="166"/>
        <v/>
      </c>
      <c r="BV266" s="59"/>
      <c r="BW266" s="58" t="str">
        <f t="shared" si="167"/>
        <v/>
      </c>
      <c r="BX266" s="59"/>
      <c r="BY266" s="58" t="str">
        <f t="shared" si="168"/>
        <v/>
      </c>
      <c r="BZ266" s="59"/>
    </row>
    <row r="267" spans="1:78" ht="14.5" hidden="1">
      <c r="A267" s="51" t="s">
        <v>58</v>
      </c>
      <c r="B267" s="52">
        <v>390</v>
      </c>
      <c r="C267" s="52" t="s">
        <v>188</v>
      </c>
      <c r="D267" s="41">
        <f t="shared" si="142"/>
        <v>5</v>
      </c>
      <c r="E267" s="170" t="s">
        <v>631</v>
      </c>
      <c r="F267" s="41" t="s">
        <v>646</v>
      </c>
      <c r="G267" s="52" t="s">
        <v>136</v>
      </c>
      <c r="H267" s="52" t="s">
        <v>247</v>
      </c>
      <c r="I267" s="52" t="s">
        <v>162</v>
      </c>
      <c r="J267" s="52" t="s">
        <v>500</v>
      </c>
      <c r="K267" s="53">
        <v>45689</v>
      </c>
      <c r="L267" s="108">
        <v>3832</v>
      </c>
      <c r="M267" s="101">
        <v>3832</v>
      </c>
      <c r="N267" s="101">
        <v>3832</v>
      </c>
      <c r="O267" s="107">
        <f t="shared" si="135"/>
        <v>0</v>
      </c>
      <c r="P267" s="54">
        <f t="shared" si="136"/>
        <v>0</v>
      </c>
      <c r="Q267" s="101" t="s">
        <v>675</v>
      </c>
      <c r="R267" s="166">
        <v>45665</v>
      </c>
      <c r="S267" s="101" t="s">
        <v>682</v>
      </c>
      <c r="T267" s="102">
        <f t="shared" si="143"/>
        <v>2.1897142857142855</v>
      </c>
      <c r="U267" s="102">
        <v>5</v>
      </c>
      <c r="V267" s="99">
        <v>350</v>
      </c>
      <c r="W267" s="55">
        <f t="shared" si="144"/>
        <v>45669</v>
      </c>
      <c r="X267" s="55">
        <v>45635</v>
      </c>
      <c r="Y267" s="56">
        <f t="shared" ca="1" si="138"/>
        <v>34</v>
      </c>
      <c r="Z267" s="55">
        <f t="shared" si="139"/>
        <v>45685</v>
      </c>
      <c r="AA267" s="55"/>
      <c r="AB267" s="56">
        <f t="shared" ca="1" si="140"/>
        <v>-155</v>
      </c>
      <c r="AC267" s="55"/>
      <c r="AD267" s="57"/>
      <c r="AE267" s="58" t="str">
        <f t="shared" si="145"/>
        <v>-</v>
      </c>
      <c r="AF267" s="59"/>
      <c r="AG267" s="58" t="str">
        <f t="shared" si="146"/>
        <v/>
      </c>
      <c r="AH267" s="59"/>
      <c r="AI267" s="58" t="str">
        <f t="shared" si="147"/>
        <v/>
      </c>
      <c r="AJ267" s="59"/>
      <c r="AK267" s="58" t="str">
        <f t="shared" si="148"/>
        <v/>
      </c>
      <c r="AL267" s="59"/>
      <c r="AM267" s="58" t="str">
        <f t="shared" si="149"/>
        <v/>
      </c>
      <c r="AN267" s="59"/>
      <c r="AO267" s="58" t="str">
        <f t="shared" si="150"/>
        <v/>
      </c>
      <c r="AP267" s="59"/>
      <c r="AQ267" s="58" t="str">
        <f t="shared" si="151"/>
        <v/>
      </c>
      <c r="AR267" s="59"/>
      <c r="AS267" s="58" t="str">
        <f t="shared" si="152"/>
        <v/>
      </c>
      <c r="AT267" s="59"/>
      <c r="AU267" s="58" t="str">
        <f t="shared" si="153"/>
        <v/>
      </c>
      <c r="AV267" s="59"/>
      <c r="AW267" s="58" t="str">
        <f t="shared" si="154"/>
        <v/>
      </c>
      <c r="AX267" s="59"/>
      <c r="AY267" s="58" t="str">
        <f t="shared" si="155"/>
        <v/>
      </c>
      <c r="AZ267" s="59"/>
      <c r="BA267" s="58" t="str">
        <f t="shared" si="156"/>
        <v/>
      </c>
      <c r="BB267" s="59"/>
      <c r="BC267" s="58" t="str">
        <f t="shared" si="157"/>
        <v/>
      </c>
      <c r="BD267" s="59"/>
      <c r="BE267" s="58" t="str">
        <f t="shared" si="158"/>
        <v/>
      </c>
      <c r="BF267" s="59"/>
      <c r="BG267" s="58">
        <f t="shared" si="159"/>
        <v>3832</v>
      </c>
      <c r="BH267" s="59"/>
      <c r="BI267" s="58" t="str">
        <f t="shared" si="160"/>
        <v/>
      </c>
      <c r="BJ267" s="59"/>
      <c r="BK267" s="58" t="str">
        <f t="shared" si="161"/>
        <v/>
      </c>
      <c r="BL267" s="59"/>
      <c r="BM267" s="58" t="str">
        <f t="shared" si="162"/>
        <v/>
      </c>
      <c r="BN267" s="59"/>
      <c r="BO267" s="58" t="str">
        <f t="shared" si="163"/>
        <v/>
      </c>
      <c r="BP267" s="59"/>
      <c r="BQ267" s="58" t="str">
        <f t="shared" si="164"/>
        <v/>
      </c>
      <c r="BR267" s="59"/>
      <c r="BS267" s="58" t="str">
        <f t="shared" si="165"/>
        <v/>
      </c>
      <c r="BT267" s="59"/>
      <c r="BU267" s="58" t="str">
        <f t="shared" si="166"/>
        <v/>
      </c>
      <c r="BV267" s="59"/>
      <c r="BW267" s="58" t="str">
        <f t="shared" si="167"/>
        <v/>
      </c>
      <c r="BX267" s="59"/>
      <c r="BY267" s="58" t="str">
        <f t="shared" si="168"/>
        <v/>
      </c>
      <c r="BZ267" s="59"/>
    </row>
    <row r="268" spans="1:78" ht="14.5" hidden="1">
      <c r="A268" s="51" t="s">
        <v>58</v>
      </c>
      <c r="B268" s="52">
        <v>390</v>
      </c>
      <c r="C268" s="52" t="s">
        <v>188</v>
      </c>
      <c r="D268" s="41">
        <f t="shared" si="142"/>
        <v>5</v>
      </c>
      <c r="E268" s="170" t="s">
        <v>631</v>
      </c>
      <c r="F268" s="41" t="s">
        <v>646</v>
      </c>
      <c r="G268" s="52" t="s">
        <v>136</v>
      </c>
      <c r="H268" s="52" t="s">
        <v>247</v>
      </c>
      <c r="I268" s="52" t="s">
        <v>163</v>
      </c>
      <c r="J268" s="52" t="s">
        <v>500</v>
      </c>
      <c r="K268" s="53">
        <v>45689</v>
      </c>
      <c r="L268" s="108">
        <v>3832</v>
      </c>
      <c r="M268" s="101">
        <v>3832</v>
      </c>
      <c r="N268" s="101">
        <v>3832</v>
      </c>
      <c r="O268" s="107">
        <f t="shared" si="135"/>
        <v>0</v>
      </c>
      <c r="P268" s="54">
        <f t="shared" si="136"/>
        <v>0</v>
      </c>
      <c r="Q268" s="101" t="s">
        <v>687</v>
      </c>
      <c r="R268" s="166">
        <v>45665</v>
      </c>
      <c r="S268" s="101" t="s">
        <v>688</v>
      </c>
      <c r="T268" s="102">
        <f t="shared" si="143"/>
        <v>2.1897142857142855</v>
      </c>
      <c r="U268" s="102">
        <v>5</v>
      </c>
      <c r="V268" s="99">
        <v>350</v>
      </c>
      <c r="W268" s="55">
        <f t="shared" si="144"/>
        <v>45669</v>
      </c>
      <c r="X268" s="55">
        <v>45635</v>
      </c>
      <c r="Y268" s="56">
        <f t="shared" ca="1" si="138"/>
        <v>34</v>
      </c>
      <c r="Z268" s="55">
        <f t="shared" si="139"/>
        <v>45685</v>
      </c>
      <c r="AA268" s="55"/>
      <c r="AB268" s="56">
        <f t="shared" ca="1" si="140"/>
        <v>-155</v>
      </c>
      <c r="AC268" s="55"/>
      <c r="AD268" s="57"/>
      <c r="AE268" s="58" t="str">
        <f t="shared" si="145"/>
        <v>-</v>
      </c>
      <c r="AF268" s="59"/>
      <c r="AG268" s="58" t="str">
        <f t="shared" si="146"/>
        <v/>
      </c>
      <c r="AH268" s="59"/>
      <c r="AI268" s="58" t="str">
        <f t="shared" si="147"/>
        <v/>
      </c>
      <c r="AJ268" s="59"/>
      <c r="AK268" s="58" t="str">
        <f t="shared" si="148"/>
        <v/>
      </c>
      <c r="AL268" s="59"/>
      <c r="AM268" s="58" t="str">
        <f t="shared" si="149"/>
        <v/>
      </c>
      <c r="AN268" s="59"/>
      <c r="AO268" s="58" t="str">
        <f t="shared" si="150"/>
        <v/>
      </c>
      <c r="AP268" s="59"/>
      <c r="AQ268" s="58" t="str">
        <f t="shared" si="151"/>
        <v/>
      </c>
      <c r="AR268" s="59"/>
      <c r="AS268" s="58" t="str">
        <f t="shared" si="152"/>
        <v/>
      </c>
      <c r="AT268" s="59"/>
      <c r="AU268" s="58" t="str">
        <f t="shared" si="153"/>
        <v/>
      </c>
      <c r="AV268" s="59"/>
      <c r="AW268" s="58" t="str">
        <f t="shared" si="154"/>
        <v/>
      </c>
      <c r="AX268" s="59"/>
      <c r="AY268" s="58" t="str">
        <f t="shared" si="155"/>
        <v/>
      </c>
      <c r="AZ268" s="59"/>
      <c r="BA268" s="58" t="str">
        <f t="shared" si="156"/>
        <v/>
      </c>
      <c r="BB268" s="59"/>
      <c r="BC268" s="58" t="str">
        <f t="shared" si="157"/>
        <v/>
      </c>
      <c r="BD268" s="59"/>
      <c r="BE268" s="58" t="str">
        <f t="shared" si="158"/>
        <v/>
      </c>
      <c r="BF268" s="59"/>
      <c r="BG268" s="58">
        <f t="shared" si="159"/>
        <v>3832</v>
      </c>
      <c r="BH268" s="59"/>
      <c r="BI268" s="58" t="str">
        <f t="shared" si="160"/>
        <v/>
      </c>
      <c r="BJ268" s="59"/>
      <c r="BK268" s="58" t="str">
        <f t="shared" si="161"/>
        <v/>
      </c>
      <c r="BL268" s="59"/>
      <c r="BM268" s="58" t="str">
        <f t="shared" si="162"/>
        <v/>
      </c>
      <c r="BN268" s="59"/>
      <c r="BO268" s="58" t="str">
        <f t="shared" si="163"/>
        <v/>
      </c>
      <c r="BP268" s="59"/>
      <c r="BQ268" s="58" t="str">
        <f t="shared" si="164"/>
        <v/>
      </c>
      <c r="BR268" s="59"/>
      <c r="BS268" s="58" t="str">
        <f t="shared" si="165"/>
        <v/>
      </c>
      <c r="BT268" s="59"/>
      <c r="BU268" s="58" t="str">
        <f t="shared" si="166"/>
        <v/>
      </c>
      <c r="BV268" s="59"/>
      <c r="BW268" s="58" t="str">
        <f t="shared" si="167"/>
        <v/>
      </c>
      <c r="BX268" s="59"/>
      <c r="BY268" s="58" t="str">
        <f t="shared" si="168"/>
        <v/>
      </c>
      <c r="BZ268" s="59"/>
    </row>
    <row r="269" spans="1:78" ht="14.5" hidden="1">
      <c r="A269" s="51" t="s">
        <v>58</v>
      </c>
      <c r="B269" s="52">
        <v>390</v>
      </c>
      <c r="C269" s="52" t="s">
        <v>188</v>
      </c>
      <c r="D269" s="41">
        <f t="shared" si="142"/>
        <v>5</v>
      </c>
      <c r="E269" s="41" t="s">
        <v>631</v>
      </c>
      <c r="F269" s="41" t="s">
        <v>631</v>
      </c>
      <c r="G269" s="52" t="s">
        <v>136</v>
      </c>
      <c r="H269" s="52" t="s">
        <v>247</v>
      </c>
      <c r="I269" s="52" t="s">
        <v>164</v>
      </c>
      <c r="J269" s="52" t="s">
        <v>500</v>
      </c>
      <c r="K269" s="53">
        <v>45689</v>
      </c>
      <c r="L269" s="108">
        <v>3832</v>
      </c>
      <c r="M269" s="101">
        <v>3832</v>
      </c>
      <c r="N269" s="101">
        <v>3832</v>
      </c>
      <c r="O269" s="107">
        <f t="shared" si="135"/>
        <v>0</v>
      </c>
      <c r="P269" s="54">
        <f t="shared" si="136"/>
        <v>0</v>
      </c>
      <c r="Q269" s="101" t="s">
        <v>675</v>
      </c>
      <c r="R269" s="166">
        <v>45661</v>
      </c>
      <c r="S269" s="101"/>
      <c r="T269" s="102">
        <f t="shared" si="143"/>
        <v>2.1897142857142855</v>
      </c>
      <c r="U269" s="102">
        <v>5</v>
      </c>
      <c r="V269" s="99">
        <v>350</v>
      </c>
      <c r="W269" s="55">
        <f t="shared" si="144"/>
        <v>45669</v>
      </c>
      <c r="X269" s="55">
        <v>45635</v>
      </c>
      <c r="Y269" s="56">
        <f t="shared" ca="1" si="138"/>
        <v>34</v>
      </c>
      <c r="Z269" s="55">
        <f t="shared" si="139"/>
        <v>45685</v>
      </c>
      <c r="AA269" s="55"/>
      <c r="AB269" s="56">
        <f t="shared" ca="1" si="140"/>
        <v>-155</v>
      </c>
      <c r="AC269" s="55"/>
      <c r="AD269" s="57"/>
      <c r="AE269" s="58" t="str">
        <f t="shared" si="145"/>
        <v>-</v>
      </c>
      <c r="AF269" s="59"/>
      <c r="AG269" s="58" t="str">
        <f t="shared" si="146"/>
        <v/>
      </c>
      <c r="AH269" s="59"/>
      <c r="AI269" s="58" t="str">
        <f t="shared" si="147"/>
        <v/>
      </c>
      <c r="AJ269" s="59"/>
      <c r="AK269" s="58" t="str">
        <f t="shared" si="148"/>
        <v/>
      </c>
      <c r="AL269" s="59"/>
      <c r="AM269" s="58" t="str">
        <f t="shared" si="149"/>
        <v/>
      </c>
      <c r="AN269" s="59"/>
      <c r="AO269" s="58" t="str">
        <f t="shared" si="150"/>
        <v/>
      </c>
      <c r="AP269" s="59"/>
      <c r="AQ269" s="58" t="str">
        <f t="shared" si="151"/>
        <v/>
      </c>
      <c r="AR269" s="59"/>
      <c r="AS269" s="58" t="str">
        <f t="shared" si="152"/>
        <v/>
      </c>
      <c r="AT269" s="59"/>
      <c r="AU269" s="58" t="str">
        <f t="shared" si="153"/>
        <v/>
      </c>
      <c r="AV269" s="59"/>
      <c r="AW269" s="58" t="str">
        <f t="shared" si="154"/>
        <v/>
      </c>
      <c r="AX269" s="59"/>
      <c r="AY269" s="58" t="str">
        <f t="shared" si="155"/>
        <v/>
      </c>
      <c r="AZ269" s="59"/>
      <c r="BA269" s="58" t="str">
        <f t="shared" si="156"/>
        <v/>
      </c>
      <c r="BB269" s="59"/>
      <c r="BC269" s="58" t="str">
        <f t="shared" si="157"/>
        <v/>
      </c>
      <c r="BD269" s="59"/>
      <c r="BE269" s="58" t="str">
        <f t="shared" si="158"/>
        <v/>
      </c>
      <c r="BF269" s="59"/>
      <c r="BG269" s="58">
        <f t="shared" si="159"/>
        <v>3832</v>
      </c>
      <c r="BH269" s="59"/>
      <c r="BI269" s="58" t="str">
        <f t="shared" si="160"/>
        <v/>
      </c>
      <c r="BJ269" s="59"/>
      <c r="BK269" s="58" t="str">
        <f t="shared" si="161"/>
        <v/>
      </c>
      <c r="BL269" s="59"/>
      <c r="BM269" s="58" t="str">
        <f t="shared" si="162"/>
        <v/>
      </c>
      <c r="BN269" s="59"/>
      <c r="BO269" s="58" t="str">
        <f t="shared" si="163"/>
        <v/>
      </c>
      <c r="BP269" s="59"/>
      <c r="BQ269" s="58" t="str">
        <f t="shared" si="164"/>
        <v/>
      </c>
      <c r="BR269" s="59"/>
      <c r="BS269" s="58" t="str">
        <f t="shared" si="165"/>
        <v/>
      </c>
      <c r="BT269" s="59"/>
      <c r="BU269" s="58" t="str">
        <f t="shared" si="166"/>
        <v/>
      </c>
      <c r="BV269" s="59"/>
      <c r="BW269" s="58" t="str">
        <f t="shared" si="167"/>
        <v/>
      </c>
      <c r="BX269" s="59"/>
      <c r="BY269" s="58" t="str">
        <f t="shared" si="168"/>
        <v/>
      </c>
      <c r="BZ269" s="59"/>
    </row>
    <row r="270" spans="1:78" ht="14.5" hidden="1">
      <c r="A270" s="51" t="s">
        <v>58</v>
      </c>
      <c r="B270" s="52">
        <v>390</v>
      </c>
      <c r="C270" s="52" t="s">
        <v>188</v>
      </c>
      <c r="D270" s="41">
        <f t="shared" si="142"/>
        <v>5</v>
      </c>
      <c r="E270" s="41" t="s">
        <v>631</v>
      </c>
      <c r="F270" s="41" t="s">
        <v>631</v>
      </c>
      <c r="G270" s="52" t="s">
        <v>390</v>
      </c>
      <c r="H270" s="52" t="s">
        <v>242</v>
      </c>
      <c r="I270" s="52" t="s">
        <v>162</v>
      </c>
      <c r="J270" s="52" t="s">
        <v>430</v>
      </c>
      <c r="K270" s="53">
        <v>45689</v>
      </c>
      <c r="L270" s="108">
        <v>960</v>
      </c>
      <c r="M270" s="101">
        <v>960</v>
      </c>
      <c r="N270" s="101">
        <v>960</v>
      </c>
      <c r="O270" s="107">
        <f t="shared" si="135"/>
        <v>0</v>
      </c>
      <c r="P270" s="54">
        <f t="shared" si="136"/>
        <v>0</v>
      </c>
      <c r="Q270" s="101" t="s">
        <v>431</v>
      </c>
      <c r="R270" s="166">
        <v>45661</v>
      </c>
      <c r="S270" s="101"/>
      <c r="T270" s="102">
        <f t="shared" si="143"/>
        <v>1.3333333333333333</v>
      </c>
      <c r="U270" s="102">
        <v>6</v>
      </c>
      <c r="V270" s="99">
        <v>120</v>
      </c>
      <c r="W270" s="55">
        <f t="shared" si="144"/>
        <v>45669</v>
      </c>
      <c r="X270" s="55">
        <v>45635</v>
      </c>
      <c r="Y270" s="56">
        <f t="shared" ca="1" si="138"/>
        <v>34</v>
      </c>
      <c r="Z270" s="55">
        <f t="shared" si="139"/>
        <v>45685</v>
      </c>
      <c r="AA270" s="55"/>
      <c r="AB270" s="56">
        <f t="shared" ca="1" si="140"/>
        <v>-155</v>
      </c>
      <c r="AC270" s="55"/>
      <c r="AD270" s="57"/>
      <c r="AE270" s="58" t="str">
        <f t="shared" si="145"/>
        <v>-</v>
      </c>
      <c r="AF270" s="59"/>
      <c r="AG270" s="58" t="str">
        <f t="shared" si="146"/>
        <v/>
      </c>
      <c r="AH270" s="59"/>
      <c r="AI270" s="58" t="str">
        <f t="shared" si="147"/>
        <v/>
      </c>
      <c r="AJ270" s="59"/>
      <c r="AK270" s="58" t="str">
        <f t="shared" si="148"/>
        <v/>
      </c>
      <c r="AL270" s="59"/>
      <c r="AM270" s="58" t="str">
        <f t="shared" si="149"/>
        <v/>
      </c>
      <c r="AN270" s="59"/>
      <c r="AO270" s="58" t="str">
        <f t="shared" si="150"/>
        <v/>
      </c>
      <c r="AP270" s="59"/>
      <c r="AQ270" s="58" t="str">
        <f t="shared" si="151"/>
        <v/>
      </c>
      <c r="AR270" s="59"/>
      <c r="AS270" s="58" t="str">
        <f t="shared" si="152"/>
        <v/>
      </c>
      <c r="AT270" s="59"/>
      <c r="AU270" s="58" t="str">
        <f t="shared" si="153"/>
        <v/>
      </c>
      <c r="AV270" s="59"/>
      <c r="AW270" s="58" t="str">
        <f t="shared" si="154"/>
        <v/>
      </c>
      <c r="AX270" s="59"/>
      <c r="AY270" s="58" t="str">
        <f t="shared" si="155"/>
        <v/>
      </c>
      <c r="AZ270" s="59"/>
      <c r="BA270" s="58" t="str">
        <f t="shared" si="156"/>
        <v/>
      </c>
      <c r="BB270" s="59"/>
      <c r="BC270" s="58" t="str">
        <f t="shared" si="157"/>
        <v/>
      </c>
      <c r="BD270" s="59"/>
      <c r="BE270" s="58" t="str">
        <f t="shared" si="158"/>
        <v/>
      </c>
      <c r="BF270" s="59"/>
      <c r="BG270" s="58">
        <f t="shared" si="159"/>
        <v>960</v>
      </c>
      <c r="BH270" s="59"/>
      <c r="BI270" s="58" t="str">
        <f t="shared" si="160"/>
        <v/>
      </c>
      <c r="BJ270" s="59"/>
      <c r="BK270" s="58" t="str">
        <f t="shared" si="161"/>
        <v/>
      </c>
      <c r="BL270" s="59"/>
      <c r="BM270" s="58" t="str">
        <f t="shared" si="162"/>
        <v/>
      </c>
      <c r="BN270" s="59"/>
      <c r="BO270" s="58" t="str">
        <f t="shared" si="163"/>
        <v/>
      </c>
      <c r="BP270" s="59"/>
      <c r="BQ270" s="58" t="str">
        <f t="shared" si="164"/>
        <v/>
      </c>
      <c r="BR270" s="59"/>
      <c r="BS270" s="58" t="str">
        <f t="shared" si="165"/>
        <v/>
      </c>
      <c r="BT270" s="59"/>
      <c r="BU270" s="58" t="str">
        <f t="shared" si="166"/>
        <v/>
      </c>
      <c r="BV270" s="59"/>
      <c r="BW270" s="58" t="str">
        <f t="shared" si="167"/>
        <v/>
      </c>
      <c r="BX270" s="59"/>
      <c r="BY270" s="58" t="str">
        <f t="shared" si="168"/>
        <v/>
      </c>
      <c r="BZ270" s="59"/>
    </row>
    <row r="271" spans="1:78" ht="14.5" hidden="1">
      <c r="A271" s="51" t="s">
        <v>58</v>
      </c>
      <c r="B271" s="52">
        <v>390</v>
      </c>
      <c r="C271" s="52" t="s">
        <v>188</v>
      </c>
      <c r="D271" s="41">
        <f t="shared" si="142"/>
        <v>5</v>
      </c>
      <c r="E271" s="41" t="s">
        <v>631</v>
      </c>
      <c r="F271" s="41" t="s">
        <v>631</v>
      </c>
      <c r="G271" s="52" t="s">
        <v>158</v>
      </c>
      <c r="H271" s="52" t="s">
        <v>242</v>
      </c>
      <c r="I271" s="52" t="s">
        <v>156</v>
      </c>
      <c r="J271" s="52" t="s">
        <v>432</v>
      </c>
      <c r="K271" s="53">
        <v>45689</v>
      </c>
      <c r="L271" s="108">
        <v>1336</v>
      </c>
      <c r="M271" s="101">
        <v>1336</v>
      </c>
      <c r="N271" s="101">
        <v>1336</v>
      </c>
      <c r="O271" s="107">
        <f t="shared" si="135"/>
        <v>0</v>
      </c>
      <c r="P271" s="54">
        <f t="shared" si="136"/>
        <v>0</v>
      </c>
      <c r="Q271" s="101" t="s">
        <v>178</v>
      </c>
      <c r="R271" s="166">
        <v>45666</v>
      </c>
      <c r="S271" s="101"/>
      <c r="T271" s="102">
        <f t="shared" si="143"/>
        <v>1.8555555555555556</v>
      </c>
      <c r="U271" s="102">
        <v>6</v>
      </c>
      <c r="V271" s="99">
        <v>120</v>
      </c>
      <c r="W271" s="55">
        <f t="shared" si="144"/>
        <v>45669</v>
      </c>
      <c r="X271" s="55">
        <v>45635</v>
      </c>
      <c r="Y271" s="56">
        <f t="shared" ca="1" si="138"/>
        <v>34</v>
      </c>
      <c r="Z271" s="55">
        <f t="shared" si="139"/>
        <v>45685</v>
      </c>
      <c r="AA271" s="55"/>
      <c r="AB271" s="56">
        <f t="shared" ca="1" si="140"/>
        <v>-155</v>
      </c>
      <c r="AC271" s="55"/>
      <c r="AD271" s="57"/>
      <c r="AE271" s="58" t="str">
        <f t="shared" si="145"/>
        <v>-</v>
      </c>
      <c r="AF271" s="59"/>
      <c r="AG271" s="58" t="str">
        <f t="shared" si="146"/>
        <v/>
      </c>
      <c r="AH271" s="59"/>
      <c r="AI271" s="58" t="str">
        <f t="shared" si="147"/>
        <v/>
      </c>
      <c r="AJ271" s="59"/>
      <c r="AK271" s="58" t="str">
        <f t="shared" si="148"/>
        <v/>
      </c>
      <c r="AL271" s="59"/>
      <c r="AM271" s="58" t="str">
        <f t="shared" si="149"/>
        <v/>
      </c>
      <c r="AN271" s="59"/>
      <c r="AO271" s="58" t="str">
        <f t="shared" si="150"/>
        <v/>
      </c>
      <c r="AP271" s="59"/>
      <c r="AQ271" s="58" t="str">
        <f t="shared" si="151"/>
        <v/>
      </c>
      <c r="AR271" s="59"/>
      <c r="AS271" s="58" t="str">
        <f t="shared" si="152"/>
        <v/>
      </c>
      <c r="AT271" s="59"/>
      <c r="AU271" s="58" t="str">
        <f t="shared" si="153"/>
        <v/>
      </c>
      <c r="AV271" s="59"/>
      <c r="AW271" s="58" t="str">
        <f t="shared" si="154"/>
        <v/>
      </c>
      <c r="AX271" s="59"/>
      <c r="AY271" s="58" t="str">
        <f t="shared" si="155"/>
        <v/>
      </c>
      <c r="AZ271" s="59"/>
      <c r="BA271" s="58" t="str">
        <f t="shared" si="156"/>
        <v/>
      </c>
      <c r="BB271" s="59"/>
      <c r="BC271" s="58" t="str">
        <f t="shared" si="157"/>
        <v/>
      </c>
      <c r="BD271" s="59"/>
      <c r="BE271" s="58" t="str">
        <f t="shared" si="158"/>
        <v/>
      </c>
      <c r="BF271" s="59"/>
      <c r="BG271" s="58">
        <f t="shared" si="159"/>
        <v>1336</v>
      </c>
      <c r="BH271" s="59"/>
      <c r="BI271" s="58" t="str">
        <f t="shared" si="160"/>
        <v/>
      </c>
      <c r="BJ271" s="59"/>
      <c r="BK271" s="58" t="str">
        <f t="shared" si="161"/>
        <v/>
      </c>
      <c r="BL271" s="59"/>
      <c r="BM271" s="58" t="str">
        <f t="shared" si="162"/>
        <v/>
      </c>
      <c r="BN271" s="59"/>
      <c r="BO271" s="58" t="str">
        <f t="shared" si="163"/>
        <v/>
      </c>
      <c r="BP271" s="59"/>
      <c r="BQ271" s="58" t="str">
        <f t="shared" si="164"/>
        <v/>
      </c>
      <c r="BR271" s="59"/>
      <c r="BS271" s="58" t="str">
        <f t="shared" si="165"/>
        <v/>
      </c>
      <c r="BT271" s="59"/>
      <c r="BU271" s="58" t="str">
        <f t="shared" si="166"/>
        <v/>
      </c>
      <c r="BV271" s="59"/>
      <c r="BW271" s="58" t="str">
        <f t="shared" si="167"/>
        <v/>
      </c>
      <c r="BX271" s="59"/>
      <c r="BY271" s="58" t="str">
        <f t="shared" si="168"/>
        <v/>
      </c>
      <c r="BZ271" s="59"/>
    </row>
    <row r="272" spans="1:78" ht="14.5" hidden="1">
      <c r="A272" s="51">
        <f>+E272</f>
        <v>5</v>
      </c>
      <c r="B272" s="52">
        <v>390</v>
      </c>
      <c r="C272" s="52" t="s">
        <v>188</v>
      </c>
      <c r="D272" s="41">
        <f t="shared" si="142"/>
        <v>5</v>
      </c>
      <c r="E272" s="41">
        <v>5</v>
      </c>
      <c r="F272" s="41" t="s">
        <v>631</v>
      </c>
      <c r="G272" s="52" t="s">
        <v>189</v>
      </c>
      <c r="H272" s="52" t="s">
        <v>242</v>
      </c>
      <c r="I272" s="52" t="s">
        <v>162</v>
      </c>
      <c r="J272" s="52" t="s">
        <v>432</v>
      </c>
      <c r="K272" s="53">
        <v>45689</v>
      </c>
      <c r="L272" s="108">
        <v>1412</v>
      </c>
      <c r="M272" s="101">
        <v>1412</v>
      </c>
      <c r="N272" s="101">
        <v>1412</v>
      </c>
      <c r="O272" s="107">
        <f t="shared" si="135"/>
        <v>0</v>
      </c>
      <c r="P272" s="54">
        <f t="shared" si="136"/>
        <v>0</v>
      </c>
      <c r="Q272" s="101" t="s">
        <v>178</v>
      </c>
      <c r="R272" s="166">
        <v>45666</v>
      </c>
      <c r="S272" s="101" t="s">
        <v>642</v>
      </c>
      <c r="T272" s="102">
        <f t="shared" si="143"/>
        <v>1.961111111111111</v>
      </c>
      <c r="U272" s="102">
        <v>6</v>
      </c>
      <c r="V272" s="99">
        <v>120</v>
      </c>
      <c r="W272" s="55">
        <f t="shared" si="144"/>
        <v>45669</v>
      </c>
      <c r="X272" s="55">
        <v>45635</v>
      </c>
      <c r="Y272" s="56">
        <f t="shared" ca="1" si="138"/>
        <v>34</v>
      </c>
      <c r="Z272" s="55">
        <f t="shared" si="139"/>
        <v>45685</v>
      </c>
      <c r="AA272" s="55"/>
      <c r="AB272" s="56">
        <f t="shared" ca="1" si="140"/>
        <v>-155</v>
      </c>
      <c r="AC272" s="55"/>
      <c r="AD272" s="57"/>
      <c r="AE272" s="58" t="str">
        <f t="shared" si="145"/>
        <v>-</v>
      </c>
      <c r="AF272" s="59"/>
      <c r="AG272" s="58" t="str">
        <f t="shared" si="146"/>
        <v/>
      </c>
      <c r="AH272" s="59"/>
      <c r="AI272" s="58" t="str">
        <f t="shared" si="147"/>
        <v/>
      </c>
      <c r="AJ272" s="59"/>
      <c r="AK272" s="58" t="str">
        <f t="shared" si="148"/>
        <v/>
      </c>
      <c r="AL272" s="59"/>
      <c r="AM272" s="58" t="str">
        <f t="shared" si="149"/>
        <v/>
      </c>
      <c r="AN272" s="59"/>
      <c r="AO272" s="58" t="str">
        <f t="shared" si="150"/>
        <v/>
      </c>
      <c r="AP272" s="59"/>
      <c r="AQ272" s="58" t="str">
        <f t="shared" si="151"/>
        <v/>
      </c>
      <c r="AR272" s="59"/>
      <c r="AS272" s="58" t="str">
        <f t="shared" si="152"/>
        <v/>
      </c>
      <c r="AT272" s="59"/>
      <c r="AU272" s="58" t="str">
        <f t="shared" si="153"/>
        <v/>
      </c>
      <c r="AV272" s="59"/>
      <c r="AW272" s="58" t="str">
        <f t="shared" si="154"/>
        <v/>
      </c>
      <c r="AX272" s="59"/>
      <c r="AY272" s="58" t="str">
        <f t="shared" si="155"/>
        <v/>
      </c>
      <c r="AZ272" s="59"/>
      <c r="BA272" s="58" t="str">
        <f t="shared" si="156"/>
        <v/>
      </c>
      <c r="BB272" s="59"/>
      <c r="BC272" s="58" t="str">
        <f t="shared" si="157"/>
        <v/>
      </c>
      <c r="BD272" s="59"/>
      <c r="BE272" s="58" t="str">
        <f t="shared" si="158"/>
        <v/>
      </c>
      <c r="BF272" s="59"/>
      <c r="BG272" s="58">
        <f t="shared" si="159"/>
        <v>1412</v>
      </c>
      <c r="BH272" s="59"/>
      <c r="BI272" s="58" t="str">
        <f t="shared" si="160"/>
        <v/>
      </c>
      <c r="BJ272" s="59"/>
      <c r="BK272" s="58" t="str">
        <f t="shared" si="161"/>
        <v/>
      </c>
      <c r="BL272" s="59"/>
      <c r="BM272" s="58" t="str">
        <f t="shared" si="162"/>
        <v/>
      </c>
      <c r="BN272" s="59"/>
      <c r="BO272" s="58" t="str">
        <f t="shared" si="163"/>
        <v/>
      </c>
      <c r="BP272" s="59"/>
      <c r="BQ272" s="58" t="str">
        <f t="shared" si="164"/>
        <v/>
      </c>
      <c r="BR272" s="59"/>
      <c r="BS272" s="58" t="str">
        <f t="shared" si="165"/>
        <v/>
      </c>
      <c r="BT272" s="59"/>
      <c r="BU272" s="58" t="str">
        <f t="shared" si="166"/>
        <v/>
      </c>
      <c r="BV272" s="59"/>
      <c r="BW272" s="58" t="str">
        <f t="shared" si="167"/>
        <v/>
      </c>
      <c r="BX272" s="59"/>
      <c r="BY272" s="58" t="str">
        <f t="shared" si="168"/>
        <v/>
      </c>
      <c r="BZ272" s="59"/>
    </row>
    <row r="273" spans="1:78" ht="14.5" hidden="1">
      <c r="A273" s="51" t="s">
        <v>58</v>
      </c>
      <c r="B273" s="52">
        <v>391</v>
      </c>
      <c r="C273" s="52" t="s">
        <v>188</v>
      </c>
      <c r="D273" s="41">
        <f t="shared" si="142"/>
        <v>5</v>
      </c>
      <c r="E273" s="170" t="s">
        <v>631</v>
      </c>
      <c r="F273" s="41" t="s">
        <v>631</v>
      </c>
      <c r="G273" s="52" t="s">
        <v>189</v>
      </c>
      <c r="H273" s="52" t="s">
        <v>242</v>
      </c>
      <c r="I273" s="52" t="s">
        <v>162</v>
      </c>
      <c r="J273" s="52" t="s">
        <v>432</v>
      </c>
      <c r="K273" s="177">
        <v>45687</v>
      </c>
      <c r="L273" s="108">
        <v>3728</v>
      </c>
      <c r="M273" s="101">
        <v>0</v>
      </c>
      <c r="N273" s="101"/>
      <c r="O273" s="107">
        <f t="shared" si="135"/>
        <v>3728</v>
      </c>
      <c r="P273" s="54">
        <f t="shared" si="136"/>
        <v>3728</v>
      </c>
      <c r="Q273" s="101" t="s">
        <v>178</v>
      </c>
      <c r="R273" s="166">
        <v>45696</v>
      </c>
      <c r="S273" s="101" t="s">
        <v>642</v>
      </c>
      <c r="T273" s="102">
        <f t="shared" si="143"/>
        <v>5.177777777777778</v>
      </c>
      <c r="U273" s="102">
        <v>6</v>
      </c>
      <c r="V273" s="99">
        <v>120</v>
      </c>
      <c r="W273" s="55">
        <f t="shared" si="144"/>
        <v>45667</v>
      </c>
      <c r="X273" s="55">
        <v>45635</v>
      </c>
      <c r="Y273" s="56">
        <f t="shared" ca="1" si="138"/>
        <v>32</v>
      </c>
      <c r="Z273" s="55">
        <f t="shared" si="139"/>
        <v>45683</v>
      </c>
      <c r="AA273" s="55"/>
      <c r="AB273" s="56">
        <f t="shared" ca="1" si="140"/>
        <v>-157</v>
      </c>
      <c r="AC273" s="55"/>
      <c r="AD273" s="57"/>
      <c r="AE273" s="58" t="str">
        <f t="shared" si="145"/>
        <v>-</v>
      </c>
      <c r="AF273" s="59"/>
      <c r="AG273" s="58" t="str">
        <f t="shared" si="146"/>
        <v/>
      </c>
      <c r="AH273" s="59"/>
      <c r="AI273" s="58" t="str">
        <f t="shared" si="147"/>
        <v/>
      </c>
      <c r="AJ273" s="59"/>
      <c r="AK273" s="58" t="str">
        <f t="shared" si="148"/>
        <v/>
      </c>
      <c r="AL273" s="59"/>
      <c r="AM273" s="58" t="str">
        <f t="shared" si="149"/>
        <v/>
      </c>
      <c r="AN273" s="59"/>
      <c r="AO273" s="58" t="str">
        <f t="shared" si="150"/>
        <v/>
      </c>
      <c r="AP273" s="59"/>
      <c r="AQ273" s="58" t="str">
        <f t="shared" si="151"/>
        <v/>
      </c>
      <c r="AR273" s="59"/>
      <c r="AS273" s="58" t="str">
        <f t="shared" si="152"/>
        <v/>
      </c>
      <c r="AT273" s="59"/>
      <c r="AU273" s="58" t="str">
        <f t="shared" si="153"/>
        <v/>
      </c>
      <c r="AV273" s="59"/>
      <c r="AW273" s="58" t="str">
        <f t="shared" si="154"/>
        <v/>
      </c>
      <c r="AX273" s="59"/>
      <c r="AY273" s="58" t="str">
        <f t="shared" si="155"/>
        <v/>
      </c>
      <c r="AZ273" s="59"/>
      <c r="BA273" s="58" t="str">
        <f t="shared" si="156"/>
        <v/>
      </c>
      <c r="BB273" s="59"/>
      <c r="BC273" s="58" t="str">
        <f t="shared" si="157"/>
        <v/>
      </c>
      <c r="BD273" s="59"/>
      <c r="BE273" s="58">
        <f t="shared" si="158"/>
        <v>3728</v>
      </c>
      <c r="BF273" s="59"/>
      <c r="BG273" s="58" t="str">
        <f t="shared" si="159"/>
        <v/>
      </c>
      <c r="BH273" s="59"/>
      <c r="BI273" s="58" t="str">
        <f t="shared" si="160"/>
        <v/>
      </c>
      <c r="BJ273" s="59"/>
      <c r="BK273" s="58" t="str">
        <f t="shared" si="161"/>
        <v/>
      </c>
      <c r="BL273" s="59"/>
      <c r="BM273" s="58" t="str">
        <f t="shared" si="162"/>
        <v/>
      </c>
      <c r="BN273" s="59"/>
      <c r="BO273" s="58" t="str">
        <f t="shared" si="163"/>
        <v/>
      </c>
      <c r="BP273" s="59"/>
      <c r="BQ273" s="58" t="str">
        <f t="shared" si="164"/>
        <v/>
      </c>
      <c r="BR273" s="59"/>
      <c r="BS273" s="58" t="str">
        <f t="shared" si="165"/>
        <v/>
      </c>
      <c r="BT273" s="59"/>
      <c r="BU273" s="58" t="str">
        <f t="shared" si="166"/>
        <v/>
      </c>
      <c r="BV273" s="59"/>
      <c r="BW273" s="58" t="str">
        <f t="shared" si="167"/>
        <v/>
      </c>
      <c r="BX273" s="59"/>
      <c r="BY273" s="58" t="str">
        <f t="shared" si="168"/>
        <v/>
      </c>
      <c r="BZ273" s="59"/>
    </row>
    <row r="274" spans="1:78" ht="14.5" hidden="1">
      <c r="A274" s="51" t="s">
        <v>58</v>
      </c>
      <c r="B274" s="52">
        <v>392</v>
      </c>
      <c r="C274" s="52" t="s">
        <v>188</v>
      </c>
      <c r="D274" s="41">
        <f t="shared" si="142"/>
        <v>5</v>
      </c>
      <c r="E274" s="170" t="s">
        <v>631</v>
      </c>
      <c r="F274" s="41" t="s">
        <v>631</v>
      </c>
      <c r="G274" s="52" t="s">
        <v>189</v>
      </c>
      <c r="H274" s="52" t="s">
        <v>242</v>
      </c>
      <c r="I274" s="52" t="s">
        <v>162</v>
      </c>
      <c r="J274" s="52" t="s">
        <v>432</v>
      </c>
      <c r="K274" s="177">
        <v>45687</v>
      </c>
      <c r="L274" s="108">
        <v>3728</v>
      </c>
      <c r="M274" s="101">
        <v>0</v>
      </c>
      <c r="N274" s="101"/>
      <c r="O274" s="107">
        <f t="shared" si="135"/>
        <v>3728</v>
      </c>
      <c r="P274" s="54">
        <f t="shared" si="136"/>
        <v>3728</v>
      </c>
      <c r="Q274" s="101" t="s">
        <v>178</v>
      </c>
      <c r="R274" s="166">
        <v>45700</v>
      </c>
      <c r="S274" s="101" t="s">
        <v>642</v>
      </c>
      <c r="T274" s="102">
        <f t="shared" si="143"/>
        <v>5.177777777777778</v>
      </c>
      <c r="U274" s="102">
        <v>6</v>
      </c>
      <c r="V274" s="99">
        <v>120</v>
      </c>
      <c r="W274" s="55">
        <f t="shared" si="144"/>
        <v>45667</v>
      </c>
      <c r="X274" s="55"/>
      <c r="Y274" s="56">
        <f t="shared" ca="1" si="138"/>
        <v>-173</v>
      </c>
      <c r="Z274" s="55">
        <f t="shared" si="139"/>
        <v>45683</v>
      </c>
      <c r="AA274" s="55"/>
      <c r="AB274" s="56">
        <f t="shared" ca="1" si="140"/>
        <v>-157</v>
      </c>
      <c r="AC274" s="55"/>
      <c r="AD274" s="57"/>
      <c r="AE274" s="58" t="str">
        <f t="shared" si="145"/>
        <v>-</v>
      </c>
      <c r="AF274" s="59"/>
      <c r="AG274" s="58" t="str">
        <f t="shared" si="146"/>
        <v/>
      </c>
      <c r="AH274" s="59"/>
      <c r="AI274" s="58" t="str">
        <f t="shared" si="147"/>
        <v/>
      </c>
      <c r="AJ274" s="59"/>
      <c r="AK274" s="58" t="str">
        <f t="shared" si="148"/>
        <v/>
      </c>
      <c r="AL274" s="59"/>
      <c r="AM274" s="58" t="str">
        <f t="shared" si="149"/>
        <v/>
      </c>
      <c r="AN274" s="59"/>
      <c r="AO274" s="58" t="str">
        <f t="shared" si="150"/>
        <v/>
      </c>
      <c r="AP274" s="59"/>
      <c r="AQ274" s="58" t="str">
        <f t="shared" si="151"/>
        <v/>
      </c>
      <c r="AR274" s="59"/>
      <c r="AS274" s="58" t="str">
        <f t="shared" si="152"/>
        <v/>
      </c>
      <c r="AT274" s="59"/>
      <c r="AU274" s="58" t="str">
        <f t="shared" si="153"/>
        <v/>
      </c>
      <c r="AV274" s="59"/>
      <c r="AW274" s="58" t="str">
        <f t="shared" si="154"/>
        <v/>
      </c>
      <c r="AX274" s="59"/>
      <c r="AY274" s="58" t="str">
        <f t="shared" si="155"/>
        <v/>
      </c>
      <c r="AZ274" s="59"/>
      <c r="BA274" s="58" t="str">
        <f t="shared" si="156"/>
        <v/>
      </c>
      <c r="BB274" s="59"/>
      <c r="BC274" s="58" t="str">
        <f t="shared" si="157"/>
        <v/>
      </c>
      <c r="BD274" s="59"/>
      <c r="BE274" s="58">
        <f t="shared" si="158"/>
        <v>3728</v>
      </c>
      <c r="BF274" s="59"/>
      <c r="BG274" s="58" t="str">
        <f t="shared" si="159"/>
        <v/>
      </c>
      <c r="BH274" s="59"/>
      <c r="BI274" s="58" t="str">
        <f t="shared" si="160"/>
        <v/>
      </c>
      <c r="BJ274" s="59"/>
      <c r="BK274" s="58" t="str">
        <f t="shared" si="161"/>
        <v/>
      </c>
      <c r="BL274" s="59"/>
      <c r="BM274" s="58" t="str">
        <f t="shared" si="162"/>
        <v/>
      </c>
      <c r="BN274" s="59"/>
      <c r="BO274" s="58" t="str">
        <f t="shared" si="163"/>
        <v/>
      </c>
      <c r="BP274" s="59"/>
      <c r="BQ274" s="58" t="str">
        <f t="shared" si="164"/>
        <v/>
      </c>
      <c r="BR274" s="59"/>
      <c r="BS274" s="58" t="str">
        <f t="shared" si="165"/>
        <v/>
      </c>
      <c r="BT274" s="59"/>
      <c r="BU274" s="58" t="str">
        <f t="shared" si="166"/>
        <v/>
      </c>
      <c r="BV274" s="59"/>
      <c r="BW274" s="58" t="str">
        <f t="shared" si="167"/>
        <v/>
      </c>
      <c r="BX274" s="59"/>
      <c r="BY274" s="58" t="str">
        <f t="shared" si="168"/>
        <v/>
      </c>
      <c r="BZ274" s="59"/>
    </row>
    <row r="275" spans="1:78" ht="14.5" hidden="1">
      <c r="A275" s="51" t="s">
        <v>58</v>
      </c>
      <c r="B275" s="52">
        <v>393</v>
      </c>
      <c r="C275" s="52" t="s">
        <v>188</v>
      </c>
      <c r="D275" s="41">
        <f t="shared" si="142"/>
        <v>5</v>
      </c>
      <c r="E275" s="170">
        <v>45667</v>
      </c>
      <c r="F275" s="41" t="s">
        <v>631</v>
      </c>
      <c r="G275" s="52" t="s">
        <v>193</v>
      </c>
      <c r="H275" s="52" t="s">
        <v>300</v>
      </c>
      <c r="I275" s="52" t="s">
        <v>162</v>
      </c>
      <c r="J275" s="52" t="s">
        <v>560</v>
      </c>
      <c r="K275" s="53">
        <v>45689</v>
      </c>
      <c r="L275" s="108">
        <v>1120</v>
      </c>
      <c r="M275" s="101"/>
      <c r="N275" s="101"/>
      <c r="O275" s="107">
        <f t="shared" si="135"/>
        <v>1120</v>
      </c>
      <c r="P275" s="54">
        <f t="shared" si="136"/>
        <v>1120</v>
      </c>
      <c r="Q275" s="101" t="s">
        <v>178</v>
      </c>
      <c r="R275" s="101"/>
      <c r="S275" s="101"/>
      <c r="T275" s="102">
        <f t="shared" si="143"/>
        <v>1.5555555555555556</v>
      </c>
      <c r="U275" s="102">
        <v>6</v>
      </c>
      <c r="V275" s="99">
        <v>120</v>
      </c>
      <c r="W275" s="55">
        <f t="shared" si="144"/>
        <v>45669</v>
      </c>
      <c r="X275" s="55"/>
      <c r="Y275" s="56">
        <f t="shared" ca="1" si="138"/>
        <v>-171</v>
      </c>
      <c r="Z275" s="55">
        <f t="shared" si="139"/>
        <v>45685</v>
      </c>
      <c r="AA275" s="55"/>
      <c r="AB275" s="56">
        <f t="shared" ca="1" si="140"/>
        <v>-155</v>
      </c>
      <c r="AC275" s="55"/>
      <c r="AD275" s="57"/>
      <c r="AE275" s="58" t="str">
        <f t="shared" si="145"/>
        <v>-</v>
      </c>
      <c r="AF275" s="59"/>
      <c r="AG275" s="58" t="str">
        <f t="shared" si="146"/>
        <v/>
      </c>
      <c r="AH275" s="59"/>
      <c r="AI275" s="58" t="str">
        <f t="shared" si="147"/>
        <v/>
      </c>
      <c r="AJ275" s="59"/>
      <c r="AK275" s="58" t="str">
        <f t="shared" si="148"/>
        <v/>
      </c>
      <c r="AL275" s="59"/>
      <c r="AM275" s="58" t="str">
        <f t="shared" si="149"/>
        <v/>
      </c>
      <c r="AN275" s="59"/>
      <c r="AO275" s="58" t="str">
        <f t="shared" si="150"/>
        <v/>
      </c>
      <c r="AP275" s="59"/>
      <c r="AQ275" s="58" t="str">
        <f t="shared" si="151"/>
        <v/>
      </c>
      <c r="AR275" s="59"/>
      <c r="AS275" s="58" t="str">
        <f t="shared" si="152"/>
        <v/>
      </c>
      <c r="AT275" s="59"/>
      <c r="AU275" s="58" t="str">
        <f t="shared" si="153"/>
        <v/>
      </c>
      <c r="AV275" s="59"/>
      <c r="AW275" s="58" t="str">
        <f t="shared" si="154"/>
        <v/>
      </c>
      <c r="AX275" s="59"/>
      <c r="AY275" s="58" t="str">
        <f t="shared" si="155"/>
        <v/>
      </c>
      <c r="AZ275" s="59"/>
      <c r="BA275" s="58" t="str">
        <f t="shared" si="156"/>
        <v/>
      </c>
      <c r="BB275" s="59"/>
      <c r="BC275" s="58" t="str">
        <f t="shared" si="157"/>
        <v/>
      </c>
      <c r="BD275" s="59"/>
      <c r="BE275" s="58" t="str">
        <f t="shared" si="158"/>
        <v/>
      </c>
      <c r="BF275" s="59"/>
      <c r="BG275" s="58">
        <f t="shared" si="159"/>
        <v>1120</v>
      </c>
      <c r="BH275" s="59"/>
      <c r="BI275" s="58" t="str">
        <f t="shared" si="160"/>
        <v/>
      </c>
      <c r="BJ275" s="59"/>
      <c r="BK275" s="58" t="str">
        <f t="shared" si="161"/>
        <v/>
      </c>
      <c r="BL275" s="59"/>
      <c r="BM275" s="58" t="str">
        <f t="shared" si="162"/>
        <v/>
      </c>
      <c r="BN275" s="59"/>
      <c r="BO275" s="58" t="str">
        <f t="shared" si="163"/>
        <v/>
      </c>
      <c r="BP275" s="59"/>
      <c r="BQ275" s="58" t="str">
        <f t="shared" si="164"/>
        <v/>
      </c>
      <c r="BR275" s="59"/>
      <c r="BS275" s="58" t="str">
        <f t="shared" si="165"/>
        <v/>
      </c>
      <c r="BT275" s="59"/>
      <c r="BU275" s="58" t="str">
        <f t="shared" si="166"/>
        <v/>
      </c>
      <c r="BV275" s="59"/>
      <c r="BW275" s="58" t="str">
        <f t="shared" si="167"/>
        <v/>
      </c>
      <c r="BX275" s="59"/>
      <c r="BY275" s="58" t="str">
        <f t="shared" si="168"/>
        <v/>
      </c>
      <c r="BZ275" s="59"/>
    </row>
    <row r="276" spans="1:78" ht="14.5" hidden="1">
      <c r="A276" s="51" t="s">
        <v>58</v>
      </c>
      <c r="B276" s="52">
        <v>393</v>
      </c>
      <c r="C276" s="52" t="s">
        <v>188</v>
      </c>
      <c r="D276" s="41">
        <f t="shared" si="142"/>
        <v>5</v>
      </c>
      <c r="E276" s="170" t="s">
        <v>631</v>
      </c>
      <c r="F276" s="41" t="s">
        <v>631</v>
      </c>
      <c r="G276" s="52" t="s">
        <v>189</v>
      </c>
      <c r="H276" s="52" t="s">
        <v>242</v>
      </c>
      <c r="I276" s="52" t="s">
        <v>162</v>
      </c>
      <c r="J276" s="52" t="s">
        <v>498</v>
      </c>
      <c r="K276" s="53">
        <v>45689</v>
      </c>
      <c r="L276" s="108">
        <v>3520</v>
      </c>
      <c r="M276" s="101"/>
      <c r="N276" s="101"/>
      <c r="O276" s="107">
        <f t="shared" si="135"/>
        <v>3520</v>
      </c>
      <c r="P276" s="54">
        <f t="shared" si="136"/>
        <v>3520</v>
      </c>
      <c r="Q276" s="101" t="s">
        <v>443</v>
      </c>
      <c r="R276" s="166">
        <v>45701</v>
      </c>
      <c r="S276" s="101"/>
      <c r="T276" s="102">
        <f t="shared" si="143"/>
        <v>4.8888888888888893</v>
      </c>
      <c r="U276" s="102">
        <v>6</v>
      </c>
      <c r="V276" s="99">
        <v>120</v>
      </c>
      <c r="W276" s="55">
        <f t="shared" si="144"/>
        <v>45669</v>
      </c>
      <c r="X276" s="55"/>
      <c r="Y276" s="56">
        <f t="shared" ca="1" si="138"/>
        <v>-171</v>
      </c>
      <c r="Z276" s="55">
        <f t="shared" si="139"/>
        <v>45685</v>
      </c>
      <c r="AA276" s="55"/>
      <c r="AB276" s="56">
        <f t="shared" ca="1" si="140"/>
        <v>-155</v>
      </c>
      <c r="AC276" s="55"/>
      <c r="AD276" s="57"/>
      <c r="AE276" s="58" t="str">
        <f t="shared" si="145"/>
        <v>-</v>
      </c>
      <c r="AF276" s="59"/>
      <c r="AG276" s="58" t="str">
        <f t="shared" si="146"/>
        <v/>
      </c>
      <c r="AH276" s="59"/>
      <c r="AI276" s="58" t="str">
        <f t="shared" si="147"/>
        <v/>
      </c>
      <c r="AJ276" s="59"/>
      <c r="AK276" s="58" t="str">
        <f t="shared" si="148"/>
        <v/>
      </c>
      <c r="AL276" s="59"/>
      <c r="AM276" s="58" t="str">
        <f t="shared" si="149"/>
        <v/>
      </c>
      <c r="AN276" s="59"/>
      <c r="AO276" s="58" t="str">
        <f t="shared" si="150"/>
        <v/>
      </c>
      <c r="AP276" s="59"/>
      <c r="AQ276" s="58" t="str">
        <f t="shared" si="151"/>
        <v/>
      </c>
      <c r="AR276" s="59"/>
      <c r="AS276" s="58" t="str">
        <f t="shared" si="152"/>
        <v/>
      </c>
      <c r="AT276" s="59"/>
      <c r="AU276" s="58" t="str">
        <f t="shared" si="153"/>
        <v/>
      </c>
      <c r="AV276" s="59"/>
      <c r="AW276" s="58" t="str">
        <f t="shared" si="154"/>
        <v/>
      </c>
      <c r="AX276" s="59"/>
      <c r="AY276" s="58" t="str">
        <f t="shared" si="155"/>
        <v/>
      </c>
      <c r="AZ276" s="59"/>
      <c r="BA276" s="58" t="str">
        <f t="shared" si="156"/>
        <v/>
      </c>
      <c r="BB276" s="59"/>
      <c r="BC276" s="58" t="str">
        <f t="shared" si="157"/>
        <v/>
      </c>
      <c r="BD276" s="59"/>
      <c r="BE276" s="58" t="str">
        <f t="shared" si="158"/>
        <v/>
      </c>
      <c r="BF276" s="59"/>
      <c r="BG276" s="58">
        <f t="shared" si="159"/>
        <v>3520</v>
      </c>
      <c r="BH276" s="59"/>
      <c r="BI276" s="58" t="str">
        <f t="shared" si="160"/>
        <v/>
      </c>
      <c r="BJ276" s="59"/>
      <c r="BK276" s="58" t="str">
        <f t="shared" si="161"/>
        <v/>
      </c>
      <c r="BL276" s="59"/>
      <c r="BM276" s="58" t="str">
        <f t="shared" si="162"/>
        <v/>
      </c>
      <c r="BN276" s="59"/>
      <c r="BO276" s="58" t="str">
        <f t="shared" si="163"/>
        <v/>
      </c>
      <c r="BP276" s="59"/>
      <c r="BQ276" s="58" t="str">
        <f t="shared" si="164"/>
        <v/>
      </c>
      <c r="BR276" s="59"/>
      <c r="BS276" s="58" t="str">
        <f t="shared" si="165"/>
        <v/>
      </c>
      <c r="BT276" s="59"/>
      <c r="BU276" s="58" t="str">
        <f t="shared" si="166"/>
        <v/>
      </c>
      <c r="BV276" s="59"/>
      <c r="BW276" s="58" t="str">
        <f t="shared" si="167"/>
        <v/>
      </c>
      <c r="BX276" s="59"/>
      <c r="BY276" s="58" t="str">
        <f t="shared" si="168"/>
        <v/>
      </c>
      <c r="BZ276" s="59"/>
    </row>
    <row r="277" spans="1:78" ht="14.5" hidden="1">
      <c r="A277" s="51" t="s">
        <v>58</v>
      </c>
      <c r="B277" s="52">
        <v>394</v>
      </c>
      <c r="C277" s="52" t="s">
        <v>188</v>
      </c>
      <c r="D277" s="41">
        <f t="shared" si="142"/>
        <v>5</v>
      </c>
      <c r="E277" s="170" t="s">
        <v>631</v>
      </c>
      <c r="F277" s="41" t="s">
        <v>631</v>
      </c>
      <c r="G277" s="52" t="s">
        <v>245</v>
      </c>
      <c r="H277" s="52" t="s">
        <v>242</v>
      </c>
      <c r="I277" s="52" t="s">
        <v>244</v>
      </c>
      <c r="J277" s="52" t="s">
        <v>498</v>
      </c>
      <c r="K277" s="53">
        <v>45686</v>
      </c>
      <c r="L277" s="108">
        <v>1352</v>
      </c>
      <c r="M277" s="101">
        <v>1352</v>
      </c>
      <c r="N277" s="101"/>
      <c r="O277" s="107">
        <f t="shared" si="135"/>
        <v>1352</v>
      </c>
      <c r="P277" s="54">
        <f t="shared" si="136"/>
        <v>0</v>
      </c>
      <c r="Q277" s="101" t="s">
        <v>431</v>
      </c>
      <c r="R277" s="101"/>
      <c r="S277" s="101"/>
      <c r="T277" s="102">
        <f t="shared" si="143"/>
        <v>1.8777777777777778</v>
      </c>
      <c r="U277" s="102">
        <v>6</v>
      </c>
      <c r="V277" s="99">
        <v>120</v>
      </c>
      <c r="W277" s="55">
        <f t="shared" si="144"/>
        <v>45666</v>
      </c>
      <c r="X277" s="55"/>
      <c r="Y277" s="56">
        <f t="shared" ca="1" si="138"/>
        <v>-174</v>
      </c>
      <c r="Z277" s="55">
        <f t="shared" si="139"/>
        <v>45682</v>
      </c>
      <c r="AA277" s="55"/>
      <c r="AB277" s="56">
        <f t="shared" ca="1" si="140"/>
        <v>-158</v>
      </c>
      <c r="AC277" s="55"/>
      <c r="AD277" s="57"/>
      <c r="AE277" s="58" t="str">
        <f t="shared" si="145"/>
        <v>-</v>
      </c>
      <c r="AF277" s="59"/>
      <c r="AG277" s="58" t="str">
        <f t="shared" si="146"/>
        <v/>
      </c>
      <c r="AH277" s="59"/>
      <c r="AI277" s="58" t="str">
        <f t="shared" si="147"/>
        <v/>
      </c>
      <c r="AJ277" s="59"/>
      <c r="AK277" s="58" t="str">
        <f t="shared" si="148"/>
        <v/>
      </c>
      <c r="AL277" s="59"/>
      <c r="AM277" s="58" t="str">
        <f t="shared" si="149"/>
        <v/>
      </c>
      <c r="AN277" s="59"/>
      <c r="AO277" s="58" t="str">
        <f t="shared" si="150"/>
        <v/>
      </c>
      <c r="AP277" s="59"/>
      <c r="AQ277" s="58" t="str">
        <f t="shared" si="151"/>
        <v/>
      </c>
      <c r="AR277" s="59"/>
      <c r="AS277" s="58" t="str">
        <f t="shared" si="152"/>
        <v/>
      </c>
      <c r="AT277" s="59"/>
      <c r="AU277" s="58" t="str">
        <f t="shared" si="153"/>
        <v/>
      </c>
      <c r="AV277" s="59"/>
      <c r="AW277" s="58" t="str">
        <f t="shared" si="154"/>
        <v/>
      </c>
      <c r="AX277" s="59"/>
      <c r="AY277" s="58" t="str">
        <f t="shared" si="155"/>
        <v/>
      </c>
      <c r="AZ277" s="59"/>
      <c r="BA277" s="58" t="str">
        <f t="shared" si="156"/>
        <v/>
      </c>
      <c r="BB277" s="59"/>
      <c r="BC277" s="58" t="str">
        <f t="shared" si="157"/>
        <v/>
      </c>
      <c r="BD277" s="59"/>
      <c r="BE277" s="58">
        <f t="shared" si="158"/>
        <v>1352</v>
      </c>
      <c r="BF277" s="59"/>
      <c r="BG277" s="58" t="str">
        <f t="shared" si="159"/>
        <v/>
      </c>
      <c r="BH277" s="59"/>
      <c r="BI277" s="58" t="str">
        <f t="shared" si="160"/>
        <v/>
      </c>
      <c r="BJ277" s="59"/>
      <c r="BK277" s="58" t="str">
        <f t="shared" si="161"/>
        <v/>
      </c>
      <c r="BL277" s="59"/>
      <c r="BM277" s="58" t="str">
        <f t="shared" si="162"/>
        <v/>
      </c>
      <c r="BN277" s="59"/>
      <c r="BO277" s="58" t="str">
        <f t="shared" si="163"/>
        <v/>
      </c>
      <c r="BP277" s="59"/>
      <c r="BQ277" s="58" t="str">
        <f t="shared" si="164"/>
        <v/>
      </c>
      <c r="BR277" s="59"/>
      <c r="BS277" s="58" t="str">
        <f t="shared" si="165"/>
        <v/>
      </c>
      <c r="BT277" s="59"/>
      <c r="BU277" s="58" t="str">
        <f t="shared" si="166"/>
        <v/>
      </c>
      <c r="BV277" s="59"/>
      <c r="BW277" s="58" t="str">
        <f t="shared" si="167"/>
        <v/>
      </c>
      <c r="BX277" s="59"/>
      <c r="BY277" s="58" t="str">
        <f t="shared" si="168"/>
        <v/>
      </c>
      <c r="BZ277" s="59"/>
    </row>
    <row r="278" spans="1:78" ht="14.5" hidden="1">
      <c r="A278" s="51" t="s">
        <v>58</v>
      </c>
      <c r="B278" s="52">
        <v>394</v>
      </c>
      <c r="C278" s="52" t="s">
        <v>188</v>
      </c>
      <c r="D278" s="41">
        <f t="shared" si="142"/>
        <v>5</v>
      </c>
      <c r="E278" s="170" t="s">
        <v>631</v>
      </c>
      <c r="F278" s="41" t="s">
        <v>631</v>
      </c>
      <c r="G278" s="52" t="s">
        <v>158</v>
      </c>
      <c r="H278" s="52" t="s">
        <v>242</v>
      </c>
      <c r="I278" s="52" t="s">
        <v>154</v>
      </c>
      <c r="J278" s="52" t="s">
        <v>498</v>
      </c>
      <c r="K278" s="53">
        <v>45686</v>
      </c>
      <c r="L278" s="108">
        <v>596</v>
      </c>
      <c r="M278" s="101">
        <v>596</v>
      </c>
      <c r="N278" s="101"/>
      <c r="O278" s="107">
        <f t="shared" si="135"/>
        <v>596</v>
      </c>
      <c r="P278" s="54">
        <f t="shared" si="136"/>
        <v>0</v>
      </c>
      <c r="Q278" s="101" t="s">
        <v>630</v>
      </c>
      <c r="R278" s="101"/>
      <c r="S278" s="101"/>
      <c r="T278" s="102">
        <f t="shared" si="143"/>
        <v>0.82777777777777772</v>
      </c>
      <c r="U278" s="102">
        <v>6</v>
      </c>
      <c r="V278" s="99">
        <v>120</v>
      </c>
      <c r="W278" s="55">
        <f t="shared" si="144"/>
        <v>45666</v>
      </c>
      <c r="X278" s="55"/>
      <c r="Y278" s="56">
        <f t="shared" ca="1" si="138"/>
        <v>-174</v>
      </c>
      <c r="Z278" s="55">
        <f t="shared" si="139"/>
        <v>45682</v>
      </c>
      <c r="AA278" s="55"/>
      <c r="AB278" s="56">
        <f t="shared" ca="1" si="140"/>
        <v>-158</v>
      </c>
      <c r="AC278" s="55"/>
      <c r="AD278" s="57"/>
      <c r="AE278" s="58" t="str">
        <f t="shared" si="145"/>
        <v>-</v>
      </c>
      <c r="AF278" s="59"/>
      <c r="AG278" s="58" t="str">
        <f t="shared" si="146"/>
        <v/>
      </c>
      <c r="AH278" s="59"/>
      <c r="AI278" s="58" t="str">
        <f t="shared" si="147"/>
        <v/>
      </c>
      <c r="AJ278" s="59"/>
      <c r="AK278" s="58" t="str">
        <f t="shared" si="148"/>
        <v/>
      </c>
      <c r="AL278" s="59"/>
      <c r="AM278" s="58" t="str">
        <f t="shared" si="149"/>
        <v/>
      </c>
      <c r="AN278" s="59"/>
      <c r="AO278" s="58" t="str">
        <f t="shared" si="150"/>
        <v/>
      </c>
      <c r="AP278" s="59"/>
      <c r="AQ278" s="58" t="str">
        <f t="shared" si="151"/>
        <v/>
      </c>
      <c r="AR278" s="59"/>
      <c r="AS278" s="58" t="str">
        <f t="shared" si="152"/>
        <v/>
      </c>
      <c r="AT278" s="59"/>
      <c r="AU278" s="58" t="str">
        <f t="shared" si="153"/>
        <v/>
      </c>
      <c r="AV278" s="59"/>
      <c r="AW278" s="58" t="str">
        <f t="shared" si="154"/>
        <v/>
      </c>
      <c r="AX278" s="59"/>
      <c r="AY278" s="58" t="str">
        <f t="shared" si="155"/>
        <v/>
      </c>
      <c r="AZ278" s="59"/>
      <c r="BA278" s="58" t="str">
        <f t="shared" si="156"/>
        <v/>
      </c>
      <c r="BB278" s="59"/>
      <c r="BC278" s="58" t="str">
        <f t="shared" si="157"/>
        <v/>
      </c>
      <c r="BD278" s="59"/>
      <c r="BE278" s="58">
        <f t="shared" si="158"/>
        <v>596</v>
      </c>
      <c r="BF278" s="59"/>
      <c r="BG278" s="58" t="str">
        <f t="shared" si="159"/>
        <v/>
      </c>
      <c r="BH278" s="59"/>
      <c r="BI278" s="58" t="str">
        <f t="shared" si="160"/>
        <v/>
      </c>
      <c r="BJ278" s="59"/>
      <c r="BK278" s="58" t="str">
        <f t="shared" si="161"/>
        <v/>
      </c>
      <c r="BL278" s="59"/>
      <c r="BM278" s="58" t="str">
        <f t="shared" si="162"/>
        <v/>
      </c>
      <c r="BN278" s="59"/>
      <c r="BO278" s="58" t="str">
        <f t="shared" si="163"/>
        <v/>
      </c>
      <c r="BP278" s="59"/>
      <c r="BQ278" s="58" t="str">
        <f t="shared" si="164"/>
        <v/>
      </c>
      <c r="BR278" s="59"/>
      <c r="BS278" s="58" t="str">
        <f t="shared" si="165"/>
        <v/>
      </c>
      <c r="BT278" s="59"/>
      <c r="BU278" s="58" t="str">
        <f t="shared" si="166"/>
        <v/>
      </c>
      <c r="BV278" s="59"/>
      <c r="BW278" s="58" t="str">
        <f t="shared" si="167"/>
        <v/>
      </c>
      <c r="BX278" s="59"/>
      <c r="BY278" s="58" t="str">
        <f t="shared" si="168"/>
        <v/>
      </c>
      <c r="BZ278" s="59"/>
    </row>
    <row r="279" spans="1:78" ht="14.5" hidden="1">
      <c r="A279" s="51" t="s">
        <v>58</v>
      </c>
      <c r="B279" s="52">
        <v>394</v>
      </c>
      <c r="C279" s="52" t="s">
        <v>188</v>
      </c>
      <c r="D279" s="41">
        <f t="shared" si="142"/>
        <v>5</v>
      </c>
      <c r="E279" s="170" t="s">
        <v>646</v>
      </c>
      <c r="F279" s="41" t="s">
        <v>631</v>
      </c>
      <c r="G279" s="52" t="s">
        <v>189</v>
      </c>
      <c r="H279" s="52" t="s">
        <v>242</v>
      </c>
      <c r="I279" s="52" t="s">
        <v>162</v>
      </c>
      <c r="J279" s="52" t="s">
        <v>498</v>
      </c>
      <c r="K279" s="53">
        <v>45686</v>
      </c>
      <c r="L279" s="108">
        <v>1780</v>
      </c>
      <c r="M279" s="101"/>
      <c r="N279" s="101"/>
      <c r="O279" s="107">
        <f t="shared" si="135"/>
        <v>1780</v>
      </c>
      <c r="P279" s="54">
        <f t="shared" si="136"/>
        <v>1780</v>
      </c>
      <c r="Q279" s="101" t="s">
        <v>178</v>
      </c>
      <c r="R279" s="166">
        <v>45686</v>
      </c>
      <c r="S279" s="101" t="s">
        <v>642</v>
      </c>
      <c r="T279" s="102">
        <f t="shared" si="143"/>
        <v>2.4722222222222223</v>
      </c>
      <c r="U279" s="102">
        <v>6</v>
      </c>
      <c r="V279" s="99">
        <v>120</v>
      </c>
      <c r="W279" s="55">
        <f t="shared" si="144"/>
        <v>45666</v>
      </c>
      <c r="X279" s="55"/>
      <c r="Y279" s="56">
        <f t="shared" ca="1" si="138"/>
        <v>-174</v>
      </c>
      <c r="Z279" s="55">
        <f t="shared" si="139"/>
        <v>45682</v>
      </c>
      <c r="AA279" s="55"/>
      <c r="AB279" s="56">
        <f t="shared" ca="1" si="140"/>
        <v>-158</v>
      </c>
      <c r="AC279" s="55"/>
      <c r="AD279" s="57"/>
      <c r="AE279" s="58" t="str">
        <f t="shared" si="145"/>
        <v>-</v>
      </c>
      <c r="AF279" s="59"/>
      <c r="AG279" s="58" t="str">
        <f t="shared" si="146"/>
        <v/>
      </c>
      <c r="AH279" s="59"/>
      <c r="AI279" s="58" t="str">
        <f t="shared" si="147"/>
        <v/>
      </c>
      <c r="AJ279" s="59"/>
      <c r="AK279" s="58" t="str">
        <f t="shared" si="148"/>
        <v/>
      </c>
      <c r="AL279" s="59"/>
      <c r="AM279" s="58" t="str">
        <f t="shared" si="149"/>
        <v/>
      </c>
      <c r="AN279" s="59"/>
      <c r="AO279" s="58" t="str">
        <f t="shared" si="150"/>
        <v/>
      </c>
      <c r="AP279" s="59"/>
      <c r="AQ279" s="58" t="str">
        <f t="shared" si="151"/>
        <v/>
      </c>
      <c r="AR279" s="59"/>
      <c r="AS279" s="58" t="str">
        <f t="shared" si="152"/>
        <v/>
      </c>
      <c r="AT279" s="59"/>
      <c r="AU279" s="58" t="str">
        <f t="shared" si="153"/>
        <v/>
      </c>
      <c r="AV279" s="59"/>
      <c r="AW279" s="58" t="str">
        <f t="shared" si="154"/>
        <v/>
      </c>
      <c r="AX279" s="59"/>
      <c r="AY279" s="58" t="str">
        <f t="shared" si="155"/>
        <v/>
      </c>
      <c r="AZ279" s="59"/>
      <c r="BA279" s="58" t="str">
        <f t="shared" si="156"/>
        <v/>
      </c>
      <c r="BB279" s="59"/>
      <c r="BC279" s="58" t="str">
        <f t="shared" si="157"/>
        <v/>
      </c>
      <c r="BD279" s="59"/>
      <c r="BE279" s="58">
        <f t="shared" si="158"/>
        <v>1780</v>
      </c>
      <c r="BF279" s="59"/>
      <c r="BG279" s="58" t="str">
        <f t="shared" si="159"/>
        <v/>
      </c>
      <c r="BH279" s="59"/>
      <c r="BI279" s="58" t="str">
        <f t="shared" si="160"/>
        <v/>
      </c>
      <c r="BJ279" s="59"/>
      <c r="BK279" s="58" t="str">
        <f t="shared" si="161"/>
        <v/>
      </c>
      <c r="BL279" s="59"/>
      <c r="BM279" s="58" t="str">
        <f t="shared" si="162"/>
        <v/>
      </c>
      <c r="BN279" s="59"/>
      <c r="BO279" s="58" t="str">
        <f t="shared" si="163"/>
        <v/>
      </c>
      <c r="BP279" s="59"/>
      <c r="BQ279" s="58" t="str">
        <f t="shared" si="164"/>
        <v/>
      </c>
      <c r="BR279" s="59"/>
      <c r="BS279" s="58" t="str">
        <f t="shared" si="165"/>
        <v/>
      </c>
      <c r="BT279" s="59"/>
      <c r="BU279" s="58" t="str">
        <f t="shared" si="166"/>
        <v/>
      </c>
      <c r="BV279" s="59"/>
      <c r="BW279" s="58" t="str">
        <f t="shared" si="167"/>
        <v/>
      </c>
      <c r="BX279" s="59"/>
      <c r="BY279" s="58" t="str">
        <f t="shared" si="168"/>
        <v/>
      </c>
      <c r="BZ279" s="59"/>
    </row>
    <row r="280" spans="1:78" ht="14.5">
      <c r="A280" s="51" t="s">
        <v>58</v>
      </c>
      <c r="B280" s="52">
        <v>395</v>
      </c>
      <c r="C280" s="52" t="s">
        <v>188</v>
      </c>
      <c r="D280" s="41">
        <f t="shared" si="142"/>
        <v>5</v>
      </c>
      <c r="E280" s="170" t="s">
        <v>631</v>
      </c>
      <c r="F280" s="41" t="s">
        <v>631</v>
      </c>
      <c r="G280" s="52" t="s">
        <v>201</v>
      </c>
      <c r="H280" s="52" t="s">
        <v>247</v>
      </c>
      <c r="I280" s="52" t="s">
        <v>155</v>
      </c>
      <c r="J280" s="52" t="s">
        <v>442</v>
      </c>
      <c r="K280" s="53">
        <v>45688</v>
      </c>
      <c r="L280" s="108">
        <v>14256</v>
      </c>
      <c r="M280" s="101">
        <v>14256</v>
      </c>
      <c r="N280" s="101">
        <v>3000</v>
      </c>
      <c r="O280" s="107">
        <f t="shared" si="135"/>
        <v>11256</v>
      </c>
      <c r="P280" s="54">
        <f t="shared" si="136"/>
        <v>0</v>
      </c>
      <c r="Q280" s="101" t="s">
        <v>657</v>
      </c>
      <c r="R280" s="101"/>
      <c r="S280" s="101"/>
      <c r="T280" s="102">
        <f t="shared" si="143"/>
        <v>8.1462857142857139</v>
      </c>
      <c r="U280" s="102">
        <v>5</v>
      </c>
      <c r="V280" s="99">
        <v>350</v>
      </c>
      <c r="W280" s="55">
        <f t="shared" si="144"/>
        <v>45668</v>
      </c>
      <c r="X280" s="55"/>
      <c r="Y280" s="56">
        <f t="shared" ca="1" si="138"/>
        <v>-172</v>
      </c>
      <c r="Z280" s="55">
        <f t="shared" si="139"/>
        <v>45684</v>
      </c>
      <c r="AA280" s="55"/>
      <c r="AB280" s="56">
        <f t="shared" ca="1" si="140"/>
        <v>-156</v>
      </c>
      <c r="AC280" s="55"/>
      <c r="AD280" s="57"/>
      <c r="AE280" s="58" t="str">
        <f t="shared" si="145"/>
        <v>-</v>
      </c>
      <c r="AF280" s="59"/>
      <c r="AG280" s="58" t="str">
        <f t="shared" si="146"/>
        <v/>
      </c>
      <c r="AH280" s="59"/>
      <c r="AI280" s="58" t="str">
        <f t="shared" si="147"/>
        <v/>
      </c>
      <c r="AJ280" s="59"/>
      <c r="AK280" s="58" t="str">
        <f t="shared" si="148"/>
        <v/>
      </c>
      <c r="AL280" s="59"/>
      <c r="AM280" s="58" t="str">
        <f t="shared" si="149"/>
        <v/>
      </c>
      <c r="AN280" s="59"/>
      <c r="AO280" s="58" t="str">
        <f t="shared" si="150"/>
        <v/>
      </c>
      <c r="AP280" s="59"/>
      <c r="AQ280" s="58" t="str">
        <f t="shared" si="151"/>
        <v/>
      </c>
      <c r="AR280" s="59"/>
      <c r="AS280" s="58" t="str">
        <f t="shared" si="152"/>
        <v/>
      </c>
      <c r="AT280" s="59"/>
      <c r="AU280" s="58" t="str">
        <f t="shared" si="153"/>
        <v/>
      </c>
      <c r="AV280" s="59"/>
      <c r="AW280" s="58" t="str">
        <f t="shared" si="154"/>
        <v/>
      </c>
      <c r="AX280" s="59"/>
      <c r="AY280" s="58" t="str">
        <f t="shared" si="155"/>
        <v/>
      </c>
      <c r="AZ280" s="59"/>
      <c r="BA280" s="58" t="str">
        <f t="shared" si="156"/>
        <v/>
      </c>
      <c r="BB280" s="59"/>
      <c r="BC280" s="58" t="str">
        <f t="shared" si="157"/>
        <v/>
      </c>
      <c r="BD280" s="59"/>
      <c r="BE280" s="58">
        <f t="shared" si="158"/>
        <v>14256</v>
      </c>
      <c r="BF280" s="59"/>
      <c r="BG280" s="58" t="str">
        <f t="shared" si="159"/>
        <v/>
      </c>
      <c r="BH280" s="59"/>
      <c r="BI280" s="58" t="str">
        <f t="shared" si="160"/>
        <v/>
      </c>
      <c r="BJ280" s="59"/>
      <c r="BK280" s="58" t="str">
        <f t="shared" si="161"/>
        <v/>
      </c>
      <c r="BL280" s="59"/>
      <c r="BM280" s="58" t="str">
        <f t="shared" si="162"/>
        <v/>
      </c>
      <c r="BN280" s="59"/>
      <c r="BO280" s="58" t="str">
        <f t="shared" si="163"/>
        <v/>
      </c>
      <c r="BP280" s="59"/>
      <c r="BQ280" s="58" t="str">
        <f t="shared" si="164"/>
        <v/>
      </c>
      <c r="BR280" s="59"/>
      <c r="BS280" s="58" t="str">
        <f t="shared" si="165"/>
        <v/>
      </c>
      <c r="BT280" s="59"/>
      <c r="BU280" s="58" t="str">
        <f t="shared" si="166"/>
        <v/>
      </c>
      <c r="BV280" s="59"/>
      <c r="BW280" s="58" t="str">
        <f t="shared" si="167"/>
        <v/>
      </c>
      <c r="BX280" s="59"/>
      <c r="BY280" s="58" t="str">
        <f t="shared" si="168"/>
        <v/>
      </c>
      <c r="BZ280" s="59"/>
    </row>
    <row r="281" spans="1:78" ht="14.5" hidden="1">
      <c r="A281" s="51" t="s">
        <v>58</v>
      </c>
      <c r="B281" s="52">
        <v>395</v>
      </c>
      <c r="C281" s="52" t="s">
        <v>188</v>
      </c>
      <c r="D281" s="41">
        <f t="shared" si="142"/>
        <v>5</v>
      </c>
      <c r="E281" s="170" t="s">
        <v>631</v>
      </c>
      <c r="F281" s="41" t="s">
        <v>631</v>
      </c>
      <c r="G281" s="52" t="s">
        <v>195</v>
      </c>
      <c r="H281" s="52" t="s">
        <v>454</v>
      </c>
      <c r="I281" s="52" t="s">
        <v>162</v>
      </c>
      <c r="J281" s="52" t="s">
        <v>455</v>
      </c>
      <c r="K281" s="53">
        <v>45688</v>
      </c>
      <c r="L281" s="108">
        <v>2820</v>
      </c>
      <c r="M281" s="101"/>
      <c r="N281" s="101"/>
      <c r="O281" s="107">
        <f t="shared" si="135"/>
        <v>2820</v>
      </c>
      <c r="P281" s="54">
        <f t="shared" si="136"/>
        <v>2820</v>
      </c>
      <c r="Q281" s="101" t="s">
        <v>178</v>
      </c>
      <c r="R281" s="101"/>
      <c r="S281" s="101"/>
      <c r="T281" s="102">
        <f t="shared" si="143"/>
        <v>3.9166666666666665</v>
      </c>
      <c r="U281" s="102">
        <v>6</v>
      </c>
      <c r="V281" s="99">
        <v>120</v>
      </c>
      <c r="W281" s="55">
        <f t="shared" si="144"/>
        <v>45668</v>
      </c>
      <c r="X281" s="55"/>
      <c r="Y281" s="56">
        <f t="shared" ca="1" si="138"/>
        <v>-172</v>
      </c>
      <c r="Z281" s="55">
        <f t="shared" si="139"/>
        <v>45684</v>
      </c>
      <c r="AA281" s="55"/>
      <c r="AB281" s="56">
        <f t="shared" ca="1" si="140"/>
        <v>-156</v>
      </c>
      <c r="AC281" s="55"/>
      <c r="AD281" s="57"/>
      <c r="AE281" s="58" t="str">
        <f t="shared" si="145"/>
        <v>-</v>
      </c>
      <c r="AF281" s="59"/>
      <c r="AG281" s="58" t="str">
        <f t="shared" si="146"/>
        <v/>
      </c>
      <c r="AH281" s="59"/>
      <c r="AI281" s="58" t="str">
        <f t="shared" si="147"/>
        <v/>
      </c>
      <c r="AJ281" s="59"/>
      <c r="AK281" s="58" t="str">
        <f t="shared" si="148"/>
        <v/>
      </c>
      <c r="AL281" s="59"/>
      <c r="AM281" s="58" t="str">
        <f t="shared" si="149"/>
        <v/>
      </c>
      <c r="AN281" s="59"/>
      <c r="AO281" s="58" t="str">
        <f t="shared" si="150"/>
        <v/>
      </c>
      <c r="AP281" s="59"/>
      <c r="AQ281" s="58" t="str">
        <f t="shared" si="151"/>
        <v/>
      </c>
      <c r="AR281" s="59"/>
      <c r="AS281" s="58" t="str">
        <f t="shared" si="152"/>
        <v/>
      </c>
      <c r="AT281" s="59"/>
      <c r="AU281" s="58" t="str">
        <f t="shared" si="153"/>
        <v/>
      </c>
      <c r="AV281" s="59"/>
      <c r="AW281" s="58" t="str">
        <f t="shared" si="154"/>
        <v/>
      </c>
      <c r="AX281" s="59"/>
      <c r="AY281" s="58" t="str">
        <f t="shared" si="155"/>
        <v/>
      </c>
      <c r="AZ281" s="59"/>
      <c r="BA281" s="58" t="str">
        <f t="shared" si="156"/>
        <v/>
      </c>
      <c r="BB281" s="59"/>
      <c r="BC281" s="58" t="str">
        <f t="shared" si="157"/>
        <v/>
      </c>
      <c r="BD281" s="59"/>
      <c r="BE281" s="58">
        <f t="shared" si="158"/>
        <v>2820</v>
      </c>
      <c r="BF281" s="59"/>
      <c r="BG281" s="58" t="str">
        <f t="shared" si="159"/>
        <v/>
      </c>
      <c r="BH281" s="59"/>
      <c r="BI281" s="58" t="str">
        <f t="shared" si="160"/>
        <v/>
      </c>
      <c r="BJ281" s="59"/>
      <c r="BK281" s="58" t="str">
        <f t="shared" si="161"/>
        <v/>
      </c>
      <c r="BL281" s="59"/>
      <c r="BM281" s="58" t="str">
        <f t="shared" si="162"/>
        <v/>
      </c>
      <c r="BN281" s="59"/>
      <c r="BO281" s="58" t="str">
        <f t="shared" si="163"/>
        <v/>
      </c>
      <c r="BP281" s="59"/>
      <c r="BQ281" s="58" t="str">
        <f t="shared" si="164"/>
        <v/>
      </c>
      <c r="BR281" s="59"/>
      <c r="BS281" s="58" t="str">
        <f t="shared" si="165"/>
        <v/>
      </c>
      <c r="BT281" s="59"/>
      <c r="BU281" s="58" t="str">
        <f t="shared" si="166"/>
        <v/>
      </c>
      <c r="BV281" s="59"/>
      <c r="BW281" s="58" t="str">
        <f t="shared" si="167"/>
        <v/>
      </c>
      <c r="BX281" s="59"/>
      <c r="BY281" s="58" t="str">
        <f t="shared" si="168"/>
        <v/>
      </c>
      <c r="BZ281" s="59"/>
    </row>
    <row r="282" spans="1:78" ht="14.5" hidden="1">
      <c r="A282" s="51" t="s">
        <v>58</v>
      </c>
      <c r="B282" s="52">
        <v>395</v>
      </c>
      <c r="C282" s="52" t="s">
        <v>188</v>
      </c>
      <c r="D282" s="41">
        <f t="shared" si="142"/>
        <v>5</v>
      </c>
      <c r="E282" s="170" t="s">
        <v>679</v>
      </c>
      <c r="F282" s="41" t="s">
        <v>631</v>
      </c>
      <c r="G282" s="52" t="s">
        <v>502</v>
      </c>
      <c r="H282" s="52" t="s">
        <v>289</v>
      </c>
      <c r="I282" s="52" t="s">
        <v>155</v>
      </c>
      <c r="J282" s="52" t="s">
        <v>561</v>
      </c>
      <c r="K282" s="53">
        <v>45688</v>
      </c>
      <c r="L282" s="108">
        <v>2244</v>
      </c>
      <c r="M282" s="101"/>
      <c r="N282" s="101"/>
      <c r="O282" s="107">
        <f t="shared" si="135"/>
        <v>2244</v>
      </c>
      <c r="P282" s="54">
        <f t="shared" si="136"/>
        <v>2244</v>
      </c>
      <c r="Q282" s="101" t="s">
        <v>504</v>
      </c>
      <c r="R282" s="101"/>
      <c r="S282" s="101"/>
      <c r="T282" s="102">
        <f t="shared" si="143"/>
        <v>11.6875</v>
      </c>
      <c r="U282" s="102">
        <v>6</v>
      </c>
      <c r="V282" s="99">
        <f>480/15</f>
        <v>32</v>
      </c>
      <c r="W282" s="55">
        <f t="shared" si="144"/>
        <v>45668</v>
      </c>
      <c r="X282" s="55"/>
      <c r="Y282" s="56">
        <f t="shared" ca="1" si="138"/>
        <v>-172</v>
      </c>
      <c r="Z282" s="55">
        <f t="shared" si="139"/>
        <v>45684</v>
      </c>
      <c r="AA282" s="55"/>
      <c r="AB282" s="56">
        <f t="shared" ca="1" si="140"/>
        <v>-156</v>
      </c>
      <c r="AC282" s="55"/>
      <c r="AD282" s="57"/>
      <c r="AE282" s="58" t="str">
        <f t="shared" si="145"/>
        <v>-</v>
      </c>
      <c r="AF282" s="59"/>
      <c r="AG282" s="58" t="str">
        <f t="shared" si="146"/>
        <v/>
      </c>
      <c r="AH282" s="59"/>
      <c r="AI282" s="58" t="str">
        <f t="shared" si="147"/>
        <v/>
      </c>
      <c r="AJ282" s="59"/>
      <c r="AK282" s="58" t="str">
        <f t="shared" si="148"/>
        <v/>
      </c>
      <c r="AL282" s="59"/>
      <c r="AM282" s="58" t="str">
        <f t="shared" si="149"/>
        <v/>
      </c>
      <c r="AN282" s="59"/>
      <c r="AO282" s="58" t="str">
        <f t="shared" si="150"/>
        <v/>
      </c>
      <c r="AP282" s="59"/>
      <c r="AQ282" s="58" t="str">
        <f t="shared" si="151"/>
        <v/>
      </c>
      <c r="AR282" s="59"/>
      <c r="AS282" s="58" t="str">
        <f t="shared" si="152"/>
        <v/>
      </c>
      <c r="AT282" s="59"/>
      <c r="AU282" s="58" t="str">
        <f t="shared" si="153"/>
        <v/>
      </c>
      <c r="AV282" s="59"/>
      <c r="AW282" s="58" t="str">
        <f t="shared" si="154"/>
        <v/>
      </c>
      <c r="AX282" s="59"/>
      <c r="AY282" s="58" t="str">
        <f t="shared" si="155"/>
        <v/>
      </c>
      <c r="AZ282" s="59"/>
      <c r="BA282" s="58" t="str">
        <f t="shared" si="156"/>
        <v/>
      </c>
      <c r="BB282" s="59"/>
      <c r="BC282" s="58" t="str">
        <f t="shared" si="157"/>
        <v/>
      </c>
      <c r="BD282" s="59"/>
      <c r="BE282" s="58">
        <f t="shared" si="158"/>
        <v>2244</v>
      </c>
      <c r="BF282" s="59"/>
      <c r="BG282" s="58" t="str">
        <f t="shared" si="159"/>
        <v/>
      </c>
      <c r="BH282" s="59"/>
      <c r="BI282" s="58" t="str">
        <f t="shared" si="160"/>
        <v/>
      </c>
      <c r="BJ282" s="59"/>
      <c r="BK282" s="58" t="str">
        <f t="shared" si="161"/>
        <v/>
      </c>
      <c r="BL282" s="59"/>
      <c r="BM282" s="58" t="str">
        <f t="shared" si="162"/>
        <v/>
      </c>
      <c r="BN282" s="59"/>
      <c r="BO282" s="58" t="str">
        <f t="shared" si="163"/>
        <v/>
      </c>
      <c r="BP282" s="59"/>
      <c r="BQ282" s="58" t="str">
        <f t="shared" si="164"/>
        <v/>
      </c>
      <c r="BR282" s="59"/>
      <c r="BS282" s="58" t="str">
        <f t="shared" si="165"/>
        <v/>
      </c>
      <c r="BT282" s="59"/>
      <c r="BU282" s="58" t="str">
        <f t="shared" si="166"/>
        <v/>
      </c>
      <c r="BV282" s="59"/>
      <c r="BW282" s="58" t="str">
        <f t="shared" si="167"/>
        <v/>
      </c>
      <c r="BX282" s="59"/>
      <c r="BY282" s="58" t="str">
        <f t="shared" si="168"/>
        <v/>
      </c>
      <c r="BZ282" s="59"/>
    </row>
    <row r="283" spans="1:78" ht="14.5" hidden="1">
      <c r="A283" s="51" t="s">
        <v>58</v>
      </c>
      <c r="B283" s="52">
        <v>395</v>
      </c>
      <c r="C283" s="52" t="s">
        <v>188</v>
      </c>
      <c r="D283" s="41">
        <f t="shared" si="142"/>
        <v>5</v>
      </c>
      <c r="E283" s="170" t="s">
        <v>679</v>
      </c>
      <c r="F283" s="41" t="s">
        <v>631</v>
      </c>
      <c r="G283" s="52" t="s">
        <v>502</v>
      </c>
      <c r="H283" s="52" t="s">
        <v>289</v>
      </c>
      <c r="I283" s="52" t="s">
        <v>154</v>
      </c>
      <c r="J283" s="52" t="s">
        <v>561</v>
      </c>
      <c r="K283" s="53">
        <v>45688</v>
      </c>
      <c r="L283" s="108">
        <v>1870</v>
      </c>
      <c r="M283" s="101"/>
      <c r="N283" s="101"/>
      <c r="O283" s="107">
        <f t="shared" si="135"/>
        <v>1870</v>
      </c>
      <c r="P283" s="54">
        <f t="shared" si="136"/>
        <v>1870</v>
      </c>
      <c r="Q283" s="101" t="s">
        <v>505</v>
      </c>
      <c r="R283" s="101"/>
      <c r="S283" s="101"/>
      <c r="T283" s="102">
        <f t="shared" si="143"/>
        <v>9.7395833333333339</v>
      </c>
      <c r="U283" s="102">
        <v>6</v>
      </c>
      <c r="V283" s="99">
        <f>480/15</f>
        <v>32</v>
      </c>
      <c r="W283" s="55">
        <f t="shared" si="144"/>
        <v>45668</v>
      </c>
      <c r="X283" s="55"/>
      <c r="Y283" s="56">
        <f t="shared" ca="1" si="138"/>
        <v>-172</v>
      </c>
      <c r="Z283" s="55">
        <f t="shared" si="139"/>
        <v>45684</v>
      </c>
      <c r="AA283" s="55"/>
      <c r="AB283" s="56">
        <f t="shared" ca="1" si="140"/>
        <v>-156</v>
      </c>
      <c r="AC283" s="55"/>
      <c r="AD283" s="57"/>
      <c r="AE283" s="58" t="str">
        <f t="shared" si="145"/>
        <v>-</v>
      </c>
      <c r="AF283" s="59"/>
      <c r="AG283" s="58" t="str">
        <f t="shared" si="146"/>
        <v/>
      </c>
      <c r="AH283" s="59"/>
      <c r="AI283" s="58" t="str">
        <f t="shared" si="147"/>
        <v/>
      </c>
      <c r="AJ283" s="59"/>
      <c r="AK283" s="58" t="str">
        <f t="shared" si="148"/>
        <v/>
      </c>
      <c r="AL283" s="59"/>
      <c r="AM283" s="58" t="str">
        <f t="shared" si="149"/>
        <v/>
      </c>
      <c r="AN283" s="59"/>
      <c r="AO283" s="58" t="str">
        <f t="shared" si="150"/>
        <v/>
      </c>
      <c r="AP283" s="59"/>
      <c r="AQ283" s="58" t="str">
        <f t="shared" si="151"/>
        <v/>
      </c>
      <c r="AR283" s="59"/>
      <c r="AS283" s="58" t="str">
        <f t="shared" si="152"/>
        <v/>
      </c>
      <c r="AT283" s="59"/>
      <c r="AU283" s="58" t="str">
        <f t="shared" si="153"/>
        <v/>
      </c>
      <c r="AV283" s="59"/>
      <c r="AW283" s="58" t="str">
        <f t="shared" si="154"/>
        <v/>
      </c>
      <c r="AX283" s="59"/>
      <c r="AY283" s="58" t="str">
        <f t="shared" si="155"/>
        <v/>
      </c>
      <c r="AZ283" s="59"/>
      <c r="BA283" s="58" t="str">
        <f t="shared" si="156"/>
        <v/>
      </c>
      <c r="BB283" s="59"/>
      <c r="BC283" s="58" t="str">
        <f t="shared" si="157"/>
        <v/>
      </c>
      <c r="BD283" s="59"/>
      <c r="BE283" s="58">
        <f t="shared" si="158"/>
        <v>1870</v>
      </c>
      <c r="BF283" s="59"/>
      <c r="BG283" s="58" t="str">
        <f t="shared" si="159"/>
        <v/>
      </c>
      <c r="BH283" s="59"/>
      <c r="BI283" s="58" t="str">
        <f t="shared" si="160"/>
        <v/>
      </c>
      <c r="BJ283" s="59"/>
      <c r="BK283" s="58" t="str">
        <f t="shared" si="161"/>
        <v/>
      </c>
      <c r="BL283" s="59"/>
      <c r="BM283" s="58" t="str">
        <f t="shared" si="162"/>
        <v/>
      </c>
      <c r="BN283" s="59"/>
      <c r="BO283" s="58" t="str">
        <f t="shared" si="163"/>
        <v/>
      </c>
      <c r="BP283" s="59"/>
      <c r="BQ283" s="58" t="str">
        <f t="shared" si="164"/>
        <v/>
      </c>
      <c r="BR283" s="59"/>
      <c r="BS283" s="58" t="str">
        <f t="shared" si="165"/>
        <v/>
      </c>
      <c r="BT283" s="59"/>
      <c r="BU283" s="58" t="str">
        <f t="shared" si="166"/>
        <v/>
      </c>
      <c r="BV283" s="59"/>
      <c r="BW283" s="58" t="str">
        <f t="shared" si="167"/>
        <v/>
      </c>
      <c r="BX283" s="59"/>
      <c r="BY283" s="58" t="str">
        <f t="shared" si="168"/>
        <v/>
      </c>
      <c r="BZ283" s="59"/>
    </row>
    <row r="284" spans="1:78" ht="14.5" hidden="1">
      <c r="A284" s="51" t="s">
        <v>58</v>
      </c>
      <c r="B284" s="52">
        <v>395</v>
      </c>
      <c r="C284" s="52" t="s">
        <v>188</v>
      </c>
      <c r="D284" s="41">
        <f t="shared" si="142"/>
        <v>5</v>
      </c>
      <c r="E284" s="170" t="s">
        <v>679</v>
      </c>
      <c r="F284" s="41" t="s">
        <v>631</v>
      </c>
      <c r="G284" s="52" t="s">
        <v>502</v>
      </c>
      <c r="H284" s="52" t="s">
        <v>289</v>
      </c>
      <c r="I284" s="52" t="s">
        <v>156</v>
      </c>
      <c r="J284" s="52" t="s">
        <v>561</v>
      </c>
      <c r="K284" s="53">
        <v>45688</v>
      </c>
      <c r="L284" s="108">
        <v>1496</v>
      </c>
      <c r="M284" s="101"/>
      <c r="N284" s="101"/>
      <c r="O284" s="107">
        <f t="shared" si="135"/>
        <v>1496</v>
      </c>
      <c r="P284" s="54">
        <f t="shared" si="136"/>
        <v>1496</v>
      </c>
      <c r="Q284" s="101" t="s">
        <v>506</v>
      </c>
      <c r="R284" s="101"/>
      <c r="S284" s="101"/>
      <c r="T284" s="102">
        <f t="shared" si="143"/>
        <v>7.791666666666667</v>
      </c>
      <c r="U284" s="102">
        <v>6</v>
      </c>
      <c r="V284" s="99">
        <f>480/15</f>
        <v>32</v>
      </c>
      <c r="W284" s="55">
        <f t="shared" si="144"/>
        <v>45668</v>
      </c>
      <c r="X284" s="55"/>
      <c r="Y284" s="56">
        <f t="shared" ca="1" si="138"/>
        <v>-172</v>
      </c>
      <c r="Z284" s="55">
        <f t="shared" si="139"/>
        <v>45684</v>
      </c>
      <c r="AA284" s="55"/>
      <c r="AB284" s="56">
        <f t="shared" ca="1" si="140"/>
        <v>-156</v>
      </c>
      <c r="AC284" s="55"/>
      <c r="AD284" s="57"/>
      <c r="AE284" s="58" t="str">
        <f t="shared" si="145"/>
        <v>-</v>
      </c>
      <c r="AF284" s="59"/>
      <c r="AG284" s="58" t="str">
        <f t="shared" si="146"/>
        <v/>
      </c>
      <c r="AH284" s="59"/>
      <c r="AI284" s="58" t="str">
        <f t="shared" si="147"/>
        <v/>
      </c>
      <c r="AJ284" s="59"/>
      <c r="AK284" s="58" t="str">
        <f t="shared" si="148"/>
        <v/>
      </c>
      <c r="AL284" s="59"/>
      <c r="AM284" s="58" t="str">
        <f t="shared" si="149"/>
        <v/>
      </c>
      <c r="AN284" s="59"/>
      <c r="AO284" s="58" t="str">
        <f t="shared" si="150"/>
        <v/>
      </c>
      <c r="AP284" s="59"/>
      <c r="AQ284" s="58" t="str">
        <f t="shared" si="151"/>
        <v/>
      </c>
      <c r="AR284" s="59"/>
      <c r="AS284" s="58" t="str">
        <f t="shared" si="152"/>
        <v/>
      </c>
      <c r="AT284" s="59"/>
      <c r="AU284" s="58" t="str">
        <f t="shared" si="153"/>
        <v/>
      </c>
      <c r="AV284" s="59"/>
      <c r="AW284" s="58" t="str">
        <f t="shared" si="154"/>
        <v/>
      </c>
      <c r="AX284" s="59"/>
      <c r="AY284" s="58" t="str">
        <f t="shared" si="155"/>
        <v/>
      </c>
      <c r="AZ284" s="59"/>
      <c r="BA284" s="58" t="str">
        <f t="shared" si="156"/>
        <v/>
      </c>
      <c r="BB284" s="59"/>
      <c r="BC284" s="58" t="str">
        <f t="shared" si="157"/>
        <v/>
      </c>
      <c r="BD284" s="59"/>
      <c r="BE284" s="58">
        <f t="shared" si="158"/>
        <v>1496</v>
      </c>
      <c r="BF284" s="59"/>
      <c r="BG284" s="58" t="str">
        <f t="shared" si="159"/>
        <v/>
      </c>
      <c r="BH284" s="59"/>
      <c r="BI284" s="58" t="str">
        <f t="shared" si="160"/>
        <v/>
      </c>
      <c r="BJ284" s="59"/>
      <c r="BK284" s="58" t="str">
        <f t="shared" si="161"/>
        <v/>
      </c>
      <c r="BL284" s="59"/>
      <c r="BM284" s="58" t="str">
        <f t="shared" si="162"/>
        <v/>
      </c>
      <c r="BN284" s="59"/>
      <c r="BO284" s="58" t="str">
        <f t="shared" si="163"/>
        <v/>
      </c>
      <c r="BP284" s="59"/>
      <c r="BQ284" s="58" t="str">
        <f t="shared" si="164"/>
        <v/>
      </c>
      <c r="BR284" s="59"/>
      <c r="BS284" s="58" t="str">
        <f t="shared" si="165"/>
        <v/>
      </c>
      <c r="BT284" s="59"/>
      <c r="BU284" s="58" t="str">
        <f t="shared" si="166"/>
        <v/>
      </c>
      <c r="BV284" s="59"/>
      <c r="BW284" s="58" t="str">
        <f t="shared" si="167"/>
        <v/>
      </c>
      <c r="BX284" s="59"/>
      <c r="BY284" s="58" t="str">
        <f t="shared" si="168"/>
        <v/>
      </c>
      <c r="BZ284" s="59"/>
    </row>
    <row r="285" spans="1:78" ht="14.5" hidden="1">
      <c r="A285" s="51" t="s">
        <v>58</v>
      </c>
      <c r="B285" s="52">
        <v>395</v>
      </c>
      <c r="C285" s="52" t="s">
        <v>188</v>
      </c>
      <c r="D285" s="41">
        <f t="shared" si="142"/>
        <v>5</v>
      </c>
      <c r="E285" s="170" t="s">
        <v>631</v>
      </c>
      <c r="F285" s="41" t="s">
        <v>631</v>
      </c>
      <c r="G285" s="52" t="s">
        <v>390</v>
      </c>
      <c r="H285" s="52" t="s">
        <v>242</v>
      </c>
      <c r="I285" s="52" t="s">
        <v>162</v>
      </c>
      <c r="J285" s="52" t="s">
        <v>497</v>
      </c>
      <c r="K285" s="53">
        <v>45688</v>
      </c>
      <c r="L285" s="108">
        <v>1848</v>
      </c>
      <c r="M285" s="101"/>
      <c r="N285" s="101"/>
      <c r="O285" s="107">
        <f t="shared" si="135"/>
        <v>1848</v>
      </c>
      <c r="P285" s="54">
        <f t="shared" si="136"/>
        <v>1848</v>
      </c>
      <c r="Q285" s="101" t="s">
        <v>431</v>
      </c>
      <c r="R285" s="101"/>
      <c r="S285" s="101"/>
      <c r="T285" s="102">
        <f t="shared" si="143"/>
        <v>2.5666666666666669</v>
      </c>
      <c r="U285" s="102">
        <v>6</v>
      </c>
      <c r="V285" s="99">
        <v>120</v>
      </c>
      <c r="W285" s="55">
        <f t="shared" si="144"/>
        <v>45668</v>
      </c>
      <c r="X285" s="55"/>
      <c r="Y285" s="56">
        <f t="shared" ca="1" si="138"/>
        <v>-172</v>
      </c>
      <c r="Z285" s="55">
        <f t="shared" si="139"/>
        <v>45684</v>
      </c>
      <c r="AA285" s="55"/>
      <c r="AB285" s="56">
        <f t="shared" ca="1" si="140"/>
        <v>-156</v>
      </c>
      <c r="AC285" s="55"/>
      <c r="AD285" s="57"/>
      <c r="AE285" s="58" t="str">
        <f t="shared" si="145"/>
        <v>-</v>
      </c>
      <c r="AF285" s="59"/>
      <c r="AG285" s="58" t="str">
        <f t="shared" si="146"/>
        <v/>
      </c>
      <c r="AH285" s="59"/>
      <c r="AI285" s="58" t="str">
        <f t="shared" si="147"/>
        <v/>
      </c>
      <c r="AJ285" s="59"/>
      <c r="AK285" s="58" t="str">
        <f t="shared" si="148"/>
        <v/>
      </c>
      <c r="AL285" s="59"/>
      <c r="AM285" s="58" t="str">
        <f t="shared" si="149"/>
        <v/>
      </c>
      <c r="AN285" s="59"/>
      <c r="AO285" s="58" t="str">
        <f t="shared" si="150"/>
        <v/>
      </c>
      <c r="AP285" s="59"/>
      <c r="AQ285" s="58" t="str">
        <f t="shared" si="151"/>
        <v/>
      </c>
      <c r="AR285" s="59"/>
      <c r="AS285" s="58" t="str">
        <f t="shared" si="152"/>
        <v/>
      </c>
      <c r="AT285" s="59"/>
      <c r="AU285" s="58" t="str">
        <f t="shared" si="153"/>
        <v/>
      </c>
      <c r="AV285" s="59"/>
      <c r="AW285" s="58" t="str">
        <f t="shared" si="154"/>
        <v/>
      </c>
      <c r="AX285" s="59"/>
      <c r="AY285" s="58" t="str">
        <f t="shared" si="155"/>
        <v/>
      </c>
      <c r="AZ285" s="59"/>
      <c r="BA285" s="58" t="str">
        <f t="shared" si="156"/>
        <v/>
      </c>
      <c r="BB285" s="59"/>
      <c r="BC285" s="58" t="str">
        <f t="shared" si="157"/>
        <v/>
      </c>
      <c r="BD285" s="59"/>
      <c r="BE285" s="58">
        <f t="shared" si="158"/>
        <v>1848</v>
      </c>
      <c r="BF285" s="59"/>
      <c r="BG285" s="58" t="str">
        <f t="shared" si="159"/>
        <v/>
      </c>
      <c r="BH285" s="59"/>
      <c r="BI285" s="58" t="str">
        <f t="shared" si="160"/>
        <v/>
      </c>
      <c r="BJ285" s="59"/>
      <c r="BK285" s="58" t="str">
        <f t="shared" si="161"/>
        <v/>
      </c>
      <c r="BL285" s="59"/>
      <c r="BM285" s="58" t="str">
        <f t="shared" si="162"/>
        <v/>
      </c>
      <c r="BN285" s="59"/>
      <c r="BO285" s="58" t="str">
        <f t="shared" si="163"/>
        <v/>
      </c>
      <c r="BP285" s="59"/>
      <c r="BQ285" s="58" t="str">
        <f t="shared" si="164"/>
        <v/>
      </c>
      <c r="BR285" s="59"/>
      <c r="BS285" s="58" t="str">
        <f t="shared" si="165"/>
        <v/>
      </c>
      <c r="BT285" s="59"/>
      <c r="BU285" s="58" t="str">
        <f t="shared" si="166"/>
        <v/>
      </c>
      <c r="BV285" s="59"/>
      <c r="BW285" s="58" t="str">
        <f t="shared" si="167"/>
        <v/>
      </c>
      <c r="BX285" s="59"/>
      <c r="BY285" s="58" t="str">
        <f t="shared" si="168"/>
        <v/>
      </c>
      <c r="BZ285" s="59"/>
    </row>
    <row r="286" spans="1:78" ht="14.5" hidden="1">
      <c r="A286" s="51" t="s">
        <v>58</v>
      </c>
      <c r="B286" s="52">
        <v>395</v>
      </c>
      <c r="C286" s="52" t="s">
        <v>188</v>
      </c>
      <c r="D286" s="41">
        <f t="shared" si="142"/>
        <v>5</v>
      </c>
      <c r="E286" s="170">
        <v>45670</v>
      </c>
      <c r="F286" s="41" t="s">
        <v>631</v>
      </c>
      <c r="G286" s="52" t="s">
        <v>158</v>
      </c>
      <c r="H286" s="52" t="s">
        <v>242</v>
      </c>
      <c r="I286" s="52" t="s">
        <v>255</v>
      </c>
      <c r="J286" s="52" t="s">
        <v>432</v>
      </c>
      <c r="K286" s="53">
        <v>45688</v>
      </c>
      <c r="L286" s="108">
        <v>1336</v>
      </c>
      <c r="M286" s="101"/>
      <c r="N286" s="101"/>
      <c r="O286" s="107">
        <f t="shared" si="135"/>
        <v>1336</v>
      </c>
      <c r="P286" s="54">
        <f t="shared" si="136"/>
        <v>1336</v>
      </c>
      <c r="Q286" s="101" t="s">
        <v>439</v>
      </c>
      <c r="R286" s="101"/>
      <c r="S286" s="101"/>
      <c r="T286" s="102">
        <f t="shared" si="143"/>
        <v>1.8555555555555556</v>
      </c>
      <c r="U286" s="102">
        <v>6</v>
      </c>
      <c r="V286" s="99">
        <v>120</v>
      </c>
      <c r="W286" s="55">
        <f t="shared" si="144"/>
        <v>45668</v>
      </c>
      <c r="X286" s="55"/>
      <c r="Y286" s="56">
        <f t="shared" ca="1" si="138"/>
        <v>-172</v>
      </c>
      <c r="Z286" s="55">
        <f t="shared" si="139"/>
        <v>45684</v>
      </c>
      <c r="AA286" s="55"/>
      <c r="AB286" s="56">
        <f t="shared" ca="1" si="140"/>
        <v>-156</v>
      </c>
      <c r="AC286" s="55"/>
      <c r="AD286" s="57"/>
      <c r="AE286" s="58" t="str">
        <f t="shared" si="145"/>
        <v>-</v>
      </c>
      <c r="AF286" s="59"/>
      <c r="AG286" s="58" t="str">
        <f t="shared" si="146"/>
        <v/>
      </c>
      <c r="AH286" s="59"/>
      <c r="AI286" s="58" t="str">
        <f t="shared" si="147"/>
        <v/>
      </c>
      <c r="AJ286" s="59"/>
      <c r="AK286" s="58" t="str">
        <f t="shared" si="148"/>
        <v/>
      </c>
      <c r="AL286" s="59"/>
      <c r="AM286" s="58" t="str">
        <f t="shared" si="149"/>
        <v/>
      </c>
      <c r="AN286" s="59"/>
      <c r="AO286" s="58" t="str">
        <f t="shared" si="150"/>
        <v/>
      </c>
      <c r="AP286" s="59"/>
      <c r="AQ286" s="58" t="str">
        <f t="shared" si="151"/>
        <v/>
      </c>
      <c r="AR286" s="59"/>
      <c r="AS286" s="58" t="str">
        <f t="shared" si="152"/>
        <v/>
      </c>
      <c r="AT286" s="59"/>
      <c r="AU286" s="58" t="str">
        <f t="shared" si="153"/>
        <v/>
      </c>
      <c r="AV286" s="59"/>
      <c r="AW286" s="58" t="str">
        <f t="shared" si="154"/>
        <v/>
      </c>
      <c r="AX286" s="59"/>
      <c r="AY286" s="58" t="str">
        <f t="shared" si="155"/>
        <v/>
      </c>
      <c r="AZ286" s="59"/>
      <c r="BA286" s="58" t="str">
        <f t="shared" si="156"/>
        <v/>
      </c>
      <c r="BB286" s="59"/>
      <c r="BC286" s="58" t="str">
        <f t="shared" si="157"/>
        <v/>
      </c>
      <c r="BD286" s="59"/>
      <c r="BE286" s="58">
        <f t="shared" si="158"/>
        <v>1336</v>
      </c>
      <c r="BF286" s="59"/>
      <c r="BG286" s="58" t="str">
        <f t="shared" si="159"/>
        <v/>
      </c>
      <c r="BH286" s="59"/>
      <c r="BI286" s="58" t="str">
        <f t="shared" si="160"/>
        <v/>
      </c>
      <c r="BJ286" s="59"/>
      <c r="BK286" s="58" t="str">
        <f t="shared" si="161"/>
        <v/>
      </c>
      <c r="BL286" s="59"/>
      <c r="BM286" s="58" t="str">
        <f t="shared" si="162"/>
        <v/>
      </c>
      <c r="BN286" s="59"/>
      <c r="BO286" s="58" t="str">
        <f t="shared" si="163"/>
        <v/>
      </c>
      <c r="BP286" s="59"/>
      <c r="BQ286" s="58" t="str">
        <f t="shared" si="164"/>
        <v/>
      </c>
      <c r="BR286" s="59"/>
      <c r="BS286" s="58" t="str">
        <f t="shared" si="165"/>
        <v/>
      </c>
      <c r="BT286" s="59"/>
      <c r="BU286" s="58" t="str">
        <f t="shared" si="166"/>
        <v/>
      </c>
      <c r="BV286" s="59"/>
      <c r="BW286" s="58" t="str">
        <f t="shared" si="167"/>
        <v/>
      </c>
      <c r="BX286" s="59"/>
      <c r="BY286" s="58" t="str">
        <f t="shared" si="168"/>
        <v/>
      </c>
      <c r="BZ286" s="59"/>
    </row>
    <row r="287" spans="1:78" ht="14.5" hidden="1">
      <c r="A287" s="51" t="s">
        <v>58</v>
      </c>
      <c r="B287" s="52">
        <v>396</v>
      </c>
      <c r="C287" s="52" t="s">
        <v>188</v>
      </c>
      <c r="D287" s="41">
        <f t="shared" si="142"/>
        <v>5</v>
      </c>
      <c r="E287" s="170">
        <v>45667</v>
      </c>
      <c r="F287" s="41" t="s">
        <v>631</v>
      </c>
      <c r="G287" s="52" t="s">
        <v>193</v>
      </c>
      <c r="H287" s="52" t="s">
        <v>300</v>
      </c>
      <c r="I287" s="52" t="s">
        <v>162</v>
      </c>
      <c r="J287" s="52" t="s">
        <v>440</v>
      </c>
      <c r="K287" s="53">
        <v>45689</v>
      </c>
      <c r="L287" s="108">
        <v>1980</v>
      </c>
      <c r="M287" s="101"/>
      <c r="N287" s="101"/>
      <c r="O287" s="107">
        <f t="shared" si="135"/>
        <v>1980</v>
      </c>
      <c r="P287" s="54">
        <f t="shared" si="136"/>
        <v>1980</v>
      </c>
      <c r="Q287" s="101" t="s">
        <v>178</v>
      </c>
      <c r="R287" s="101"/>
      <c r="S287" s="101"/>
      <c r="T287" s="102">
        <f t="shared" si="143"/>
        <v>2.75</v>
      </c>
      <c r="U287" s="102">
        <v>6</v>
      </c>
      <c r="V287" s="99">
        <v>120</v>
      </c>
      <c r="W287" s="55">
        <f t="shared" si="144"/>
        <v>45669</v>
      </c>
      <c r="X287" s="55"/>
      <c r="Y287" s="56">
        <f t="shared" ca="1" si="138"/>
        <v>-171</v>
      </c>
      <c r="Z287" s="55">
        <f t="shared" si="139"/>
        <v>45685</v>
      </c>
      <c r="AA287" s="55"/>
      <c r="AB287" s="56">
        <f t="shared" ca="1" si="140"/>
        <v>-155</v>
      </c>
      <c r="AC287" s="55"/>
      <c r="AD287" s="57"/>
      <c r="AE287" s="58" t="str">
        <f t="shared" si="145"/>
        <v>-</v>
      </c>
      <c r="AF287" s="59"/>
      <c r="AG287" s="58" t="str">
        <f t="shared" si="146"/>
        <v/>
      </c>
      <c r="AH287" s="59"/>
      <c r="AI287" s="58" t="str">
        <f t="shared" si="147"/>
        <v/>
      </c>
      <c r="AJ287" s="59"/>
      <c r="AK287" s="58" t="str">
        <f t="shared" si="148"/>
        <v/>
      </c>
      <c r="AL287" s="59"/>
      <c r="AM287" s="58" t="str">
        <f t="shared" si="149"/>
        <v/>
      </c>
      <c r="AN287" s="59"/>
      <c r="AO287" s="58" t="str">
        <f t="shared" si="150"/>
        <v/>
      </c>
      <c r="AP287" s="59"/>
      <c r="AQ287" s="58" t="str">
        <f t="shared" si="151"/>
        <v/>
      </c>
      <c r="AR287" s="59"/>
      <c r="AS287" s="58" t="str">
        <f t="shared" si="152"/>
        <v/>
      </c>
      <c r="AT287" s="59"/>
      <c r="AU287" s="58" t="str">
        <f t="shared" si="153"/>
        <v/>
      </c>
      <c r="AV287" s="59"/>
      <c r="AW287" s="58" t="str">
        <f t="shared" si="154"/>
        <v/>
      </c>
      <c r="AX287" s="59"/>
      <c r="AY287" s="58" t="str">
        <f t="shared" si="155"/>
        <v/>
      </c>
      <c r="AZ287" s="59"/>
      <c r="BA287" s="58" t="str">
        <f t="shared" si="156"/>
        <v/>
      </c>
      <c r="BB287" s="59"/>
      <c r="BC287" s="58" t="str">
        <f t="shared" si="157"/>
        <v/>
      </c>
      <c r="BD287" s="59"/>
      <c r="BE287" s="58" t="str">
        <f t="shared" si="158"/>
        <v/>
      </c>
      <c r="BF287" s="59"/>
      <c r="BG287" s="58">
        <f t="shared" si="159"/>
        <v>1980</v>
      </c>
      <c r="BH287" s="59"/>
      <c r="BI287" s="58" t="str">
        <f t="shared" si="160"/>
        <v/>
      </c>
      <c r="BJ287" s="59"/>
      <c r="BK287" s="58" t="str">
        <f t="shared" si="161"/>
        <v/>
      </c>
      <c r="BL287" s="59"/>
      <c r="BM287" s="58" t="str">
        <f t="shared" si="162"/>
        <v/>
      </c>
      <c r="BN287" s="59"/>
      <c r="BO287" s="58" t="str">
        <f t="shared" si="163"/>
        <v/>
      </c>
      <c r="BP287" s="59"/>
      <c r="BQ287" s="58" t="str">
        <f t="shared" si="164"/>
        <v/>
      </c>
      <c r="BR287" s="59"/>
      <c r="BS287" s="58" t="str">
        <f t="shared" si="165"/>
        <v/>
      </c>
      <c r="BT287" s="59"/>
      <c r="BU287" s="58" t="str">
        <f t="shared" si="166"/>
        <v/>
      </c>
      <c r="BV287" s="59"/>
      <c r="BW287" s="58" t="str">
        <f t="shared" si="167"/>
        <v/>
      </c>
      <c r="BX287" s="59"/>
      <c r="BY287" s="58" t="str">
        <f t="shared" si="168"/>
        <v/>
      </c>
      <c r="BZ287" s="59"/>
    </row>
    <row r="288" spans="1:78" ht="14.5" hidden="1">
      <c r="A288" s="51" t="s">
        <v>58</v>
      </c>
      <c r="B288" s="52">
        <v>396</v>
      </c>
      <c r="C288" s="52" t="s">
        <v>188</v>
      </c>
      <c r="D288" s="41">
        <f t="shared" si="142"/>
        <v>5</v>
      </c>
      <c r="E288" s="170">
        <v>45667</v>
      </c>
      <c r="F288" s="41" t="s">
        <v>631</v>
      </c>
      <c r="G288" s="52" t="s">
        <v>193</v>
      </c>
      <c r="H288" s="52" t="s">
        <v>246</v>
      </c>
      <c r="I288" s="52" t="s">
        <v>162</v>
      </c>
      <c r="J288" s="52" t="s">
        <v>434</v>
      </c>
      <c r="K288" s="53">
        <v>45689</v>
      </c>
      <c r="L288" s="108">
        <f>4770*2</f>
        <v>9540</v>
      </c>
      <c r="M288" s="101"/>
      <c r="N288" s="101"/>
      <c r="O288" s="107">
        <f t="shared" si="135"/>
        <v>9540</v>
      </c>
      <c r="P288" s="54">
        <f t="shared" si="136"/>
        <v>9540</v>
      </c>
      <c r="Q288" s="101" t="s">
        <v>443</v>
      </c>
      <c r="R288" s="101"/>
      <c r="S288" s="101"/>
      <c r="T288" s="102">
        <f t="shared" si="143"/>
        <v>27.257142857142856</v>
      </c>
      <c r="U288" s="102">
        <v>1</v>
      </c>
      <c r="V288" s="99">
        <v>350</v>
      </c>
      <c r="W288" s="55">
        <f t="shared" si="144"/>
        <v>45669</v>
      </c>
      <c r="X288" s="55"/>
      <c r="Y288" s="56">
        <f t="shared" ca="1" si="138"/>
        <v>-171</v>
      </c>
      <c r="Z288" s="55">
        <f t="shared" si="139"/>
        <v>45685</v>
      </c>
      <c r="AA288" s="55"/>
      <c r="AB288" s="56">
        <f t="shared" ca="1" si="140"/>
        <v>-155</v>
      </c>
      <c r="AC288" s="55"/>
      <c r="AD288" s="57"/>
      <c r="AE288" s="58" t="str">
        <f t="shared" si="145"/>
        <v>-</v>
      </c>
      <c r="AF288" s="59"/>
      <c r="AG288" s="58" t="str">
        <f t="shared" si="146"/>
        <v/>
      </c>
      <c r="AH288" s="59"/>
      <c r="AI288" s="58" t="str">
        <f t="shared" si="147"/>
        <v/>
      </c>
      <c r="AJ288" s="59"/>
      <c r="AK288" s="58" t="str">
        <f t="shared" si="148"/>
        <v/>
      </c>
      <c r="AL288" s="59"/>
      <c r="AM288" s="58" t="str">
        <f t="shared" si="149"/>
        <v/>
      </c>
      <c r="AN288" s="59"/>
      <c r="AO288" s="58" t="str">
        <f t="shared" si="150"/>
        <v/>
      </c>
      <c r="AP288" s="59"/>
      <c r="AQ288" s="58" t="str">
        <f t="shared" si="151"/>
        <v/>
      </c>
      <c r="AR288" s="59"/>
      <c r="AS288" s="58" t="str">
        <f t="shared" si="152"/>
        <v/>
      </c>
      <c r="AT288" s="59"/>
      <c r="AU288" s="58" t="str">
        <f t="shared" si="153"/>
        <v/>
      </c>
      <c r="AV288" s="59"/>
      <c r="AW288" s="58" t="str">
        <f t="shared" si="154"/>
        <v/>
      </c>
      <c r="AX288" s="59"/>
      <c r="AY288" s="58" t="str">
        <f t="shared" si="155"/>
        <v/>
      </c>
      <c r="AZ288" s="59"/>
      <c r="BA288" s="58" t="str">
        <f t="shared" si="156"/>
        <v/>
      </c>
      <c r="BB288" s="59"/>
      <c r="BC288" s="58" t="str">
        <f t="shared" si="157"/>
        <v/>
      </c>
      <c r="BD288" s="59"/>
      <c r="BE288" s="58" t="str">
        <f t="shared" si="158"/>
        <v/>
      </c>
      <c r="BF288" s="59"/>
      <c r="BG288" s="58">
        <f t="shared" si="159"/>
        <v>9540</v>
      </c>
      <c r="BH288" s="59"/>
      <c r="BI288" s="58" t="str">
        <f t="shared" si="160"/>
        <v/>
      </c>
      <c r="BJ288" s="59"/>
      <c r="BK288" s="58" t="str">
        <f t="shared" si="161"/>
        <v/>
      </c>
      <c r="BL288" s="59"/>
      <c r="BM288" s="58" t="str">
        <f t="shared" si="162"/>
        <v/>
      </c>
      <c r="BN288" s="59"/>
      <c r="BO288" s="58" t="str">
        <f t="shared" si="163"/>
        <v/>
      </c>
      <c r="BP288" s="59"/>
      <c r="BQ288" s="58" t="str">
        <f t="shared" si="164"/>
        <v/>
      </c>
      <c r="BR288" s="59"/>
      <c r="BS288" s="58" t="str">
        <f t="shared" si="165"/>
        <v/>
      </c>
      <c r="BT288" s="59"/>
      <c r="BU288" s="58" t="str">
        <f t="shared" si="166"/>
        <v/>
      </c>
      <c r="BV288" s="59"/>
      <c r="BW288" s="58" t="str">
        <f t="shared" si="167"/>
        <v/>
      </c>
      <c r="BX288" s="59"/>
      <c r="BY288" s="58" t="str">
        <f t="shared" si="168"/>
        <v/>
      </c>
      <c r="BZ288" s="59"/>
    </row>
    <row r="289" spans="1:78" ht="14.5" hidden="1">
      <c r="A289" s="51" t="s">
        <v>58</v>
      </c>
      <c r="B289" s="52">
        <v>396</v>
      </c>
      <c r="C289" s="52" t="s">
        <v>188</v>
      </c>
      <c r="D289" s="41">
        <f t="shared" si="142"/>
        <v>5</v>
      </c>
      <c r="E289" s="170">
        <v>45667</v>
      </c>
      <c r="F289" s="41" t="s">
        <v>631</v>
      </c>
      <c r="G289" s="52" t="s">
        <v>136</v>
      </c>
      <c r="H289" s="52" t="s">
        <v>247</v>
      </c>
      <c r="I289" s="52" t="s">
        <v>162</v>
      </c>
      <c r="J289" s="52" t="s">
        <v>500</v>
      </c>
      <c r="K289" s="53">
        <v>45689</v>
      </c>
      <c r="L289" s="108">
        <v>3712</v>
      </c>
      <c r="M289" s="101">
        <v>3712</v>
      </c>
      <c r="N289" s="101"/>
      <c r="O289" s="107">
        <f t="shared" si="135"/>
        <v>3712</v>
      </c>
      <c r="P289" s="54">
        <f t="shared" si="136"/>
        <v>0</v>
      </c>
      <c r="Q289" s="101" t="s">
        <v>639</v>
      </c>
      <c r="R289" s="101"/>
      <c r="S289" s="101"/>
      <c r="T289" s="102">
        <f t="shared" si="143"/>
        <v>2.121142857142857</v>
      </c>
      <c r="U289" s="102">
        <v>5</v>
      </c>
      <c r="V289" s="99">
        <v>350</v>
      </c>
      <c r="W289" s="55">
        <f t="shared" si="144"/>
        <v>45669</v>
      </c>
      <c r="X289" s="55"/>
      <c r="Y289" s="56">
        <f t="shared" ca="1" si="138"/>
        <v>-171</v>
      </c>
      <c r="Z289" s="55">
        <f t="shared" si="139"/>
        <v>45685</v>
      </c>
      <c r="AA289" s="55"/>
      <c r="AB289" s="56">
        <f t="shared" ca="1" si="140"/>
        <v>-155</v>
      </c>
      <c r="AC289" s="55"/>
      <c r="AD289" s="57"/>
      <c r="AE289" s="58" t="str">
        <f t="shared" si="145"/>
        <v>-</v>
      </c>
      <c r="AF289" s="59"/>
      <c r="AG289" s="58" t="str">
        <f t="shared" si="146"/>
        <v/>
      </c>
      <c r="AH289" s="59"/>
      <c r="AI289" s="58" t="str">
        <f t="shared" si="147"/>
        <v/>
      </c>
      <c r="AJ289" s="59"/>
      <c r="AK289" s="58" t="str">
        <f t="shared" si="148"/>
        <v/>
      </c>
      <c r="AL289" s="59"/>
      <c r="AM289" s="58" t="str">
        <f t="shared" si="149"/>
        <v/>
      </c>
      <c r="AN289" s="59"/>
      <c r="AO289" s="58" t="str">
        <f t="shared" si="150"/>
        <v/>
      </c>
      <c r="AP289" s="59"/>
      <c r="AQ289" s="58" t="str">
        <f t="shared" si="151"/>
        <v/>
      </c>
      <c r="AR289" s="59"/>
      <c r="AS289" s="58" t="str">
        <f t="shared" si="152"/>
        <v/>
      </c>
      <c r="AT289" s="59"/>
      <c r="AU289" s="58" t="str">
        <f t="shared" si="153"/>
        <v/>
      </c>
      <c r="AV289" s="59"/>
      <c r="AW289" s="58" t="str">
        <f t="shared" si="154"/>
        <v/>
      </c>
      <c r="AX289" s="59"/>
      <c r="AY289" s="58" t="str">
        <f t="shared" si="155"/>
        <v/>
      </c>
      <c r="AZ289" s="59"/>
      <c r="BA289" s="58" t="str">
        <f t="shared" si="156"/>
        <v/>
      </c>
      <c r="BB289" s="59"/>
      <c r="BC289" s="58" t="str">
        <f t="shared" si="157"/>
        <v/>
      </c>
      <c r="BD289" s="59"/>
      <c r="BE289" s="58" t="str">
        <f t="shared" si="158"/>
        <v/>
      </c>
      <c r="BF289" s="59"/>
      <c r="BG289" s="58">
        <f t="shared" si="159"/>
        <v>3712</v>
      </c>
      <c r="BH289" s="59"/>
      <c r="BI289" s="58" t="str">
        <f t="shared" si="160"/>
        <v/>
      </c>
      <c r="BJ289" s="59"/>
      <c r="BK289" s="58" t="str">
        <f t="shared" si="161"/>
        <v/>
      </c>
      <c r="BL289" s="59"/>
      <c r="BM289" s="58" t="str">
        <f t="shared" si="162"/>
        <v/>
      </c>
      <c r="BN289" s="59"/>
      <c r="BO289" s="58" t="str">
        <f t="shared" si="163"/>
        <v/>
      </c>
      <c r="BP289" s="59"/>
      <c r="BQ289" s="58" t="str">
        <f t="shared" si="164"/>
        <v/>
      </c>
      <c r="BR289" s="59"/>
      <c r="BS289" s="58" t="str">
        <f t="shared" si="165"/>
        <v/>
      </c>
      <c r="BT289" s="59"/>
      <c r="BU289" s="58" t="str">
        <f t="shared" si="166"/>
        <v/>
      </c>
      <c r="BV289" s="59"/>
      <c r="BW289" s="58" t="str">
        <f t="shared" si="167"/>
        <v/>
      </c>
      <c r="BX289" s="59"/>
      <c r="BY289" s="58" t="str">
        <f t="shared" si="168"/>
        <v/>
      </c>
      <c r="BZ289" s="59"/>
    </row>
    <row r="290" spans="1:78" ht="14.5" hidden="1">
      <c r="A290" s="51" t="s">
        <v>58</v>
      </c>
      <c r="B290" s="52">
        <v>396</v>
      </c>
      <c r="C290" s="52" t="s">
        <v>188</v>
      </c>
      <c r="D290" s="41">
        <f t="shared" si="142"/>
        <v>5</v>
      </c>
      <c r="E290" s="170">
        <v>45667</v>
      </c>
      <c r="F290" s="41" t="s">
        <v>631</v>
      </c>
      <c r="G290" s="52" t="s">
        <v>136</v>
      </c>
      <c r="H290" s="52" t="s">
        <v>247</v>
      </c>
      <c r="I290" s="52" t="s">
        <v>163</v>
      </c>
      <c r="J290" s="52" t="s">
        <v>500</v>
      </c>
      <c r="K290" s="53">
        <v>45689</v>
      </c>
      <c r="L290" s="108">
        <v>3712</v>
      </c>
      <c r="M290" s="101">
        <v>3712</v>
      </c>
      <c r="N290" s="101"/>
      <c r="O290" s="107">
        <f t="shared" si="135"/>
        <v>3712</v>
      </c>
      <c r="P290" s="54">
        <f t="shared" si="136"/>
        <v>0</v>
      </c>
      <c r="Q290" s="101" t="s">
        <v>639</v>
      </c>
      <c r="R290" s="101"/>
      <c r="S290" s="101"/>
      <c r="T290" s="102">
        <f t="shared" si="143"/>
        <v>2.121142857142857</v>
      </c>
      <c r="U290" s="102">
        <v>5</v>
      </c>
      <c r="V290" s="99">
        <v>350</v>
      </c>
      <c r="W290" s="55">
        <f t="shared" si="144"/>
        <v>45669</v>
      </c>
      <c r="X290" s="55"/>
      <c r="Y290" s="56">
        <f t="shared" ca="1" si="138"/>
        <v>-171</v>
      </c>
      <c r="Z290" s="55">
        <f t="shared" si="139"/>
        <v>45685</v>
      </c>
      <c r="AA290" s="55"/>
      <c r="AB290" s="56">
        <f t="shared" ca="1" si="140"/>
        <v>-155</v>
      </c>
      <c r="AC290" s="55"/>
      <c r="AD290" s="57"/>
      <c r="AE290" s="58" t="str">
        <f t="shared" si="145"/>
        <v>-</v>
      </c>
      <c r="AF290" s="59"/>
      <c r="AG290" s="58" t="str">
        <f t="shared" si="146"/>
        <v/>
      </c>
      <c r="AH290" s="59"/>
      <c r="AI290" s="58" t="str">
        <f t="shared" si="147"/>
        <v/>
      </c>
      <c r="AJ290" s="59"/>
      <c r="AK290" s="58" t="str">
        <f t="shared" si="148"/>
        <v/>
      </c>
      <c r="AL290" s="59"/>
      <c r="AM290" s="58" t="str">
        <f t="shared" si="149"/>
        <v/>
      </c>
      <c r="AN290" s="59"/>
      <c r="AO290" s="58" t="str">
        <f t="shared" si="150"/>
        <v/>
      </c>
      <c r="AP290" s="59"/>
      <c r="AQ290" s="58" t="str">
        <f t="shared" si="151"/>
        <v/>
      </c>
      <c r="AR290" s="59"/>
      <c r="AS290" s="58" t="str">
        <f t="shared" si="152"/>
        <v/>
      </c>
      <c r="AT290" s="59"/>
      <c r="AU290" s="58" t="str">
        <f t="shared" si="153"/>
        <v/>
      </c>
      <c r="AV290" s="59"/>
      <c r="AW290" s="58" t="str">
        <f t="shared" si="154"/>
        <v/>
      </c>
      <c r="AX290" s="59"/>
      <c r="AY290" s="58" t="str">
        <f t="shared" si="155"/>
        <v/>
      </c>
      <c r="AZ290" s="59"/>
      <c r="BA290" s="58" t="str">
        <f t="shared" si="156"/>
        <v/>
      </c>
      <c r="BB290" s="59"/>
      <c r="BC290" s="58" t="str">
        <f t="shared" si="157"/>
        <v/>
      </c>
      <c r="BD290" s="59"/>
      <c r="BE290" s="58" t="str">
        <f t="shared" si="158"/>
        <v/>
      </c>
      <c r="BF290" s="59"/>
      <c r="BG290" s="58">
        <f t="shared" si="159"/>
        <v>3712</v>
      </c>
      <c r="BH290" s="59"/>
      <c r="BI290" s="58" t="str">
        <f t="shared" si="160"/>
        <v/>
      </c>
      <c r="BJ290" s="59"/>
      <c r="BK290" s="58" t="str">
        <f t="shared" si="161"/>
        <v/>
      </c>
      <c r="BL290" s="59"/>
      <c r="BM290" s="58" t="str">
        <f t="shared" si="162"/>
        <v/>
      </c>
      <c r="BN290" s="59"/>
      <c r="BO290" s="58" t="str">
        <f t="shared" si="163"/>
        <v/>
      </c>
      <c r="BP290" s="59"/>
      <c r="BQ290" s="58" t="str">
        <f t="shared" si="164"/>
        <v/>
      </c>
      <c r="BR290" s="59"/>
      <c r="BS290" s="58" t="str">
        <f t="shared" si="165"/>
        <v/>
      </c>
      <c r="BT290" s="59"/>
      <c r="BU290" s="58" t="str">
        <f t="shared" si="166"/>
        <v/>
      </c>
      <c r="BV290" s="59"/>
      <c r="BW290" s="58" t="str">
        <f t="shared" si="167"/>
        <v/>
      </c>
      <c r="BX290" s="59"/>
      <c r="BY290" s="58" t="str">
        <f t="shared" si="168"/>
        <v/>
      </c>
      <c r="BZ290" s="59"/>
    </row>
    <row r="291" spans="1:78" ht="14.5" hidden="1">
      <c r="A291" s="51" t="s">
        <v>58</v>
      </c>
      <c r="B291" s="52">
        <v>396</v>
      </c>
      <c r="C291" s="52" t="s">
        <v>188</v>
      </c>
      <c r="D291" s="41">
        <f t="shared" si="142"/>
        <v>5</v>
      </c>
      <c r="E291" s="170" t="s">
        <v>631</v>
      </c>
      <c r="F291" s="41" t="s">
        <v>631</v>
      </c>
      <c r="G291" s="52" t="s">
        <v>136</v>
      </c>
      <c r="H291" s="52" t="s">
        <v>247</v>
      </c>
      <c r="I291" s="52" t="s">
        <v>164</v>
      </c>
      <c r="J291" s="52" t="s">
        <v>500</v>
      </c>
      <c r="K291" s="53">
        <v>45689</v>
      </c>
      <c r="L291" s="108">
        <v>3712</v>
      </c>
      <c r="M291" s="101">
        <v>3712</v>
      </c>
      <c r="N291" s="101"/>
      <c r="O291" s="107">
        <f t="shared" si="135"/>
        <v>3712</v>
      </c>
      <c r="P291" s="54">
        <f t="shared" si="136"/>
        <v>0</v>
      </c>
      <c r="Q291" s="101" t="s">
        <v>639</v>
      </c>
      <c r="R291" s="101"/>
      <c r="S291" s="101"/>
      <c r="T291" s="102">
        <f t="shared" si="143"/>
        <v>2.121142857142857</v>
      </c>
      <c r="U291" s="102">
        <v>5</v>
      </c>
      <c r="V291" s="99">
        <v>350</v>
      </c>
      <c r="W291" s="55">
        <f t="shared" si="144"/>
        <v>45669</v>
      </c>
      <c r="X291" s="55"/>
      <c r="Y291" s="56">
        <f t="shared" ca="1" si="138"/>
        <v>-171</v>
      </c>
      <c r="Z291" s="55">
        <f t="shared" si="139"/>
        <v>45685</v>
      </c>
      <c r="AA291" s="55"/>
      <c r="AB291" s="56">
        <f t="shared" ca="1" si="140"/>
        <v>-155</v>
      </c>
      <c r="AC291" s="55"/>
      <c r="AD291" s="57"/>
      <c r="AE291" s="58" t="str">
        <f t="shared" si="145"/>
        <v>-</v>
      </c>
      <c r="AF291" s="59"/>
      <c r="AG291" s="58" t="str">
        <f t="shared" si="146"/>
        <v/>
      </c>
      <c r="AH291" s="59"/>
      <c r="AI291" s="58" t="str">
        <f t="shared" si="147"/>
        <v/>
      </c>
      <c r="AJ291" s="59"/>
      <c r="AK291" s="58" t="str">
        <f t="shared" si="148"/>
        <v/>
      </c>
      <c r="AL291" s="59"/>
      <c r="AM291" s="58" t="str">
        <f t="shared" si="149"/>
        <v/>
      </c>
      <c r="AN291" s="59"/>
      <c r="AO291" s="58" t="str">
        <f t="shared" si="150"/>
        <v/>
      </c>
      <c r="AP291" s="59"/>
      <c r="AQ291" s="58" t="str">
        <f t="shared" si="151"/>
        <v/>
      </c>
      <c r="AR291" s="59"/>
      <c r="AS291" s="58" t="str">
        <f t="shared" si="152"/>
        <v/>
      </c>
      <c r="AT291" s="59"/>
      <c r="AU291" s="58" t="str">
        <f t="shared" si="153"/>
        <v/>
      </c>
      <c r="AV291" s="59"/>
      <c r="AW291" s="58" t="str">
        <f t="shared" si="154"/>
        <v/>
      </c>
      <c r="AX291" s="59"/>
      <c r="AY291" s="58" t="str">
        <f t="shared" si="155"/>
        <v/>
      </c>
      <c r="AZ291" s="59"/>
      <c r="BA291" s="58" t="str">
        <f t="shared" si="156"/>
        <v/>
      </c>
      <c r="BB291" s="59"/>
      <c r="BC291" s="58" t="str">
        <f t="shared" si="157"/>
        <v/>
      </c>
      <c r="BD291" s="59"/>
      <c r="BE291" s="58" t="str">
        <f t="shared" si="158"/>
        <v/>
      </c>
      <c r="BF291" s="59"/>
      <c r="BG291" s="58">
        <f t="shared" si="159"/>
        <v>3712</v>
      </c>
      <c r="BH291" s="59"/>
      <c r="BI291" s="58" t="str">
        <f t="shared" si="160"/>
        <v/>
      </c>
      <c r="BJ291" s="59"/>
      <c r="BK291" s="58" t="str">
        <f t="shared" si="161"/>
        <v/>
      </c>
      <c r="BL291" s="59"/>
      <c r="BM291" s="58" t="str">
        <f t="shared" si="162"/>
        <v/>
      </c>
      <c r="BN291" s="59"/>
      <c r="BO291" s="58" t="str">
        <f t="shared" si="163"/>
        <v/>
      </c>
      <c r="BP291" s="59"/>
      <c r="BQ291" s="58" t="str">
        <f t="shared" si="164"/>
        <v/>
      </c>
      <c r="BR291" s="59"/>
      <c r="BS291" s="58" t="str">
        <f t="shared" si="165"/>
        <v/>
      </c>
      <c r="BT291" s="59"/>
      <c r="BU291" s="58" t="str">
        <f t="shared" si="166"/>
        <v/>
      </c>
      <c r="BV291" s="59"/>
      <c r="BW291" s="58" t="str">
        <f t="shared" si="167"/>
        <v/>
      </c>
      <c r="BX291" s="59"/>
      <c r="BY291" s="58" t="str">
        <f t="shared" si="168"/>
        <v/>
      </c>
      <c r="BZ291" s="59"/>
    </row>
    <row r="292" spans="1:78" ht="14.5">
      <c r="A292" s="51" t="s">
        <v>58</v>
      </c>
      <c r="B292" s="52">
        <v>396</v>
      </c>
      <c r="C292" s="52" t="s">
        <v>188</v>
      </c>
      <c r="D292" s="41">
        <f t="shared" si="142"/>
        <v>5</v>
      </c>
      <c r="E292" s="170" t="s">
        <v>631</v>
      </c>
      <c r="F292" s="41" t="s">
        <v>631</v>
      </c>
      <c r="G292" s="52" t="s">
        <v>201</v>
      </c>
      <c r="H292" s="52" t="s">
        <v>247</v>
      </c>
      <c r="I292" s="52" t="s">
        <v>155</v>
      </c>
      <c r="J292" s="52" t="s">
        <v>442</v>
      </c>
      <c r="K292" s="53">
        <v>45689</v>
      </c>
      <c r="L292" s="108">
        <v>14256</v>
      </c>
      <c r="M292" s="101">
        <v>14256</v>
      </c>
      <c r="N292" s="101"/>
      <c r="O292" s="107">
        <f t="shared" si="135"/>
        <v>14256</v>
      </c>
      <c r="P292" s="54">
        <f t="shared" si="136"/>
        <v>0</v>
      </c>
      <c r="Q292" s="101" t="s">
        <v>654</v>
      </c>
      <c r="R292" s="101"/>
      <c r="S292" s="101"/>
      <c r="T292" s="102">
        <f t="shared" si="143"/>
        <v>8.1462857142857139</v>
      </c>
      <c r="U292" s="102">
        <v>5</v>
      </c>
      <c r="V292" s="99">
        <v>350</v>
      </c>
      <c r="W292" s="55">
        <f t="shared" si="144"/>
        <v>45669</v>
      </c>
      <c r="X292" s="55"/>
      <c r="Y292" s="56">
        <f t="shared" ca="1" si="138"/>
        <v>-171</v>
      </c>
      <c r="Z292" s="55">
        <f t="shared" si="139"/>
        <v>45685</v>
      </c>
      <c r="AA292" s="55"/>
      <c r="AB292" s="56">
        <f t="shared" ca="1" si="140"/>
        <v>-155</v>
      </c>
      <c r="AC292" s="55"/>
      <c r="AD292" s="57"/>
      <c r="AE292" s="58" t="str">
        <f t="shared" si="145"/>
        <v>-</v>
      </c>
      <c r="AF292" s="59"/>
      <c r="AG292" s="58" t="str">
        <f t="shared" si="146"/>
        <v/>
      </c>
      <c r="AH292" s="59"/>
      <c r="AI292" s="58" t="str">
        <f t="shared" si="147"/>
        <v/>
      </c>
      <c r="AJ292" s="59"/>
      <c r="AK292" s="58" t="str">
        <f t="shared" si="148"/>
        <v/>
      </c>
      <c r="AL292" s="59"/>
      <c r="AM292" s="58" t="str">
        <f t="shared" si="149"/>
        <v/>
      </c>
      <c r="AN292" s="59"/>
      <c r="AO292" s="58" t="str">
        <f t="shared" si="150"/>
        <v/>
      </c>
      <c r="AP292" s="59"/>
      <c r="AQ292" s="58" t="str">
        <f t="shared" si="151"/>
        <v/>
      </c>
      <c r="AR292" s="59"/>
      <c r="AS292" s="58" t="str">
        <f t="shared" si="152"/>
        <v/>
      </c>
      <c r="AT292" s="59"/>
      <c r="AU292" s="58" t="str">
        <f t="shared" si="153"/>
        <v/>
      </c>
      <c r="AV292" s="59"/>
      <c r="AW292" s="58" t="str">
        <f t="shared" si="154"/>
        <v/>
      </c>
      <c r="AX292" s="59"/>
      <c r="AY292" s="58" t="str">
        <f t="shared" si="155"/>
        <v/>
      </c>
      <c r="AZ292" s="59"/>
      <c r="BA292" s="58" t="str">
        <f t="shared" si="156"/>
        <v/>
      </c>
      <c r="BB292" s="59"/>
      <c r="BC292" s="58" t="str">
        <f t="shared" si="157"/>
        <v/>
      </c>
      <c r="BD292" s="59"/>
      <c r="BE292" s="58" t="str">
        <f t="shared" si="158"/>
        <v/>
      </c>
      <c r="BF292" s="59"/>
      <c r="BG292" s="58">
        <f t="shared" si="159"/>
        <v>14256</v>
      </c>
      <c r="BH292" s="59"/>
      <c r="BI292" s="58" t="str">
        <f t="shared" si="160"/>
        <v/>
      </c>
      <c r="BJ292" s="59"/>
      <c r="BK292" s="58" t="str">
        <f t="shared" si="161"/>
        <v/>
      </c>
      <c r="BL292" s="59"/>
      <c r="BM292" s="58" t="str">
        <f t="shared" si="162"/>
        <v/>
      </c>
      <c r="BN292" s="59"/>
      <c r="BO292" s="58" t="str">
        <f t="shared" si="163"/>
        <v/>
      </c>
      <c r="BP292" s="59"/>
      <c r="BQ292" s="58" t="str">
        <f t="shared" si="164"/>
        <v/>
      </c>
      <c r="BR292" s="59"/>
      <c r="BS292" s="58" t="str">
        <f t="shared" si="165"/>
        <v/>
      </c>
      <c r="BT292" s="59"/>
      <c r="BU292" s="58" t="str">
        <f t="shared" si="166"/>
        <v/>
      </c>
      <c r="BV292" s="59"/>
      <c r="BW292" s="58" t="str">
        <f t="shared" si="167"/>
        <v/>
      </c>
      <c r="BX292" s="59"/>
      <c r="BY292" s="58" t="str">
        <f t="shared" si="168"/>
        <v/>
      </c>
      <c r="BZ292" s="59"/>
    </row>
    <row r="293" spans="1:78" ht="14.5" hidden="1">
      <c r="A293" s="51" t="s">
        <v>58</v>
      </c>
      <c r="B293" s="52">
        <v>396</v>
      </c>
      <c r="C293" s="52" t="s">
        <v>188</v>
      </c>
      <c r="D293" s="41">
        <f t="shared" si="142"/>
        <v>5</v>
      </c>
      <c r="E293" s="170">
        <v>45664</v>
      </c>
      <c r="F293" s="41" t="s">
        <v>631</v>
      </c>
      <c r="G293" s="52" t="s">
        <v>81</v>
      </c>
      <c r="H293" s="52" t="s">
        <v>290</v>
      </c>
      <c r="I293" s="52" t="s">
        <v>291</v>
      </c>
      <c r="J293" s="52" t="s">
        <v>435</v>
      </c>
      <c r="K293" s="53">
        <v>45689</v>
      </c>
      <c r="L293" s="108">
        <v>4728</v>
      </c>
      <c r="M293" s="101"/>
      <c r="N293" s="101"/>
      <c r="O293" s="107">
        <f t="shared" si="135"/>
        <v>4728</v>
      </c>
      <c r="P293" s="54">
        <f t="shared" si="136"/>
        <v>4728</v>
      </c>
      <c r="Q293" s="101" t="s">
        <v>436</v>
      </c>
      <c r="R293" s="101"/>
      <c r="S293" s="101"/>
      <c r="T293" s="102">
        <f t="shared" si="143"/>
        <v>0.16666666666666666</v>
      </c>
      <c r="U293" s="102">
        <v>6</v>
      </c>
      <c r="V293" s="100">
        <v>4728</v>
      </c>
      <c r="W293" s="55">
        <f t="shared" si="144"/>
        <v>45669</v>
      </c>
      <c r="X293" s="55"/>
      <c r="Y293" s="56">
        <f t="shared" ca="1" si="138"/>
        <v>-171</v>
      </c>
      <c r="Z293" s="55">
        <f t="shared" si="139"/>
        <v>45685</v>
      </c>
      <c r="AA293" s="55"/>
      <c r="AB293" s="56">
        <f t="shared" ca="1" si="140"/>
        <v>-155</v>
      </c>
      <c r="AC293" s="55"/>
      <c r="AD293" s="57"/>
      <c r="AE293" s="58" t="str">
        <f t="shared" si="145"/>
        <v>-</v>
      </c>
      <c r="AF293" s="59"/>
      <c r="AG293" s="58" t="str">
        <f t="shared" si="146"/>
        <v/>
      </c>
      <c r="AH293" s="59"/>
      <c r="AI293" s="58" t="str">
        <f t="shared" si="147"/>
        <v/>
      </c>
      <c r="AJ293" s="59"/>
      <c r="AK293" s="58" t="str">
        <f t="shared" si="148"/>
        <v/>
      </c>
      <c r="AL293" s="59"/>
      <c r="AM293" s="58" t="str">
        <f t="shared" si="149"/>
        <v/>
      </c>
      <c r="AN293" s="59"/>
      <c r="AO293" s="58" t="str">
        <f t="shared" si="150"/>
        <v/>
      </c>
      <c r="AP293" s="59"/>
      <c r="AQ293" s="58" t="str">
        <f t="shared" si="151"/>
        <v/>
      </c>
      <c r="AR293" s="59"/>
      <c r="AS293" s="58" t="str">
        <f t="shared" si="152"/>
        <v/>
      </c>
      <c r="AT293" s="59"/>
      <c r="AU293" s="58" t="str">
        <f t="shared" si="153"/>
        <v/>
      </c>
      <c r="AV293" s="59"/>
      <c r="AW293" s="58" t="str">
        <f t="shared" si="154"/>
        <v/>
      </c>
      <c r="AX293" s="59"/>
      <c r="AY293" s="58" t="str">
        <f t="shared" si="155"/>
        <v/>
      </c>
      <c r="AZ293" s="59"/>
      <c r="BA293" s="58" t="str">
        <f t="shared" si="156"/>
        <v/>
      </c>
      <c r="BB293" s="59"/>
      <c r="BC293" s="58" t="str">
        <f t="shared" si="157"/>
        <v/>
      </c>
      <c r="BD293" s="59"/>
      <c r="BE293" s="58" t="str">
        <f t="shared" si="158"/>
        <v/>
      </c>
      <c r="BF293" s="59"/>
      <c r="BG293" s="58">
        <f t="shared" si="159"/>
        <v>4728</v>
      </c>
      <c r="BH293" s="59"/>
      <c r="BI293" s="58" t="str">
        <f t="shared" si="160"/>
        <v/>
      </c>
      <c r="BJ293" s="59"/>
      <c r="BK293" s="58" t="str">
        <f t="shared" si="161"/>
        <v/>
      </c>
      <c r="BL293" s="59"/>
      <c r="BM293" s="58" t="str">
        <f t="shared" si="162"/>
        <v/>
      </c>
      <c r="BN293" s="59"/>
      <c r="BO293" s="58" t="str">
        <f t="shared" si="163"/>
        <v/>
      </c>
      <c r="BP293" s="59"/>
      <c r="BQ293" s="58" t="str">
        <f t="shared" si="164"/>
        <v/>
      </c>
      <c r="BR293" s="59"/>
      <c r="BS293" s="58" t="str">
        <f t="shared" si="165"/>
        <v/>
      </c>
      <c r="BT293" s="59"/>
      <c r="BU293" s="58" t="str">
        <f t="shared" si="166"/>
        <v/>
      </c>
      <c r="BV293" s="59"/>
      <c r="BW293" s="58" t="str">
        <f t="shared" si="167"/>
        <v/>
      </c>
      <c r="BX293" s="59"/>
      <c r="BY293" s="58" t="str">
        <f t="shared" si="168"/>
        <v/>
      </c>
      <c r="BZ293" s="59"/>
    </row>
    <row r="294" spans="1:78" ht="14.5" hidden="1">
      <c r="A294" s="51" t="s">
        <v>58</v>
      </c>
      <c r="B294" s="52">
        <v>396</v>
      </c>
      <c r="C294" s="52" t="s">
        <v>188</v>
      </c>
      <c r="D294" s="41">
        <f t="shared" si="142"/>
        <v>5</v>
      </c>
      <c r="E294" s="170">
        <v>45664</v>
      </c>
      <c r="F294" s="41" t="s">
        <v>631</v>
      </c>
      <c r="G294" s="52" t="s">
        <v>81</v>
      </c>
      <c r="H294" s="52" t="s">
        <v>290</v>
      </c>
      <c r="I294" s="52" t="s">
        <v>293</v>
      </c>
      <c r="J294" s="52" t="s">
        <v>435</v>
      </c>
      <c r="K294" s="53">
        <v>45689</v>
      </c>
      <c r="L294" s="108">
        <v>4728</v>
      </c>
      <c r="M294" s="101"/>
      <c r="N294" s="101"/>
      <c r="O294" s="107">
        <f t="shared" si="135"/>
        <v>4728</v>
      </c>
      <c r="P294" s="54">
        <f t="shared" si="136"/>
        <v>4728</v>
      </c>
      <c r="Q294" s="101" t="s">
        <v>436</v>
      </c>
      <c r="R294" s="101"/>
      <c r="S294" s="101"/>
      <c r="T294" s="102">
        <f t="shared" si="143"/>
        <v>0.16666666666666666</v>
      </c>
      <c r="U294" s="102">
        <v>6</v>
      </c>
      <c r="V294" s="100">
        <v>4728</v>
      </c>
      <c r="W294" s="55">
        <f t="shared" si="144"/>
        <v>45669</v>
      </c>
      <c r="X294" s="55"/>
      <c r="Y294" s="56">
        <f t="shared" ca="1" si="138"/>
        <v>-171</v>
      </c>
      <c r="Z294" s="55">
        <f t="shared" si="139"/>
        <v>45685</v>
      </c>
      <c r="AA294" s="55"/>
      <c r="AB294" s="56">
        <f t="shared" ca="1" si="140"/>
        <v>-155</v>
      </c>
      <c r="AC294" s="55"/>
      <c r="AD294" s="57"/>
      <c r="AE294" s="58" t="str">
        <f t="shared" si="145"/>
        <v>-</v>
      </c>
      <c r="AF294" s="59"/>
      <c r="AG294" s="58" t="str">
        <f t="shared" si="146"/>
        <v/>
      </c>
      <c r="AH294" s="59"/>
      <c r="AI294" s="58" t="str">
        <f t="shared" si="147"/>
        <v/>
      </c>
      <c r="AJ294" s="59"/>
      <c r="AK294" s="58" t="str">
        <f t="shared" si="148"/>
        <v/>
      </c>
      <c r="AL294" s="59"/>
      <c r="AM294" s="58" t="str">
        <f t="shared" si="149"/>
        <v/>
      </c>
      <c r="AN294" s="59"/>
      <c r="AO294" s="58" t="str">
        <f t="shared" si="150"/>
        <v/>
      </c>
      <c r="AP294" s="59"/>
      <c r="AQ294" s="58" t="str">
        <f t="shared" si="151"/>
        <v/>
      </c>
      <c r="AR294" s="59"/>
      <c r="AS294" s="58" t="str">
        <f t="shared" si="152"/>
        <v/>
      </c>
      <c r="AT294" s="59"/>
      <c r="AU294" s="58" t="str">
        <f t="shared" si="153"/>
        <v/>
      </c>
      <c r="AV294" s="59"/>
      <c r="AW294" s="58" t="str">
        <f t="shared" si="154"/>
        <v/>
      </c>
      <c r="AX294" s="59"/>
      <c r="AY294" s="58" t="str">
        <f t="shared" si="155"/>
        <v/>
      </c>
      <c r="AZ294" s="59"/>
      <c r="BA294" s="58" t="str">
        <f t="shared" si="156"/>
        <v/>
      </c>
      <c r="BB294" s="59"/>
      <c r="BC294" s="58" t="str">
        <f t="shared" si="157"/>
        <v/>
      </c>
      <c r="BD294" s="59"/>
      <c r="BE294" s="58" t="str">
        <f t="shared" si="158"/>
        <v/>
      </c>
      <c r="BF294" s="59"/>
      <c r="BG294" s="58">
        <f t="shared" si="159"/>
        <v>4728</v>
      </c>
      <c r="BH294" s="59"/>
      <c r="BI294" s="58" t="str">
        <f t="shared" si="160"/>
        <v/>
      </c>
      <c r="BJ294" s="59"/>
      <c r="BK294" s="58" t="str">
        <f t="shared" si="161"/>
        <v/>
      </c>
      <c r="BL294" s="59"/>
      <c r="BM294" s="58" t="str">
        <f t="shared" si="162"/>
        <v/>
      </c>
      <c r="BN294" s="59"/>
      <c r="BO294" s="58" t="str">
        <f t="shared" si="163"/>
        <v/>
      </c>
      <c r="BP294" s="59"/>
      <c r="BQ294" s="58" t="str">
        <f t="shared" si="164"/>
        <v/>
      </c>
      <c r="BR294" s="59"/>
      <c r="BS294" s="58" t="str">
        <f t="shared" si="165"/>
        <v/>
      </c>
      <c r="BT294" s="59"/>
      <c r="BU294" s="58" t="str">
        <f t="shared" si="166"/>
        <v/>
      </c>
      <c r="BV294" s="59"/>
      <c r="BW294" s="58" t="str">
        <f t="shared" si="167"/>
        <v/>
      </c>
      <c r="BX294" s="59"/>
      <c r="BY294" s="58" t="str">
        <f t="shared" si="168"/>
        <v/>
      </c>
      <c r="BZ294" s="59"/>
    </row>
    <row r="295" spans="1:78" ht="14.5" hidden="1">
      <c r="A295" s="51" t="s">
        <v>58</v>
      </c>
      <c r="B295" s="52">
        <v>396</v>
      </c>
      <c r="C295" s="52" t="s">
        <v>188</v>
      </c>
      <c r="D295" s="41">
        <f t="shared" si="142"/>
        <v>5</v>
      </c>
      <c r="E295" s="170">
        <v>45664</v>
      </c>
      <c r="F295" s="41" t="s">
        <v>631</v>
      </c>
      <c r="G295" s="52" t="s">
        <v>81</v>
      </c>
      <c r="H295" s="52" t="s">
        <v>290</v>
      </c>
      <c r="I295" s="52" t="s">
        <v>294</v>
      </c>
      <c r="J295" s="52" t="s">
        <v>435</v>
      </c>
      <c r="K295" s="53">
        <v>45689</v>
      </c>
      <c r="L295" s="108">
        <v>4728</v>
      </c>
      <c r="M295" s="101"/>
      <c r="N295" s="101"/>
      <c r="O295" s="107">
        <f t="shared" si="135"/>
        <v>4728</v>
      </c>
      <c r="P295" s="54">
        <f t="shared" si="136"/>
        <v>4728</v>
      </c>
      <c r="Q295" s="101" t="s">
        <v>436</v>
      </c>
      <c r="R295" s="101"/>
      <c r="S295" s="101"/>
      <c r="T295" s="102">
        <f t="shared" si="143"/>
        <v>0.16666666666666666</v>
      </c>
      <c r="U295" s="102">
        <v>6</v>
      </c>
      <c r="V295" s="100">
        <v>4728</v>
      </c>
      <c r="W295" s="55">
        <f t="shared" si="144"/>
        <v>45669</v>
      </c>
      <c r="X295" s="55"/>
      <c r="Y295" s="56">
        <f t="shared" ca="1" si="138"/>
        <v>-171</v>
      </c>
      <c r="Z295" s="55">
        <f t="shared" si="139"/>
        <v>45685</v>
      </c>
      <c r="AA295" s="55"/>
      <c r="AB295" s="56">
        <f t="shared" ca="1" si="140"/>
        <v>-155</v>
      </c>
      <c r="AC295" s="55"/>
      <c r="AD295" s="57"/>
      <c r="AE295" s="58" t="str">
        <f t="shared" si="145"/>
        <v>-</v>
      </c>
      <c r="AF295" s="59"/>
      <c r="AG295" s="58" t="str">
        <f t="shared" si="146"/>
        <v/>
      </c>
      <c r="AH295" s="59"/>
      <c r="AI295" s="58" t="str">
        <f t="shared" si="147"/>
        <v/>
      </c>
      <c r="AJ295" s="59"/>
      <c r="AK295" s="58" t="str">
        <f t="shared" si="148"/>
        <v/>
      </c>
      <c r="AL295" s="59"/>
      <c r="AM295" s="58" t="str">
        <f t="shared" si="149"/>
        <v/>
      </c>
      <c r="AN295" s="59"/>
      <c r="AO295" s="58" t="str">
        <f t="shared" si="150"/>
        <v/>
      </c>
      <c r="AP295" s="59"/>
      <c r="AQ295" s="58" t="str">
        <f t="shared" si="151"/>
        <v/>
      </c>
      <c r="AR295" s="59"/>
      <c r="AS295" s="58" t="str">
        <f t="shared" si="152"/>
        <v/>
      </c>
      <c r="AT295" s="59"/>
      <c r="AU295" s="58" t="str">
        <f t="shared" si="153"/>
        <v/>
      </c>
      <c r="AV295" s="59"/>
      <c r="AW295" s="58" t="str">
        <f t="shared" si="154"/>
        <v/>
      </c>
      <c r="AX295" s="59"/>
      <c r="AY295" s="58" t="str">
        <f t="shared" si="155"/>
        <v/>
      </c>
      <c r="AZ295" s="59"/>
      <c r="BA295" s="58" t="str">
        <f t="shared" si="156"/>
        <v/>
      </c>
      <c r="BB295" s="59"/>
      <c r="BC295" s="58" t="str">
        <f t="shared" si="157"/>
        <v/>
      </c>
      <c r="BD295" s="59"/>
      <c r="BE295" s="58" t="str">
        <f t="shared" si="158"/>
        <v/>
      </c>
      <c r="BF295" s="59"/>
      <c r="BG295" s="58">
        <f t="shared" si="159"/>
        <v>4728</v>
      </c>
      <c r="BH295" s="59"/>
      <c r="BI295" s="58" t="str">
        <f t="shared" si="160"/>
        <v/>
      </c>
      <c r="BJ295" s="59"/>
      <c r="BK295" s="58" t="str">
        <f t="shared" si="161"/>
        <v/>
      </c>
      <c r="BL295" s="59"/>
      <c r="BM295" s="58" t="str">
        <f t="shared" si="162"/>
        <v/>
      </c>
      <c r="BN295" s="59"/>
      <c r="BO295" s="58" t="str">
        <f t="shared" si="163"/>
        <v/>
      </c>
      <c r="BP295" s="59"/>
      <c r="BQ295" s="58" t="str">
        <f t="shared" si="164"/>
        <v/>
      </c>
      <c r="BR295" s="59"/>
      <c r="BS295" s="58" t="str">
        <f t="shared" si="165"/>
        <v/>
      </c>
      <c r="BT295" s="59"/>
      <c r="BU295" s="58" t="str">
        <f t="shared" si="166"/>
        <v/>
      </c>
      <c r="BV295" s="59"/>
      <c r="BW295" s="58" t="str">
        <f t="shared" si="167"/>
        <v/>
      </c>
      <c r="BX295" s="59"/>
      <c r="BY295" s="58" t="str">
        <f t="shared" si="168"/>
        <v/>
      </c>
      <c r="BZ295" s="59"/>
    </row>
    <row r="296" spans="1:78" ht="14.5" hidden="1">
      <c r="A296" s="51" t="s">
        <v>58</v>
      </c>
      <c r="B296" s="52">
        <v>396</v>
      </c>
      <c r="C296" s="52" t="s">
        <v>188</v>
      </c>
      <c r="D296" s="41">
        <f t="shared" si="142"/>
        <v>5</v>
      </c>
      <c r="E296" s="170" t="s">
        <v>631</v>
      </c>
      <c r="F296" s="41" t="s">
        <v>631</v>
      </c>
      <c r="G296" s="52" t="s">
        <v>158</v>
      </c>
      <c r="H296" s="52" t="s">
        <v>242</v>
      </c>
      <c r="I296" s="52" t="s">
        <v>154</v>
      </c>
      <c r="J296" s="52" t="s">
        <v>432</v>
      </c>
      <c r="K296" s="53">
        <v>45689</v>
      </c>
      <c r="L296" s="108">
        <v>892</v>
      </c>
      <c r="M296" s="101"/>
      <c r="N296" s="101"/>
      <c r="O296" s="107">
        <f t="shared" si="135"/>
        <v>892</v>
      </c>
      <c r="P296" s="54">
        <f t="shared" si="136"/>
        <v>892</v>
      </c>
      <c r="Q296" s="101" t="s">
        <v>439</v>
      </c>
      <c r="R296" s="101"/>
      <c r="S296" s="101"/>
      <c r="T296" s="102">
        <f t="shared" si="143"/>
        <v>1.2388888888888889</v>
      </c>
      <c r="U296" s="102">
        <v>6</v>
      </c>
      <c r="V296" s="99">
        <v>120</v>
      </c>
      <c r="W296" s="55">
        <f t="shared" si="144"/>
        <v>45669</v>
      </c>
      <c r="X296" s="55"/>
      <c r="Y296" s="56">
        <f t="shared" ca="1" si="138"/>
        <v>-171</v>
      </c>
      <c r="Z296" s="55">
        <f t="shared" si="139"/>
        <v>45685</v>
      </c>
      <c r="AA296" s="55"/>
      <c r="AB296" s="56">
        <f t="shared" ca="1" si="140"/>
        <v>-155</v>
      </c>
      <c r="AC296" s="55"/>
      <c r="AD296" s="57"/>
      <c r="AE296" s="58" t="str">
        <f t="shared" si="145"/>
        <v>-</v>
      </c>
      <c r="AF296" s="59"/>
      <c r="AG296" s="58" t="str">
        <f t="shared" si="146"/>
        <v/>
      </c>
      <c r="AH296" s="59"/>
      <c r="AI296" s="58" t="str">
        <f t="shared" si="147"/>
        <v/>
      </c>
      <c r="AJ296" s="59"/>
      <c r="AK296" s="58" t="str">
        <f t="shared" si="148"/>
        <v/>
      </c>
      <c r="AL296" s="59"/>
      <c r="AM296" s="58" t="str">
        <f t="shared" si="149"/>
        <v/>
      </c>
      <c r="AN296" s="59"/>
      <c r="AO296" s="58" t="str">
        <f t="shared" si="150"/>
        <v/>
      </c>
      <c r="AP296" s="59"/>
      <c r="AQ296" s="58" t="str">
        <f t="shared" si="151"/>
        <v/>
      </c>
      <c r="AR296" s="59"/>
      <c r="AS296" s="58" t="str">
        <f t="shared" si="152"/>
        <v/>
      </c>
      <c r="AT296" s="59"/>
      <c r="AU296" s="58" t="str">
        <f t="shared" si="153"/>
        <v/>
      </c>
      <c r="AV296" s="59"/>
      <c r="AW296" s="58" t="str">
        <f t="shared" si="154"/>
        <v/>
      </c>
      <c r="AX296" s="59"/>
      <c r="AY296" s="58" t="str">
        <f t="shared" si="155"/>
        <v/>
      </c>
      <c r="AZ296" s="59"/>
      <c r="BA296" s="58" t="str">
        <f t="shared" si="156"/>
        <v/>
      </c>
      <c r="BB296" s="59"/>
      <c r="BC296" s="58" t="str">
        <f t="shared" si="157"/>
        <v/>
      </c>
      <c r="BD296" s="59"/>
      <c r="BE296" s="58" t="str">
        <f t="shared" si="158"/>
        <v/>
      </c>
      <c r="BF296" s="59"/>
      <c r="BG296" s="58">
        <f t="shared" si="159"/>
        <v>892</v>
      </c>
      <c r="BH296" s="59"/>
      <c r="BI296" s="58" t="str">
        <f t="shared" si="160"/>
        <v/>
      </c>
      <c r="BJ296" s="59"/>
      <c r="BK296" s="58" t="str">
        <f t="shared" si="161"/>
        <v/>
      </c>
      <c r="BL296" s="59"/>
      <c r="BM296" s="58" t="str">
        <f t="shared" si="162"/>
        <v/>
      </c>
      <c r="BN296" s="59"/>
      <c r="BO296" s="58" t="str">
        <f t="shared" si="163"/>
        <v/>
      </c>
      <c r="BP296" s="59"/>
      <c r="BQ296" s="58" t="str">
        <f t="shared" si="164"/>
        <v/>
      </c>
      <c r="BR296" s="59"/>
      <c r="BS296" s="58" t="str">
        <f t="shared" si="165"/>
        <v/>
      </c>
      <c r="BT296" s="59"/>
      <c r="BU296" s="58" t="str">
        <f t="shared" si="166"/>
        <v/>
      </c>
      <c r="BV296" s="59"/>
      <c r="BW296" s="58" t="str">
        <f t="shared" si="167"/>
        <v/>
      </c>
      <c r="BX296" s="59"/>
      <c r="BY296" s="58" t="str">
        <f t="shared" si="168"/>
        <v/>
      </c>
      <c r="BZ296" s="59"/>
    </row>
    <row r="297" spans="1:78" ht="14.5" hidden="1">
      <c r="A297" s="51" t="s">
        <v>58</v>
      </c>
      <c r="B297" s="52">
        <v>396</v>
      </c>
      <c r="C297" s="52" t="s">
        <v>188</v>
      </c>
      <c r="D297" s="41">
        <f t="shared" si="142"/>
        <v>5</v>
      </c>
      <c r="E297" s="170" t="s">
        <v>631</v>
      </c>
      <c r="F297" s="41" t="s">
        <v>631</v>
      </c>
      <c r="G297" s="52" t="s">
        <v>158</v>
      </c>
      <c r="H297" s="52" t="s">
        <v>242</v>
      </c>
      <c r="I297" s="52" t="s">
        <v>155</v>
      </c>
      <c r="J297" s="52" t="s">
        <v>432</v>
      </c>
      <c r="K297" s="53">
        <v>45689</v>
      </c>
      <c r="L297" s="108">
        <v>172</v>
      </c>
      <c r="M297" s="101"/>
      <c r="N297" s="101"/>
      <c r="O297" s="107">
        <f t="shared" si="135"/>
        <v>172</v>
      </c>
      <c r="P297" s="54">
        <f t="shared" si="136"/>
        <v>172</v>
      </c>
      <c r="Q297" s="101" t="s">
        <v>439</v>
      </c>
      <c r="R297" s="101"/>
      <c r="S297" s="101"/>
      <c r="T297" s="102">
        <f t="shared" si="143"/>
        <v>0.2388888888888889</v>
      </c>
      <c r="U297" s="102">
        <v>6</v>
      </c>
      <c r="V297" s="99">
        <v>120</v>
      </c>
      <c r="W297" s="55">
        <f t="shared" si="144"/>
        <v>45669</v>
      </c>
      <c r="X297" s="55"/>
      <c r="Y297" s="56">
        <f t="shared" ca="1" si="138"/>
        <v>-171</v>
      </c>
      <c r="Z297" s="55">
        <f t="shared" si="139"/>
        <v>45685</v>
      </c>
      <c r="AA297" s="55"/>
      <c r="AB297" s="56">
        <f t="shared" ca="1" si="140"/>
        <v>-155</v>
      </c>
      <c r="AC297" s="55"/>
      <c r="AD297" s="57"/>
      <c r="AE297" s="58" t="str">
        <f t="shared" si="145"/>
        <v>-</v>
      </c>
      <c r="AF297" s="59"/>
      <c r="AG297" s="58" t="str">
        <f t="shared" si="146"/>
        <v/>
      </c>
      <c r="AH297" s="59"/>
      <c r="AI297" s="58" t="str">
        <f t="shared" si="147"/>
        <v/>
      </c>
      <c r="AJ297" s="59"/>
      <c r="AK297" s="58" t="str">
        <f t="shared" si="148"/>
        <v/>
      </c>
      <c r="AL297" s="59"/>
      <c r="AM297" s="58" t="str">
        <f t="shared" si="149"/>
        <v/>
      </c>
      <c r="AN297" s="59"/>
      <c r="AO297" s="58" t="str">
        <f t="shared" si="150"/>
        <v/>
      </c>
      <c r="AP297" s="59"/>
      <c r="AQ297" s="58" t="str">
        <f t="shared" si="151"/>
        <v/>
      </c>
      <c r="AR297" s="59"/>
      <c r="AS297" s="58" t="str">
        <f t="shared" si="152"/>
        <v/>
      </c>
      <c r="AT297" s="59"/>
      <c r="AU297" s="58" t="str">
        <f t="shared" si="153"/>
        <v/>
      </c>
      <c r="AV297" s="59"/>
      <c r="AW297" s="58" t="str">
        <f t="shared" si="154"/>
        <v/>
      </c>
      <c r="AX297" s="59"/>
      <c r="AY297" s="58" t="str">
        <f t="shared" si="155"/>
        <v/>
      </c>
      <c r="AZ297" s="59"/>
      <c r="BA297" s="58" t="str">
        <f t="shared" si="156"/>
        <v/>
      </c>
      <c r="BB297" s="59"/>
      <c r="BC297" s="58" t="str">
        <f t="shared" si="157"/>
        <v/>
      </c>
      <c r="BD297" s="59"/>
      <c r="BE297" s="58" t="str">
        <f t="shared" si="158"/>
        <v/>
      </c>
      <c r="BF297" s="59"/>
      <c r="BG297" s="58">
        <f t="shared" si="159"/>
        <v>172</v>
      </c>
      <c r="BH297" s="59"/>
      <c r="BI297" s="58" t="str">
        <f t="shared" si="160"/>
        <v/>
      </c>
      <c r="BJ297" s="59"/>
      <c r="BK297" s="58" t="str">
        <f t="shared" si="161"/>
        <v/>
      </c>
      <c r="BL297" s="59"/>
      <c r="BM297" s="58" t="str">
        <f t="shared" si="162"/>
        <v/>
      </c>
      <c r="BN297" s="59"/>
      <c r="BO297" s="58" t="str">
        <f t="shared" si="163"/>
        <v/>
      </c>
      <c r="BP297" s="59"/>
      <c r="BQ297" s="58" t="str">
        <f t="shared" si="164"/>
        <v/>
      </c>
      <c r="BR297" s="59"/>
      <c r="BS297" s="58" t="str">
        <f t="shared" si="165"/>
        <v/>
      </c>
      <c r="BT297" s="59"/>
      <c r="BU297" s="58" t="str">
        <f t="shared" si="166"/>
        <v/>
      </c>
      <c r="BV297" s="59"/>
      <c r="BW297" s="58" t="str">
        <f t="shared" si="167"/>
        <v/>
      </c>
      <c r="BX297" s="59"/>
      <c r="BY297" s="58" t="str">
        <f t="shared" si="168"/>
        <v/>
      </c>
      <c r="BZ297" s="59"/>
    </row>
    <row r="298" spans="1:78" ht="14.5" hidden="1">
      <c r="A298" s="51" t="s">
        <v>58</v>
      </c>
      <c r="B298" s="52">
        <v>396</v>
      </c>
      <c r="C298" s="52" t="s">
        <v>188</v>
      </c>
      <c r="D298" s="41">
        <f t="shared" si="142"/>
        <v>5</v>
      </c>
      <c r="E298" s="170" t="s">
        <v>631</v>
      </c>
      <c r="F298" s="41" t="s">
        <v>631</v>
      </c>
      <c r="G298" s="52" t="s">
        <v>195</v>
      </c>
      <c r="H298" s="52" t="s">
        <v>286</v>
      </c>
      <c r="I298" s="52" t="s">
        <v>162</v>
      </c>
      <c r="J298" s="52" t="s">
        <v>508</v>
      </c>
      <c r="K298" s="53">
        <v>45689</v>
      </c>
      <c r="L298" s="108">
        <v>4464</v>
      </c>
      <c r="M298" s="101"/>
      <c r="N298" s="101"/>
      <c r="O298" s="107">
        <f t="shared" si="135"/>
        <v>4464</v>
      </c>
      <c r="P298" s="54">
        <f t="shared" si="136"/>
        <v>4464</v>
      </c>
      <c r="Q298" s="101" t="s">
        <v>431</v>
      </c>
      <c r="R298" s="101"/>
      <c r="S298" s="101"/>
      <c r="T298" s="102">
        <f t="shared" si="143"/>
        <v>6.2</v>
      </c>
      <c r="U298" s="102">
        <v>6</v>
      </c>
      <c r="V298" s="99">
        <v>120</v>
      </c>
      <c r="W298" s="55">
        <f t="shared" si="144"/>
        <v>45669</v>
      </c>
      <c r="X298" s="55"/>
      <c r="Y298" s="56">
        <f t="shared" ca="1" si="138"/>
        <v>-171</v>
      </c>
      <c r="Z298" s="55">
        <f t="shared" si="139"/>
        <v>45685</v>
      </c>
      <c r="AA298" s="55"/>
      <c r="AB298" s="56">
        <f t="shared" ca="1" si="140"/>
        <v>-155</v>
      </c>
      <c r="AC298" s="55"/>
      <c r="AD298" s="57"/>
      <c r="AE298" s="58" t="str">
        <f t="shared" si="145"/>
        <v>-</v>
      </c>
      <c r="AF298" s="59"/>
      <c r="AG298" s="58" t="str">
        <f t="shared" si="146"/>
        <v/>
      </c>
      <c r="AH298" s="59"/>
      <c r="AI298" s="58" t="str">
        <f t="shared" si="147"/>
        <v/>
      </c>
      <c r="AJ298" s="59"/>
      <c r="AK298" s="58" t="str">
        <f t="shared" si="148"/>
        <v/>
      </c>
      <c r="AL298" s="59"/>
      <c r="AM298" s="58" t="str">
        <f t="shared" si="149"/>
        <v/>
      </c>
      <c r="AN298" s="59"/>
      <c r="AO298" s="58" t="str">
        <f t="shared" si="150"/>
        <v/>
      </c>
      <c r="AP298" s="59"/>
      <c r="AQ298" s="58" t="str">
        <f t="shared" si="151"/>
        <v/>
      </c>
      <c r="AR298" s="59"/>
      <c r="AS298" s="58" t="str">
        <f t="shared" si="152"/>
        <v/>
      </c>
      <c r="AT298" s="59"/>
      <c r="AU298" s="58" t="str">
        <f t="shared" si="153"/>
        <v/>
      </c>
      <c r="AV298" s="59"/>
      <c r="AW298" s="58" t="str">
        <f t="shared" si="154"/>
        <v/>
      </c>
      <c r="AX298" s="59"/>
      <c r="AY298" s="58" t="str">
        <f t="shared" si="155"/>
        <v/>
      </c>
      <c r="AZ298" s="59"/>
      <c r="BA298" s="58" t="str">
        <f t="shared" si="156"/>
        <v/>
      </c>
      <c r="BB298" s="59"/>
      <c r="BC298" s="58" t="str">
        <f t="shared" si="157"/>
        <v/>
      </c>
      <c r="BD298" s="59"/>
      <c r="BE298" s="58" t="str">
        <f t="shared" si="158"/>
        <v/>
      </c>
      <c r="BF298" s="59"/>
      <c r="BG298" s="58">
        <f t="shared" si="159"/>
        <v>4464</v>
      </c>
      <c r="BH298" s="59"/>
      <c r="BI298" s="58" t="str">
        <f t="shared" si="160"/>
        <v/>
      </c>
      <c r="BJ298" s="59"/>
      <c r="BK298" s="58" t="str">
        <f t="shared" si="161"/>
        <v/>
      </c>
      <c r="BL298" s="59"/>
      <c r="BM298" s="58" t="str">
        <f t="shared" si="162"/>
        <v/>
      </c>
      <c r="BN298" s="59"/>
      <c r="BO298" s="58" t="str">
        <f t="shared" si="163"/>
        <v/>
      </c>
      <c r="BP298" s="59"/>
      <c r="BQ298" s="58" t="str">
        <f t="shared" si="164"/>
        <v/>
      </c>
      <c r="BR298" s="59"/>
      <c r="BS298" s="58" t="str">
        <f t="shared" si="165"/>
        <v/>
      </c>
      <c r="BT298" s="59"/>
      <c r="BU298" s="58" t="str">
        <f t="shared" si="166"/>
        <v/>
      </c>
      <c r="BV298" s="59"/>
      <c r="BW298" s="58" t="str">
        <f t="shared" si="167"/>
        <v/>
      </c>
      <c r="BX298" s="59"/>
      <c r="BY298" s="58" t="str">
        <f t="shared" si="168"/>
        <v/>
      </c>
      <c r="BZ298" s="59"/>
    </row>
    <row r="299" spans="1:78" ht="14.5" hidden="1">
      <c r="A299" s="51" t="s">
        <v>58</v>
      </c>
      <c r="B299" s="52">
        <v>396</v>
      </c>
      <c r="C299" s="52" t="s">
        <v>188</v>
      </c>
      <c r="D299" s="41">
        <f t="shared" si="142"/>
        <v>5</v>
      </c>
      <c r="E299" s="170" t="s">
        <v>631</v>
      </c>
      <c r="F299" s="41" t="s">
        <v>631</v>
      </c>
      <c r="G299" s="52" t="s">
        <v>158</v>
      </c>
      <c r="H299" s="52" t="s">
        <v>242</v>
      </c>
      <c r="I299" s="52" t="s">
        <v>255</v>
      </c>
      <c r="J299" s="52" t="s">
        <v>445</v>
      </c>
      <c r="K299" s="53">
        <v>45689</v>
      </c>
      <c r="L299" s="108">
        <v>1336</v>
      </c>
      <c r="M299" s="101"/>
      <c r="N299" s="101"/>
      <c r="O299" s="107">
        <f t="shared" si="135"/>
        <v>1336</v>
      </c>
      <c r="P299" s="54">
        <f t="shared" si="136"/>
        <v>1336</v>
      </c>
      <c r="Q299" s="101" t="s">
        <v>439</v>
      </c>
      <c r="R299" s="101"/>
      <c r="S299" s="101"/>
      <c r="T299" s="102">
        <f t="shared" si="143"/>
        <v>1.8555555555555556</v>
      </c>
      <c r="U299" s="102">
        <v>6</v>
      </c>
      <c r="V299" s="99">
        <v>120</v>
      </c>
      <c r="W299" s="55">
        <f t="shared" si="144"/>
        <v>45669</v>
      </c>
      <c r="X299" s="55"/>
      <c r="Y299" s="56">
        <f t="shared" ca="1" si="138"/>
        <v>-171</v>
      </c>
      <c r="Z299" s="55">
        <f t="shared" si="139"/>
        <v>45685</v>
      </c>
      <c r="AA299" s="55"/>
      <c r="AB299" s="56">
        <f t="shared" ca="1" si="140"/>
        <v>-155</v>
      </c>
      <c r="AC299" s="55"/>
      <c r="AD299" s="57"/>
      <c r="AE299" s="58" t="str">
        <f t="shared" si="145"/>
        <v>-</v>
      </c>
      <c r="AF299" s="59"/>
      <c r="AG299" s="58" t="str">
        <f t="shared" si="146"/>
        <v/>
      </c>
      <c r="AH299" s="59"/>
      <c r="AI299" s="58" t="str">
        <f t="shared" si="147"/>
        <v/>
      </c>
      <c r="AJ299" s="59"/>
      <c r="AK299" s="58" t="str">
        <f t="shared" si="148"/>
        <v/>
      </c>
      <c r="AL299" s="59"/>
      <c r="AM299" s="58" t="str">
        <f t="shared" si="149"/>
        <v/>
      </c>
      <c r="AN299" s="59"/>
      <c r="AO299" s="58" t="str">
        <f t="shared" si="150"/>
        <v/>
      </c>
      <c r="AP299" s="59"/>
      <c r="AQ299" s="58" t="str">
        <f t="shared" si="151"/>
        <v/>
      </c>
      <c r="AR299" s="59"/>
      <c r="AS299" s="58" t="str">
        <f t="shared" si="152"/>
        <v/>
      </c>
      <c r="AT299" s="59"/>
      <c r="AU299" s="58" t="str">
        <f t="shared" si="153"/>
        <v/>
      </c>
      <c r="AV299" s="59"/>
      <c r="AW299" s="58" t="str">
        <f t="shared" si="154"/>
        <v/>
      </c>
      <c r="AX299" s="59"/>
      <c r="AY299" s="58" t="str">
        <f t="shared" si="155"/>
        <v/>
      </c>
      <c r="AZ299" s="59"/>
      <c r="BA299" s="58" t="str">
        <f t="shared" si="156"/>
        <v/>
      </c>
      <c r="BB299" s="59"/>
      <c r="BC299" s="58" t="str">
        <f t="shared" si="157"/>
        <v/>
      </c>
      <c r="BD299" s="59"/>
      <c r="BE299" s="58" t="str">
        <f t="shared" si="158"/>
        <v/>
      </c>
      <c r="BF299" s="59"/>
      <c r="BG299" s="58">
        <f t="shared" si="159"/>
        <v>1336</v>
      </c>
      <c r="BH299" s="59"/>
      <c r="BI299" s="58" t="str">
        <f t="shared" si="160"/>
        <v/>
      </c>
      <c r="BJ299" s="59"/>
      <c r="BK299" s="58" t="str">
        <f t="shared" si="161"/>
        <v/>
      </c>
      <c r="BL299" s="59"/>
      <c r="BM299" s="58" t="str">
        <f t="shared" si="162"/>
        <v/>
      </c>
      <c r="BN299" s="59"/>
      <c r="BO299" s="58" t="str">
        <f t="shared" si="163"/>
        <v/>
      </c>
      <c r="BP299" s="59"/>
      <c r="BQ299" s="58" t="str">
        <f t="shared" si="164"/>
        <v/>
      </c>
      <c r="BR299" s="59"/>
      <c r="BS299" s="58" t="str">
        <f t="shared" si="165"/>
        <v/>
      </c>
      <c r="BT299" s="59"/>
      <c r="BU299" s="58" t="str">
        <f t="shared" si="166"/>
        <v/>
      </c>
      <c r="BV299" s="59"/>
      <c r="BW299" s="58" t="str">
        <f t="shared" si="167"/>
        <v/>
      </c>
      <c r="BX299" s="59"/>
      <c r="BY299" s="58" t="str">
        <f t="shared" si="168"/>
        <v/>
      </c>
      <c r="BZ299" s="59"/>
    </row>
    <row r="300" spans="1:78" ht="14.5">
      <c r="A300" s="51" t="s">
        <v>58</v>
      </c>
      <c r="B300" s="52">
        <v>397</v>
      </c>
      <c r="C300" s="52" t="s">
        <v>188</v>
      </c>
      <c r="D300" s="41">
        <f t="shared" si="142"/>
        <v>5</v>
      </c>
      <c r="E300" s="170" t="s">
        <v>631</v>
      </c>
      <c r="F300" s="41" t="s">
        <v>631</v>
      </c>
      <c r="G300" s="52" t="s">
        <v>201</v>
      </c>
      <c r="H300" s="52" t="s">
        <v>247</v>
      </c>
      <c r="I300" s="52" t="s">
        <v>155</v>
      </c>
      <c r="J300" s="52" t="s">
        <v>442</v>
      </c>
      <c r="K300" s="53">
        <v>45689</v>
      </c>
      <c r="L300" s="108">
        <v>14256</v>
      </c>
      <c r="M300" s="101"/>
      <c r="N300" s="101"/>
      <c r="O300" s="107">
        <f t="shared" si="135"/>
        <v>14256</v>
      </c>
      <c r="P300" s="54">
        <f t="shared" si="136"/>
        <v>14256</v>
      </c>
      <c r="Q300" s="101" t="s">
        <v>676</v>
      </c>
      <c r="R300" s="101"/>
      <c r="S300" s="101"/>
      <c r="T300" s="102">
        <f t="shared" si="143"/>
        <v>8.1462857142857139</v>
      </c>
      <c r="U300" s="102">
        <v>5</v>
      </c>
      <c r="V300" s="99">
        <v>350</v>
      </c>
      <c r="W300" s="55">
        <f t="shared" si="144"/>
        <v>45669</v>
      </c>
      <c r="X300" s="55"/>
      <c r="Y300" s="56">
        <f t="shared" ca="1" si="138"/>
        <v>-171</v>
      </c>
      <c r="Z300" s="55">
        <f t="shared" si="139"/>
        <v>45685</v>
      </c>
      <c r="AA300" s="55"/>
      <c r="AB300" s="56">
        <f t="shared" ca="1" si="140"/>
        <v>-155</v>
      </c>
      <c r="AC300" s="55"/>
      <c r="AD300" s="57"/>
      <c r="AE300" s="58" t="str">
        <f t="shared" si="145"/>
        <v>-</v>
      </c>
      <c r="AF300" s="59"/>
      <c r="AG300" s="58" t="str">
        <f t="shared" si="146"/>
        <v/>
      </c>
      <c r="AH300" s="59"/>
      <c r="AI300" s="58" t="str">
        <f t="shared" si="147"/>
        <v/>
      </c>
      <c r="AJ300" s="59"/>
      <c r="AK300" s="58" t="str">
        <f t="shared" si="148"/>
        <v/>
      </c>
      <c r="AL300" s="59"/>
      <c r="AM300" s="58" t="str">
        <f t="shared" si="149"/>
        <v/>
      </c>
      <c r="AN300" s="59"/>
      <c r="AO300" s="58" t="str">
        <f t="shared" si="150"/>
        <v/>
      </c>
      <c r="AP300" s="59"/>
      <c r="AQ300" s="58" t="str">
        <f t="shared" si="151"/>
        <v/>
      </c>
      <c r="AR300" s="59"/>
      <c r="AS300" s="58" t="str">
        <f t="shared" si="152"/>
        <v/>
      </c>
      <c r="AT300" s="59"/>
      <c r="AU300" s="58" t="str">
        <f t="shared" si="153"/>
        <v/>
      </c>
      <c r="AV300" s="59"/>
      <c r="AW300" s="58" t="str">
        <f t="shared" si="154"/>
        <v/>
      </c>
      <c r="AX300" s="59"/>
      <c r="AY300" s="58" t="str">
        <f t="shared" si="155"/>
        <v/>
      </c>
      <c r="AZ300" s="59"/>
      <c r="BA300" s="58" t="str">
        <f t="shared" si="156"/>
        <v/>
      </c>
      <c r="BB300" s="59"/>
      <c r="BC300" s="58" t="str">
        <f t="shared" si="157"/>
        <v/>
      </c>
      <c r="BD300" s="59"/>
      <c r="BE300" s="58" t="str">
        <f t="shared" si="158"/>
        <v/>
      </c>
      <c r="BF300" s="59"/>
      <c r="BG300" s="58">
        <f t="shared" si="159"/>
        <v>14256</v>
      </c>
      <c r="BH300" s="59"/>
      <c r="BI300" s="58" t="str">
        <f t="shared" si="160"/>
        <v/>
      </c>
      <c r="BJ300" s="59"/>
      <c r="BK300" s="58" t="str">
        <f t="shared" si="161"/>
        <v/>
      </c>
      <c r="BL300" s="59"/>
      <c r="BM300" s="58" t="str">
        <f t="shared" si="162"/>
        <v/>
      </c>
      <c r="BN300" s="59"/>
      <c r="BO300" s="58" t="str">
        <f t="shared" si="163"/>
        <v/>
      </c>
      <c r="BP300" s="59"/>
      <c r="BQ300" s="58" t="str">
        <f t="shared" si="164"/>
        <v/>
      </c>
      <c r="BR300" s="59"/>
      <c r="BS300" s="58" t="str">
        <f t="shared" si="165"/>
        <v/>
      </c>
      <c r="BT300" s="59"/>
      <c r="BU300" s="58" t="str">
        <f t="shared" si="166"/>
        <v/>
      </c>
      <c r="BV300" s="59"/>
      <c r="BW300" s="58" t="str">
        <f t="shared" si="167"/>
        <v/>
      </c>
      <c r="BX300" s="59"/>
      <c r="BY300" s="58" t="str">
        <f t="shared" si="168"/>
        <v/>
      </c>
      <c r="BZ300" s="59"/>
    </row>
    <row r="301" spans="1:78" ht="14.5" hidden="1">
      <c r="A301" s="51" t="s">
        <v>58</v>
      </c>
      <c r="B301" s="52">
        <v>397</v>
      </c>
      <c r="C301" s="52" t="s">
        <v>188</v>
      </c>
      <c r="D301" s="41">
        <f t="shared" si="142"/>
        <v>5</v>
      </c>
      <c r="E301" s="170" t="s">
        <v>631</v>
      </c>
      <c r="F301" s="41" t="s">
        <v>631</v>
      </c>
      <c r="G301" s="52" t="s">
        <v>390</v>
      </c>
      <c r="H301" s="52" t="s">
        <v>242</v>
      </c>
      <c r="I301" s="52" t="s">
        <v>162</v>
      </c>
      <c r="J301" s="52" t="s">
        <v>430</v>
      </c>
      <c r="K301" s="53">
        <v>45689</v>
      </c>
      <c r="L301" s="108">
        <v>1782</v>
      </c>
      <c r="M301" s="101"/>
      <c r="N301" s="101"/>
      <c r="O301" s="107">
        <f t="shared" ref="O301:O308" si="169">+L301-N301</f>
        <v>1782</v>
      </c>
      <c r="P301" s="54">
        <f t="shared" ref="P301:P308" si="170">+L301-M301</f>
        <v>1782</v>
      </c>
      <c r="Q301" s="101" t="s">
        <v>431</v>
      </c>
      <c r="R301" s="101"/>
      <c r="S301" s="101"/>
      <c r="T301" s="102">
        <f t="shared" si="143"/>
        <v>2.4750000000000001</v>
      </c>
      <c r="U301" s="102">
        <v>6</v>
      </c>
      <c r="V301" s="99">
        <v>120</v>
      </c>
      <c r="W301" s="55">
        <f t="shared" si="144"/>
        <v>45669</v>
      </c>
      <c r="X301" s="55"/>
      <c r="Y301" s="56">
        <f t="shared" ca="1" si="138"/>
        <v>-171</v>
      </c>
      <c r="Z301" s="55">
        <f t="shared" si="139"/>
        <v>45685</v>
      </c>
      <c r="AA301" s="55"/>
      <c r="AB301" s="56">
        <f t="shared" ca="1" si="140"/>
        <v>-155</v>
      </c>
      <c r="AC301" s="55"/>
      <c r="AD301" s="57"/>
      <c r="AE301" s="58" t="str">
        <f t="shared" si="145"/>
        <v>-</v>
      </c>
      <c r="AF301" s="59"/>
      <c r="AG301" s="58" t="str">
        <f t="shared" si="146"/>
        <v/>
      </c>
      <c r="AH301" s="59"/>
      <c r="AI301" s="58" t="str">
        <f t="shared" si="147"/>
        <v/>
      </c>
      <c r="AJ301" s="59"/>
      <c r="AK301" s="58" t="str">
        <f t="shared" si="148"/>
        <v/>
      </c>
      <c r="AL301" s="59"/>
      <c r="AM301" s="58" t="str">
        <f t="shared" si="149"/>
        <v/>
      </c>
      <c r="AN301" s="59"/>
      <c r="AO301" s="58" t="str">
        <f t="shared" si="150"/>
        <v/>
      </c>
      <c r="AP301" s="59"/>
      <c r="AQ301" s="58" t="str">
        <f t="shared" si="151"/>
        <v/>
      </c>
      <c r="AR301" s="59"/>
      <c r="AS301" s="58" t="str">
        <f t="shared" si="152"/>
        <v/>
      </c>
      <c r="AT301" s="59"/>
      <c r="AU301" s="58" t="str">
        <f t="shared" si="153"/>
        <v/>
      </c>
      <c r="AV301" s="59"/>
      <c r="AW301" s="58" t="str">
        <f t="shared" si="154"/>
        <v/>
      </c>
      <c r="AX301" s="59"/>
      <c r="AY301" s="58" t="str">
        <f t="shared" si="155"/>
        <v/>
      </c>
      <c r="AZ301" s="59"/>
      <c r="BA301" s="58" t="str">
        <f t="shared" si="156"/>
        <v/>
      </c>
      <c r="BB301" s="59"/>
      <c r="BC301" s="58" t="str">
        <f t="shared" si="157"/>
        <v/>
      </c>
      <c r="BD301" s="59"/>
      <c r="BE301" s="58" t="str">
        <f t="shared" si="158"/>
        <v/>
      </c>
      <c r="BF301" s="59"/>
      <c r="BG301" s="58">
        <f t="shared" si="159"/>
        <v>1782</v>
      </c>
      <c r="BH301" s="59"/>
      <c r="BI301" s="58" t="str">
        <f t="shared" si="160"/>
        <v/>
      </c>
      <c r="BJ301" s="59"/>
      <c r="BK301" s="58" t="str">
        <f t="shared" si="161"/>
        <v/>
      </c>
      <c r="BL301" s="59"/>
      <c r="BM301" s="58" t="str">
        <f t="shared" si="162"/>
        <v/>
      </c>
      <c r="BN301" s="59"/>
      <c r="BO301" s="58" t="str">
        <f t="shared" si="163"/>
        <v/>
      </c>
      <c r="BP301" s="59"/>
      <c r="BQ301" s="58" t="str">
        <f t="shared" si="164"/>
        <v/>
      </c>
      <c r="BR301" s="59"/>
      <c r="BS301" s="58" t="str">
        <f t="shared" si="165"/>
        <v/>
      </c>
      <c r="BT301" s="59"/>
      <c r="BU301" s="58" t="str">
        <f t="shared" si="166"/>
        <v/>
      </c>
      <c r="BV301" s="59"/>
      <c r="BW301" s="58" t="str">
        <f t="shared" si="167"/>
        <v/>
      </c>
      <c r="BX301" s="59"/>
      <c r="BY301" s="58" t="str">
        <f t="shared" si="168"/>
        <v/>
      </c>
      <c r="BZ301" s="59"/>
    </row>
    <row r="302" spans="1:78" ht="14.5" hidden="1">
      <c r="A302" s="51" t="s">
        <v>58</v>
      </c>
      <c r="B302" s="52">
        <v>397</v>
      </c>
      <c r="C302" s="52" t="s">
        <v>188</v>
      </c>
      <c r="D302" s="41">
        <f t="shared" si="142"/>
        <v>5</v>
      </c>
      <c r="E302" s="170" t="s">
        <v>631</v>
      </c>
      <c r="F302" s="41" t="s">
        <v>631</v>
      </c>
      <c r="G302" s="52" t="s">
        <v>391</v>
      </c>
      <c r="H302" s="52" t="s">
        <v>392</v>
      </c>
      <c r="I302" s="52" t="s">
        <v>393</v>
      </c>
      <c r="J302" s="52" t="s">
        <v>433</v>
      </c>
      <c r="K302" s="53">
        <v>45689</v>
      </c>
      <c r="L302" s="108">
        <v>1488</v>
      </c>
      <c r="M302" s="101"/>
      <c r="N302" s="101"/>
      <c r="O302" s="107">
        <f t="shared" si="169"/>
        <v>1488</v>
      </c>
      <c r="P302" s="54">
        <f t="shared" si="170"/>
        <v>1488</v>
      </c>
      <c r="Q302" s="101" t="s">
        <v>178</v>
      </c>
      <c r="R302" s="101"/>
      <c r="S302" s="101"/>
      <c r="T302" s="102">
        <f t="shared" si="143"/>
        <v>3.1</v>
      </c>
      <c r="U302" s="102">
        <v>6</v>
      </c>
      <c r="V302" s="99">
        <v>80</v>
      </c>
      <c r="W302" s="55">
        <f t="shared" si="144"/>
        <v>45669</v>
      </c>
      <c r="X302" s="55"/>
      <c r="Y302" s="56">
        <f t="shared" ca="1" si="138"/>
        <v>-171</v>
      </c>
      <c r="Z302" s="55">
        <f t="shared" si="139"/>
        <v>45685</v>
      </c>
      <c r="AA302" s="55"/>
      <c r="AB302" s="56">
        <f t="shared" ca="1" si="140"/>
        <v>-155</v>
      </c>
      <c r="AC302" s="55"/>
      <c r="AD302" s="57"/>
      <c r="AE302" s="58" t="str">
        <f t="shared" si="145"/>
        <v>-</v>
      </c>
      <c r="AF302" s="59"/>
      <c r="AG302" s="58" t="str">
        <f t="shared" si="146"/>
        <v/>
      </c>
      <c r="AH302" s="59"/>
      <c r="AI302" s="58" t="str">
        <f t="shared" si="147"/>
        <v/>
      </c>
      <c r="AJ302" s="59"/>
      <c r="AK302" s="58" t="str">
        <f t="shared" si="148"/>
        <v/>
      </c>
      <c r="AL302" s="59"/>
      <c r="AM302" s="58" t="str">
        <f t="shared" si="149"/>
        <v/>
      </c>
      <c r="AN302" s="59"/>
      <c r="AO302" s="58" t="str">
        <f t="shared" si="150"/>
        <v/>
      </c>
      <c r="AP302" s="59"/>
      <c r="AQ302" s="58" t="str">
        <f t="shared" si="151"/>
        <v/>
      </c>
      <c r="AR302" s="59"/>
      <c r="AS302" s="58" t="str">
        <f t="shared" si="152"/>
        <v/>
      </c>
      <c r="AT302" s="59"/>
      <c r="AU302" s="58" t="str">
        <f t="shared" si="153"/>
        <v/>
      </c>
      <c r="AV302" s="59"/>
      <c r="AW302" s="58" t="str">
        <f t="shared" si="154"/>
        <v/>
      </c>
      <c r="AX302" s="59"/>
      <c r="AY302" s="58" t="str">
        <f t="shared" si="155"/>
        <v/>
      </c>
      <c r="AZ302" s="59"/>
      <c r="BA302" s="58" t="str">
        <f t="shared" si="156"/>
        <v/>
      </c>
      <c r="BB302" s="59"/>
      <c r="BC302" s="58" t="str">
        <f t="shared" si="157"/>
        <v/>
      </c>
      <c r="BD302" s="59"/>
      <c r="BE302" s="58" t="str">
        <f t="shared" si="158"/>
        <v/>
      </c>
      <c r="BF302" s="59"/>
      <c r="BG302" s="58">
        <f t="shared" si="159"/>
        <v>1488</v>
      </c>
      <c r="BH302" s="59"/>
      <c r="BI302" s="58" t="str">
        <f t="shared" si="160"/>
        <v/>
      </c>
      <c r="BJ302" s="59"/>
      <c r="BK302" s="58" t="str">
        <f t="shared" si="161"/>
        <v/>
      </c>
      <c r="BL302" s="59"/>
      <c r="BM302" s="58" t="str">
        <f t="shared" si="162"/>
        <v/>
      </c>
      <c r="BN302" s="59"/>
      <c r="BO302" s="58" t="str">
        <f t="shared" si="163"/>
        <v/>
      </c>
      <c r="BP302" s="59"/>
      <c r="BQ302" s="58" t="str">
        <f t="shared" si="164"/>
        <v/>
      </c>
      <c r="BR302" s="59"/>
      <c r="BS302" s="58" t="str">
        <f t="shared" si="165"/>
        <v/>
      </c>
      <c r="BT302" s="59"/>
      <c r="BU302" s="58" t="str">
        <f t="shared" si="166"/>
        <v/>
      </c>
      <c r="BV302" s="59"/>
      <c r="BW302" s="58" t="str">
        <f t="shared" si="167"/>
        <v/>
      </c>
      <c r="BX302" s="59"/>
      <c r="BY302" s="58" t="str">
        <f t="shared" si="168"/>
        <v/>
      </c>
      <c r="BZ302" s="59"/>
    </row>
    <row r="303" spans="1:78" ht="14.5" hidden="1">
      <c r="A303" s="51" t="s">
        <v>58</v>
      </c>
      <c r="B303" s="52">
        <v>397</v>
      </c>
      <c r="C303" s="52" t="s">
        <v>188</v>
      </c>
      <c r="D303" s="41">
        <f t="shared" si="142"/>
        <v>5</v>
      </c>
      <c r="E303" s="170">
        <v>45667</v>
      </c>
      <c r="F303" s="41" t="s">
        <v>631</v>
      </c>
      <c r="G303" s="52" t="s">
        <v>190</v>
      </c>
      <c r="H303" s="52" t="s">
        <v>562</v>
      </c>
      <c r="I303" s="52" t="s">
        <v>244</v>
      </c>
      <c r="J303" s="52" t="s">
        <v>438</v>
      </c>
      <c r="K303" s="53">
        <v>45689</v>
      </c>
      <c r="L303" s="108">
        <v>1416</v>
      </c>
      <c r="M303" s="101"/>
      <c r="N303" s="101"/>
      <c r="O303" s="107">
        <f t="shared" si="169"/>
        <v>1416</v>
      </c>
      <c r="P303" s="54">
        <f t="shared" si="170"/>
        <v>1416</v>
      </c>
      <c r="Q303" s="101" t="s">
        <v>439</v>
      </c>
      <c r="R303" s="101"/>
      <c r="S303" s="101"/>
      <c r="T303" s="102">
        <f t="shared" si="143"/>
        <v>1.9666666666666666</v>
      </c>
      <c r="U303" s="102">
        <v>6</v>
      </c>
      <c r="V303" s="99">
        <v>120</v>
      </c>
      <c r="W303" s="55">
        <f t="shared" si="144"/>
        <v>45669</v>
      </c>
      <c r="X303" s="55"/>
      <c r="Y303" s="56">
        <f t="shared" ca="1" si="138"/>
        <v>-171</v>
      </c>
      <c r="Z303" s="55">
        <f t="shared" si="139"/>
        <v>45685</v>
      </c>
      <c r="AA303" s="55"/>
      <c r="AB303" s="56">
        <f t="shared" ca="1" si="140"/>
        <v>-155</v>
      </c>
      <c r="AC303" s="55"/>
      <c r="AD303" s="57"/>
      <c r="AE303" s="58" t="str">
        <f t="shared" si="145"/>
        <v>-</v>
      </c>
      <c r="AF303" s="59"/>
      <c r="AG303" s="58" t="str">
        <f t="shared" si="146"/>
        <v/>
      </c>
      <c r="AH303" s="59"/>
      <c r="AI303" s="58" t="str">
        <f t="shared" si="147"/>
        <v/>
      </c>
      <c r="AJ303" s="59"/>
      <c r="AK303" s="58" t="str">
        <f t="shared" si="148"/>
        <v/>
      </c>
      <c r="AL303" s="59"/>
      <c r="AM303" s="58" t="str">
        <f t="shared" si="149"/>
        <v/>
      </c>
      <c r="AN303" s="59"/>
      <c r="AO303" s="58" t="str">
        <f t="shared" si="150"/>
        <v/>
      </c>
      <c r="AP303" s="59"/>
      <c r="AQ303" s="58" t="str">
        <f t="shared" si="151"/>
        <v/>
      </c>
      <c r="AR303" s="59"/>
      <c r="AS303" s="58" t="str">
        <f t="shared" si="152"/>
        <v/>
      </c>
      <c r="AT303" s="59"/>
      <c r="AU303" s="58" t="str">
        <f t="shared" si="153"/>
        <v/>
      </c>
      <c r="AV303" s="59"/>
      <c r="AW303" s="58" t="str">
        <f t="shared" si="154"/>
        <v/>
      </c>
      <c r="AX303" s="59"/>
      <c r="AY303" s="58" t="str">
        <f t="shared" si="155"/>
        <v/>
      </c>
      <c r="AZ303" s="59"/>
      <c r="BA303" s="58" t="str">
        <f t="shared" si="156"/>
        <v/>
      </c>
      <c r="BB303" s="59"/>
      <c r="BC303" s="58" t="str">
        <f t="shared" si="157"/>
        <v/>
      </c>
      <c r="BD303" s="59"/>
      <c r="BE303" s="58" t="str">
        <f t="shared" si="158"/>
        <v/>
      </c>
      <c r="BF303" s="59"/>
      <c r="BG303" s="58">
        <f t="shared" si="159"/>
        <v>1416</v>
      </c>
      <c r="BH303" s="59"/>
      <c r="BI303" s="58" t="str">
        <f t="shared" si="160"/>
        <v/>
      </c>
      <c r="BJ303" s="59"/>
      <c r="BK303" s="58" t="str">
        <f t="shared" si="161"/>
        <v/>
      </c>
      <c r="BL303" s="59"/>
      <c r="BM303" s="58" t="str">
        <f t="shared" si="162"/>
        <v/>
      </c>
      <c r="BN303" s="59"/>
      <c r="BO303" s="58" t="str">
        <f t="shared" si="163"/>
        <v/>
      </c>
      <c r="BP303" s="59"/>
      <c r="BQ303" s="58" t="str">
        <f t="shared" si="164"/>
        <v/>
      </c>
      <c r="BR303" s="59"/>
      <c r="BS303" s="58" t="str">
        <f t="shared" si="165"/>
        <v/>
      </c>
      <c r="BT303" s="59"/>
      <c r="BU303" s="58" t="str">
        <f t="shared" si="166"/>
        <v/>
      </c>
      <c r="BV303" s="59"/>
      <c r="BW303" s="58" t="str">
        <f t="shared" si="167"/>
        <v/>
      </c>
      <c r="BX303" s="59"/>
      <c r="BY303" s="58" t="str">
        <f t="shared" si="168"/>
        <v/>
      </c>
      <c r="BZ303" s="59"/>
    </row>
    <row r="304" spans="1:78" ht="14.5" hidden="1">
      <c r="A304" s="51" t="s">
        <v>58</v>
      </c>
      <c r="B304" s="52">
        <v>398</v>
      </c>
      <c r="C304" s="52" t="s">
        <v>188</v>
      </c>
      <c r="D304" s="41">
        <f t="shared" si="142"/>
        <v>5</v>
      </c>
      <c r="E304" s="170" t="s">
        <v>679</v>
      </c>
      <c r="F304" s="41" t="s">
        <v>631</v>
      </c>
      <c r="G304" s="52" t="s">
        <v>502</v>
      </c>
      <c r="H304" s="52" t="s">
        <v>289</v>
      </c>
      <c r="I304" s="52" t="s">
        <v>155</v>
      </c>
      <c r="J304" s="52" t="s">
        <v>561</v>
      </c>
      <c r="K304" s="53">
        <v>45689</v>
      </c>
      <c r="L304" s="108">
        <v>2304</v>
      </c>
      <c r="M304" s="101"/>
      <c r="N304" s="101"/>
      <c r="O304" s="107">
        <f t="shared" si="169"/>
        <v>2304</v>
      </c>
      <c r="P304" s="54">
        <f t="shared" si="170"/>
        <v>2304</v>
      </c>
      <c r="Q304" s="101" t="s">
        <v>504</v>
      </c>
      <c r="R304" s="101"/>
      <c r="S304" s="101"/>
      <c r="T304" s="102">
        <f t="shared" si="143"/>
        <v>12</v>
      </c>
      <c r="U304" s="102">
        <v>6</v>
      </c>
      <c r="V304" s="99">
        <f>480/15</f>
        <v>32</v>
      </c>
      <c r="W304" s="55">
        <f t="shared" si="144"/>
        <v>45669</v>
      </c>
      <c r="X304" s="55"/>
      <c r="Y304" s="56">
        <f t="shared" ca="1" si="138"/>
        <v>-171</v>
      </c>
      <c r="Z304" s="55">
        <f t="shared" si="139"/>
        <v>45685</v>
      </c>
      <c r="AA304" s="55"/>
      <c r="AB304" s="56">
        <f t="shared" ca="1" si="140"/>
        <v>-155</v>
      </c>
      <c r="AC304" s="55"/>
      <c r="AD304" s="57"/>
      <c r="AE304" s="58" t="str">
        <f t="shared" si="145"/>
        <v>-</v>
      </c>
      <c r="AF304" s="59"/>
      <c r="AG304" s="58" t="str">
        <f t="shared" si="146"/>
        <v/>
      </c>
      <c r="AH304" s="59"/>
      <c r="AI304" s="58" t="str">
        <f t="shared" si="147"/>
        <v/>
      </c>
      <c r="AJ304" s="59"/>
      <c r="AK304" s="58" t="str">
        <f t="shared" si="148"/>
        <v/>
      </c>
      <c r="AL304" s="59"/>
      <c r="AM304" s="58" t="str">
        <f t="shared" si="149"/>
        <v/>
      </c>
      <c r="AN304" s="59"/>
      <c r="AO304" s="58" t="str">
        <f t="shared" si="150"/>
        <v/>
      </c>
      <c r="AP304" s="59"/>
      <c r="AQ304" s="58" t="str">
        <f t="shared" si="151"/>
        <v/>
      </c>
      <c r="AR304" s="59"/>
      <c r="AS304" s="58" t="str">
        <f t="shared" si="152"/>
        <v/>
      </c>
      <c r="AT304" s="59"/>
      <c r="AU304" s="58" t="str">
        <f t="shared" si="153"/>
        <v/>
      </c>
      <c r="AV304" s="59"/>
      <c r="AW304" s="58" t="str">
        <f t="shared" si="154"/>
        <v/>
      </c>
      <c r="AX304" s="59"/>
      <c r="AY304" s="58" t="str">
        <f t="shared" si="155"/>
        <v/>
      </c>
      <c r="AZ304" s="59"/>
      <c r="BA304" s="58" t="str">
        <f t="shared" si="156"/>
        <v/>
      </c>
      <c r="BB304" s="59"/>
      <c r="BC304" s="58" t="str">
        <f t="shared" si="157"/>
        <v/>
      </c>
      <c r="BD304" s="59"/>
      <c r="BE304" s="58" t="str">
        <f t="shared" si="158"/>
        <v/>
      </c>
      <c r="BF304" s="59"/>
      <c r="BG304" s="58">
        <f t="shared" si="159"/>
        <v>2304</v>
      </c>
      <c r="BH304" s="59"/>
      <c r="BI304" s="58" t="str">
        <f t="shared" si="160"/>
        <v/>
      </c>
      <c r="BJ304" s="59"/>
      <c r="BK304" s="58" t="str">
        <f t="shared" si="161"/>
        <v/>
      </c>
      <c r="BL304" s="59"/>
      <c r="BM304" s="58" t="str">
        <f t="shared" si="162"/>
        <v/>
      </c>
      <c r="BN304" s="59"/>
      <c r="BO304" s="58" t="str">
        <f t="shared" si="163"/>
        <v/>
      </c>
      <c r="BP304" s="59"/>
      <c r="BQ304" s="58" t="str">
        <f t="shared" si="164"/>
        <v/>
      </c>
      <c r="BR304" s="59"/>
      <c r="BS304" s="58" t="str">
        <f t="shared" si="165"/>
        <v/>
      </c>
      <c r="BT304" s="59"/>
      <c r="BU304" s="58" t="str">
        <f t="shared" si="166"/>
        <v/>
      </c>
      <c r="BV304" s="59"/>
      <c r="BW304" s="58" t="str">
        <f t="shared" si="167"/>
        <v/>
      </c>
      <c r="BX304" s="59"/>
      <c r="BY304" s="58" t="str">
        <f t="shared" si="168"/>
        <v/>
      </c>
      <c r="BZ304" s="59"/>
    </row>
    <row r="305" spans="1:78" ht="14.5" hidden="1">
      <c r="A305" s="51" t="s">
        <v>58</v>
      </c>
      <c r="B305" s="52">
        <v>398</v>
      </c>
      <c r="C305" s="52" t="s">
        <v>188</v>
      </c>
      <c r="D305" s="41">
        <f t="shared" si="142"/>
        <v>5</v>
      </c>
      <c r="E305" s="170" t="s">
        <v>679</v>
      </c>
      <c r="F305" s="41" t="s">
        <v>631</v>
      </c>
      <c r="G305" s="52" t="s">
        <v>502</v>
      </c>
      <c r="H305" s="52" t="s">
        <v>289</v>
      </c>
      <c r="I305" s="52" t="s">
        <v>154</v>
      </c>
      <c r="J305" s="52" t="s">
        <v>561</v>
      </c>
      <c r="K305" s="53">
        <v>45689</v>
      </c>
      <c r="L305" s="108">
        <v>1920</v>
      </c>
      <c r="M305" s="101"/>
      <c r="N305" s="101"/>
      <c r="O305" s="107">
        <f t="shared" si="169"/>
        <v>1920</v>
      </c>
      <c r="P305" s="54">
        <f t="shared" si="170"/>
        <v>1920</v>
      </c>
      <c r="Q305" s="101" t="s">
        <v>505</v>
      </c>
      <c r="R305" s="101"/>
      <c r="S305" s="101"/>
      <c r="T305" s="102">
        <f t="shared" si="143"/>
        <v>10</v>
      </c>
      <c r="U305" s="102">
        <v>6</v>
      </c>
      <c r="V305" s="99">
        <f>480/15</f>
        <v>32</v>
      </c>
      <c r="W305" s="55">
        <f t="shared" si="144"/>
        <v>45669</v>
      </c>
      <c r="X305" s="55"/>
      <c r="Y305" s="56">
        <f t="shared" ca="1" si="138"/>
        <v>-171</v>
      </c>
      <c r="Z305" s="55">
        <f t="shared" si="139"/>
        <v>45685</v>
      </c>
      <c r="AA305" s="55"/>
      <c r="AB305" s="56">
        <f t="shared" ca="1" si="140"/>
        <v>-155</v>
      </c>
      <c r="AC305" s="55"/>
      <c r="AD305" s="57"/>
      <c r="AE305" s="58" t="str">
        <f t="shared" si="145"/>
        <v>-</v>
      </c>
      <c r="AF305" s="59"/>
      <c r="AG305" s="58" t="str">
        <f t="shared" si="146"/>
        <v/>
      </c>
      <c r="AH305" s="59"/>
      <c r="AI305" s="58" t="str">
        <f t="shared" si="147"/>
        <v/>
      </c>
      <c r="AJ305" s="59"/>
      <c r="AK305" s="58" t="str">
        <f t="shared" si="148"/>
        <v/>
      </c>
      <c r="AL305" s="59"/>
      <c r="AM305" s="58" t="str">
        <f t="shared" si="149"/>
        <v/>
      </c>
      <c r="AN305" s="59"/>
      <c r="AO305" s="58" t="str">
        <f t="shared" si="150"/>
        <v/>
      </c>
      <c r="AP305" s="59"/>
      <c r="AQ305" s="58" t="str">
        <f t="shared" si="151"/>
        <v/>
      </c>
      <c r="AR305" s="59"/>
      <c r="AS305" s="58" t="str">
        <f t="shared" si="152"/>
        <v/>
      </c>
      <c r="AT305" s="59"/>
      <c r="AU305" s="58" t="str">
        <f t="shared" si="153"/>
        <v/>
      </c>
      <c r="AV305" s="59"/>
      <c r="AW305" s="58" t="str">
        <f t="shared" si="154"/>
        <v/>
      </c>
      <c r="AX305" s="59"/>
      <c r="AY305" s="58" t="str">
        <f t="shared" si="155"/>
        <v/>
      </c>
      <c r="AZ305" s="59"/>
      <c r="BA305" s="58" t="str">
        <f t="shared" si="156"/>
        <v/>
      </c>
      <c r="BB305" s="59"/>
      <c r="BC305" s="58" t="str">
        <f t="shared" si="157"/>
        <v/>
      </c>
      <c r="BD305" s="59"/>
      <c r="BE305" s="58" t="str">
        <f t="shared" si="158"/>
        <v/>
      </c>
      <c r="BF305" s="59"/>
      <c r="BG305" s="58">
        <f t="shared" si="159"/>
        <v>1920</v>
      </c>
      <c r="BH305" s="59"/>
      <c r="BI305" s="58" t="str">
        <f t="shared" si="160"/>
        <v/>
      </c>
      <c r="BJ305" s="59"/>
      <c r="BK305" s="58" t="str">
        <f t="shared" si="161"/>
        <v/>
      </c>
      <c r="BL305" s="59"/>
      <c r="BM305" s="58" t="str">
        <f t="shared" si="162"/>
        <v/>
      </c>
      <c r="BN305" s="59"/>
      <c r="BO305" s="58" t="str">
        <f t="shared" si="163"/>
        <v/>
      </c>
      <c r="BP305" s="59"/>
      <c r="BQ305" s="58" t="str">
        <f t="shared" si="164"/>
        <v/>
      </c>
      <c r="BR305" s="59"/>
      <c r="BS305" s="58" t="str">
        <f t="shared" si="165"/>
        <v/>
      </c>
      <c r="BT305" s="59"/>
      <c r="BU305" s="58" t="str">
        <f t="shared" si="166"/>
        <v/>
      </c>
      <c r="BV305" s="59"/>
      <c r="BW305" s="58" t="str">
        <f t="shared" si="167"/>
        <v/>
      </c>
      <c r="BX305" s="59"/>
      <c r="BY305" s="58" t="str">
        <f t="shared" si="168"/>
        <v/>
      </c>
      <c r="BZ305" s="59"/>
    </row>
    <row r="306" spans="1:78" ht="14.5" hidden="1">
      <c r="A306" s="51" t="s">
        <v>58</v>
      </c>
      <c r="B306" s="52">
        <v>398</v>
      </c>
      <c r="C306" s="52" t="s">
        <v>188</v>
      </c>
      <c r="D306" s="41">
        <f t="shared" si="142"/>
        <v>5</v>
      </c>
      <c r="E306" s="170" t="s">
        <v>679</v>
      </c>
      <c r="F306" s="41" t="s">
        <v>631</v>
      </c>
      <c r="G306" s="52" t="s">
        <v>502</v>
      </c>
      <c r="H306" s="52" t="s">
        <v>289</v>
      </c>
      <c r="I306" s="52" t="s">
        <v>156</v>
      </c>
      <c r="J306" s="52" t="s">
        <v>561</v>
      </c>
      <c r="K306" s="53">
        <v>45689</v>
      </c>
      <c r="L306" s="108">
        <v>1536</v>
      </c>
      <c r="M306" s="101"/>
      <c r="N306" s="101"/>
      <c r="O306" s="107">
        <f t="shared" si="169"/>
        <v>1536</v>
      </c>
      <c r="P306" s="54">
        <f t="shared" si="170"/>
        <v>1536</v>
      </c>
      <c r="Q306" s="101" t="s">
        <v>506</v>
      </c>
      <c r="R306" s="101"/>
      <c r="S306" s="101"/>
      <c r="T306" s="102">
        <f t="shared" si="143"/>
        <v>8</v>
      </c>
      <c r="U306" s="102">
        <v>6</v>
      </c>
      <c r="V306" s="99">
        <f>480/15</f>
        <v>32</v>
      </c>
      <c r="W306" s="55">
        <f t="shared" si="144"/>
        <v>45669</v>
      </c>
      <c r="X306" s="55"/>
      <c r="Y306" s="56">
        <f t="shared" ca="1" si="138"/>
        <v>-171</v>
      </c>
      <c r="Z306" s="55">
        <f t="shared" si="139"/>
        <v>45685</v>
      </c>
      <c r="AA306" s="55"/>
      <c r="AB306" s="56">
        <f t="shared" ca="1" si="140"/>
        <v>-155</v>
      </c>
      <c r="AC306" s="55"/>
      <c r="AD306" s="57"/>
      <c r="AE306" s="58" t="str">
        <f t="shared" si="145"/>
        <v>-</v>
      </c>
      <c r="AF306" s="59"/>
      <c r="AG306" s="58" t="str">
        <f t="shared" si="146"/>
        <v/>
      </c>
      <c r="AH306" s="59"/>
      <c r="AI306" s="58" t="str">
        <f t="shared" si="147"/>
        <v/>
      </c>
      <c r="AJ306" s="59"/>
      <c r="AK306" s="58" t="str">
        <f t="shared" si="148"/>
        <v/>
      </c>
      <c r="AL306" s="59"/>
      <c r="AM306" s="58" t="str">
        <f t="shared" si="149"/>
        <v/>
      </c>
      <c r="AN306" s="59"/>
      <c r="AO306" s="58" t="str">
        <f t="shared" si="150"/>
        <v/>
      </c>
      <c r="AP306" s="59"/>
      <c r="AQ306" s="58" t="str">
        <f t="shared" si="151"/>
        <v/>
      </c>
      <c r="AR306" s="59"/>
      <c r="AS306" s="58" t="str">
        <f t="shared" si="152"/>
        <v/>
      </c>
      <c r="AT306" s="59"/>
      <c r="AU306" s="58" t="str">
        <f t="shared" si="153"/>
        <v/>
      </c>
      <c r="AV306" s="59"/>
      <c r="AW306" s="58" t="str">
        <f t="shared" si="154"/>
        <v/>
      </c>
      <c r="AX306" s="59"/>
      <c r="AY306" s="58" t="str">
        <f t="shared" si="155"/>
        <v/>
      </c>
      <c r="AZ306" s="59"/>
      <c r="BA306" s="58" t="str">
        <f t="shared" si="156"/>
        <v/>
      </c>
      <c r="BB306" s="59"/>
      <c r="BC306" s="58" t="str">
        <f t="shared" si="157"/>
        <v/>
      </c>
      <c r="BD306" s="59"/>
      <c r="BE306" s="58" t="str">
        <f t="shared" si="158"/>
        <v/>
      </c>
      <c r="BF306" s="59"/>
      <c r="BG306" s="58">
        <f t="shared" si="159"/>
        <v>1536</v>
      </c>
      <c r="BH306" s="59"/>
      <c r="BI306" s="58" t="str">
        <f t="shared" si="160"/>
        <v/>
      </c>
      <c r="BJ306" s="59"/>
      <c r="BK306" s="58" t="str">
        <f t="shared" si="161"/>
        <v/>
      </c>
      <c r="BL306" s="59"/>
      <c r="BM306" s="58" t="str">
        <f t="shared" si="162"/>
        <v/>
      </c>
      <c r="BN306" s="59"/>
      <c r="BO306" s="58" t="str">
        <f t="shared" si="163"/>
        <v/>
      </c>
      <c r="BP306" s="59"/>
      <c r="BQ306" s="58" t="str">
        <f t="shared" si="164"/>
        <v/>
      </c>
      <c r="BR306" s="59"/>
      <c r="BS306" s="58" t="str">
        <f t="shared" si="165"/>
        <v/>
      </c>
      <c r="BT306" s="59"/>
      <c r="BU306" s="58" t="str">
        <f t="shared" si="166"/>
        <v/>
      </c>
      <c r="BV306" s="59"/>
      <c r="BW306" s="58" t="str">
        <f t="shared" si="167"/>
        <v/>
      </c>
      <c r="BX306" s="59"/>
      <c r="BY306" s="58" t="str">
        <f t="shared" si="168"/>
        <v/>
      </c>
      <c r="BZ306" s="59"/>
    </row>
    <row r="307" spans="1:78" ht="14.5" hidden="1">
      <c r="A307" s="51" t="s">
        <v>58</v>
      </c>
      <c r="B307" s="52">
        <v>398</v>
      </c>
      <c r="C307" s="52" t="s">
        <v>188</v>
      </c>
      <c r="D307" s="41">
        <f t="shared" si="142"/>
        <v>5</v>
      </c>
      <c r="E307" s="170" t="s">
        <v>631</v>
      </c>
      <c r="F307" s="41" t="s">
        <v>631</v>
      </c>
      <c r="G307" s="52" t="s">
        <v>158</v>
      </c>
      <c r="H307" s="52" t="s">
        <v>242</v>
      </c>
      <c r="I307" s="52" t="s">
        <v>154</v>
      </c>
      <c r="J307" s="52" t="s">
        <v>432</v>
      </c>
      <c r="K307" s="53">
        <v>45689</v>
      </c>
      <c r="L307" s="108">
        <v>1336</v>
      </c>
      <c r="M307" s="101"/>
      <c r="N307" s="101"/>
      <c r="O307" s="107">
        <f t="shared" si="169"/>
        <v>1336</v>
      </c>
      <c r="P307" s="54">
        <f t="shared" si="170"/>
        <v>1336</v>
      </c>
      <c r="Q307" s="101" t="s">
        <v>439</v>
      </c>
      <c r="R307" s="101"/>
      <c r="S307" s="101"/>
      <c r="T307" s="102">
        <f t="shared" si="143"/>
        <v>1.8555555555555556</v>
      </c>
      <c r="U307" s="102">
        <v>6</v>
      </c>
      <c r="V307" s="99">
        <v>120</v>
      </c>
      <c r="W307" s="55">
        <f t="shared" si="144"/>
        <v>45669</v>
      </c>
      <c r="X307" s="55"/>
      <c r="Y307" s="56">
        <f t="shared" ca="1" si="138"/>
        <v>-171</v>
      </c>
      <c r="Z307" s="55">
        <f t="shared" si="139"/>
        <v>45685</v>
      </c>
      <c r="AA307" s="55"/>
      <c r="AB307" s="56">
        <f t="shared" ca="1" si="140"/>
        <v>-155</v>
      </c>
      <c r="AC307" s="55"/>
      <c r="AD307" s="57"/>
      <c r="AE307" s="58" t="str">
        <f t="shared" si="145"/>
        <v>-</v>
      </c>
      <c r="AF307" s="59"/>
      <c r="AG307" s="58" t="str">
        <f t="shared" si="146"/>
        <v/>
      </c>
      <c r="AH307" s="59"/>
      <c r="AI307" s="58" t="str">
        <f t="shared" si="147"/>
        <v/>
      </c>
      <c r="AJ307" s="59"/>
      <c r="AK307" s="58" t="str">
        <f t="shared" si="148"/>
        <v/>
      </c>
      <c r="AL307" s="59"/>
      <c r="AM307" s="58" t="str">
        <f t="shared" si="149"/>
        <v/>
      </c>
      <c r="AN307" s="59"/>
      <c r="AO307" s="58" t="str">
        <f t="shared" si="150"/>
        <v/>
      </c>
      <c r="AP307" s="59"/>
      <c r="AQ307" s="58" t="str">
        <f t="shared" si="151"/>
        <v/>
      </c>
      <c r="AR307" s="59"/>
      <c r="AS307" s="58" t="str">
        <f t="shared" si="152"/>
        <v/>
      </c>
      <c r="AT307" s="59"/>
      <c r="AU307" s="58" t="str">
        <f t="shared" si="153"/>
        <v/>
      </c>
      <c r="AV307" s="59"/>
      <c r="AW307" s="58" t="str">
        <f t="shared" si="154"/>
        <v/>
      </c>
      <c r="AX307" s="59"/>
      <c r="AY307" s="58" t="str">
        <f t="shared" si="155"/>
        <v/>
      </c>
      <c r="AZ307" s="59"/>
      <c r="BA307" s="58" t="str">
        <f t="shared" si="156"/>
        <v/>
      </c>
      <c r="BB307" s="59"/>
      <c r="BC307" s="58" t="str">
        <f t="shared" si="157"/>
        <v/>
      </c>
      <c r="BD307" s="59"/>
      <c r="BE307" s="58" t="str">
        <f t="shared" si="158"/>
        <v/>
      </c>
      <c r="BF307" s="59"/>
      <c r="BG307" s="58">
        <f t="shared" si="159"/>
        <v>1336</v>
      </c>
      <c r="BH307" s="59"/>
      <c r="BI307" s="58" t="str">
        <f t="shared" si="160"/>
        <v/>
      </c>
      <c r="BJ307" s="59"/>
      <c r="BK307" s="58" t="str">
        <f t="shared" si="161"/>
        <v/>
      </c>
      <c r="BL307" s="59"/>
      <c r="BM307" s="58" t="str">
        <f t="shared" si="162"/>
        <v/>
      </c>
      <c r="BN307" s="59"/>
      <c r="BO307" s="58" t="str">
        <f t="shared" si="163"/>
        <v/>
      </c>
      <c r="BP307" s="59"/>
      <c r="BQ307" s="58" t="str">
        <f t="shared" si="164"/>
        <v/>
      </c>
      <c r="BR307" s="59"/>
      <c r="BS307" s="58" t="str">
        <f t="shared" si="165"/>
        <v/>
      </c>
      <c r="BT307" s="59"/>
      <c r="BU307" s="58" t="str">
        <f t="shared" si="166"/>
        <v/>
      </c>
      <c r="BV307" s="59"/>
      <c r="BW307" s="58" t="str">
        <f t="shared" si="167"/>
        <v/>
      </c>
      <c r="BX307" s="59"/>
      <c r="BY307" s="58" t="str">
        <f t="shared" si="168"/>
        <v/>
      </c>
      <c r="BZ307" s="59"/>
    </row>
    <row r="308" spans="1:78" ht="14.5" hidden="1">
      <c r="A308" s="51" t="s">
        <v>58</v>
      </c>
      <c r="B308" s="52">
        <v>398</v>
      </c>
      <c r="C308" s="52" t="s">
        <v>188</v>
      </c>
      <c r="D308" s="41">
        <f t="shared" si="142"/>
        <v>5</v>
      </c>
      <c r="E308" s="170" t="s">
        <v>631</v>
      </c>
      <c r="F308" s="41" t="s">
        <v>631</v>
      </c>
      <c r="G308" s="52" t="s">
        <v>189</v>
      </c>
      <c r="H308" s="52" t="s">
        <v>242</v>
      </c>
      <c r="I308" s="52" t="s">
        <v>162</v>
      </c>
      <c r="J308" s="52" t="s">
        <v>432</v>
      </c>
      <c r="K308" s="53">
        <v>45689</v>
      </c>
      <c r="L308" s="108">
        <v>2152</v>
      </c>
      <c r="M308" s="101"/>
      <c r="N308" s="101"/>
      <c r="O308" s="107">
        <f t="shared" si="169"/>
        <v>2152</v>
      </c>
      <c r="P308" s="54">
        <f t="shared" si="170"/>
        <v>2152</v>
      </c>
      <c r="Q308" s="101" t="s">
        <v>443</v>
      </c>
      <c r="R308" s="166">
        <v>45687</v>
      </c>
      <c r="S308" s="101"/>
      <c r="T308" s="102">
        <f t="shared" si="143"/>
        <v>2.9888888888888889</v>
      </c>
      <c r="U308" s="102">
        <v>6</v>
      </c>
      <c r="V308" s="99">
        <v>120</v>
      </c>
      <c r="W308" s="55">
        <f t="shared" si="144"/>
        <v>45669</v>
      </c>
      <c r="X308" s="55"/>
      <c r="Y308" s="56">
        <f t="shared" ca="1" si="138"/>
        <v>-171</v>
      </c>
      <c r="Z308" s="55">
        <f t="shared" si="139"/>
        <v>45685</v>
      </c>
      <c r="AA308" s="55"/>
      <c r="AB308" s="56">
        <f t="shared" ca="1" si="140"/>
        <v>-155</v>
      </c>
      <c r="AC308" s="55"/>
      <c r="AD308" s="57"/>
      <c r="AE308" s="58" t="str">
        <f t="shared" si="145"/>
        <v>-</v>
      </c>
      <c r="AF308" s="59"/>
      <c r="AG308" s="58" t="str">
        <f t="shared" si="146"/>
        <v/>
      </c>
      <c r="AH308" s="59"/>
      <c r="AI308" s="58" t="str">
        <f t="shared" si="147"/>
        <v/>
      </c>
      <c r="AJ308" s="59"/>
      <c r="AK308" s="58" t="str">
        <f t="shared" si="148"/>
        <v/>
      </c>
      <c r="AL308" s="59"/>
      <c r="AM308" s="58" t="str">
        <f t="shared" si="149"/>
        <v/>
      </c>
      <c r="AN308" s="59"/>
      <c r="AO308" s="58" t="str">
        <f t="shared" si="150"/>
        <v/>
      </c>
      <c r="AP308" s="59"/>
      <c r="AQ308" s="58" t="str">
        <f t="shared" si="151"/>
        <v/>
      </c>
      <c r="AR308" s="59"/>
      <c r="AS308" s="58" t="str">
        <f t="shared" si="152"/>
        <v/>
      </c>
      <c r="AT308" s="59"/>
      <c r="AU308" s="58" t="str">
        <f t="shared" si="153"/>
        <v/>
      </c>
      <c r="AV308" s="59"/>
      <c r="AW308" s="58" t="str">
        <f t="shared" si="154"/>
        <v/>
      </c>
      <c r="AX308" s="59"/>
      <c r="AY308" s="58" t="str">
        <f t="shared" si="155"/>
        <v/>
      </c>
      <c r="AZ308" s="59"/>
      <c r="BA308" s="58" t="str">
        <f t="shared" si="156"/>
        <v/>
      </c>
      <c r="BB308" s="59"/>
      <c r="BC308" s="58" t="str">
        <f t="shared" si="157"/>
        <v/>
      </c>
      <c r="BD308" s="59"/>
      <c r="BE308" s="58" t="str">
        <f t="shared" si="158"/>
        <v/>
      </c>
      <c r="BF308" s="59"/>
      <c r="BG308" s="58">
        <f t="shared" si="159"/>
        <v>2152</v>
      </c>
      <c r="BH308" s="59"/>
      <c r="BI308" s="58" t="str">
        <f t="shared" si="160"/>
        <v/>
      </c>
      <c r="BJ308" s="59"/>
      <c r="BK308" s="58" t="str">
        <f t="shared" si="161"/>
        <v/>
      </c>
      <c r="BL308" s="59"/>
      <c r="BM308" s="58" t="str">
        <f t="shared" si="162"/>
        <v/>
      </c>
      <c r="BN308" s="59"/>
      <c r="BO308" s="58" t="str">
        <f t="shared" si="163"/>
        <v/>
      </c>
      <c r="BP308" s="59"/>
      <c r="BQ308" s="58" t="str">
        <f t="shared" si="164"/>
        <v/>
      </c>
      <c r="BR308" s="59"/>
      <c r="BS308" s="58" t="str">
        <f t="shared" si="165"/>
        <v/>
      </c>
      <c r="BT308" s="59"/>
      <c r="BU308" s="58" t="str">
        <f t="shared" si="166"/>
        <v/>
      </c>
      <c r="BV308" s="59"/>
      <c r="BW308" s="58" t="str">
        <f t="shared" si="167"/>
        <v/>
      </c>
      <c r="BX308" s="59"/>
      <c r="BY308" s="58" t="str">
        <f t="shared" si="168"/>
        <v/>
      </c>
      <c r="BZ308" s="59"/>
    </row>
    <row r="309" spans="1:78" ht="14.5" hidden="1">
      <c r="A309" s="51" t="s">
        <v>446</v>
      </c>
      <c r="B309" s="52">
        <v>418</v>
      </c>
      <c r="C309" s="52" t="s">
        <v>563</v>
      </c>
      <c r="D309" s="41">
        <f t="shared" si="142"/>
        <v>6</v>
      </c>
      <c r="E309" s="170"/>
      <c r="F309" s="41"/>
      <c r="G309" s="52" t="s">
        <v>553</v>
      </c>
      <c r="H309" s="52" t="s">
        <v>475</v>
      </c>
      <c r="I309" s="52" t="s">
        <v>155</v>
      </c>
      <c r="J309" s="52" t="s">
        <v>507</v>
      </c>
      <c r="K309" s="53">
        <v>45691</v>
      </c>
      <c r="L309" s="108">
        <v>110000</v>
      </c>
      <c r="M309" s="101"/>
      <c r="N309" s="101"/>
      <c r="O309" s="101">
        <f>+L309-N309</f>
        <v>110000</v>
      </c>
      <c r="P309" s="54">
        <f>+L309-M309</f>
        <v>110000</v>
      </c>
      <c r="Q309" s="101" t="s">
        <v>178</v>
      </c>
      <c r="R309" s="101"/>
      <c r="S309" s="101"/>
      <c r="T309" s="102">
        <f t="shared" si="143"/>
        <v>36.184210526315788</v>
      </c>
      <c r="U309" s="102">
        <v>38</v>
      </c>
      <c r="V309" s="99">
        <v>80</v>
      </c>
      <c r="W309" s="55">
        <f>+K309-(38)</f>
        <v>45653</v>
      </c>
      <c r="X309" s="55"/>
      <c r="Y309" s="56">
        <f t="shared" ca="1" si="138"/>
        <v>-187</v>
      </c>
      <c r="Z309" s="55">
        <f>+W309+U309</f>
        <v>45691</v>
      </c>
      <c r="AA309" s="55"/>
      <c r="AB309" s="56">
        <f t="shared" ca="1" si="140"/>
        <v>-149</v>
      </c>
      <c r="AC309" s="55"/>
      <c r="AD309" s="57"/>
      <c r="AE309" s="58" t="str">
        <f t="shared" si="145"/>
        <v>-</v>
      </c>
      <c r="AF309" s="59"/>
      <c r="AG309" s="58" t="str">
        <f t="shared" si="146"/>
        <v/>
      </c>
      <c r="AH309" s="59"/>
      <c r="AI309" s="58" t="str">
        <f t="shared" si="147"/>
        <v/>
      </c>
      <c r="AJ309" s="59"/>
      <c r="AK309" s="58" t="str">
        <f t="shared" si="148"/>
        <v/>
      </c>
      <c r="AL309" s="59"/>
      <c r="AM309" s="58" t="str">
        <f t="shared" si="149"/>
        <v/>
      </c>
      <c r="AN309" s="59"/>
      <c r="AO309" s="58" t="str">
        <f t="shared" si="150"/>
        <v/>
      </c>
      <c r="AP309" s="59"/>
      <c r="AQ309" s="58" t="str">
        <f t="shared" si="151"/>
        <v/>
      </c>
      <c r="AR309" s="59"/>
      <c r="AS309" s="58" t="str">
        <f t="shared" si="152"/>
        <v/>
      </c>
      <c r="AT309" s="59"/>
      <c r="AU309" s="58" t="str">
        <f t="shared" si="153"/>
        <v/>
      </c>
      <c r="AV309" s="59"/>
      <c r="AW309" s="58" t="str">
        <f t="shared" si="154"/>
        <v/>
      </c>
      <c r="AX309" s="59"/>
      <c r="AY309" s="58" t="str">
        <f t="shared" si="155"/>
        <v/>
      </c>
      <c r="AZ309" s="59"/>
      <c r="BA309" s="58">
        <f t="shared" si="156"/>
        <v>110000</v>
      </c>
      <c r="BB309" s="59"/>
      <c r="BC309" s="58" t="str">
        <f t="shared" si="157"/>
        <v/>
      </c>
      <c r="BD309" s="59"/>
      <c r="BE309" s="58" t="str">
        <f t="shared" si="158"/>
        <v/>
      </c>
      <c r="BF309" s="59"/>
      <c r="BG309" s="58" t="str">
        <f t="shared" si="159"/>
        <v/>
      </c>
      <c r="BH309" s="59"/>
      <c r="BI309" s="58" t="str">
        <f t="shared" si="160"/>
        <v/>
      </c>
      <c r="BJ309" s="59"/>
      <c r="BK309" s="58" t="str">
        <f t="shared" si="161"/>
        <v/>
      </c>
      <c r="BL309" s="59"/>
      <c r="BM309" s="58" t="str">
        <f t="shared" si="162"/>
        <v/>
      </c>
      <c r="BN309" s="59"/>
      <c r="BO309" s="58" t="str">
        <f t="shared" si="163"/>
        <v/>
      </c>
      <c r="BP309" s="59"/>
      <c r="BQ309" s="58" t="str">
        <f t="shared" si="164"/>
        <v/>
      </c>
      <c r="BR309" s="59"/>
      <c r="BS309" s="58" t="str">
        <f t="shared" si="165"/>
        <v/>
      </c>
      <c r="BT309" s="59"/>
      <c r="BU309" s="58" t="str">
        <f t="shared" si="166"/>
        <v/>
      </c>
      <c r="BV309" s="59"/>
      <c r="BW309" s="58" t="str">
        <f t="shared" si="167"/>
        <v/>
      </c>
      <c r="BX309" s="59"/>
      <c r="BY309" s="58" t="str">
        <f t="shared" si="168"/>
        <v/>
      </c>
      <c r="BZ309" s="59"/>
    </row>
    <row r="310" spans="1:78" ht="14.5" hidden="1">
      <c r="A310" s="51" t="s">
        <v>446</v>
      </c>
      <c r="B310" s="52" t="s">
        <v>564</v>
      </c>
      <c r="C310" s="52" t="s">
        <v>60</v>
      </c>
      <c r="D310" s="41">
        <f t="shared" si="142"/>
        <v>5</v>
      </c>
      <c r="E310" s="170"/>
      <c r="F310" s="41"/>
      <c r="G310" s="52" t="s">
        <v>187</v>
      </c>
      <c r="H310" s="52" t="s">
        <v>448</v>
      </c>
      <c r="I310" s="52" t="s">
        <v>164</v>
      </c>
      <c r="J310" s="52" t="s">
        <v>449</v>
      </c>
      <c r="K310" s="53">
        <v>45687</v>
      </c>
      <c r="L310" s="108">
        <v>9000</v>
      </c>
      <c r="M310" s="101"/>
      <c r="N310" s="101"/>
      <c r="O310" s="101">
        <f>+L310-N310</f>
        <v>9000</v>
      </c>
      <c r="P310" s="54">
        <f>+L310-M310</f>
        <v>9000</v>
      </c>
      <c r="Q310" s="101" t="s">
        <v>439</v>
      </c>
      <c r="R310" s="101"/>
      <c r="S310" s="101"/>
      <c r="T310" s="102">
        <f t="shared" si="143"/>
        <v>1.3636363636363635</v>
      </c>
      <c r="U310" s="102">
        <v>6</v>
      </c>
      <c r="V310" s="99">
        <v>1100</v>
      </c>
      <c r="W310" s="55">
        <f>+K310-(28)</f>
        <v>45659</v>
      </c>
      <c r="X310" s="55"/>
      <c r="Y310" s="56">
        <f t="shared" ca="1" si="138"/>
        <v>-181</v>
      </c>
      <c r="Z310" s="55">
        <f t="shared" ref="Z310:Z373" si="171">+W310+16</f>
        <v>45675</v>
      </c>
      <c r="AA310" s="55"/>
      <c r="AB310" s="56">
        <f t="shared" ca="1" si="140"/>
        <v>-165</v>
      </c>
      <c r="AC310" s="55"/>
      <c r="AD310" s="57"/>
      <c r="AE310" s="58" t="str">
        <f t="shared" si="145"/>
        <v>-</v>
      </c>
      <c r="AF310" s="59"/>
      <c r="AG310" s="58" t="str">
        <f t="shared" si="146"/>
        <v/>
      </c>
      <c r="AH310" s="59"/>
      <c r="AI310" s="58" t="str">
        <f t="shared" si="147"/>
        <v/>
      </c>
      <c r="AJ310" s="59"/>
      <c r="AK310" s="58" t="str">
        <f t="shared" si="148"/>
        <v/>
      </c>
      <c r="AL310" s="59"/>
      <c r="AM310" s="58" t="str">
        <f t="shared" si="149"/>
        <v/>
      </c>
      <c r="AN310" s="59"/>
      <c r="AO310" s="58" t="str">
        <f t="shared" si="150"/>
        <v/>
      </c>
      <c r="AP310" s="59"/>
      <c r="AQ310" s="58" t="str">
        <f t="shared" si="151"/>
        <v/>
      </c>
      <c r="AR310" s="59"/>
      <c r="AS310" s="58" t="str">
        <f t="shared" si="152"/>
        <v/>
      </c>
      <c r="AT310" s="59"/>
      <c r="AU310" s="58" t="str">
        <f t="shared" si="153"/>
        <v/>
      </c>
      <c r="AV310" s="59"/>
      <c r="AW310" s="58" t="str">
        <f t="shared" si="154"/>
        <v/>
      </c>
      <c r="AX310" s="59"/>
      <c r="AY310" s="58" t="str">
        <f t="shared" si="155"/>
        <v/>
      </c>
      <c r="AZ310" s="59"/>
      <c r="BA310" s="58" t="str">
        <f t="shared" si="156"/>
        <v/>
      </c>
      <c r="BB310" s="59"/>
      <c r="BC310" s="58">
        <f t="shared" si="157"/>
        <v>9000</v>
      </c>
      <c r="BD310" s="59"/>
      <c r="BE310" s="58" t="str">
        <f t="shared" si="158"/>
        <v/>
      </c>
      <c r="BF310" s="59"/>
      <c r="BG310" s="58" t="str">
        <f t="shared" si="159"/>
        <v/>
      </c>
      <c r="BH310" s="59"/>
      <c r="BI310" s="58" t="str">
        <f t="shared" si="160"/>
        <v/>
      </c>
      <c r="BJ310" s="59"/>
      <c r="BK310" s="58" t="str">
        <f t="shared" si="161"/>
        <v/>
      </c>
      <c r="BL310" s="59"/>
      <c r="BM310" s="58" t="str">
        <f t="shared" si="162"/>
        <v/>
      </c>
      <c r="BN310" s="59"/>
      <c r="BO310" s="58" t="str">
        <f t="shared" si="163"/>
        <v/>
      </c>
      <c r="BP310" s="59"/>
      <c r="BQ310" s="58" t="str">
        <f t="shared" si="164"/>
        <v/>
      </c>
      <c r="BR310" s="59"/>
      <c r="BS310" s="58" t="str">
        <f t="shared" si="165"/>
        <v/>
      </c>
      <c r="BT310" s="59"/>
      <c r="BU310" s="58" t="str">
        <f t="shared" si="166"/>
        <v/>
      </c>
      <c r="BV310" s="59"/>
      <c r="BW310" s="58" t="str">
        <f t="shared" si="167"/>
        <v/>
      </c>
      <c r="BX310" s="59"/>
      <c r="BY310" s="58" t="str">
        <f t="shared" si="168"/>
        <v/>
      </c>
      <c r="BZ310" s="59"/>
    </row>
    <row r="311" spans="1:78" ht="14.5" hidden="1">
      <c r="A311" s="51" t="s">
        <v>446</v>
      </c>
      <c r="B311" s="52" t="s">
        <v>564</v>
      </c>
      <c r="C311" s="52" t="s">
        <v>60</v>
      </c>
      <c r="D311" s="41">
        <f t="shared" si="142"/>
        <v>5</v>
      </c>
      <c r="E311" s="170"/>
      <c r="F311" s="41"/>
      <c r="G311" s="52" t="s">
        <v>187</v>
      </c>
      <c r="H311" s="52" t="s">
        <v>448</v>
      </c>
      <c r="I311" s="52" t="s">
        <v>155</v>
      </c>
      <c r="J311" s="52" t="s">
        <v>449</v>
      </c>
      <c r="K311" s="53">
        <v>45687</v>
      </c>
      <c r="L311" s="108">
        <v>9000</v>
      </c>
      <c r="M311" s="101"/>
      <c r="N311" s="101"/>
      <c r="O311" s="101">
        <f>+L311-N311</f>
        <v>9000</v>
      </c>
      <c r="P311" s="54">
        <f>+L311-M311</f>
        <v>9000</v>
      </c>
      <c r="Q311" s="101" t="s">
        <v>504</v>
      </c>
      <c r="R311" s="101"/>
      <c r="S311" s="101"/>
      <c r="T311" s="102">
        <f t="shared" si="143"/>
        <v>1.3636363636363635</v>
      </c>
      <c r="U311" s="102">
        <v>6</v>
      </c>
      <c r="V311" s="99">
        <v>1100</v>
      </c>
      <c r="W311" s="55">
        <f>+K311-(28)</f>
        <v>45659</v>
      </c>
      <c r="X311" s="55"/>
      <c r="Y311" s="56">
        <f t="shared" ca="1" si="138"/>
        <v>-181</v>
      </c>
      <c r="Z311" s="55">
        <f t="shared" si="171"/>
        <v>45675</v>
      </c>
      <c r="AA311" s="55"/>
      <c r="AB311" s="56">
        <f t="shared" ca="1" si="140"/>
        <v>-165</v>
      </c>
      <c r="AC311" s="55"/>
      <c r="AD311" s="57"/>
      <c r="AE311" s="58" t="str">
        <f t="shared" si="145"/>
        <v>-</v>
      </c>
      <c r="AF311" s="59"/>
      <c r="AG311" s="58" t="str">
        <f t="shared" si="146"/>
        <v/>
      </c>
      <c r="AH311" s="59"/>
      <c r="AI311" s="58" t="str">
        <f t="shared" si="147"/>
        <v/>
      </c>
      <c r="AJ311" s="59"/>
      <c r="AK311" s="58" t="str">
        <f t="shared" si="148"/>
        <v/>
      </c>
      <c r="AL311" s="59"/>
      <c r="AM311" s="58" t="str">
        <f t="shared" si="149"/>
        <v/>
      </c>
      <c r="AN311" s="59"/>
      <c r="AO311" s="58" t="str">
        <f t="shared" si="150"/>
        <v/>
      </c>
      <c r="AP311" s="59"/>
      <c r="AQ311" s="58" t="str">
        <f t="shared" si="151"/>
        <v/>
      </c>
      <c r="AR311" s="59"/>
      <c r="AS311" s="58" t="str">
        <f t="shared" si="152"/>
        <v/>
      </c>
      <c r="AT311" s="59"/>
      <c r="AU311" s="58" t="str">
        <f t="shared" si="153"/>
        <v/>
      </c>
      <c r="AV311" s="59"/>
      <c r="AW311" s="58" t="str">
        <f t="shared" si="154"/>
        <v/>
      </c>
      <c r="AX311" s="59"/>
      <c r="AY311" s="58" t="str">
        <f t="shared" si="155"/>
        <v/>
      </c>
      <c r="AZ311" s="59"/>
      <c r="BA311" s="58" t="str">
        <f t="shared" si="156"/>
        <v/>
      </c>
      <c r="BB311" s="59"/>
      <c r="BC311" s="58">
        <f t="shared" si="157"/>
        <v>9000</v>
      </c>
      <c r="BD311" s="59"/>
      <c r="BE311" s="58" t="str">
        <f t="shared" si="158"/>
        <v/>
      </c>
      <c r="BF311" s="59"/>
      <c r="BG311" s="58" t="str">
        <f t="shared" si="159"/>
        <v/>
      </c>
      <c r="BH311" s="59"/>
      <c r="BI311" s="58" t="str">
        <f t="shared" si="160"/>
        <v/>
      </c>
      <c r="BJ311" s="59"/>
      <c r="BK311" s="58" t="str">
        <f t="shared" si="161"/>
        <v/>
      </c>
      <c r="BL311" s="59"/>
      <c r="BM311" s="58" t="str">
        <f t="shared" si="162"/>
        <v/>
      </c>
      <c r="BN311" s="59"/>
      <c r="BO311" s="58" t="str">
        <f t="shared" si="163"/>
        <v/>
      </c>
      <c r="BP311" s="59"/>
      <c r="BQ311" s="58" t="str">
        <f t="shared" si="164"/>
        <v/>
      </c>
      <c r="BR311" s="59"/>
      <c r="BS311" s="58" t="str">
        <f t="shared" si="165"/>
        <v/>
      </c>
      <c r="BT311" s="59"/>
      <c r="BU311" s="58" t="str">
        <f t="shared" si="166"/>
        <v/>
      </c>
      <c r="BV311" s="59"/>
      <c r="BW311" s="58" t="str">
        <f t="shared" si="167"/>
        <v/>
      </c>
      <c r="BX311" s="59"/>
      <c r="BY311" s="58" t="str">
        <f t="shared" si="168"/>
        <v/>
      </c>
      <c r="BZ311" s="59"/>
    </row>
    <row r="312" spans="1:78" ht="14.5" hidden="1">
      <c r="A312" s="51" t="s">
        <v>446</v>
      </c>
      <c r="B312" s="52" t="s">
        <v>564</v>
      </c>
      <c r="C312" s="52" t="s">
        <v>60</v>
      </c>
      <c r="D312" s="41">
        <f t="shared" si="142"/>
        <v>5</v>
      </c>
      <c r="E312" s="170"/>
      <c r="F312" s="41"/>
      <c r="G312" s="52" t="s">
        <v>187</v>
      </c>
      <c r="H312" s="52" t="s">
        <v>448</v>
      </c>
      <c r="I312" s="52" t="s">
        <v>450</v>
      </c>
      <c r="J312" s="52" t="s">
        <v>449</v>
      </c>
      <c r="K312" s="53">
        <v>45687</v>
      </c>
      <c r="L312" s="108">
        <v>6000</v>
      </c>
      <c r="M312" s="101"/>
      <c r="N312" s="101"/>
      <c r="O312" s="101">
        <f>+L312-N312</f>
        <v>6000</v>
      </c>
      <c r="P312" s="54">
        <f>+L312-M312</f>
        <v>6000</v>
      </c>
      <c r="Q312" s="101" t="s">
        <v>630</v>
      </c>
      <c r="R312" s="101"/>
      <c r="S312" s="101"/>
      <c r="T312" s="102">
        <f t="shared" si="143"/>
        <v>0.90909090909090906</v>
      </c>
      <c r="U312" s="102">
        <v>6</v>
      </c>
      <c r="V312" s="99">
        <v>1100</v>
      </c>
      <c r="W312" s="55">
        <f>+K312-(28)</f>
        <v>45659</v>
      </c>
      <c r="X312" s="55"/>
      <c r="Y312" s="56">
        <f t="shared" ca="1" si="138"/>
        <v>-181</v>
      </c>
      <c r="Z312" s="55">
        <f t="shared" si="171"/>
        <v>45675</v>
      </c>
      <c r="AA312" s="55"/>
      <c r="AB312" s="56">
        <f t="shared" ca="1" si="140"/>
        <v>-165</v>
      </c>
      <c r="AC312" s="55"/>
      <c r="AD312" s="57"/>
      <c r="AE312" s="58" t="str">
        <f t="shared" si="145"/>
        <v>-</v>
      </c>
      <c r="AF312" s="59"/>
      <c r="AG312" s="58" t="str">
        <f t="shared" si="146"/>
        <v/>
      </c>
      <c r="AH312" s="59"/>
      <c r="AI312" s="58" t="str">
        <f t="shared" si="147"/>
        <v/>
      </c>
      <c r="AJ312" s="59"/>
      <c r="AK312" s="58" t="str">
        <f t="shared" si="148"/>
        <v/>
      </c>
      <c r="AL312" s="59"/>
      <c r="AM312" s="58" t="str">
        <f t="shared" si="149"/>
        <v/>
      </c>
      <c r="AN312" s="59"/>
      <c r="AO312" s="58" t="str">
        <f t="shared" si="150"/>
        <v/>
      </c>
      <c r="AP312" s="59"/>
      <c r="AQ312" s="58" t="str">
        <f t="shared" si="151"/>
        <v/>
      </c>
      <c r="AR312" s="59"/>
      <c r="AS312" s="58" t="str">
        <f t="shared" si="152"/>
        <v/>
      </c>
      <c r="AT312" s="59"/>
      <c r="AU312" s="58" t="str">
        <f t="shared" si="153"/>
        <v/>
      </c>
      <c r="AV312" s="59"/>
      <c r="AW312" s="58" t="str">
        <f t="shared" si="154"/>
        <v/>
      </c>
      <c r="AX312" s="59"/>
      <c r="AY312" s="58" t="str">
        <f t="shared" si="155"/>
        <v/>
      </c>
      <c r="AZ312" s="59"/>
      <c r="BA312" s="58" t="str">
        <f t="shared" si="156"/>
        <v/>
      </c>
      <c r="BB312" s="59"/>
      <c r="BC312" s="58">
        <f t="shared" si="157"/>
        <v>6000</v>
      </c>
      <c r="BD312" s="59"/>
      <c r="BE312" s="58" t="str">
        <f t="shared" si="158"/>
        <v/>
      </c>
      <c r="BF312" s="59"/>
      <c r="BG312" s="58" t="str">
        <f t="shared" si="159"/>
        <v/>
      </c>
      <c r="BH312" s="59"/>
      <c r="BI312" s="58" t="str">
        <f t="shared" si="160"/>
        <v/>
      </c>
      <c r="BJ312" s="59"/>
      <c r="BK312" s="58" t="str">
        <f t="shared" si="161"/>
        <v/>
      </c>
      <c r="BL312" s="59"/>
      <c r="BM312" s="58" t="str">
        <f t="shared" si="162"/>
        <v/>
      </c>
      <c r="BN312" s="59"/>
      <c r="BO312" s="58" t="str">
        <f t="shared" si="163"/>
        <v/>
      </c>
      <c r="BP312" s="59"/>
      <c r="BQ312" s="58" t="str">
        <f t="shared" si="164"/>
        <v/>
      </c>
      <c r="BR312" s="59"/>
      <c r="BS312" s="58" t="str">
        <f t="shared" si="165"/>
        <v/>
      </c>
      <c r="BT312" s="59"/>
      <c r="BU312" s="58" t="str">
        <f t="shared" si="166"/>
        <v/>
      </c>
      <c r="BV312" s="59"/>
      <c r="BW312" s="58" t="str">
        <f t="shared" si="167"/>
        <v/>
      </c>
      <c r="BX312" s="59"/>
      <c r="BY312" s="58" t="str">
        <f t="shared" si="168"/>
        <v/>
      </c>
      <c r="BZ312" s="59"/>
    </row>
    <row r="313" spans="1:78" ht="14.5" hidden="1">
      <c r="A313" s="51" t="s">
        <v>58</v>
      </c>
      <c r="B313" s="52">
        <v>382</v>
      </c>
      <c r="C313" s="52" t="s">
        <v>188</v>
      </c>
      <c r="D313" s="41">
        <f t="shared" si="142"/>
        <v>6</v>
      </c>
      <c r="E313" s="170">
        <v>45675</v>
      </c>
      <c r="F313" s="41" t="s">
        <v>631</v>
      </c>
      <c r="G313" s="52" t="s">
        <v>157</v>
      </c>
      <c r="H313" s="52" t="s">
        <v>243</v>
      </c>
      <c r="I313" s="52" t="s">
        <v>155</v>
      </c>
      <c r="J313" s="52" t="s">
        <v>428</v>
      </c>
      <c r="K313" s="53">
        <v>45695</v>
      </c>
      <c r="L313" s="108">
        <v>1758</v>
      </c>
      <c r="M313" s="101"/>
      <c r="N313" s="101"/>
      <c r="O313" s="107">
        <f t="shared" ref="O313:O356" si="172">+L313-N313</f>
        <v>1758</v>
      </c>
      <c r="P313" s="54">
        <f t="shared" ref="P313:P356" si="173">+L313-M313</f>
        <v>1758</v>
      </c>
      <c r="Q313" s="101" t="s">
        <v>429</v>
      </c>
      <c r="R313" s="101"/>
      <c r="S313" s="101"/>
      <c r="T313" s="102">
        <f t="shared" si="143"/>
        <v>0.29299999999999998</v>
      </c>
      <c r="U313" s="102">
        <v>6</v>
      </c>
      <c r="V313" s="99">
        <v>1000</v>
      </c>
      <c r="W313" s="55">
        <f t="shared" ref="W313:W356" si="174">+K313-(20)</f>
        <v>45675</v>
      </c>
      <c r="X313" s="55"/>
      <c r="Y313" s="56">
        <f t="shared" ref="Y313:Y376" ca="1" si="175">+IF(X313="",W313-TODAY(),W313-X313)</f>
        <v>-165</v>
      </c>
      <c r="Z313" s="55">
        <f t="shared" si="171"/>
        <v>45691</v>
      </c>
      <c r="AA313" s="55"/>
      <c r="AB313" s="56">
        <f t="shared" ref="AB313:AB376" ca="1" si="176">+IF(AA313="",Z313-TODAY(),Z313-AA313)</f>
        <v>-149</v>
      </c>
      <c r="AC313" s="55"/>
      <c r="AD313" s="57"/>
      <c r="AE313" s="58" t="str">
        <f t="shared" si="145"/>
        <v>-</v>
      </c>
      <c r="AF313" s="59"/>
      <c r="AG313" s="58" t="str">
        <f t="shared" si="146"/>
        <v/>
      </c>
      <c r="AH313" s="59"/>
      <c r="AI313" s="58" t="str">
        <f t="shared" si="147"/>
        <v/>
      </c>
      <c r="AJ313" s="59"/>
      <c r="AK313" s="58" t="str">
        <f t="shared" si="148"/>
        <v/>
      </c>
      <c r="AL313" s="59"/>
      <c r="AM313" s="58" t="str">
        <f t="shared" si="149"/>
        <v/>
      </c>
      <c r="AN313" s="59"/>
      <c r="AO313" s="58" t="str">
        <f t="shared" si="150"/>
        <v/>
      </c>
      <c r="AP313" s="59"/>
      <c r="AQ313" s="58" t="str">
        <f t="shared" si="151"/>
        <v/>
      </c>
      <c r="AR313" s="59"/>
      <c r="AS313" s="58" t="str">
        <f t="shared" si="152"/>
        <v/>
      </c>
      <c r="AT313" s="59"/>
      <c r="AU313" s="58" t="str">
        <f t="shared" si="153"/>
        <v/>
      </c>
      <c r="AV313" s="59"/>
      <c r="AW313" s="58" t="str">
        <f t="shared" si="154"/>
        <v/>
      </c>
      <c r="AX313" s="59"/>
      <c r="AY313" s="58" t="str">
        <f t="shared" si="155"/>
        <v/>
      </c>
      <c r="AZ313" s="59"/>
      <c r="BA313" s="58" t="str">
        <f t="shared" si="156"/>
        <v/>
      </c>
      <c r="BB313" s="59"/>
      <c r="BC313" s="58" t="str">
        <f t="shared" si="157"/>
        <v/>
      </c>
      <c r="BD313" s="59"/>
      <c r="BE313" s="58" t="str">
        <f t="shared" si="158"/>
        <v/>
      </c>
      <c r="BF313" s="59"/>
      <c r="BG313" s="58">
        <f t="shared" si="159"/>
        <v>1758</v>
      </c>
      <c r="BH313" s="59"/>
      <c r="BI313" s="58" t="str">
        <f t="shared" si="160"/>
        <v/>
      </c>
      <c r="BJ313" s="59"/>
      <c r="BK313" s="58" t="str">
        <f t="shared" si="161"/>
        <v/>
      </c>
      <c r="BL313" s="59"/>
      <c r="BM313" s="58" t="str">
        <f t="shared" si="162"/>
        <v/>
      </c>
      <c r="BN313" s="59"/>
      <c r="BO313" s="58" t="str">
        <f t="shared" si="163"/>
        <v/>
      </c>
      <c r="BP313" s="59"/>
      <c r="BQ313" s="58" t="str">
        <f t="shared" si="164"/>
        <v/>
      </c>
      <c r="BR313" s="59"/>
      <c r="BS313" s="58" t="str">
        <f t="shared" si="165"/>
        <v/>
      </c>
      <c r="BT313" s="59"/>
      <c r="BU313" s="58" t="str">
        <f t="shared" si="166"/>
        <v/>
      </c>
      <c r="BV313" s="59"/>
      <c r="BW313" s="58" t="str">
        <f t="shared" si="167"/>
        <v/>
      </c>
      <c r="BX313" s="59"/>
      <c r="BY313" s="58" t="str">
        <f t="shared" si="168"/>
        <v/>
      </c>
      <c r="BZ313" s="59"/>
    </row>
    <row r="314" spans="1:78" ht="14.5" hidden="1">
      <c r="A314" s="51" t="s">
        <v>58</v>
      </c>
      <c r="B314" s="52">
        <v>382</v>
      </c>
      <c r="C314" s="52" t="s">
        <v>188</v>
      </c>
      <c r="D314" s="41">
        <f t="shared" si="142"/>
        <v>6</v>
      </c>
      <c r="E314" s="170" t="s">
        <v>631</v>
      </c>
      <c r="F314" s="41" t="s">
        <v>631</v>
      </c>
      <c r="G314" s="52" t="s">
        <v>158</v>
      </c>
      <c r="H314" s="52" t="s">
        <v>242</v>
      </c>
      <c r="I314" s="52" t="s">
        <v>155</v>
      </c>
      <c r="J314" s="52" t="s">
        <v>432</v>
      </c>
      <c r="K314" s="53">
        <v>45695</v>
      </c>
      <c r="L314" s="108">
        <v>1396</v>
      </c>
      <c r="M314" s="101"/>
      <c r="N314" s="101"/>
      <c r="O314" s="107">
        <f t="shared" si="172"/>
        <v>1396</v>
      </c>
      <c r="P314" s="54">
        <f t="shared" si="173"/>
        <v>1396</v>
      </c>
      <c r="Q314" s="101" t="s">
        <v>437</v>
      </c>
      <c r="R314" s="101"/>
      <c r="S314" s="101"/>
      <c r="T314" s="102">
        <f t="shared" si="143"/>
        <v>1.9388888888888889</v>
      </c>
      <c r="U314" s="102">
        <v>6</v>
      </c>
      <c r="V314" s="99">
        <v>120</v>
      </c>
      <c r="W314" s="55">
        <f t="shared" si="174"/>
        <v>45675</v>
      </c>
      <c r="X314" s="55"/>
      <c r="Y314" s="56">
        <f t="shared" ca="1" si="175"/>
        <v>-165</v>
      </c>
      <c r="Z314" s="55">
        <f t="shared" si="171"/>
        <v>45691</v>
      </c>
      <c r="AA314" s="55"/>
      <c r="AB314" s="56">
        <f t="shared" ca="1" si="176"/>
        <v>-149</v>
      </c>
      <c r="AC314" s="55"/>
      <c r="AD314" s="57"/>
      <c r="AE314" s="58" t="str">
        <f t="shared" si="145"/>
        <v>-</v>
      </c>
      <c r="AF314" s="59"/>
      <c r="AG314" s="58" t="str">
        <f t="shared" si="146"/>
        <v/>
      </c>
      <c r="AH314" s="59"/>
      <c r="AI314" s="58" t="str">
        <f t="shared" si="147"/>
        <v/>
      </c>
      <c r="AJ314" s="59"/>
      <c r="AK314" s="58" t="str">
        <f t="shared" si="148"/>
        <v/>
      </c>
      <c r="AL314" s="59"/>
      <c r="AM314" s="58" t="str">
        <f t="shared" si="149"/>
        <v/>
      </c>
      <c r="AN314" s="59"/>
      <c r="AO314" s="58" t="str">
        <f t="shared" si="150"/>
        <v/>
      </c>
      <c r="AP314" s="59"/>
      <c r="AQ314" s="58" t="str">
        <f t="shared" si="151"/>
        <v/>
      </c>
      <c r="AR314" s="59"/>
      <c r="AS314" s="58" t="str">
        <f t="shared" si="152"/>
        <v/>
      </c>
      <c r="AT314" s="59"/>
      <c r="AU314" s="58" t="str">
        <f t="shared" si="153"/>
        <v/>
      </c>
      <c r="AV314" s="59"/>
      <c r="AW314" s="58" t="str">
        <f t="shared" si="154"/>
        <v/>
      </c>
      <c r="AX314" s="59"/>
      <c r="AY314" s="58" t="str">
        <f t="shared" si="155"/>
        <v/>
      </c>
      <c r="AZ314" s="59"/>
      <c r="BA314" s="58" t="str">
        <f t="shared" si="156"/>
        <v/>
      </c>
      <c r="BB314" s="59"/>
      <c r="BC314" s="58" t="str">
        <f t="shared" si="157"/>
        <v/>
      </c>
      <c r="BD314" s="59"/>
      <c r="BE314" s="58" t="str">
        <f t="shared" si="158"/>
        <v/>
      </c>
      <c r="BF314" s="59"/>
      <c r="BG314" s="58">
        <f t="shared" si="159"/>
        <v>1396</v>
      </c>
      <c r="BH314" s="59"/>
      <c r="BI314" s="58" t="str">
        <f t="shared" si="160"/>
        <v/>
      </c>
      <c r="BJ314" s="59"/>
      <c r="BK314" s="58" t="str">
        <f t="shared" si="161"/>
        <v/>
      </c>
      <c r="BL314" s="59"/>
      <c r="BM314" s="58" t="str">
        <f t="shared" si="162"/>
        <v/>
      </c>
      <c r="BN314" s="59"/>
      <c r="BO314" s="58" t="str">
        <f t="shared" si="163"/>
        <v/>
      </c>
      <c r="BP314" s="59"/>
      <c r="BQ314" s="58" t="str">
        <f t="shared" si="164"/>
        <v/>
      </c>
      <c r="BR314" s="59"/>
      <c r="BS314" s="58" t="str">
        <f t="shared" si="165"/>
        <v/>
      </c>
      <c r="BT314" s="59"/>
      <c r="BU314" s="58" t="str">
        <f t="shared" si="166"/>
        <v/>
      </c>
      <c r="BV314" s="59"/>
      <c r="BW314" s="58" t="str">
        <f t="shared" si="167"/>
        <v/>
      </c>
      <c r="BX314" s="59"/>
      <c r="BY314" s="58" t="str">
        <f t="shared" si="168"/>
        <v/>
      </c>
      <c r="BZ314" s="59"/>
    </row>
    <row r="315" spans="1:78" ht="14.5" hidden="1">
      <c r="A315" s="51" t="s">
        <v>58</v>
      </c>
      <c r="B315" s="52">
        <v>382</v>
      </c>
      <c r="C315" s="52" t="s">
        <v>188</v>
      </c>
      <c r="D315" s="41">
        <f t="shared" si="142"/>
        <v>6</v>
      </c>
      <c r="E315" s="170" t="s">
        <v>631</v>
      </c>
      <c r="F315" s="41" t="s">
        <v>631</v>
      </c>
      <c r="G315" s="52" t="s">
        <v>195</v>
      </c>
      <c r="H315" s="52" t="s">
        <v>286</v>
      </c>
      <c r="I315" s="52" t="s">
        <v>162</v>
      </c>
      <c r="J315" s="52" t="s">
        <v>434</v>
      </c>
      <c r="K315" s="53">
        <v>45695</v>
      </c>
      <c r="L315" s="108">
        <v>4464</v>
      </c>
      <c r="M315" s="101"/>
      <c r="N315" s="101"/>
      <c r="O315" s="107">
        <f t="shared" si="172"/>
        <v>4464</v>
      </c>
      <c r="P315" s="54">
        <f t="shared" si="173"/>
        <v>4464</v>
      </c>
      <c r="Q315" s="101" t="s">
        <v>431</v>
      </c>
      <c r="R315" s="101"/>
      <c r="S315" s="101"/>
      <c r="T315" s="102">
        <f t="shared" si="143"/>
        <v>6.2</v>
      </c>
      <c r="U315" s="102">
        <v>6</v>
      </c>
      <c r="V315" s="99">
        <v>120</v>
      </c>
      <c r="W315" s="55">
        <f t="shared" si="174"/>
        <v>45675</v>
      </c>
      <c r="X315" s="55"/>
      <c r="Y315" s="56">
        <f t="shared" ca="1" si="175"/>
        <v>-165</v>
      </c>
      <c r="Z315" s="55">
        <f t="shared" si="171"/>
        <v>45691</v>
      </c>
      <c r="AA315" s="55"/>
      <c r="AB315" s="56">
        <f t="shared" ca="1" si="176"/>
        <v>-149</v>
      </c>
      <c r="AC315" s="55"/>
      <c r="AD315" s="57"/>
      <c r="AE315" s="58" t="str">
        <f t="shared" si="145"/>
        <v>-</v>
      </c>
      <c r="AF315" s="59"/>
      <c r="AG315" s="58" t="str">
        <f t="shared" si="146"/>
        <v/>
      </c>
      <c r="AH315" s="59"/>
      <c r="AI315" s="58" t="str">
        <f t="shared" si="147"/>
        <v/>
      </c>
      <c r="AJ315" s="59"/>
      <c r="AK315" s="58" t="str">
        <f t="shared" si="148"/>
        <v/>
      </c>
      <c r="AL315" s="59"/>
      <c r="AM315" s="58" t="str">
        <f t="shared" si="149"/>
        <v/>
      </c>
      <c r="AN315" s="59"/>
      <c r="AO315" s="58" t="str">
        <f t="shared" si="150"/>
        <v/>
      </c>
      <c r="AP315" s="59"/>
      <c r="AQ315" s="58" t="str">
        <f t="shared" si="151"/>
        <v/>
      </c>
      <c r="AR315" s="59"/>
      <c r="AS315" s="58" t="str">
        <f t="shared" si="152"/>
        <v/>
      </c>
      <c r="AT315" s="59"/>
      <c r="AU315" s="58" t="str">
        <f t="shared" si="153"/>
        <v/>
      </c>
      <c r="AV315" s="59"/>
      <c r="AW315" s="58" t="str">
        <f t="shared" si="154"/>
        <v/>
      </c>
      <c r="AX315" s="59"/>
      <c r="AY315" s="58" t="str">
        <f t="shared" si="155"/>
        <v/>
      </c>
      <c r="AZ315" s="59"/>
      <c r="BA315" s="58" t="str">
        <f t="shared" si="156"/>
        <v/>
      </c>
      <c r="BB315" s="59"/>
      <c r="BC315" s="58" t="str">
        <f t="shared" si="157"/>
        <v/>
      </c>
      <c r="BD315" s="59"/>
      <c r="BE315" s="58" t="str">
        <f t="shared" si="158"/>
        <v/>
      </c>
      <c r="BF315" s="59"/>
      <c r="BG315" s="58">
        <f t="shared" si="159"/>
        <v>4464</v>
      </c>
      <c r="BH315" s="59"/>
      <c r="BI315" s="58" t="str">
        <f t="shared" si="160"/>
        <v/>
      </c>
      <c r="BJ315" s="59"/>
      <c r="BK315" s="58" t="str">
        <f t="shared" si="161"/>
        <v/>
      </c>
      <c r="BL315" s="59"/>
      <c r="BM315" s="58" t="str">
        <f t="shared" si="162"/>
        <v/>
      </c>
      <c r="BN315" s="59"/>
      <c r="BO315" s="58" t="str">
        <f t="shared" si="163"/>
        <v/>
      </c>
      <c r="BP315" s="59"/>
      <c r="BQ315" s="58" t="str">
        <f t="shared" si="164"/>
        <v/>
      </c>
      <c r="BR315" s="59"/>
      <c r="BS315" s="58" t="str">
        <f t="shared" si="165"/>
        <v/>
      </c>
      <c r="BT315" s="59"/>
      <c r="BU315" s="58" t="str">
        <f t="shared" si="166"/>
        <v/>
      </c>
      <c r="BV315" s="59"/>
      <c r="BW315" s="58" t="str">
        <f t="shared" si="167"/>
        <v/>
      </c>
      <c r="BX315" s="59"/>
      <c r="BY315" s="58" t="str">
        <f t="shared" si="168"/>
        <v/>
      </c>
      <c r="BZ315" s="59"/>
    </row>
    <row r="316" spans="1:78" ht="14.5" hidden="1">
      <c r="A316" s="51" t="s">
        <v>58</v>
      </c>
      <c r="B316" s="52">
        <v>383</v>
      </c>
      <c r="C316" s="52" t="s">
        <v>188</v>
      </c>
      <c r="D316" s="41">
        <f t="shared" si="142"/>
        <v>6</v>
      </c>
      <c r="E316" s="170" t="s">
        <v>679</v>
      </c>
      <c r="F316" s="41" t="s">
        <v>631</v>
      </c>
      <c r="G316" s="52" t="s">
        <v>502</v>
      </c>
      <c r="H316" s="52" t="s">
        <v>289</v>
      </c>
      <c r="I316" s="52" t="s">
        <v>155</v>
      </c>
      <c r="J316" s="52" t="s">
        <v>503</v>
      </c>
      <c r="K316" s="53">
        <v>45695</v>
      </c>
      <c r="L316" s="108">
        <v>2160</v>
      </c>
      <c r="M316" s="101"/>
      <c r="N316" s="101"/>
      <c r="O316" s="107">
        <f t="shared" si="172"/>
        <v>2160</v>
      </c>
      <c r="P316" s="54">
        <f t="shared" si="173"/>
        <v>2160</v>
      </c>
      <c r="Q316" s="101" t="s">
        <v>506</v>
      </c>
      <c r="R316" s="101"/>
      <c r="S316" s="101"/>
      <c r="T316" s="102">
        <f t="shared" si="143"/>
        <v>11.25</v>
      </c>
      <c r="U316" s="102">
        <v>6</v>
      </c>
      <c r="V316" s="99">
        <f>480/15</f>
        <v>32</v>
      </c>
      <c r="W316" s="55">
        <f t="shared" si="174"/>
        <v>45675</v>
      </c>
      <c r="X316" s="55"/>
      <c r="Y316" s="56">
        <f t="shared" ca="1" si="175"/>
        <v>-165</v>
      </c>
      <c r="Z316" s="55">
        <f t="shared" si="171"/>
        <v>45691</v>
      </c>
      <c r="AA316" s="55"/>
      <c r="AB316" s="56">
        <f t="shared" ca="1" si="176"/>
        <v>-149</v>
      </c>
      <c r="AC316" s="55"/>
      <c r="AD316" s="57"/>
      <c r="AE316" s="58" t="str">
        <f t="shared" si="145"/>
        <v>-</v>
      </c>
      <c r="AF316" s="59"/>
      <c r="AG316" s="58" t="str">
        <f t="shared" si="146"/>
        <v/>
      </c>
      <c r="AH316" s="59"/>
      <c r="AI316" s="58" t="str">
        <f t="shared" si="147"/>
        <v/>
      </c>
      <c r="AJ316" s="59"/>
      <c r="AK316" s="58" t="str">
        <f t="shared" si="148"/>
        <v/>
      </c>
      <c r="AL316" s="59"/>
      <c r="AM316" s="58" t="str">
        <f t="shared" si="149"/>
        <v/>
      </c>
      <c r="AN316" s="59"/>
      <c r="AO316" s="58" t="str">
        <f t="shared" si="150"/>
        <v/>
      </c>
      <c r="AP316" s="59"/>
      <c r="AQ316" s="58" t="str">
        <f t="shared" si="151"/>
        <v/>
      </c>
      <c r="AR316" s="59"/>
      <c r="AS316" s="58" t="str">
        <f t="shared" si="152"/>
        <v/>
      </c>
      <c r="AT316" s="59"/>
      <c r="AU316" s="58" t="str">
        <f t="shared" si="153"/>
        <v/>
      </c>
      <c r="AV316" s="59"/>
      <c r="AW316" s="58" t="str">
        <f t="shared" si="154"/>
        <v/>
      </c>
      <c r="AX316" s="59"/>
      <c r="AY316" s="58" t="str">
        <f t="shared" si="155"/>
        <v/>
      </c>
      <c r="AZ316" s="59"/>
      <c r="BA316" s="58" t="str">
        <f t="shared" si="156"/>
        <v/>
      </c>
      <c r="BB316" s="59"/>
      <c r="BC316" s="58" t="str">
        <f t="shared" si="157"/>
        <v/>
      </c>
      <c r="BD316" s="59"/>
      <c r="BE316" s="58" t="str">
        <f t="shared" si="158"/>
        <v/>
      </c>
      <c r="BF316" s="59"/>
      <c r="BG316" s="58">
        <f t="shared" si="159"/>
        <v>2160</v>
      </c>
      <c r="BH316" s="59"/>
      <c r="BI316" s="58" t="str">
        <f t="shared" si="160"/>
        <v/>
      </c>
      <c r="BJ316" s="59"/>
      <c r="BK316" s="58" t="str">
        <f t="shared" si="161"/>
        <v/>
      </c>
      <c r="BL316" s="59"/>
      <c r="BM316" s="58" t="str">
        <f t="shared" si="162"/>
        <v/>
      </c>
      <c r="BN316" s="59"/>
      <c r="BO316" s="58" t="str">
        <f t="shared" si="163"/>
        <v/>
      </c>
      <c r="BP316" s="59"/>
      <c r="BQ316" s="58" t="str">
        <f t="shared" si="164"/>
        <v/>
      </c>
      <c r="BR316" s="59"/>
      <c r="BS316" s="58" t="str">
        <f t="shared" si="165"/>
        <v/>
      </c>
      <c r="BT316" s="59"/>
      <c r="BU316" s="58" t="str">
        <f t="shared" si="166"/>
        <v/>
      </c>
      <c r="BV316" s="59"/>
      <c r="BW316" s="58" t="str">
        <f t="shared" si="167"/>
        <v/>
      </c>
      <c r="BX316" s="59"/>
      <c r="BY316" s="58" t="str">
        <f t="shared" si="168"/>
        <v/>
      </c>
      <c r="BZ316" s="59"/>
    </row>
    <row r="317" spans="1:78" ht="14.5" hidden="1">
      <c r="A317" s="51" t="s">
        <v>58</v>
      </c>
      <c r="B317" s="52">
        <v>383</v>
      </c>
      <c r="C317" s="52" t="s">
        <v>188</v>
      </c>
      <c r="D317" s="41">
        <f t="shared" si="142"/>
        <v>6</v>
      </c>
      <c r="E317" s="170" t="s">
        <v>679</v>
      </c>
      <c r="F317" s="41" t="s">
        <v>631</v>
      </c>
      <c r="G317" s="52" t="s">
        <v>502</v>
      </c>
      <c r="H317" s="52" t="s">
        <v>289</v>
      </c>
      <c r="I317" s="52" t="s">
        <v>154</v>
      </c>
      <c r="J317" s="52" t="s">
        <v>503</v>
      </c>
      <c r="K317" s="53">
        <v>45695</v>
      </c>
      <c r="L317" s="108">
        <v>1800</v>
      </c>
      <c r="M317" s="101"/>
      <c r="N317" s="101"/>
      <c r="O317" s="107">
        <f t="shared" si="172"/>
        <v>1800</v>
      </c>
      <c r="P317" s="54">
        <f t="shared" si="173"/>
        <v>1800</v>
      </c>
      <c r="Q317" s="101" t="s">
        <v>506</v>
      </c>
      <c r="R317" s="101"/>
      <c r="S317" s="101"/>
      <c r="T317" s="102">
        <f t="shared" si="143"/>
        <v>9.375</v>
      </c>
      <c r="U317" s="102">
        <v>6</v>
      </c>
      <c r="V317" s="99">
        <f>480/15</f>
        <v>32</v>
      </c>
      <c r="W317" s="55">
        <f t="shared" si="174"/>
        <v>45675</v>
      </c>
      <c r="X317" s="55"/>
      <c r="Y317" s="56">
        <f t="shared" ca="1" si="175"/>
        <v>-165</v>
      </c>
      <c r="Z317" s="55">
        <f t="shared" si="171"/>
        <v>45691</v>
      </c>
      <c r="AA317" s="55"/>
      <c r="AB317" s="56">
        <f t="shared" ca="1" si="176"/>
        <v>-149</v>
      </c>
      <c r="AC317" s="55"/>
      <c r="AD317" s="57"/>
      <c r="AE317" s="58" t="str">
        <f t="shared" si="145"/>
        <v>-</v>
      </c>
      <c r="AF317" s="59"/>
      <c r="AG317" s="58" t="str">
        <f t="shared" si="146"/>
        <v/>
      </c>
      <c r="AH317" s="59"/>
      <c r="AI317" s="58" t="str">
        <f t="shared" si="147"/>
        <v/>
      </c>
      <c r="AJ317" s="59"/>
      <c r="AK317" s="58" t="str">
        <f t="shared" si="148"/>
        <v/>
      </c>
      <c r="AL317" s="59"/>
      <c r="AM317" s="58" t="str">
        <f t="shared" si="149"/>
        <v/>
      </c>
      <c r="AN317" s="59"/>
      <c r="AO317" s="58" t="str">
        <f t="shared" si="150"/>
        <v/>
      </c>
      <c r="AP317" s="59"/>
      <c r="AQ317" s="58" t="str">
        <f t="shared" si="151"/>
        <v/>
      </c>
      <c r="AR317" s="59"/>
      <c r="AS317" s="58" t="str">
        <f t="shared" si="152"/>
        <v/>
      </c>
      <c r="AT317" s="59"/>
      <c r="AU317" s="58" t="str">
        <f t="shared" si="153"/>
        <v/>
      </c>
      <c r="AV317" s="59"/>
      <c r="AW317" s="58" t="str">
        <f t="shared" si="154"/>
        <v/>
      </c>
      <c r="AX317" s="59"/>
      <c r="AY317" s="58" t="str">
        <f t="shared" si="155"/>
        <v/>
      </c>
      <c r="AZ317" s="59"/>
      <c r="BA317" s="58" t="str">
        <f t="shared" si="156"/>
        <v/>
      </c>
      <c r="BB317" s="59"/>
      <c r="BC317" s="58" t="str">
        <f t="shared" si="157"/>
        <v/>
      </c>
      <c r="BD317" s="59"/>
      <c r="BE317" s="58" t="str">
        <f t="shared" si="158"/>
        <v/>
      </c>
      <c r="BF317" s="59"/>
      <c r="BG317" s="58">
        <f t="shared" si="159"/>
        <v>1800</v>
      </c>
      <c r="BH317" s="59"/>
      <c r="BI317" s="58" t="str">
        <f t="shared" si="160"/>
        <v/>
      </c>
      <c r="BJ317" s="59"/>
      <c r="BK317" s="58" t="str">
        <f t="shared" si="161"/>
        <v/>
      </c>
      <c r="BL317" s="59"/>
      <c r="BM317" s="58" t="str">
        <f t="shared" si="162"/>
        <v/>
      </c>
      <c r="BN317" s="59"/>
      <c r="BO317" s="58" t="str">
        <f t="shared" si="163"/>
        <v/>
      </c>
      <c r="BP317" s="59"/>
      <c r="BQ317" s="58" t="str">
        <f t="shared" si="164"/>
        <v/>
      </c>
      <c r="BR317" s="59"/>
      <c r="BS317" s="58" t="str">
        <f t="shared" si="165"/>
        <v/>
      </c>
      <c r="BT317" s="59"/>
      <c r="BU317" s="58" t="str">
        <f t="shared" si="166"/>
        <v/>
      </c>
      <c r="BV317" s="59"/>
      <c r="BW317" s="58" t="str">
        <f t="shared" si="167"/>
        <v/>
      </c>
      <c r="BX317" s="59"/>
      <c r="BY317" s="58" t="str">
        <f t="shared" si="168"/>
        <v/>
      </c>
      <c r="BZ317" s="59"/>
    </row>
    <row r="318" spans="1:78" ht="14.5" hidden="1">
      <c r="A318" s="51" t="s">
        <v>58</v>
      </c>
      <c r="B318" s="52">
        <v>383</v>
      </c>
      <c r="C318" s="52" t="s">
        <v>188</v>
      </c>
      <c r="D318" s="41">
        <f t="shared" si="142"/>
        <v>6</v>
      </c>
      <c r="E318" s="170" t="s">
        <v>679</v>
      </c>
      <c r="F318" s="41" t="s">
        <v>631</v>
      </c>
      <c r="G318" s="52" t="s">
        <v>502</v>
      </c>
      <c r="H318" s="52" t="s">
        <v>289</v>
      </c>
      <c r="I318" s="52" t="s">
        <v>156</v>
      </c>
      <c r="J318" s="52" t="s">
        <v>503</v>
      </c>
      <c r="K318" s="53">
        <v>45695</v>
      </c>
      <c r="L318" s="108">
        <v>1440</v>
      </c>
      <c r="M318" s="101"/>
      <c r="N318" s="101"/>
      <c r="O318" s="107">
        <f t="shared" si="172"/>
        <v>1440</v>
      </c>
      <c r="P318" s="54">
        <f t="shared" si="173"/>
        <v>1440</v>
      </c>
      <c r="Q318" s="101" t="s">
        <v>506</v>
      </c>
      <c r="R318" s="101"/>
      <c r="S318" s="101"/>
      <c r="T318" s="102">
        <f t="shared" si="143"/>
        <v>7.5</v>
      </c>
      <c r="U318" s="102">
        <v>6</v>
      </c>
      <c r="V318" s="99">
        <f>480/15</f>
        <v>32</v>
      </c>
      <c r="W318" s="55">
        <f t="shared" si="174"/>
        <v>45675</v>
      </c>
      <c r="X318" s="55"/>
      <c r="Y318" s="56">
        <f t="shared" ca="1" si="175"/>
        <v>-165</v>
      </c>
      <c r="Z318" s="55">
        <f t="shared" si="171"/>
        <v>45691</v>
      </c>
      <c r="AA318" s="55"/>
      <c r="AB318" s="56">
        <f t="shared" ca="1" si="176"/>
        <v>-149</v>
      </c>
      <c r="AC318" s="55"/>
      <c r="AD318" s="57"/>
      <c r="AE318" s="58" t="str">
        <f t="shared" si="145"/>
        <v>-</v>
      </c>
      <c r="AF318" s="59"/>
      <c r="AG318" s="58" t="str">
        <f t="shared" si="146"/>
        <v/>
      </c>
      <c r="AH318" s="59"/>
      <c r="AI318" s="58" t="str">
        <f t="shared" si="147"/>
        <v/>
      </c>
      <c r="AJ318" s="59"/>
      <c r="AK318" s="58" t="str">
        <f t="shared" si="148"/>
        <v/>
      </c>
      <c r="AL318" s="59"/>
      <c r="AM318" s="58" t="str">
        <f t="shared" si="149"/>
        <v/>
      </c>
      <c r="AN318" s="59"/>
      <c r="AO318" s="58" t="str">
        <f t="shared" si="150"/>
        <v/>
      </c>
      <c r="AP318" s="59"/>
      <c r="AQ318" s="58" t="str">
        <f t="shared" si="151"/>
        <v/>
      </c>
      <c r="AR318" s="59"/>
      <c r="AS318" s="58" t="str">
        <f t="shared" si="152"/>
        <v/>
      </c>
      <c r="AT318" s="59"/>
      <c r="AU318" s="58" t="str">
        <f t="shared" si="153"/>
        <v/>
      </c>
      <c r="AV318" s="59"/>
      <c r="AW318" s="58" t="str">
        <f t="shared" si="154"/>
        <v/>
      </c>
      <c r="AX318" s="59"/>
      <c r="AY318" s="58" t="str">
        <f t="shared" si="155"/>
        <v/>
      </c>
      <c r="AZ318" s="59"/>
      <c r="BA318" s="58" t="str">
        <f t="shared" si="156"/>
        <v/>
      </c>
      <c r="BB318" s="59"/>
      <c r="BC318" s="58" t="str">
        <f t="shared" si="157"/>
        <v/>
      </c>
      <c r="BD318" s="59"/>
      <c r="BE318" s="58" t="str">
        <f t="shared" si="158"/>
        <v/>
      </c>
      <c r="BF318" s="59"/>
      <c r="BG318" s="58">
        <f t="shared" si="159"/>
        <v>1440</v>
      </c>
      <c r="BH318" s="59"/>
      <c r="BI318" s="58" t="str">
        <f t="shared" si="160"/>
        <v/>
      </c>
      <c r="BJ318" s="59"/>
      <c r="BK318" s="58" t="str">
        <f t="shared" si="161"/>
        <v/>
      </c>
      <c r="BL318" s="59"/>
      <c r="BM318" s="58" t="str">
        <f t="shared" si="162"/>
        <v/>
      </c>
      <c r="BN318" s="59"/>
      <c r="BO318" s="58" t="str">
        <f t="shared" si="163"/>
        <v/>
      </c>
      <c r="BP318" s="59"/>
      <c r="BQ318" s="58" t="str">
        <f t="shared" si="164"/>
        <v/>
      </c>
      <c r="BR318" s="59"/>
      <c r="BS318" s="58" t="str">
        <f t="shared" si="165"/>
        <v/>
      </c>
      <c r="BT318" s="59"/>
      <c r="BU318" s="58" t="str">
        <f t="shared" si="166"/>
        <v/>
      </c>
      <c r="BV318" s="59"/>
      <c r="BW318" s="58" t="str">
        <f t="shared" si="167"/>
        <v/>
      </c>
      <c r="BX318" s="59"/>
      <c r="BY318" s="58" t="str">
        <f t="shared" si="168"/>
        <v/>
      </c>
      <c r="BZ318" s="59"/>
    </row>
    <row r="319" spans="1:78" ht="14.5" hidden="1">
      <c r="A319" s="51" t="s">
        <v>58</v>
      </c>
      <c r="B319" s="52">
        <v>399</v>
      </c>
      <c r="C319" s="52" t="s">
        <v>188</v>
      </c>
      <c r="D319" s="41">
        <f t="shared" si="142"/>
        <v>6</v>
      </c>
      <c r="E319" s="170">
        <v>45664</v>
      </c>
      <c r="F319" s="41" t="s">
        <v>631</v>
      </c>
      <c r="G319" s="52" t="s">
        <v>81</v>
      </c>
      <c r="H319" s="52" t="s">
        <v>290</v>
      </c>
      <c r="I319" s="52" t="s">
        <v>291</v>
      </c>
      <c r="J319" s="52" t="s">
        <v>435</v>
      </c>
      <c r="K319" s="53">
        <v>45695</v>
      </c>
      <c r="L319" s="108">
        <v>1704</v>
      </c>
      <c r="M319" s="101"/>
      <c r="N319" s="101"/>
      <c r="O319" s="107">
        <f t="shared" si="172"/>
        <v>1704</v>
      </c>
      <c r="P319" s="54">
        <f t="shared" si="173"/>
        <v>1704</v>
      </c>
      <c r="Q319" s="101" t="s">
        <v>436</v>
      </c>
      <c r="R319" s="101"/>
      <c r="S319" s="101"/>
      <c r="T319" s="102">
        <f t="shared" si="143"/>
        <v>0.16666666666666666</v>
      </c>
      <c r="U319" s="102">
        <v>6</v>
      </c>
      <c r="V319" s="100">
        <v>1704</v>
      </c>
      <c r="W319" s="55">
        <f t="shared" si="174"/>
        <v>45675</v>
      </c>
      <c r="X319" s="55"/>
      <c r="Y319" s="56">
        <f t="shared" ca="1" si="175"/>
        <v>-165</v>
      </c>
      <c r="Z319" s="55">
        <f t="shared" si="171"/>
        <v>45691</v>
      </c>
      <c r="AA319" s="55"/>
      <c r="AB319" s="56">
        <f t="shared" ca="1" si="176"/>
        <v>-149</v>
      </c>
      <c r="AC319" s="55"/>
      <c r="AD319" s="57"/>
      <c r="AE319" s="58" t="str">
        <f t="shared" si="145"/>
        <v>-</v>
      </c>
      <c r="AF319" s="59"/>
      <c r="AG319" s="58" t="str">
        <f t="shared" si="146"/>
        <v/>
      </c>
      <c r="AH319" s="59"/>
      <c r="AI319" s="58" t="str">
        <f t="shared" si="147"/>
        <v/>
      </c>
      <c r="AJ319" s="59"/>
      <c r="AK319" s="58" t="str">
        <f t="shared" si="148"/>
        <v/>
      </c>
      <c r="AL319" s="59"/>
      <c r="AM319" s="58" t="str">
        <f t="shared" si="149"/>
        <v/>
      </c>
      <c r="AN319" s="59"/>
      <c r="AO319" s="58" t="str">
        <f t="shared" si="150"/>
        <v/>
      </c>
      <c r="AP319" s="59"/>
      <c r="AQ319" s="58" t="str">
        <f t="shared" si="151"/>
        <v/>
      </c>
      <c r="AR319" s="59"/>
      <c r="AS319" s="58" t="str">
        <f t="shared" si="152"/>
        <v/>
      </c>
      <c r="AT319" s="59"/>
      <c r="AU319" s="58" t="str">
        <f t="shared" si="153"/>
        <v/>
      </c>
      <c r="AV319" s="59"/>
      <c r="AW319" s="58" t="str">
        <f t="shared" si="154"/>
        <v/>
      </c>
      <c r="AX319" s="59"/>
      <c r="AY319" s="58" t="str">
        <f t="shared" si="155"/>
        <v/>
      </c>
      <c r="AZ319" s="59"/>
      <c r="BA319" s="58" t="str">
        <f t="shared" si="156"/>
        <v/>
      </c>
      <c r="BB319" s="59"/>
      <c r="BC319" s="58" t="str">
        <f t="shared" si="157"/>
        <v/>
      </c>
      <c r="BD319" s="59"/>
      <c r="BE319" s="58" t="str">
        <f t="shared" si="158"/>
        <v/>
      </c>
      <c r="BF319" s="59"/>
      <c r="BG319" s="58">
        <f t="shared" si="159"/>
        <v>1704</v>
      </c>
      <c r="BH319" s="59"/>
      <c r="BI319" s="58" t="str">
        <f t="shared" si="160"/>
        <v/>
      </c>
      <c r="BJ319" s="59"/>
      <c r="BK319" s="58" t="str">
        <f t="shared" si="161"/>
        <v/>
      </c>
      <c r="BL319" s="59"/>
      <c r="BM319" s="58" t="str">
        <f t="shared" si="162"/>
        <v/>
      </c>
      <c r="BN319" s="59"/>
      <c r="BO319" s="58" t="str">
        <f t="shared" si="163"/>
        <v/>
      </c>
      <c r="BP319" s="59"/>
      <c r="BQ319" s="58" t="str">
        <f t="shared" si="164"/>
        <v/>
      </c>
      <c r="BR319" s="59"/>
      <c r="BS319" s="58" t="str">
        <f t="shared" si="165"/>
        <v/>
      </c>
      <c r="BT319" s="59"/>
      <c r="BU319" s="58" t="str">
        <f t="shared" si="166"/>
        <v/>
      </c>
      <c r="BV319" s="59"/>
      <c r="BW319" s="58" t="str">
        <f t="shared" si="167"/>
        <v/>
      </c>
      <c r="BX319" s="59"/>
      <c r="BY319" s="58" t="str">
        <f t="shared" si="168"/>
        <v/>
      </c>
      <c r="BZ319" s="59"/>
    </row>
    <row r="320" spans="1:78" ht="14.5" hidden="1">
      <c r="A320" s="51" t="s">
        <v>58</v>
      </c>
      <c r="B320" s="52">
        <v>399</v>
      </c>
      <c r="C320" s="52" t="s">
        <v>188</v>
      </c>
      <c r="D320" s="41">
        <f t="shared" si="142"/>
        <v>6</v>
      </c>
      <c r="E320" s="170">
        <v>45664</v>
      </c>
      <c r="F320" s="41" t="s">
        <v>631</v>
      </c>
      <c r="G320" s="52" t="s">
        <v>81</v>
      </c>
      <c r="H320" s="52" t="s">
        <v>290</v>
      </c>
      <c r="I320" s="52" t="s">
        <v>293</v>
      </c>
      <c r="J320" s="52" t="s">
        <v>435</v>
      </c>
      <c r="K320" s="53">
        <v>45695</v>
      </c>
      <c r="L320" s="108">
        <v>1704</v>
      </c>
      <c r="M320" s="101"/>
      <c r="N320" s="101"/>
      <c r="O320" s="107">
        <f t="shared" si="172"/>
        <v>1704</v>
      </c>
      <c r="P320" s="54">
        <f t="shared" si="173"/>
        <v>1704</v>
      </c>
      <c r="Q320" s="101" t="s">
        <v>436</v>
      </c>
      <c r="R320" s="101"/>
      <c r="S320" s="101"/>
      <c r="T320" s="102">
        <f t="shared" si="143"/>
        <v>0.16666666666666666</v>
      </c>
      <c r="U320" s="102">
        <v>6</v>
      </c>
      <c r="V320" s="100">
        <v>1704</v>
      </c>
      <c r="W320" s="55">
        <f t="shared" si="174"/>
        <v>45675</v>
      </c>
      <c r="X320" s="55"/>
      <c r="Y320" s="56">
        <f t="shared" ca="1" si="175"/>
        <v>-165</v>
      </c>
      <c r="Z320" s="55">
        <f t="shared" si="171"/>
        <v>45691</v>
      </c>
      <c r="AA320" s="55"/>
      <c r="AB320" s="56">
        <f t="shared" ca="1" si="176"/>
        <v>-149</v>
      </c>
      <c r="AC320" s="55"/>
      <c r="AD320" s="57"/>
      <c r="AE320" s="58" t="str">
        <f t="shared" si="145"/>
        <v>-</v>
      </c>
      <c r="AF320" s="59"/>
      <c r="AG320" s="58" t="str">
        <f t="shared" si="146"/>
        <v/>
      </c>
      <c r="AH320" s="59"/>
      <c r="AI320" s="58" t="str">
        <f t="shared" si="147"/>
        <v/>
      </c>
      <c r="AJ320" s="59"/>
      <c r="AK320" s="58" t="str">
        <f t="shared" si="148"/>
        <v/>
      </c>
      <c r="AL320" s="59"/>
      <c r="AM320" s="58" t="str">
        <f t="shared" si="149"/>
        <v/>
      </c>
      <c r="AN320" s="59"/>
      <c r="AO320" s="58" t="str">
        <f t="shared" si="150"/>
        <v/>
      </c>
      <c r="AP320" s="59"/>
      <c r="AQ320" s="58" t="str">
        <f t="shared" si="151"/>
        <v/>
      </c>
      <c r="AR320" s="59"/>
      <c r="AS320" s="58" t="str">
        <f t="shared" si="152"/>
        <v/>
      </c>
      <c r="AT320" s="59"/>
      <c r="AU320" s="58" t="str">
        <f t="shared" si="153"/>
        <v/>
      </c>
      <c r="AV320" s="59"/>
      <c r="AW320" s="58" t="str">
        <f t="shared" si="154"/>
        <v/>
      </c>
      <c r="AX320" s="59"/>
      <c r="AY320" s="58" t="str">
        <f t="shared" si="155"/>
        <v/>
      </c>
      <c r="AZ320" s="59"/>
      <c r="BA320" s="58" t="str">
        <f t="shared" si="156"/>
        <v/>
      </c>
      <c r="BB320" s="59"/>
      <c r="BC320" s="58" t="str">
        <f t="shared" si="157"/>
        <v/>
      </c>
      <c r="BD320" s="59"/>
      <c r="BE320" s="58" t="str">
        <f t="shared" si="158"/>
        <v/>
      </c>
      <c r="BF320" s="59"/>
      <c r="BG320" s="58">
        <f t="shared" si="159"/>
        <v>1704</v>
      </c>
      <c r="BH320" s="59"/>
      <c r="BI320" s="58" t="str">
        <f t="shared" si="160"/>
        <v/>
      </c>
      <c r="BJ320" s="59"/>
      <c r="BK320" s="58" t="str">
        <f t="shared" si="161"/>
        <v/>
      </c>
      <c r="BL320" s="59"/>
      <c r="BM320" s="58" t="str">
        <f t="shared" si="162"/>
        <v/>
      </c>
      <c r="BN320" s="59"/>
      <c r="BO320" s="58" t="str">
        <f t="shared" si="163"/>
        <v/>
      </c>
      <c r="BP320" s="59"/>
      <c r="BQ320" s="58" t="str">
        <f t="shared" si="164"/>
        <v/>
      </c>
      <c r="BR320" s="59"/>
      <c r="BS320" s="58" t="str">
        <f t="shared" si="165"/>
        <v/>
      </c>
      <c r="BT320" s="59"/>
      <c r="BU320" s="58" t="str">
        <f t="shared" si="166"/>
        <v/>
      </c>
      <c r="BV320" s="59"/>
      <c r="BW320" s="58" t="str">
        <f t="shared" si="167"/>
        <v/>
      </c>
      <c r="BX320" s="59"/>
      <c r="BY320" s="58" t="str">
        <f t="shared" si="168"/>
        <v/>
      </c>
      <c r="BZ320" s="59"/>
    </row>
    <row r="321" spans="1:78" ht="14.5" hidden="1">
      <c r="A321" s="51" t="s">
        <v>58</v>
      </c>
      <c r="B321" s="52">
        <v>399</v>
      </c>
      <c r="C321" s="52" t="s">
        <v>188</v>
      </c>
      <c r="D321" s="41">
        <f t="shared" si="142"/>
        <v>6</v>
      </c>
      <c r="E321" s="170">
        <v>45664</v>
      </c>
      <c r="F321" s="41" t="s">
        <v>631</v>
      </c>
      <c r="G321" s="52" t="s">
        <v>81</v>
      </c>
      <c r="H321" s="52" t="s">
        <v>290</v>
      </c>
      <c r="I321" s="52" t="s">
        <v>294</v>
      </c>
      <c r="J321" s="52" t="s">
        <v>435</v>
      </c>
      <c r="K321" s="53">
        <v>45695</v>
      </c>
      <c r="L321" s="108">
        <v>1704</v>
      </c>
      <c r="M321" s="101"/>
      <c r="N321" s="101"/>
      <c r="O321" s="107">
        <f t="shared" si="172"/>
        <v>1704</v>
      </c>
      <c r="P321" s="54">
        <f t="shared" si="173"/>
        <v>1704</v>
      </c>
      <c r="Q321" s="101" t="s">
        <v>436</v>
      </c>
      <c r="R321" s="101"/>
      <c r="S321" s="101"/>
      <c r="T321" s="102">
        <f t="shared" si="143"/>
        <v>0.16666666666666666</v>
      </c>
      <c r="U321" s="102">
        <v>6</v>
      </c>
      <c r="V321" s="100">
        <v>1704</v>
      </c>
      <c r="W321" s="55">
        <f t="shared" si="174"/>
        <v>45675</v>
      </c>
      <c r="X321" s="55"/>
      <c r="Y321" s="56">
        <f t="shared" ca="1" si="175"/>
        <v>-165</v>
      </c>
      <c r="Z321" s="55">
        <f t="shared" si="171"/>
        <v>45691</v>
      </c>
      <c r="AA321" s="55"/>
      <c r="AB321" s="56">
        <f t="shared" ca="1" si="176"/>
        <v>-149</v>
      </c>
      <c r="AC321" s="55"/>
      <c r="AD321" s="57"/>
      <c r="AE321" s="58" t="str">
        <f t="shared" si="145"/>
        <v>-</v>
      </c>
      <c r="AF321" s="59"/>
      <c r="AG321" s="58" t="str">
        <f t="shared" si="146"/>
        <v/>
      </c>
      <c r="AH321" s="59"/>
      <c r="AI321" s="58" t="str">
        <f t="shared" si="147"/>
        <v/>
      </c>
      <c r="AJ321" s="59"/>
      <c r="AK321" s="58" t="str">
        <f t="shared" si="148"/>
        <v/>
      </c>
      <c r="AL321" s="59"/>
      <c r="AM321" s="58" t="str">
        <f t="shared" si="149"/>
        <v/>
      </c>
      <c r="AN321" s="59"/>
      <c r="AO321" s="58" t="str">
        <f t="shared" si="150"/>
        <v/>
      </c>
      <c r="AP321" s="59"/>
      <c r="AQ321" s="58" t="str">
        <f t="shared" si="151"/>
        <v/>
      </c>
      <c r="AR321" s="59"/>
      <c r="AS321" s="58" t="str">
        <f t="shared" si="152"/>
        <v/>
      </c>
      <c r="AT321" s="59"/>
      <c r="AU321" s="58" t="str">
        <f t="shared" si="153"/>
        <v/>
      </c>
      <c r="AV321" s="59"/>
      <c r="AW321" s="58" t="str">
        <f t="shared" si="154"/>
        <v/>
      </c>
      <c r="AX321" s="59"/>
      <c r="AY321" s="58" t="str">
        <f t="shared" si="155"/>
        <v/>
      </c>
      <c r="AZ321" s="59"/>
      <c r="BA321" s="58" t="str">
        <f t="shared" si="156"/>
        <v/>
      </c>
      <c r="BB321" s="59"/>
      <c r="BC321" s="58" t="str">
        <f t="shared" si="157"/>
        <v/>
      </c>
      <c r="BD321" s="59"/>
      <c r="BE321" s="58" t="str">
        <f t="shared" si="158"/>
        <v/>
      </c>
      <c r="BF321" s="59"/>
      <c r="BG321" s="58">
        <f t="shared" si="159"/>
        <v>1704</v>
      </c>
      <c r="BH321" s="59"/>
      <c r="BI321" s="58" t="str">
        <f t="shared" si="160"/>
        <v/>
      </c>
      <c r="BJ321" s="59"/>
      <c r="BK321" s="58" t="str">
        <f t="shared" si="161"/>
        <v/>
      </c>
      <c r="BL321" s="59"/>
      <c r="BM321" s="58" t="str">
        <f t="shared" si="162"/>
        <v/>
      </c>
      <c r="BN321" s="59"/>
      <c r="BO321" s="58" t="str">
        <f t="shared" si="163"/>
        <v/>
      </c>
      <c r="BP321" s="59"/>
      <c r="BQ321" s="58" t="str">
        <f t="shared" si="164"/>
        <v/>
      </c>
      <c r="BR321" s="59"/>
      <c r="BS321" s="58" t="str">
        <f t="shared" si="165"/>
        <v/>
      </c>
      <c r="BT321" s="59"/>
      <c r="BU321" s="58" t="str">
        <f t="shared" si="166"/>
        <v/>
      </c>
      <c r="BV321" s="59"/>
      <c r="BW321" s="58" t="str">
        <f t="shared" si="167"/>
        <v/>
      </c>
      <c r="BX321" s="59"/>
      <c r="BY321" s="58" t="str">
        <f t="shared" si="168"/>
        <v/>
      </c>
      <c r="BZ321" s="59"/>
    </row>
    <row r="322" spans="1:78" ht="14.5" hidden="1">
      <c r="A322" s="51" t="s">
        <v>58</v>
      </c>
      <c r="B322" s="52">
        <v>399</v>
      </c>
      <c r="C322" s="52" t="s">
        <v>188</v>
      </c>
      <c r="D322" s="41">
        <f t="shared" si="142"/>
        <v>6</v>
      </c>
      <c r="E322" s="170" t="s">
        <v>679</v>
      </c>
      <c r="F322" s="41" t="s">
        <v>631</v>
      </c>
      <c r="G322" s="52" t="s">
        <v>502</v>
      </c>
      <c r="H322" s="52" t="s">
        <v>289</v>
      </c>
      <c r="I322" s="52" t="s">
        <v>155</v>
      </c>
      <c r="J322" s="52" t="s">
        <v>561</v>
      </c>
      <c r="K322" s="53">
        <v>45695</v>
      </c>
      <c r="L322" s="108">
        <v>2244</v>
      </c>
      <c r="M322" s="101"/>
      <c r="N322" s="101"/>
      <c r="O322" s="107">
        <f t="shared" si="172"/>
        <v>2244</v>
      </c>
      <c r="P322" s="54">
        <f t="shared" si="173"/>
        <v>2244</v>
      </c>
      <c r="Q322" s="101" t="s">
        <v>565</v>
      </c>
      <c r="R322" s="101"/>
      <c r="S322" s="101"/>
      <c r="T322" s="102">
        <f t="shared" si="143"/>
        <v>11.6875</v>
      </c>
      <c r="U322" s="102">
        <v>6</v>
      </c>
      <c r="V322" s="99">
        <f>480/15</f>
        <v>32</v>
      </c>
      <c r="W322" s="55">
        <f t="shared" si="174"/>
        <v>45675</v>
      </c>
      <c r="X322" s="55"/>
      <c r="Y322" s="56">
        <f t="shared" ca="1" si="175"/>
        <v>-165</v>
      </c>
      <c r="Z322" s="55">
        <f t="shared" si="171"/>
        <v>45691</v>
      </c>
      <c r="AA322" s="55"/>
      <c r="AB322" s="56">
        <f t="shared" ca="1" si="176"/>
        <v>-149</v>
      </c>
      <c r="AC322" s="55"/>
      <c r="AD322" s="57"/>
      <c r="AE322" s="58" t="str">
        <f t="shared" si="145"/>
        <v>-</v>
      </c>
      <c r="AF322" s="59"/>
      <c r="AG322" s="58" t="str">
        <f t="shared" si="146"/>
        <v/>
      </c>
      <c r="AH322" s="59"/>
      <c r="AI322" s="58" t="str">
        <f t="shared" si="147"/>
        <v/>
      </c>
      <c r="AJ322" s="59"/>
      <c r="AK322" s="58" t="str">
        <f t="shared" si="148"/>
        <v/>
      </c>
      <c r="AL322" s="59"/>
      <c r="AM322" s="58" t="str">
        <f t="shared" si="149"/>
        <v/>
      </c>
      <c r="AN322" s="59"/>
      <c r="AO322" s="58" t="str">
        <f t="shared" si="150"/>
        <v/>
      </c>
      <c r="AP322" s="59"/>
      <c r="AQ322" s="58" t="str">
        <f t="shared" si="151"/>
        <v/>
      </c>
      <c r="AR322" s="59"/>
      <c r="AS322" s="58" t="str">
        <f t="shared" si="152"/>
        <v/>
      </c>
      <c r="AT322" s="59"/>
      <c r="AU322" s="58" t="str">
        <f t="shared" si="153"/>
        <v/>
      </c>
      <c r="AV322" s="59"/>
      <c r="AW322" s="58" t="str">
        <f t="shared" si="154"/>
        <v/>
      </c>
      <c r="AX322" s="59"/>
      <c r="AY322" s="58" t="str">
        <f t="shared" si="155"/>
        <v/>
      </c>
      <c r="AZ322" s="59"/>
      <c r="BA322" s="58" t="str">
        <f t="shared" si="156"/>
        <v/>
      </c>
      <c r="BB322" s="59"/>
      <c r="BC322" s="58" t="str">
        <f t="shared" si="157"/>
        <v/>
      </c>
      <c r="BD322" s="59"/>
      <c r="BE322" s="58" t="str">
        <f t="shared" si="158"/>
        <v/>
      </c>
      <c r="BF322" s="59"/>
      <c r="BG322" s="58">
        <f t="shared" si="159"/>
        <v>2244</v>
      </c>
      <c r="BH322" s="59"/>
      <c r="BI322" s="58" t="str">
        <f t="shared" si="160"/>
        <v/>
      </c>
      <c r="BJ322" s="59"/>
      <c r="BK322" s="58" t="str">
        <f t="shared" si="161"/>
        <v/>
      </c>
      <c r="BL322" s="59"/>
      <c r="BM322" s="58" t="str">
        <f t="shared" si="162"/>
        <v/>
      </c>
      <c r="BN322" s="59"/>
      <c r="BO322" s="58" t="str">
        <f t="shared" si="163"/>
        <v/>
      </c>
      <c r="BP322" s="59"/>
      <c r="BQ322" s="58" t="str">
        <f t="shared" si="164"/>
        <v/>
      </c>
      <c r="BR322" s="59"/>
      <c r="BS322" s="58" t="str">
        <f t="shared" si="165"/>
        <v/>
      </c>
      <c r="BT322" s="59"/>
      <c r="BU322" s="58" t="str">
        <f t="shared" si="166"/>
        <v/>
      </c>
      <c r="BV322" s="59"/>
      <c r="BW322" s="58" t="str">
        <f t="shared" si="167"/>
        <v/>
      </c>
      <c r="BX322" s="59"/>
      <c r="BY322" s="58" t="str">
        <f t="shared" si="168"/>
        <v/>
      </c>
      <c r="BZ322" s="59"/>
    </row>
    <row r="323" spans="1:78" ht="14.5" hidden="1">
      <c r="A323" s="51" t="s">
        <v>58</v>
      </c>
      <c r="B323" s="52">
        <v>399</v>
      </c>
      <c r="C323" s="52" t="s">
        <v>188</v>
      </c>
      <c r="D323" s="41">
        <f t="shared" si="142"/>
        <v>6</v>
      </c>
      <c r="E323" s="170" t="s">
        <v>679</v>
      </c>
      <c r="F323" s="41" t="s">
        <v>631</v>
      </c>
      <c r="G323" s="52" t="s">
        <v>502</v>
      </c>
      <c r="H323" s="52" t="s">
        <v>289</v>
      </c>
      <c r="I323" s="52" t="s">
        <v>154</v>
      </c>
      <c r="J323" s="52" t="s">
        <v>561</v>
      </c>
      <c r="K323" s="53">
        <v>45695</v>
      </c>
      <c r="L323" s="108">
        <v>1870</v>
      </c>
      <c r="M323" s="101"/>
      <c r="N323" s="101"/>
      <c r="O323" s="107">
        <f t="shared" si="172"/>
        <v>1870</v>
      </c>
      <c r="P323" s="54">
        <f t="shared" si="173"/>
        <v>1870</v>
      </c>
      <c r="Q323" s="101" t="s">
        <v>565</v>
      </c>
      <c r="R323" s="101"/>
      <c r="S323" s="101"/>
      <c r="T323" s="102">
        <f t="shared" si="143"/>
        <v>9.7395833333333339</v>
      </c>
      <c r="U323" s="102">
        <v>6</v>
      </c>
      <c r="V323" s="99">
        <f>480/15</f>
        <v>32</v>
      </c>
      <c r="W323" s="55">
        <f t="shared" si="174"/>
        <v>45675</v>
      </c>
      <c r="X323" s="55"/>
      <c r="Y323" s="56">
        <f t="shared" ca="1" si="175"/>
        <v>-165</v>
      </c>
      <c r="Z323" s="55">
        <f t="shared" si="171"/>
        <v>45691</v>
      </c>
      <c r="AA323" s="55"/>
      <c r="AB323" s="56">
        <f t="shared" ca="1" si="176"/>
        <v>-149</v>
      </c>
      <c r="AC323" s="55"/>
      <c r="AD323" s="57"/>
      <c r="AE323" s="58" t="str">
        <f t="shared" si="145"/>
        <v>-</v>
      </c>
      <c r="AF323" s="59"/>
      <c r="AG323" s="58" t="str">
        <f t="shared" si="146"/>
        <v/>
      </c>
      <c r="AH323" s="59"/>
      <c r="AI323" s="58" t="str">
        <f t="shared" si="147"/>
        <v/>
      </c>
      <c r="AJ323" s="59"/>
      <c r="AK323" s="58" t="str">
        <f t="shared" si="148"/>
        <v/>
      </c>
      <c r="AL323" s="59"/>
      <c r="AM323" s="58" t="str">
        <f t="shared" si="149"/>
        <v/>
      </c>
      <c r="AN323" s="59"/>
      <c r="AO323" s="58" t="str">
        <f t="shared" si="150"/>
        <v/>
      </c>
      <c r="AP323" s="59"/>
      <c r="AQ323" s="58" t="str">
        <f t="shared" si="151"/>
        <v/>
      </c>
      <c r="AR323" s="59"/>
      <c r="AS323" s="58" t="str">
        <f t="shared" si="152"/>
        <v/>
      </c>
      <c r="AT323" s="59"/>
      <c r="AU323" s="58" t="str">
        <f t="shared" si="153"/>
        <v/>
      </c>
      <c r="AV323" s="59"/>
      <c r="AW323" s="58" t="str">
        <f t="shared" si="154"/>
        <v/>
      </c>
      <c r="AX323" s="59"/>
      <c r="AY323" s="58" t="str">
        <f t="shared" si="155"/>
        <v/>
      </c>
      <c r="AZ323" s="59"/>
      <c r="BA323" s="58" t="str">
        <f t="shared" si="156"/>
        <v/>
      </c>
      <c r="BB323" s="59"/>
      <c r="BC323" s="58" t="str">
        <f t="shared" si="157"/>
        <v/>
      </c>
      <c r="BD323" s="59"/>
      <c r="BE323" s="58" t="str">
        <f t="shared" si="158"/>
        <v/>
      </c>
      <c r="BF323" s="59"/>
      <c r="BG323" s="58">
        <f t="shared" si="159"/>
        <v>1870</v>
      </c>
      <c r="BH323" s="59"/>
      <c r="BI323" s="58" t="str">
        <f t="shared" si="160"/>
        <v/>
      </c>
      <c r="BJ323" s="59"/>
      <c r="BK323" s="58" t="str">
        <f t="shared" si="161"/>
        <v/>
      </c>
      <c r="BL323" s="59"/>
      <c r="BM323" s="58" t="str">
        <f t="shared" si="162"/>
        <v/>
      </c>
      <c r="BN323" s="59"/>
      <c r="BO323" s="58" t="str">
        <f t="shared" si="163"/>
        <v/>
      </c>
      <c r="BP323" s="59"/>
      <c r="BQ323" s="58" t="str">
        <f t="shared" si="164"/>
        <v/>
      </c>
      <c r="BR323" s="59"/>
      <c r="BS323" s="58" t="str">
        <f t="shared" si="165"/>
        <v/>
      </c>
      <c r="BT323" s="59"/>
      <c r="BU323" s="58" t="str">
        <f t="shared" si="166"/>
        <v/>
      </c>
      <c r="BV323" s="59"/>
      <c r="BW323" s="58" t="str">
        <f t="shared" si="167"/>
        <v/>
      </c>
      <c r="BX323" s="59"/>
      <c r="BY323" s="58" t="str">
        <f t="shared" si="168"/>
        <v/>
      </c>
      <c r="BZ323" s="59"/>
    </row>
    <row r="324" spans="1:78" ht="14.5" hidden="1">
      <c r="A324" s="51" t="s">
        <v>58</v>
      </c>
      <c r="B324" s="52">
        <v>399</v>
      </c>
      <c r="C324" s="52" t="s">
        <v>188</v>
      </c>
      <c r="D324" s="41">
        <f t="shared" si="142"/>
        <v>6</v>
      </c>
      <c r="E324" s="170" t="s">
        <v>679</v>
      </c>
      <c r="F324" s="41" t="s">
        <v>631</v>
      </c>
      <c r="G324" s="52" t="s">
        <v>502</v>
      </c>
      <c r="H324" s="52" t="s">
        <v>289</v>
      </c>
      <c r="I324" s="52" t="s">
        <v>156</v>
      </c>
      <c r="J324" s="52" t="s">
        <v>561</v>
      </c>
      <c r="K324" s="53">
        <v>45695</v>
      </c>
      <c r="L324" s="108">
        <v>1496</v>
      </c>
      <c r="M324" s="101"/>
      <c r="N324" s="101"/>
      <c r="O324" s="107">
        <f t="shared" si="172"/>
        <v>1496</v>
      </c>
      <c r="P324" s="54">
        <f t="shared" si="173"/>
        <v>1496</v>
      </c>
      <c r="Q324" s="101" t="s">
        <v>565</v>
      </c>
      <c r="R324" s="101"/>
      <c r="S324" s="101"/>
      <c r="T324" s="102">
        <f t="shared" si="143"/>
        <v>7.791666666666667</v>
      </c>
      <c r="U324" s="102">
        <v>6</v>
      </c>
      <c r="V324" s="99">
        <f>480/15</f>
        <v>32</v>
      </c>
      <c r="W324" s="55">
        <f t="shared" si="174"/>
        <v>45675</v>
      </c>
      <c r="X324" s="55"/>
      <c r="Y324" s="56">
        <f t="shared" ca="1" si="175"/>
        <v>-165</v>
      </c>
      <c r="Z324" s="55">
        <f t="shared" si="171"/>
        <v>45691</v>
      </c>
      <c r="AA324" s="55"/>
      <c r="AB324" s="56">
        <f t="shared" ca="1" si="176"/>
        <v>-149</v>
      </c>
      <c r="AC324" s="55"/>
      <c r="AD324" s="57"/>
      <c r="AE324" s="58" t="str">
        <f t="shared" si="145"/>
        <v>-</v>
      </c>
      <c r="AF324" s="59"/>
      <c r="AG324" s="58" t="str">
        <f t="shared" si="146"/>
        <v/>
      </c>
      <c r="AH324" s="59"/>
      <c r="AI324" s="58" t="str">
        <f t="shared" si="147"/>
        <v/>
      </c>
      <c r="AJ324" s="59"/>
      <c r="AK324" s="58" t="str">
        <f t="shared" si="148"/>
        <v/>
      </c>
      <c r="AL324" s="59"/>
      <c r="AM324" s="58" t="str">
        <f t="shared" si="149"/>
        <v/>
      </c>
      <c r="AN324" s="59"/>
      <c r="AO324" s="58" t="str">
        <f t="shared" si="150"/>
        <v/>
      </c>
      <c r="AP324" s="59"/>
      <c r="AQ324" s="58" t="str">
        <f t="shared" si="151"/>
        <v/>
      </c>
      <c r="AR324" s="59"/>
      <c r="AS324" s="58" t="str">
        <f t="shared" si="152"/>
        <v/>
      </c>
      <c r="AT324" s="59"/>
      <c r="AU324" s="58" t="str">
        <f t="shared" si="153"/>
        <v/>
      </c>
      <c r="AV324" s="59"/>
      <c r="AW324" s="58" t="str">
        <f t="shared" si="154"/>
        <v/>
      </c>
      <c r="AX324" s="59"/>
      <c r="AY324" s="58" t="str">
        <f t="shared" si="155"/>
        <v/>
      </c>
      <c r="AZ324" s="59"/>
      <c r="BA324" s="58" t="str">
        <f t="shared" si="156"/>
        <v/>
      </c>
      <c r="BB324" s="59"/>
      <c r="BC324" s="58" t="str">
        <f t="shared" si="157"/>
        <v/>
      </c>
      <c r="BD324" s="59"/>
      <c r="BE324" s="58" t="str">
        <f t="shared" si="158"/>
        <v/>
      </c>
      <c r="BF324" s="59"/>
      <c r="BG324" s="58">
        <f t="shared" si="159"/>
        <v>1496</v>
      </c>
      <c r="BH324" s="59"/>
      <c r="BI324" s="58" t="str">
        <f t="shared" si="160"/>
        <v/>
      </c>
      <c r="BJ324" s="59"/>
      <c r="BK324" s="58" t="str">
        <f t="shared" si="161"/>
        <v/>
      </c>
      <c r="BL324" s="59"/>
      <c r="BM324" s="58" t="str">
        <f t="shared" si="162"/>
        <v/>
      </c>
      <c r="BN324" s="59"/>
      <c r="BO324" s="58" t="str">
        <f t="shared" si="163"/>
        <v/>
      </c>
      <c r="BP324" s="59"/>
      <c r="BQ324" s="58" t="str">
        <f t="shared" si="164"/>
        <v/>
      </c>
      <c r="BR324" s="59"/>
      <c r="BS324" s="58" t="str">
        <f t="shared" si="165"/>
        <v/>
      </c>
      <c r="BT324" s="59"/>
      <c r="BU324" s="58" t="str">
        <f t="shared" si="166"/>
        <v/>
      </c>
      <c r="BV324" s="59"/>
      <c r="BW324" s="58" t="str">
        <f t="shared" si="167"/>
        <v/>
      </c>
      <c r="BX324" s="59"/>
      <c r="BY324" s="58" t="str">
        <f t="shared" si="168"/>
        <v/>
      </c>
      <c r="BZ324" s="59"/>
    </row>
    <row r="325" spans="1:78" ht="14.5" hidden="1">
      <c r="A325" s="51" t="s">
        <v>58</v>
      </c>
      <c r="B325" s="52">
        <v>399</v>
      </c>
      <c r="C325" s="52" t="s">
        <v>188</v>
      </c>
      <c r="D325" s="41">
        <f t="shared" si="142"/>
        <v>6</v>
      </c>
      <c r="E325" s="170"/>
      <c r="F325" s="41" t="s">
        <v>631</v>
      </c>
      <c r="G325" s="52" t="s">
        <v>190</v>
      </c>
      <c r="H325" s="52" t="s">
        <v>562</v>
      </c>
      <c r="I325" s="52" t="s">
        <v>244</v>
      </c>
      <c r="J325" s="52" t="s">
        <v>438</v>
      </c>
      <c r="K325" s="53">
        <v>45695</v>
      </c>
      <c r="L325" s="108">
        <v>2152</v>
      </c>
      <c r="M325" s="101"/>
      <c r="N325" s="101"/>
      <c r="O325" s="107">
        <f t="shared" si="172"/>
        <v>2152</v>
      </c>
      <c r="P325" s="54">
        <f t="shared" si="173"/>
        <v>2152</v>
      </c>
      <c r="Q325" s="101" t="s">
        <v>431</v>
      </c>
      <c r="R325" s="101"/>
      <c r="S325" s="101"/>
      <c r="T325" s="102">
        <f t="shared" si="143"/>
        <v>2.9888888888888889</v>
      </c>
      <c r="U325" s="102">
        <v>6</v>
      </c>
      <c r="V325" s="99">
        <v>120</v>
      </c>
      <c r="W325" s="55">
        <f t="shared" si="174"/>
        <v>45675</v>
      </c>
      <c r="X325" s="55"/>
      <c r="Y325" s="56">
        <f t="shared" ca="1" si="175"/>
        <v>-165</v>
      </c>
      <c r="Z325" s="55">
        <f t="shared" si="171"/>
        <v>45691</v>
      </c>
      <c r="AA325" s="55"/>
      <c r="AB325" s="56">
        <f t="shared" ca="1" si="176"/>
        <v>-149</v>
      </c>
      <c r="AC325" s="55"/>
      <c r="AD325" s="57"/>
      <c r="AE325" s="58" t="str">
        <f t="shared" si="145"/>
        <v>-</v>
      </c>
      <c r="AF325" s="59"/>
      <c r="AG325" s="58" t="str">
        <f t="shared" si="146"/>
        <v/>
      </c>
      <c r="AH325" s="59"/>
      <c r="AI325" s="58" t="str">
        <f t="shared" si="147"/>
        <v/>
      </c>
      <c r="AJ325" s="59"/>
      <c r="AK325" s="58" t="str">
        <f t="shared" si="148"/>
        <v/>
      </c>
      <c r="AL325" s="59"/>
      <c r="AM325" s="58" t="str">
        <f t="shared" si="149"/>
        <v/>
      </c>
      <c r="AN325" s="59"/>
      <c r="AO325" s="58" t="str">
        <f t="shared" si="150"/>
        <v/>
      </c>
      <c r="AP325" s="59"/>
      <c r="AQ325" s="58" t="str">
        <f t="shared" si="151"/>
        <v/>
      </c>
      <c r="AR325" s="59"/>
      <c r="AS325" s="58" t="str">
        <f t="shared" si="152"/>
        <v/>
      </c>
      <c r="AT325" s="59"/>
      <c r="AU325" s="58" t="str">
        <f t="shared" si="153"/>
        <v/>
      </c>
      <c r="AV325" s="59"/>
      <c r="AW325" s="58" t="str">
        <f t="shared" si="154"/>
        <v/>
      </c>
      <c r="AX325" s="59"/>
      <c r="AY325" s="58" t="str">
        <f t="shared" si="155"/>
        <v/>
      </c>
      <c r="AZ325" s="59"/>
      <c r="BA325" s="58" t="str">
        <f t="shared" si="156"/>
        <v/>
      </c>
      <c r="BB325" s="59"/>
      <c r="BC325" s="58" t="str">
        <f t="shared" si="157"/>
        <v/>
      </c>
      <c r="BD325" s="59"/>
      <c r="BE325" s="58" t="str">
        <f t="shared" si="158"/>
        <v/>
      </c>
      <c r="BF325" s="59"/>
      <c r="BG325" s="58">
        <f t="shared" si="159"/>
        <v>2152</v>
      </c>
      <c r="BH325" s="59"/>
      <c r="BI325" s="58" t="str">
        <f t="shared" si="160"/>
        <v/>
      </c>
      <c r="BJ325" s="59"/>
      <c r="BK325" s="58" t="str">
        <f t="shared" si="161"/>
        <v/>
      </c>
      <c r="BL325" s="59"/>
      <c r="BM325" s="58" t="str">
        <f t="shared" si="162"/>
        <v/>
      </c>
      <c r="BN325" s="59"/>
      <c r="BO325" s="58" t="str">
        <f t="shared" si="163"/>
        <v/>
      </c>
      <c r="BP325" s="59"/>
      <c r="BQ325" s="58" t="str">
        <f t="shared" si="164"/>
        <v/>
      </c>
      <c r="BR325" s="59"/>
      <c r="BS325" s="58" t="str">
        <f t="shared" si="165"/>
        <v/>
      </c>
      <c r="BT325" s="59"/>
      <c r="BU325" s="58" t="str">
        <f t="shared" si="166"/>
        <v/>
      </c>
      <c r="BV325" s="59"/>
      <c r="BW325" s="58" t="str">
        <f t="shared" si="167"/>
        <v/>
      </c>
      <c r="BX325" s="59"/>
      <c r="BY325" s="58" t="str">
        <f t="shared" si="168"/>
        <v/>
      </c>
      <c r="BZ325" s="59"/>
    </row>
    <row r="326" spans="1:78" ht="14.5" hidden="1">
      <c r="A326" s="51" t="s">
        <v>58</v>
      </c>
      <c r="B326" s="52">
        <v>400</v>
      </c>
      <c r="C326" s="52" t="s">
        <v>188</v>
      </c>
      <c r="D326" s="41">
        <f t="shared" si="142"/>
        <v>6</v>
      </c>
      <c r="E326" s="170"/>
      <c r="F326" s="41" t="s">
        <v>631</v>
      </c>
      <c r="G326" s="52" t="s">
        <v>193</v>
      </c>
      <c r="H326" s="52" t="s">
        <v>300</v>
      </c>
      <c r="I326" s="52" t="s">
        <v>162</v>
      </c>
      <c r="J326" s="52" t="s">
        <v>440</v>
      </c>
      <c r="K326" s="53">
        <v>45695</v>
      </c>
      <c r="L326" s="108">
        <v>2040</v>
      </c>
      <c r="M326" s="101"/>
      <c r="N326" s="101"/>
      <c r="O326" s="107">
        <f t="shared" si="172"/>
        <v>2040</v>
      </c>
      <c r="P326" s="54">
        <f t="shared" si="173"/>
        <v>2040</v>
      </c>
      <c r="Q326" s="101" t="s">
        <v>178</v>
      </c>
      <c r="R326" s="101"/>
      <c r="S326" s="101"/>
      <c r="T326" s="102">
        <f t="shared" si="143"/>
        <v>2.8333333333333335</v>
      </c>
      <c r="U326" s="102">
        <v>6</v>
      </c>
      <c r="V326" s="99">
        <v>120</v>
      </c>
      <c r="W326" s="55">
        <f t="shared" si="174"/>
        <v>45675</v>
      </c>
      <c r="X326" s="55"/>
      <c r="Y326" s="56">
        <f t="shared" ca="1" si="175"/>
        <v>-165</v>
      </c>
      <c r="Z326" s="55">
        <f t="shared" si="171"/>
        <v>45691</v>
      </c>
      <c r="AA326" s="55"/>
      <c r="AB326" s="56">
        <f t="shared" ca="1" si="176"/>
        <v>-149</v>
      </c>
      <c r="AC326" s="55"/>
      <c r="AD326" s="57"/>
      <c r="AE326" s="58" t="str">
        <f t="shared" si="145"/>
        <v>-</v>
      </c>
      <c r="AF326" s="59"/>
      <c r="AG326" s="58" t="str">
        <f t="shared" si="146"/>
        <v/>
      </c>
      <c r="AH326" s="59"/>
      <c r="AI326" s="58" t="str">
        <f t="shared" si="147"/>
        <v/>
      </c>
      <c r="AJ326" s="59"/>
      <c r="AK326" s="58" t="str">
        <f t="shared" si="148"/>
        <v/>
      </c>
      <c r="AL326" s="59"/>
      <c r="AM326" s="58" t="str">
        <f t="shared" si="149"/>
        <v/>
      </c>
      <c r="AN326" s="59"/>
      <c r="AO326" s="58" t="str">
        <f t="shared" si="150"/>
        <v/>
      </c>
      <c r="AP326" s="59"/>
      <c r="AQ326" s="58" t="str">
        <f t="shared" si="151"/>
        <v/>
      </c>
      <c r="AR326" s="59"/>
      <c r="AS326" s="58" t="str">
        <f t="shared" si="152"/>
        <v/>
      </c>
      <c r="AT326" s="59"/>
      <c r="AU326" s="58" t="str">
        <f t="shared" si="153"/>
        <v/>
      </c>
      <c r="AV326" s="59"/>
      <c r="AW326" s="58" t="str">
        <f t="shared" si="154"/>
        <v/>
      </c>
      <c r="AX326" s="59"/>
      <c r="AY326" s="58" t="str">
        <f t="shared" si="155"/>
        <v/>
      </c>
      <c r="AZ326" s="59"/>
      <c r="BA326" s="58" t="str">
        <f t="shared" si="156"/>
        <v/>
      </c>
      <c r="BB326" s="59"/>
      <c r="BC326" s="58" t="str">
        <f t="shared" si="157"/>
        <v/>
      </c>
      <c r="BD326" s="59"/>
      <c r="BE326" s="58" t="str">
        <f t="shared" si="158"/>
        <v/>
      </c>
      <c r="BF326" s="59"/>
      <c r="BG326" s="58">
        <f t="shared" si="159"/>
        <v>2040</v>
      </c>
      <c r="BH326" s="59"/>
      <c r="BI326" s="58" t="str">
        <f t="shared" si="160"/>
        <v/>
      </c>
      <c r="BJ326" s="59"/>
      <c r="BK326" s="58" t="str">
        <f t="shared" si="161"/>
        <v/>
      </c>
      <c r="BL326" s="59"/>
      <c r="BM326" s="58" t="str">
        <f t="shared" si="162"/>
        <v/>
      </c>
      <c r="BN326" s="59"/>
      <c r="BO326" s="58" t="str">
        <f t="shared" si="163"/>
        <v/>
      </c>
      <c r="BP326" s="59"/>
      <c r="BQ326" s="58" t="str">
        <f t="shared" si="164"/>
        <v/>
      </c>
      <c r="BR326" s="59"/>
      <c r="BS326" s="58" t="str">
        <f t="shared" si="165"/>
        <v/>
      </c>
      <c r="BT326" s="59"/>
      <c r="BU326" s="58" t="str">
        <f t="shared" si="166"/>
        <v/>
      </c>
      <c r="BV326" s="59"/>
      <c r="BW326" s="58" t="str">
        <f t="shared" si="167"/>
        <v/>
      </c>
      <c r="BX326" s="59"/>
      <c r="BY326" s="58" t="str">
        <f t="shared" si="168"/>
        <v/>
      </c>
      <c r="BZ326" s="59"/>
    </row>
    <row r="327" spans="1:78" ht="14.5" hidden="1">
      <c r="A327" s="51" t="s">
        <v>58</v>
      </c>
      <c r="B327" s="52">
        <v>400</v>
      </c>
      <c r="C327" s="52" t="s">
        <v>188</v>
      </c>
      <c r="D327" s="41">
        <f t="shared" ref="D327:D390" si="177">+WEEKNUM(K327)</f>
        <v>6</v>
      </c>
      <c r="E327" s="170">
        <v>45664</v>
      </c>
      <c r="F327" s="41" t="s">
        <v>631</v>
      </c>
      <c r="G327" s="52" t="s">
        <v>81</v>
      </c>
      <c r="H327" s="52" t="s">
        <v>290</v>
      </c>
      <c r="I327" s="52" t="s">
        <v>291</v>
      </c>
      <c r="J327" s="52" t="s">
        <v>435</v>
      </c>
      <c r="K327" s="53">
        <v>45695</v>
      </c>
      <c r="L327" s="108">
        <v>1584</v>
      </c>
      <c r="M327" s="101"/>
      <c r="N327" s="101"/>
      <c r="O327" s="107">
        <f t="shared" si="172"/>
        <v>1584</v>
      </c>
      <c r="P327" s="54">
        <f t="shared" si="173"/>
        <v>1584</v>
      </c>
      <c r="Q327" s="101" t="s">
        <v>436</v>
      </c>
      <c r="R327" s="101"/>
      <c r="S327" s="101"/>
      <c r="T327" s="102">
        <f t="shared" ref="T327:T390" si="178">L327/(V327*U327)</f>
        <v>0.16666666666666666</v>
      </c>
      <c r="U327" s="102">
        <v>6</v>
      </c>
      <c r="V327" s="100">
        <v>1584</v>
      </c>
      <c r="W327" s="55">
        <f t="shared" si="174"/>
        <v>45675</v>
      </c>
      <c r="X327" s="55"/>
      <c r="Y327" s="56">
        <f t="shared" ca="1" si="175"/>
        <v>-165</v>
      </c>
      <c r="Z327" s="55">
        <f t="shared" si="171"/>
        <v>45691</v>
      </c>
      <c r="AA327" s="55"/>
      <c r="AB327" s="56">
        <f t="shared" ca="1" si="176"/>
        <v>-149</v>
      </c>
      <c r="AC327" s="55"/>
      <c r="AD327" s="57"/>
      <c r="AE327" s="58" t="str">
        <f t="shared" ref="AE327:AE390" si="179">+IF($AE$4=WEEKNUM(W327),L327,"-")</f>
        <v>-</v>
      </c>
      <c r="AF327" s="59"/>
      <c r="AG327" s="58" t="str">
        <f t="shared" ref="AG327:AG390" si="180">+IF($AG$4=WEEKNUM(W327),L327,"")</f>
        <v/>
      </c>
      <c r="AH327" s="59"/>
      <c r="AI327" s="58" t="str">
        <f t="shared" ref="AI327:AI390" si="181">+IF($AI$4=WEEKNUM(W327),L327,"")</f>
        <v/>
      </c>
      <c r="AJ327" s="59"/>
      <c r="AK327" s="58" t="str">
        <f t="shared" ref="AK327:AK390" si="182">+IF($AK$4=WEEKNUM(W327),L327,"")</f>
        <v/>
      </c>
      <c r="AL327" s="59"/>
      <c r="AM327" s="58" t="str">
        <f t="shared" ref="AM327:AM390" si="183">+IF($AM$4=WEEKNUM(W327),L327,"")</f>
        <v/>
      </c>
      <c r="AN327" s="59"/>
      <c r="AO327" s="58" t="str">
        <f t="shared" ref="AO327:AO390" si="184">+IF($AO$4=WEEKNUM(W327),L327,"")</f>
        <v/>
      </c>
      <c r="AP327" s="59"/>
      <c r="AQ327" s="58" t="str">
        <f t="shared" ref="AQ327:AQ390" si="185">+IF($AQ$4=WEEKNUM(W327),L327,"")</f>
        <v/>
      </c>
      <c r="AR327" s="59"/>
      <c r="AS327" s="58" t="str">
        <f t="shared" ref="AS327:AS390" si="186">+IF($AS$4=WEEKNUM(W327),L327,"")</f>
        <v/>
      </c>
      <c r="AT327" s="59"/>
      <c r="AU327" s="58" t="str">
        <f t="shared" ref="AU327:AU390" si="187">+IF($AU$4=WEEKNUM(W327),L327,"")</f>
        <v/>
      </c>
      <c r="AV327" s="59"/>
      <c r="AW327" s="58" t="str">
        <f t="shared" ref="AW327:AW390" si="188">+IF($AW$4=WEEKNUM(W327),L327,"")</f>
        <v/>
      </c>
      <c r="AX327" s="59"/>
      <c r="AY327" s="58" t="str">
        <f t="shared" ref="AY327:AY390" si="189">+IF($AY$4=WEEKNUM(W327),L327,"")</f>
        <v/>
      </c>
      <c r="AZ327" s="59"/>
      <c r="BA327" s="58" t="str">
        <f t="shared" ref="BA327:BA390" si="190">+IF($BA$4=WEEKNUM(W327),L327,"")</f>
        <v/>
      </c>
      <c r="BB327" s="59"/>
      <c r="BC327" s="58" t="str">
        <f t="shared" ref="BC327:BC390" si="191">+IF($BC$4=WEEKNUM(W327),L327,"")</f>
        <v/>
      </c>
      <c r="BD327" s="59"/>
      <c r="BE327" s="58" t="str">
        <f t="shared" ref="BE327:BE390" si="192">+IF($BE$4=WEEKNUM(W327),L327,"")</f>
        <v/>
      </c>
      <c r="BF327" s="59"/>
      <c r="BG327" s="58">
        <f t="shared" ref="BG327:BG390" si="193">+IF($BG$4=WEEKNUM(W327),L327,"")</f>
        <v>1584</v>
      </c>
      <c r="BH327" s="59"/>
      <c r="BI327" s="58" t="str">
        <f t="shared" ref="BI327:BI390" si="194">+IF($BI$4=WEEKNUM(W327),L327,"")</f>
        <v/>
      </c>
      <c r="BJ327" s="59"/>
      <c r="BK327" s="58" t="str">
        <f t="shared" ref="BK327:BK390" si="195">+IF($BK$4=WEEKNUM(W327),L327,"")</f>
        <v/>
      </c>
      <c r="BL327" s="59"/>
      <c r="BM327" s="58" t="str">
        <f t="shared" ref="BM327:BM390" si="196">+IF($BM$4=WEEKNUM(W327),L327,"")</f>
        <v/>
      </c>
      <c r="BN327" s="59"/>
      <c r="BO327" s="58" t="str">
        <f t="shared" ref="BO327:BO390" si="197">+IF($BO$4=WEEKNUM(W327),L327,"")</f>
        <v/>
      </c>
      <c r="BP327" s="59"/>
      <c r="BQ327" s="58" t="str">
        <f t="shared" ref="BQ327:BQ390" si="198">+IF($BQ$4=WEEKNUM(W327),L327,"")</f>
        <v/>
      </c>
      <c r="BR327" s="59"/>
      <c r="BS327" s="58" t="str">
        <f t="shared" ref="BS327:BS390" si="199">+IF($BS$4=WEEKNUM(W327),L327,"")</f>
        <v/>
      </c>
      <c r="BT327" s="59"/>
      <c r="BU327" s="58" t="str">
        <f t="shared" ref="BU327:BU390" si="200">+IF($BU$4=WEEKNUM(W327),L327,"")</f>
        <v/>
      </c>
      <c r="BV327" s="59"/>
      <c r="BW327" s="58" t="str">
        <f t="shared" ref="BW327:BW390" si="201">+IF($BW$4=WEEKNUM(W327),L327,"")</f>
        <v/>
      </c>
      <c r="BX327" s="59"/>
      <c r="BY327" s="58" t="str">
        <f t="shared" ref="BY327:BY390" si="202">+IF($BY$4=WEEKNUM(W327),L327,"")</f>
        <v/>
      </c>
      <c r="BZ327" s="59"/>
    </row>
    <row r="328" spans="1:78" s="103" customFormat="1" ht="14.5" hidden="1">
      <c r="A328" s="51" t="s">
        <v>58</v>
      </c>
      <c r="B328" s="52">
        <v>400</v>
      </c>
      <c r="C328" s="52" t="s">
        <v>188</v>
      </c>
      <c r="D328" s="41">
        <f t="shared" si="177"/>
        <v>6</v>
      </c>
      <c r="E328" s="170">
        <v>45664</v>
      </c>
      <c r="F328" s="41" t="s">
        <v>631</v>
      </c>
      <c r="G328" s="52" t="s">
        <v>81</v>
      </c>
      <c r="H328" s="52" t="s">
        <v>290</v>
      </c>
      <c r="I328" s="52" t="s">
        <v>293</v>
      </c>
      <c r="J328" s="52" t="s">
        <v>435</v>
      </c>
      <c r="K328" s="53">
        <v>45695</v>
      </c>
      <c r="L328" s="108">
        <v>1584</v>
      </c>
      <c r="M328" s="101"/>
      <c r="N328" s="101"/>
      <c r="O328" s="107">
        <f t="shared" si="172"/>
        <v>1584</v>
      </c>
      <c r="P328" s="54">
        <f t="shared" si="173"/>
        <v>1584</v>
      </c>
      <c r="Q328" s="101" t="s">
        <v>436</v>
      </c>
      <c r="R328" s="101"/>
      <c r="S328" s="101"/>
      <c r="T328" s="102">
        <f t="shared" si="178"/>
        <v>0.16666666666666666</v>
      </c>
      <c r="U328" s="102">
        <v>6</v>
      </c>
      <c r="V328" s="100">
        <v>1584</v>
      </c>
      <c r="W328" s="55">
        <f t="shared" si="174"/>
        <v>45675</v>
      </c>
      <c r="X328" s="55"/>
      <c r="Y328" s="56">
        <f t="shared" ca="1" si="175"/>
        <v>-165</v>
      </c>
      <c r="Z328" s="55">
        <f t="shared" si="171"/>
        <v>45691</v>
      </c>
      <c r="AA328" s="55"/>
      <c r="AB328" s="56">
        <f t="shared" ca="1" si="176"/>
        <v>-149</v>
      </c>
      <c r="AC328" s="55"/>
      <c r="AD328" s="57"/>
      <c r="AE328" s="58" t="str">
        <f t="shared" si="179"/>
        <v>-</v>
      </c>
      <c r="AF328" s="59"/>
      <c r="AG328" s="58" t="str">
        <f t="shared" si="180"/>
        <v/>
      </c>
      <c r="AH328" s="59"/>
      <c r="AI328" s="58" t="str">
        <f t="shared" si="181"/>
        <v/>
      </c>
      <c r="AJ328" s="59"/>
      <c r="AK328" s="58" t="str">
        <f t="shared" si="182"/>
        <v/>
      </c>
      <c r="AL328" s="59"/>
      <c r="AM328" s="58" t="str">
        <f t="shared" si="183"/>
        <v/>
      </c>
      <c r="AN328" s="59"/>
      <c r="AO328" s="58" t="str">
        <f t="shared" si="184"/>
        <v/>
      </c>
      <c r="AP328" s="59"/>
      <c r="AQ328" s="58" t="str">
        <f t="shared" si="185"/>
        <v/>
      </c>
      <c r="AR328" s="59"/>
      <c r="AS328" s="58" t="str">
        <f t="shared" si="186"/>
        <v/>
      </c>
      <c r="AT328" s="59"/>
      <c r="AU328" s="58" t="str">
        <f t="shared" si="187"/>
        <v/>
      </c>
      <c r="AV328" s="59"/>
      <c r="AW328" s="58" t="str">
        <f t="shared" si="188"/>
        <v/>
      </c>
      <c r="AX328" s="59"/>
      <c r="AY328" s="58" t="str">
        <f t="shared" si="189"/>
        <v/>
      </c>
      <c r="AZ328" s="59"/>
      <c r="BA328" s="58" t="str">
        <f t="shared" si="190"/>
        <v/>
      </c>
      <c r="BB328" s="59"/>
      <c r="BC328" s="58" t="str">
        <f t="shared" si="191"/>
        <v/>
      </c>
      <c r="BD328" s="59"/>
      <c r="BE328" s="58" t="str">
        <f t="shared" si="192"/>
        <v/>
      </c>
      <c r="BF328" s="59"/>
      <c r="BG328" s="58">
        <f t="shared" si="193"/>
        <v>1584</v>
      </c>
      <c r="BH328" s="59"/>
      <c r="BI328" s="58" t="str">
        <f t="shared" si="194"/>
        <v/>
      </c>
      <c r="BJ328" s="59"/>
      <c r="BK328" s="58" t="str">
        <f t="shared" si="195"/>
        <v/>
      </c>
      <c r="BL328" s="59"/>
      <c r="BM328" s="58" t="str">
        <f t="shared" si="196"/>
        <v/>
      </c>
      <c r="BN328" s="59"/>
      <c r="BO328" s="58" t="str">
        <f t="shared" si="197"/>
        <v/>
      </c>
      <c r="BP328" s="59"/>
      <c r="BQ328" s="58" t="str">
        <f t="shared" si="198"/>
        <v/>
      </c>
      <c r="BR328" s="59"/>
      <c r="BS328" s="58" t="str">
        <f t="shared" si="199"/>
        <v/>
      </c>
      <c r="BT328" s="59"/>
      <c r="BU328" s="58" t="str">
        <f t="shared" si="200"/>
        <v/>
      </c>
      <c r="BV328" s="59"/>
      <c r="BW328" s="58" t="str">
        <f t="shared" si="201"/>
        <v/>
      </c>
      <c r="BX328" s="59"/>
      <c r="BY328" s="58" t="str">
        <f t="shared" si="202"/>
        <v/>
      </c>
      <c r="BZ328" s="59"/>
    </row>
    <row r="329" spans="1:78" ht="14.5" hidden="1">
      <c r="A329" s="51" t="s">
        <v>58</v>
      </c>
      <c r="B329" s="52">
        <v>400</v>
      </c>
      <c r="C329" s="52" t="s">
        <v>188</v>
      </c>
      <c r="D329" s="41">
        <f t="shared" si="177"/>
        <v>6</v>
      </c>
      <c r="E329" s="170">
        <v>45664</v>
      </c>
      <c r="F329" s="41" t="s">
        <v>631</v>
      </c>
      <c r="G329" s="52" t="s">
        <v>81</v>
      </c>
      <c r="H329" s="52" t="s">
        <v>290</v>
      </c>
      <c r="I329" s="52" t="s">
        <v>294</v>
      </c>
      <c r="J329" s="52" t="s">
        <v>435</v>
      </c>
      <c r="K329" s="53">
        <v>45695</v>
      </c>
      <c r="L329" s="108">
        <v>1584</v>
      </c>
      <c r="M329" s="101"/>
      <c r="N329" s="101"/>
      <c r="O329" s="107">
        <f t="shared" si="172"/>
        <v>1584</v>
      </c>
      <c r="P329" s="54">
        <f t="shared" si="173"/>
        <v>1584</v>
      </c>
      <c r="Q329" s="101" t="s">
        <v>436</v>
      </c>
      <c r="R329" s="101"/>
      <c r="S329" s="101"/>
      <c r="T329" s="102">
        <f t="shared" si="178"/>
        <v>0.16666666666666666</v>
      </c>
      <c r="U329" s="102">
        <v>6</v>
      </c>
      <c r="V329" s="100">
        <v>1584</v>
      </c>
      <c r="W329" s="55">
        <f t="shared" si="174"/>
        <v>45675</v>
      </c>
      <c r="X329" s="55"/>
      <c r="Y329" s="56">
        <f t="shared" ca="1" si="175"/>
        <v>-165</v>
      </c>
      <c r="Z329" s="55">
        <f t="shared" si="171"/>
        <v>45691</v>
      </c>
      <c r="AA329" s="55"/>
      <c r="AB329" s="56">
        <f t="shared" ca="1" si="176"/>
        <v>-149</v>
      </c>
      <c r="AC329" s="55"/>
      <c r="AD329" s="57"/>
      <c r="AE329" s="58" t="str">
        <f t="shared" si="179"/>
        <v>-</v>
      </c>
      <c r="AF329" s="59"/>
      <c r="AG329" s="58" t="str">
        <f t="shared" si="180"/>
        <v/>
      </c>
      <c r="AH329" s="59"/>
      <c r="AI329" s="58" t="str">
        <f t="shared" si="181"/>
        <v/>
      </c>
      <c r="AJ329" s="59"/>
      <c r="AK329" s="58" t="str">
        <f t="shared" si="182"/>
        <v/>
      </c>
      <c r="AL329" s="59"/>
      <c r="AM329" s="58" t="str">
        <f t="shared" si="183"/>
        <v/>
      </c>
      <c r="AN329" s="59"/>
      <c r="AO329" s="58" t="str">
        <f t="shared" si="184"/>
        <v/>
      </c>
      <c r="AP329" s="59"/>
      <c r="AQ329" s="58" t="str">
        <f t="shared" si="185"/>
        <v/>
      </c>
      <c r="AR329" s="59"/>
      <c r="AS329" s="58" t="str">
        <f t="shared" si="186"/>
        <v/>
      </c>
      <c r="AT329" s="59"/>
      <c r="AU329" s="58" t="str">
        <f t="shared" si="187"/>
        <v/>
      </c>
      <c r="AV329" s="59"/>
      <c r="AW329" s="58" t="str">
        <f t="shared" si="188"/>
        <v/>
      </c>
      <c r="AX329" s="59"/>
      <c r="AY329" s="58" t="str">
        <f t="shared" si="189"/>
        <v/>
      </c>
      <c r="AZ329" s="59"/>
      <c r="BA329" s="58" t="str">
        <f t="shared" si="190"/>
        <v/>
      </c>
      <c r="BB329" s="59"/>
      <c r="BC329" s="58" t="str">
        <f t="shared" si="191"/>
        <v/>
      </c>
      <c r="BD329" s="59"/>
      <c r="BE329" s="58" t="str">
        <f t="shared" si="192"/>
        <v/>
      </c>
      <c r="BF329" s="59"/>
      <c r="BG329" s="58">
        <f t="shared" si="193"/>
        <v>1584</v>
      </c>
      <c r="BH329" s="59"/>
      <c r="BI329" s="58" t="str">
        <f t="shared" si="194"/>
        <v/>
      </c>
      <c r="BJ329" s="59"/>
      <c r="BK329" s="58" t="str">
        <f t="shared" si="195"/>
        <v/>
      </c>
      <c r="BL329" s="59"/>
      <c r="BM329" s="58" t="str">
        <f t="shared" si="196"/>
        <v/>
      </c>
      <c r="BN329" s="59"/>
      <c r="BO329" s="58" t="str">
        <f t="shared" si="197"/>
        <v/>
      </c>
      <c r="BP329" s="59"/>
      <c r="BQ329" s="58" t="str">
        <f t="shared" si="198"/>
        <v/>
      </c>
      <c r="BR329" s="59"/>
      <c r="BS329" s="58" t="str">
        <f t="shared" si="199"/>
        <v/>
      </c>
      <c r="BT329" s="59"/>
      <c r="BU329" s="58" t="str">
        <f t="shared" si="200"/>
        <v/>
      </c>
      <c r="BV329" s="59"/>
      <c r="BW329" s="58" t="str">
        <f t="shared" si="201"/>
        <v/>
      </c>
      <c r="BX329" s="59"/>
      <c r="BY329" s="58" t="str">
        <f t="shared" si="202"/>
        <v/>
      </c>
      <c r="BZ329" s="59"/>
    </row>
    <row r="330" spans="1:78" ht="14.5" hidden="1">
      <c r="A330" s="51" t="s">
        <v>58</v>
      </c>
      <c r="B330" s="52">
        <v>400</v>
      </c>
      <c r="C330" s="52" t="s">
        <v>188</v>
      </c>
      <c r="D330" s="41">
        <f t="shared" si="177"/>
        <v>6</v>
      </c>
      <c r="E330" s="170" t="s">
        <v>679</v>
      </c>
      <c r="F330" s="41" t="s">
        <v>631</v>
      </c>
      <c r="G330" s="52" t="s">
        <v>502</v>
      </c>
      <c r="H330" s="52" t="s">
        <v>289</v>
      </c>
      <c r="I330" s="52" t="s">
        <v>155</v>
      </c>
      <c r="J330" s="52" t="s">
        <v>561</v>
      </c>
      <c r="K330" s="53">
        <v>45695</v>
      </c>
      <c r="L330" s="108">
        <v>2100</v>
      </c>
      <c r="M330" s="101"/>
      <c r="N330" s="101"/>
      <c r="O330" s="107">
        <f t="shared" si="172"/>
        <v>2100</v>
      </c>
      <c r="P330" s="54">
        <f t="shared" si="173"/>
        <v>2100</v>
      </c>
      <c r="Q330" s="101" t="s">
        <v>506</v>
      </c>
      <c r="R330" s="101"/>
      <c r="S330" s="101"/>
      <c r="T330" s="102">
        <f t="shared" si="178"/>
        <v>10.9375</v>
      </c>
      <c r="U330" s="102">
        <v>6</v>
      </c>
      <c r="V330" s="99">
        <f>480/15</f>
        <v>32</v>
      </c>
      <c r="W330" s="55">
        <f t="shared" si="174"/>
        <v>45675</v>
      </c>
      <c r="X330" s="55"/>
      <c r="Y330" s="56">
        <f t="shared" ca="1" si="175"/>
        <v>-165</v>
      </c>
      <c r="Z330" s="55">
        <f t="shared" si="171"/>
        <v>45691</v>
      </c>
      <c r="AA330" s="55"/>
      <c r="AB330" s="56">
        <f t="shared" ca="1" si="176"/>
        <v>-149</v>
      </c>
      <c r="AC330" s="55"/>
      <c r="AD330" s="57"/>
      <c r="AE330" s="58" t="str">
        <f t="shared" si="179"/>
        <v>-</v>
      </c>
      <c r="AF330" s="59"/>
      <c r="AG330" s="58" t="str">
        <f t="shared" si="180"/>
        <v/>
      </c>
      <c r="AH330" s="59"/>
      <c r="AI330" s="58" t="str">
        <f t="shared" si="181"/>
        <v/>
      </c>
      <c r="AJ330" s="59"/>
      <c r="AK330" s="58" t="str">
        <f t="shared" si="182"/>
        <v/>
      </c>
      <c r="AL330" s="59"/>
      <c r="AM330" s="58" t="str">
        <f t="shared" si="183"/>
        <v/>
      </c>
      <c r="AN330" s="59"/>
      <c r="AO330" s="58" t="str">
        <f t="shared" si="184"/>
        <v/>
      </c>
      <c r="AP330" s="59"/>
      <c r="AQ330" s="58" t="str">
        <f t="shared" si="185"/>
        <v/>
      </c>
      <c r="AR330" s="59"/>
      <c r="AS330" s="58" t="str">
        <f t="shared" si="186"/>
        <v/>
      </c>
      <c r="AT330" s="59"/>
      <c r="AU330" s="58" t="str">
        <f t="shared" si="187"/>
        <v/>
      </c>
      <c r="AV330" s="59"/>
      <c r="AW330" s="58" t="str">
        <f t="shared" si="188"/>
        <v/>
      </c>
      <c r="AX330" s="59"/>
      <c r="AY330" s="58" t="str">
        <f t="shared" si="189"/>
        <v/>
      </c>
      <c r="AZ330" s="59"/>
      <c r="BA330" s="58" t="str">
        <f t="shared" si="190"/>
        <v/>
      </c>
      <c r="BB330" s="59"/>
      <c r="BC330" s="58" t="str">
        <f t="shared" si="191"/>
        <v/>
      </c>
      <c r="BD330" s="59"/>
      <c r="BE330" s="58" t="str">
        <f t="shared" si="192"/>
        <v/>
      </c>
      <c r="BF330" s="59"/>
      <c r="BG330" s="58">
        <f t="shared" si="193"/>
        <v>2100</v>
      </c>
      <c r="BH330" s="59"/>
      <c r="BI330" s="58" t="str">
        <f t="shared" si="194"/>
        <v/>
      </c>
      <c r="BJ330" s="59"/>
      <c r="BK330" s="58" t="str">
        <f t="shared" si="195"/>
        <v/>
      </c>
      <c r="BL330" s="59"/>
      <c r="BM330" s="58" t="str">
        <f t="shared" si="196"/>
        <v/>
      </c>
      <c r="BN330" s="59"/>
      <c r="BO330" s="58" t="str">
        <f t="shared" si="197"/>
        <v/>
      </c>
      <c r="BP330" s="59"/>
      <c r="BQ330" s="58" t="str">
        <f t="shared" si="198"/>
        <v/>
      </c>
      <c r="BR330" s="59"/>
      <c r="BS330" s="58" t="str">
        <f t="shared" si="199"/>
        <v/>
      </c>
      <c r="BT330" s="59"/>
      <c r="BU330" s="58" t="str">
        <f t="shared" si="200"/>
        <v/>
      </c>
      <c r="BV330" s="59"/>
      <c r="BW330" s="58" t="str">
        <f t="shared" si="201"/>
        <v/>
      </c>
      <c r="BX330" s="59"/>
      <c r="BY330" s="58" t="str">
        <f t="shared" si="202"/>
        <v/>
      </c>
      <c r="BZ330" s="59"/>
    </row>
    <row r="331" spans="1:78" ht="14.5" hidden="1">
      <c r="A331" s="51" t="s">
        <v>58</v>
      </c>
      <c r="B331" s="52">
        <v>400</v>
      </c>
      <c r="C331" s="52" t="s">
        <v>188</v>
      </c>
      <c r="D331" s="41">
        <f t="shared" si="177"/>
        <v>6</v>
      </c>
      <c r="E331" s="170" t="s">
        <v>679</v>
      </c>
      <c r="F331" s="41" t="s">
        <v>631</v>
      </c>
      <c r="G331" s="52" t="s">
        <v>502</v>
      </c>
      <c r="H331" s="52" t="s">
        <v>289</v>
      </c>
      <c r="I331" s="52" t="s">
        <v>154</v>
      </c>
      <c r="J331" s="52" t="s">
        <v>561</v>
      </c>
      <c r="K331" s="53">
        <v>45695</v>
      </c>
      <c r="L331" s="108">
        <v>1750</v>
      </c>
      <c r="M331" s="101"/>
      <c r="N331" s="101"/>
      <c r="O331" s="107">
        <f t="shared" si="172"/>
        <v>1750</v>
      </c>
      <c r="P331" s="54">
        <f t="shared" si="173"/>
        <v>1750</v>
      </c>
      <c r="Q331" s="101" t="s">
        <v>506</v>
      </c>
      <c r="R331" s="101"/>
      <c r="S331" s="101"/>
      <c r="T331" s="102">
        <f t="shared" si="178"/>
        <v>9.1145833333333339</v>
      </c>
      <c r="U331" s="102">
        <v>6</v>
      </c>
      <c r="V331" s="99">
        <f>480/15</f>
        <v>32</v>
      </c>
      <c r="W331" s="55">
        <f t="shared" si="174"/>
        <v>45675</v>
      </c>
      <c r="X331" s="55"/>
      <c r="Y331" s="56">
        <f t="shared" ca="1" si="175"/>
        <v>-165</v>
      </c>
      <c r="Z331" s="55">
        <f t="shared" si="171"/>
        <v>45691</v>
      </c>
      <c r="AA331" s="55"/>
      <c r="AB331" s="56">
        <f t="shared" ca="1" si="176"/>
        <v>-149</v>
      </c>
      <c r="AC331" s="55"/>
      <c r="AD331" s="57"/>
      <c r="AE331" s="58" t="str">
        <f t="shared" si="179"/>
        <v>-</v>
      </c>
      <c r="AF331" s="59"/>
      <c r="AG331" s="58" t="str">
        <f t="shared" si="180"/>
        <v/>
      </c>
      <c r="AH331" s="59"/>
      <c r="AI331" s="58" t="str">
        <f t="shared" si="181"/>
        <v/>
      </c>
      <c r="AJ331" s="59"/>
      <c r="AK331" s="58" t="str">
        <f t="shared" si="182"/>
        <v/>
      </c>
      <c r="AL331" s="59"/>
      <c r="AM331" s="58" t="str">
        <f t="shared" si="183"/>
        <v/>
      </c>
      <c r="AN331" s="59"/>
      <c r="AO331" s="58" t="str">
        <f t="shared" si="184"/>
        <v/>
      </c>
      <c r="AP331" s="59"/>
      <c r="AQ331" s="58" t="str">
        <f t="shared" si="185"/>
        <v/>
      </c>
      <c r="AR331" s="59"/>
      <c r="AS331" s="58" t="str">
        <f t="shared" si="186"/>
        <v/>
      </c>
      <c r="AT331" s="59"/>
      <c r="AU331" s="58" t="str">
        <f t="shared" si="187"/>
        <v/>
      </c>
      <c r="AV331" s="59"/>
      <c r="AW331" s="58" t="str">
        <f t="shared" si="188"/>
        <v/>
      </c>
      <c r="AX331" s="59"/>
      <c r="AY331" s="58" t="str">
        <f t="shared" si="189"/>
        <v/>
      </c>
      <c r="AZ331" s="59"/>
      <c r="BA331" s="58" t="str">
        <f t="shared" si="190"/>
        <v/>
      </c>
      <c r="BB331" s="59"/>
      <c r="BC331" s="58" t="str">
        <f t="shared" si="191"/>
        <v/>
      </c>
      <c r="BD331" s="59"/>
      <c r="BE331" s="58" t="str">
        <f t="shared" si="192"/>
        <v/>
      </c>
      <c r="BF331" s="59"/>
      <c r="BG331" s="58">
        <f t="shared" si="193"/>
        <v>1750</v>
      </c>
      <c r="BH331" s="59"/>
      <c r="BI331" s="58" t="str">
        <f t="shared" si="194"/>
        <v/>
      </c>
      <c r="BJ331" s="59"/>
      <c r="BK331" s="58" t="str">
        <f t="shared" si="195"/>
        <v/>
      </c>
      <c r="BL331" s="59"/>
      <c r="BM331" s="58" t="str">
        <f t="shared" si="196"/>
        <v/>
      </c>
      <c r="BN331" s="59"/>
      <c r="BO331" s="58" t="str">
        <f t="shared" si="197"/>
        <v/>
      </c>
      <c r="BP331" s="59"/>
      <c r="BQ331" s="58" t="str">
        <f t="shared" si="198"/>
        <v/>
      </c>
      <c r="BR331" s="59"/>
      <c r="BS331" s="58" t="str">
        <f t="shared" si="199"/>
        <v/>
      </c>
      <c r="BT331" s="59"/>
      <c r="BU331" s="58" t="str">
        <f t="shared" si="200"/>
        <v/>
      </c>
      <c r="BV331" s="59"/>
      <c r="BW331" s="58" t="str">
        <f t="shared" si="201"/>
        <v/>
      </c>
      <c r="BX331" s="59"/>
      <c r="BY331" s="58" t="str">
        <f t="shared" si="202"/>
        <v/>
      </c>
      <c r="BZ331" s="59"/>
    </row>
    <row r="332" spans="1:78" ht="14.5" hidden="1">
      <c r="A332" s="51" t="s">
        <v>58</v>
      </c>
      <c r="B332" s="52">
        <v>400</v>
      </c>
      <c r="C332" s="52" t="s">
        <v>188</v>
      </c>
      <c r="D332" s="41">
        <f t="shared" si="177"/>
        <v>6</v>
      </c>
      <c r="E332" s="170" t="s">
        <v>679</v>
      </c>
      <c r="F332" s="41" t="s">
        <v>631</v>
      </c>
      <c r="G332" s="52" t="s">
        <v>502</v>
      </c>
      <c r="H332" s="52" t="s">
        <v>289</v>
      </c>
      <c r="I332" s="52" t="s">
        <v>156</v>
      </c>
      <c r="J332" s="52" t="s">
        <v>561</v>
      </c>
      <c r="K332" s="53">
        <v>45695</v>
      </c>
      <c r="L332" s="108">
        <v>1400</v>
      </c>
      <c r="M332" s="101"/>
      <c r="N332" s="101"/>
      <c r="O332" s="107">
        <f t="shared" si="172"/>
        <v>1400</v>
      </c>
      <c r="P332" s="54">
        <f t="shared" si="173"/>
        <v>1400</v>
      </c>
      <c r="Q332" s="101" t="s">
        <v>506</v>
      </c>
      <c r="R332" s="101"/>
      <c r="S332" s="101"/>
      <c r="T332" s="102">
        <f t="shared" si="178"/>
        <v>7.291666666666667</v>
      </c>
      <c r="U332" s="102">
        <v>6</v>
      </c>
      <c r="V332" s="99">
        <f>480/15</f>
        <v>32</v>
      </c>
      <c r="W332" s="55">
        <f t="shared" si="174"/>
        <v>45675</v>
      </c>
      <c r="X332" s="55"/>
      <c r="Y332" s="56">
        <f t="shared" ca="1" si="175"/>
        <v>-165</v>
      </c>
      <c r="Z332" s="55">
        <f t="shared" si="171"/>
        <v>45691</v>
      </c>
      <c r="AA332" s="55"/>
      <c r="AB332" s="56">
        <f t="shared" ca="1" si="176"/>
        <v>-149</v>
      </c>
      <c r="AC332" s="55"/>
      <c r="AD332" s="57"/>
      <c r="AE332" s="58" t="str">
        <f t="shared" si="179"/>
        <v>-</v>
      </c>
      <c r="AF332" s="59"/>
      <c r="AG332" s="58" t="str">
        <f t="shared" si="180"/>
        <v/>
      </c>
      <c r="AH332" s="59"/>
      <c r="AI332" s="58" t="str">
        <f t="shared" si="181"/>
        <v/>
      </c>
      <c r="AJ332" s="59"/>
      <c r="AK332" s="58" t="str">
        <f t="shared" si="182"/>
        <v/>
      </c>
      <c r="AL332" s="59"/>
      <c r="AM332" s="58" t="str">
        <f t="shared" si="183"/>
        <v/>
      </c>
      <c r="AN332" s="59"/>
      <c r="AO332" s="58" t="str">
        <f t="shared" si="184"/>
        <v/>
      </c>
      <c r="AP332" s="59"/>
      <c r="AQ332" s="58" t="str">
        <f t="shared" si="185"/>
        <v/>
      </c>
      <c r="AR332" s="59"/>
      <c r="AS332" s="58" t="str">
        <f t="shared" si="186"/>
        <v/>
      </c>
      <c r="AT332" s="59"/>
      <c r="AU332" s="58" t="str">
        <f t="shared" si="187"/>
        <v/>
      </c>
      <c r="AV332" s="59"/>
      <c r="AW332" s="58" t="str">
        <f t="shared" si="188"/>
        <v/>
      </c>
      <c r="AX332" s="59"/>
      <c r="AY332" s="58" t="str">
        <f t="shared" si="189"/>
        <v/>
      </c>
      <c r="AZ332" s="59"/>
      <c r="BA332" s="58" t="str">
        <f t="shared" si="190"/>
        <v/>
      </c>
      <c r="BB332" s="59"/>
      <c r="BC332" s="58" t="str">
        <f t="shared" si="191"/>
        <v/>
      </c>
      <c r="BD332" s="59"/>
      <c r="BE332" s="58" t="str">
        <f t="shared" si="192"/>
        <v/>
      </c>
      <c r="BF332" s="59"/>
      <c r="BG332" s="58">
        <f t="shared" si="193"/>
        <v>1400</v>
      </c>
      <c r="BH332" s="59"/>
      <c r="BI332" s="58" t="str">
        <f t="shared" si="194"/>
        <v/>
      </c>
      <c r="BJ332" s="59"/>
      <c r="BK332" s="58" t="str">
        <f t="shared" si="195"/>
        <v/>
      </c>
      <c r="BL332" s="59"/>
      <c r="BM332" s="58" t="str">
        <f t="shared" si="196"/>
        <v/>
      </c>
      <c r="BN332" s="59"/>
      <c r="BO332" s="58" t="str">
        <f t="shared" si="197"/>
        <v/>
      </c>
      <c r="BP332" s="59"/>
      <c r="BQ332" s="58" t="str">
        <f t="shared" si="198"/>
        <v/>
      </c>
      <c r="BR332" s="59"/>
      <c r="BS332" s="58" t="str">
        <f t="shared" si="199"/>
        <v/>
      </c>
      <c r="BT332" s="59"/>
      <c r="BU332" s="58" t="str">
        <f t="shared" si="200"/>
        <v/>
      </c>
      <c r="BV332" s="59"/>
      <c r="BW332" s="58" t="str">
        <f t="shared" si="201"/>
        <v/>
      </c>
      <c r="BX332" s="59"/>
      <c r="BY332" s="58" t="str">
        <f t="shared" si="202"/>
        <v/>
      </c>
      <c r="BZ332" s="59"/>
    </row>
    <row r="333" spans="1:78" ht="14.5" hidden="1">
      <c r="A333" s="51" t="s">
        <v>58</v>
      </c>
      <c r="B333" s="52">
        <v>400</v>
      </c>
      <c r="C333" s="52" t="s">
        <v>188</v>
      </c>
      <c r="D333" s="41">
        <f t="shared" si="177"/>
        <v>6</v>
      </c>
      <c r="E333" s="170" t="s">
        <v>631</v>
      </c>
      <c r="F333" s="41" t="s">
        <v>689</v>
      </c>
      <c r="G333" s="52" t="s">
        <v>157</v>
      </c>
      <c r="H333" s="52" t="s">
        <v>243</v>
      </c>
      <c r="I333" s="52" t="s">
        <v>162</v>
      </c>
      <c r="J333" s="52" t="s">
        <v>428</v>
      </c>
      <c r="K333" s="53">
        <v>45695</v>
      </c>
      <c r="L333" s="108">
        <v>3708</v>
      </c>
      <c r="M333" s="101"/>
      <c r="N333" s="101"/>
      <c r="O333" s="107">
        <f t="shared" si="172"/>
        <v>3708</v>
      </c>
      <c r="P333" s="54">
        <f t="shared" si="173"/>
        <v>3708</v>
      </c>
      <c r="Q333" s="101" t="s">
        <v>429</v>
      </c>
      <c r="R333" s="101"/>
      <c r="S333" s="101"/>
      <c r="T333" s="102">
        <f t="shared" si="178"/>
        <v>0.61799999999999999</v>
      </c>
      <c r="U333" s="102">
        <v>6</v>
      </c>
      <c r="V333" s="99">
        <v>1000</v>
      </c>
      <c r="W333" s="55">
        <f t="shared" si="174"/>
        <v>45675</v>
      </c>
      <c r="X333" s="55"/>
      <c r="Y333" s="56">
        <f t="shared" ca="1" si="175"/>
        <v>-165</v>
      </c>
      <c r="Z333" s="55">
        <f t="shared" si="171"/>
        <v>45691</v>
      </c>
      <c r="AA333" s="55"/>
      <c r="AB333" s="56">
        <f t="shared" ca="1" si="176"/>
        <v>-149</v>
      </c>
      <c r="AC333" s="55"/>
      <c r="AD333" s="57"/>
      <c r="AE333" s="58" t="str">
        <f t="shared" si="179"/>
        <v>-</v>
      </c>
      <c r="AF333" s="59"/>
      <c r="AG333" s="58" t="str">
        <f t="shared" si="180"/>
        <v/>
      </c>
      <c r="AH333" s="59"/>
      <c r="AI333" s="58" t="str">
        <f t="shared" si="181"/>
        <v/>
      </c>
      <c r="AJ333" s="59"/>
      <c r="AK333" s="58" t="str">
        <f t="shared" si="182"/>
        <v/>
      </c>
      <c r="AL333" s="59"/>
      <c r="AM333" s="58" t="str">
        <f t="shared" si="183"/>
        <v/>
      </c>
      <c r="AN333" s="59"/>
      <c r="AO333" s="58" t="str">
        <f t="shared" si="184"/>
        <v/>
      </c>
      <c r="AP333" s="59"/>
      <c r="AQ333" s="58" t="str">
        <f t="shared" si="185"/>
        <v/>
      </c>
      <c r="AR333" s="59"/>
      <c r="AS333" s="58" t="str">
        <f t="shared" si="186"/>
        <v/>
      </c>
      <c r="AT333" s="59"/>
      <c r="AU333" s="58" t="str">
        <f t="shared" si="187"/>
        <v/>
      </c>
      <c r="AV333" s="59"/>
      <c r="AW333" s="58" t="str">
        <f t="shared" si="188"/>
        <v/>
      </c>
      <c r="AX333" s="59"/>
      <c r="AY333" s="58" t="str">
        <f t="shared" si="189"/>
        <v/>
      </c>
      <c r="AZ333" s="59"/>
      <c r="BA333" s="58" t="str">
        <f t="shared" si="190"/>
        <v/>
      </c>
      <c r="BB333" s="59"/>
      <c r="BC333" s="58" t="str">
        <f t="shared" si="191"/>
        <v/>
      </c>
      <c r="BD333" s="59"/>
      <c r="BE333" s="58" t="str">
        <f t="shared" si="192"/>
        <v/>
      </c>
      <c r="BF333" s="59"/>
      <c r="BG333" s="58">
        <f t="shared" si="193"/>
        <v>3708</v>
      </c>
      <c r="BH333" s="59"/>
      <c r="BI333" s="58" t="str">
        <f t="shared" si="194"/>
        <v/>
      </c>
      <c r="BJ333" s="59"/>
      <c r="BK333" s="58" t="str">
        <f t="shared" si="195"/>
        <v/>
      </c>
      <c r="BL333" s="59"/>
      <c r="BM333" s="58" t="str">
        <f t="shared" si="196"/>
        <v/>
      </c>
      <c r="BN333" s="59"/>
      <c r="BO333" s="58" t="str">
        <f t="shared" si="197"/>
        <v/>
      </c>
      <c r="BP333" s="59"/>
      <c r="BQ333" s="58" t="str">
        <f t="shared" si="198"/>
        <v/>
      </c>
      <c r="BR333" s="59"/>
      <c r="BS333" s="58" t="str">
        <f t="shared" si="199"/>
        <v/>
      </c>
      <c r="BT333" s="59"/>
      <c r="BU333" s="58" t="str">
        <f t="shared" si="200"/>
        <v/>
      </c>
      <c r="BV333" s="59"/>
      <c r="BW333" s="58" t="str">
        <f t="shared" si="201"/>
        <v/>
      </c>
      <c r="BX333" s="59"/>
      <c r="BY333" s="58" t="str">
        <f t="shared" si="202"/>
        <v/>
      </c>
      <c r="BZ333" s="59"/>
    </row>
    <row r="334" spans="1:78" ht="14.5" hidden="1">
      <c r="A334" s="51" t="s">
        <v>58</v>
      </c>
      <c r="B334" s="52">
        <v>400</v>
      </c>
      <c r="C334" s="52" t="s">
        <v>188</v>
      </c>
      <c r="D334" s="41">
        <f t="shared" si="177"/>
        <v>6</v>
      </c>
      <c r="E334" s="170" t="s">
        <v>631</v>
      </c>
      <c r="F334" s="41" t="s">
        <v>689</v>
      </c>
      <c r="G334" s="52" t="s">
        <v>158</v>
      </c>
      <c r="H334" s="52" t="s">
        <v>242</v>
      </c>
      <c r="I334" s="52" t="s">
        <v>155</v>
      </c>
      <c r="J334" s="52" t="s">
        <v>432</v>
      </c>
      <c r="K334" s="53">
        <v>45695</v>
      </c>
      <c r="L334" s="108">
        <v>1336</v>
      </c>
      <c r="M334" s="101"/>
      <c r="N334" s="101"/>
      <c r="O334" s="107">
        <f t="shared" si="172"/>
        <v>1336</v>
      </c>
      <c r="P334" s="54">
        <f t="shared" si="173"/>
        <v>1336</v>
      </c>
      <c r="Q334" s="101" t="s">
        <v>437</v>
      </c>
      <c r="R334" s="101"/>
      <c r="S334" s="101"/>
      <c r="T334" s="102">
        <f t="shared" si="178"/>
        <v>1.8555555555555556</v>
      </c>
      <c r="U334" s="102">
        <v>6</v>
      </c>
      <c r="V334" s="99">
        <v>120</v>
      </c>
      <c r="W334" s="55">
        <f t="shared" si="174"/>
        <v>45675</v>
      </c>
      <c r="X334" s="55"/>
      <c r="Y334" s="56">
        <f t="shared" ca="1" si="175"/>
        <v>-165</v>
      </c>
      <c r="Z334" s="55">
        <f t="shared" si="171"/>
        <v>45691</v>
      </c>
      <c r="AA334" s="55"/>
      <c r="AB334" s="56">
        <f t="shared" ca="1" si="176"/>
        <v>-149</v>
      </c>
      <c r="AC334" s="55"/>
      <c r="AD334" s="57"/>
      <c r="AE334" s="58" t="str">
        <f t="shared" si="179"/>
        <v>-</v>
      </c>
      <c r="AF334" s="59"/>
      <c r="AG334" s="58" t="str">
        <f t="shared" si="180"/>
        <v/>
      </c>
      <c r="AH334" s="59"/>
      <c r="AI334" s="58" t="str">
        <f t="shared" si="181"/>
        <v/>
      </c>
      <c r="AJ334" s="59"/>
      <c r="AK334" s="58" t="str">
        <f t="shared" si="182"/>
        <v/>
      </c>
      <c r="AL334" s="59"/>
      <c r="AM334" s="58" t="str">
        <f t="shared" si="183"/>
        <v/>
      </c>
      <c r="AN334" s="59"/>
      <c r="AO334" s="58" t="str">
        <f t="shared" si="184"/>
        <v/>
      </c>
      <c r="AP334" s="59"/>
      <c r="AQ334" s="58" t="str">
        <f t="shared" si="185"/>
        <v/>
      </c>
      <c r="AR334" s="59"/>
      <c r="AS334" s="58" t="str">
        <f t="shared" si="186"/>
        <v/>
      </c>
      <c r="AT334" s="59"/>
      <c r="AU334" s="58" t="str">
        <f t="shared" si="187"/>
        <v/>
      </c>
      <c r="AV334" s="59"/>
      <c r="AW334" s="58" t="str">
        <f t="shared" si="188"/>
        <v/>
      </c>
      <c r="AX334" s="59"/>
      <c r="AY334" s="58" t="str">
        <f t="shared" si="189"/>
        <v/>
      </c>
      <c r="AZ334" s="59"/>
      <c r="BA334" s="58" t="str">
        <f t="shared" si="190"/>
        <v/>
      </c>
      <c r="BB334" s="59"/>
      <c r="BC334" s="58" t="str">
        <f t="shared" si="191"/>
        <v/>
      </c>
      <c r="BD334" s="59"/>
      <c r="BE334" s="58" t="str">
        <f t="shared" si="192"/>
        <v/>
      </c>
      <c r="BF334" s="59"/>
      <c r="BG334" s="58">
        <f t="shared" si="193"/>
        <v>1336</v>
      </c>
      <c r="BH334" s="59"/>
      <c r="BI334" s="58" t="str">
        <f t="shared" si="194"/>
        <v/>
      </c>
      <c r="BJ334" s="59"/>
      <c r="BK334" s="58" t="str">
        <f t="shared" si="195"/>
        <v/>
      </c>
      <c r="BL334" s="59"/>
      <c r="BM334" s="58" t="str">
        <f t="shared" si="196"/>
        <v/>
      </c>
      <c r="BN334" s="59"/>
      <c r="BO334" s="58" t="str">
        <f t="shared" si="197"/>
        <v/>
      </c>
      <c r="BP334" s="59"/>
      <c r="BQ334" s="58" t="str">
        <f t="shared" si="198"/>
        <v/>
      </c>
      <c r="BR334" s="59"/>
      <c r="BS334" s="58" t="str">
        <f t="shared" si="199"/>
        <v/>
      </c>
      <c r="BT334" s="59"/>
      <c r="BU334" s="58" t="str">
        <f t="shared" si="200"/>
        <v/>
      </c>
      <c r="BV334" s="59"/>
      <c r="BW334" s="58" t="str">
        <f t="shared" si="201"/>
        <v/>
      </c>
      <c r="BX334" s="59"/>
      <c r="BY334" s="58" t="str">
        <f t="shared" si="202"/>
        <v/>
      </c>
      <c r="BZ334" s="59"/>
    </row>
    <row r="335" spans="1:78" ht="14.5" hidden="1">
      <c r="A335" s="51" t="s">
        <v>58</v>
      </c>
      <c r="B335" s="52">
        <v>400</v>
      </c>
      <c r="C335" s="52" t="s">
        <v>188</v>
      </c>
      <c r="D335" s="41">
        <f t="shared" si="177"/>
        <v>6</v>
      </c>
      <c r="E335" s="170" t="s">
        <v>631</v>
      </c>
      <c r="F335" s="41" t="s">
        <v>689</v>
      </c>
      <c r="G335" s="52" t="s">
        <v>391</v>
      </c>
      <c r="H335" s="52" t="s">
        <v>392</v>
      </c>
      <c r="I335" s="52" t="s">
        <v>393</v>
      </c>
      <c r="J335" s="52" t="s">
        <v>433</v>
      </c>
      <c r="K335" s="53">
        <v>45695</v>
      </c>
      <c r="L335" s="108">
        <v>438</v>
      </c>
      <c r="M335" s="101"/>
      <c r="N335" s="101"/>
      <c r="O335" s="107">
        <f t="shared" si="172"/>
        <v>438</v>
      </c>
      <c r="P335" s="54">
        <f t="shared" si="173"/>
        <v>438</v>
      </c>
      <c r="Q335" s="101" t="s">
        <v>443</v>
      </c>
      <c r="R335" s="101"/>
      <c r="S335" s="101"/>
      <c r="T335" s="102">
        <f t="shared" si="178"/>
        <v>0.91249999999999998</v>
      </c>
      <c r="U335" s="102">
        <v>6</v>
      </c>
      <c r="V335" s="99">
        <v>80</v>
      </c>
      <c r="W335" s="55">
        <f t="shared" si="174"/>
        <v>45675</v>
      </c>
      <c r="X335" s="55"/>
      <c r="Y335" s="56">
        <f t="shared" ca="1" si="175"/>
        <v>-165</v>
      </c>
      <c r="Z335" s="55">
        <f t="shared" si="171"/>
        <v>45691</v>
      </c>
      <c r="AA335" s="55"/>
      <c r="AB335" s="56">
        <f t="shared" ca="1" si="176"/>
        <v>-149</v>
      </c>
      <c r="AC335" s="55"/>
      <c r="AD335" s="57"/>
      <c r="AE335" s="58" t="str">
        <f t="shared" si="179"/>
        <v>-</v>
      </c>
      <c r="AF335" s="59"/>
      <c r="AG335" s="58" t="str">
        <f t="shared" si="180"/>
        <v/>
      </c>
      <c r="AH335" s="59"/>
      <c r="AI335" s="58" t="str">
        <f t="shared" si="181"/>
        <v/>
      </c>
      <c r="AJ335" s="59"/>
      <c r="AK335" s="58" t="str">
        <f t="shared" si="182"/>
        <v/>
      </c>
      <c r="AL335" s="59"/>
      <c r="AM335" s="58" t="str">
        <f t="shared" si="183"/>
        <v/>
      </c>
      <c r="AN335" s="59"/>
      <c r="AO335" s="58" t="str">
        <f t="shared" si="184"/>
        <v/>
      </c>
      <c r="AP335" s="59"/>
      <c r="AQ335" s="58" t="str">
        <f t="shared" si="185"/>
        <v/>
      </c>
      <c r="AR335" s="59"/>
      <c r="AS335" s="58" t="str">
        <f t="shared" si="186"/>
        <v/>
      </c>
      <c r="AT335" s="59"/>
      <c r="AU335" s="58" t="str">
        <f t="shared" si="187"/>
        <v/>
      </c>
      <c r="AV335" s="59"/>
      <c r="AW335" s="58" t="str">
        <f t="shared" si="188"/>
        <v/>
      </c>
      <c r="AX335" s="59"/>
      <c r="AY335" s="58" t="str">
        <f t="shared" si="189"/>
        <v/>
      </c>
      <c r="AZ335" s="59"/>
      <c r="BA335" s="58" t="str">
        <f t="shared" si="190"/>
        <v/>
      </c>
      <c r="BB335" s="59"/>
      <c r="BC335" s="58" t="str">
        <f t="shared" si="191"/>
        <v/>
      </c>
      <c r="BD335" s="59"/>
      <c r="BE335" s="58" t="str">
        <f t="shared" si="192"/>
        <v/>
      </c>
      <c r="BF335" s="59"/>
      <c r="BG335" s="58">
        <f t="shared" si="193"/>
        <v>438</v>
      </c>
      <c r="BH335" s="59"/>
      <c r="BI335" s="58" t="str">
        <f t="shared" si="194"/>
        <v/>
      </c>
      <c r="BJ335" s="59"/>
      <c r="BK335" s="58" t="str">
        <f t="shared" si="195"/>
        <v/>
      </c>
      <c r="BL335" s="59"/>
      <c r="BM335" s="58" t="str">
        <f t="shared" si="196"/>
        <v/>
      </c>
      <c r="BN335" s="59"/>
      <c r="BO335" s="58" t="str">
        <f t="shared" si="197"/>
        <v/>
      </c>
      <c r="BP335" s="59"/>
      <c r="BQ335" s="58" t="str">
        <f t="shared" si="198"/>
        <v/>
      </c>
      <c r="BR335" s="59"/>
      <c r="BS335" s="58" t="str">
        <f t="shared" si="199"/>
        <v/>
      </c>
      <c r="BT335" s="59"/>
      <c r="BU335" s="58" t="str">
        <f t="shared" si="200"/>
        <v/>
      </c>
      <c r="BV335" s="59"/>
      <c r="BW335" s="58" t="str">
        <f t="shared" si="201"/>
        <v/>
      </c>
      <c r="BX335" s="59"/>
      <c r="BY335" s="58" t="str">
        <f t="shared" si="202"/>
        <v/>
      </c>
      <c r="BZ335" s="59"/>
    </row>
    <row r="336" spans="1:78" ht="14.5" hidden="1">
      <c r="A336" s="51" t="s">
        <v>58</v>
      </c>
      <c r="B336" s="52">
        <v>401</v>
      </c>
      <c r="C336" s="52" t="s">
        <v>188</v>
      </c>
      <c r="D336" s="41">
        <f t="shared" si="177"/>
        <v>6</v>
      </c>
      <c r="E336" s="170">
        <v>45677</v>
      </c>
      <c r="F336" s="41" t="s">
        <v>689</v>
      </c>
      <c r="G336" s="52" t="s">
        <v>245</v>
      </c>
      <c r="H336" s="52" t="s">
        <v>562</v>
      </c>
      <c r="I336" s="52" t="s">
        <v>244</v>
      </c>
      <c r="J336" s="52" t="s">
        <v>432</v>
      </c>
      <c r="K336" s="53">
        <v>45695</v>
      </c>
      <c r="L336" s="108">
        <v>1344</v>
      </c>
      <c r="M336" s="101"/>
      <c r="N336" s="101"/>
      <c r="O336" s="107">
        <f t="shared" si="172"/>
        <v>1344</v>
      </c>
      <c r="P336" s="54">
        <f t="shared" si="173"/>
        <v>1344</v>
      </c>
      <c r="Q336" s="101" t="s">
        <v>431</v>
      </c>
      <c r="R336" s="101"/>
      <c r="S336" s="101"/>
      <c r="T336" s="102">
        <f t="shared" si="178"/>
        <v>1.8666666666666667</v>
      </c>
      <c r="U336" s="102">
        <v>6</v>
      </c>
      <c r="V336" s="99">
        <v>120</v>
      </c>
      <c r="W336" s="55">
        <f t="shared" si="174"/>
        <v>45675</v>
      </c>
      <c r="X336" s="55"/>
      <c r="Y336" s="56">
        <f t="shared" ca="1" si="175"/>
        <v>-165</v>
      </c>
      <c r="Z336" s="55">
        <f t="shared" si="171"/>
        <v>45691</v>
      </c>
      <c r="AA336" s="55"/>
      <c r="AB336" s="56">
        <f t="shared" ca="1" si="176"/>
        <v>-149</v>
      </c>
      <c r="AC336" s="55"/>
      <c r="AD336" s="57"/>
      <c r="AE336" s="58" t="str">
        <f t="shared" si="179"/>
        <v>-</v>
      </c>
      <c r="AF336" s="59"/>
      <c r="AG336" s="58" t="str">
        <f t="shared" si="180"/>
        <v/>
      </c>
      <c r="AH336" s="59"/>
      <c r="AI336" s="58" t="str">
        <f t="shared" si="181"/>
        <v/>
      </c>
      <c r="AJ336" s="59"/>
      <c r="AK336" s="58" t="str">
        <f t="shared" si="182"/>
        <v/>
      </c>
      <c r="AL336" s="59"/>
      <c r="AM336" s="58" t="str">
        <f t="shared" si="183"/>
        <v/>
      </c>
      <c r="AN336" s="59"/>
      <c r="AO336" s="58" t="str">
        <f t="shared" si="184"/>
        <v/>
      </c>
      <c r="AP336" s="59"/>
      <c r="AQ336" s="58" t="str">
        <f t="shared" si="185"/>
        <v/>
      </c>
      <c r="AR336" s="59"/>
      <c r="AS336" s="58" t="str">
        <f t="shared" si="186"/>
        <v/>
      </c>
      <c r="AT336" s="59"/>
      <c r="AU336" s="58" t="str">
        <f t="shared" si="187"/>
        <v/>
      </c>
      <c r="AV336" s="59"/>
      <c r="AW336" s="58" t="str">
        <f t="shared" si="188"/>
        <v/>
      </c>
      <c r="AX336" s="59"/>
      <c r="AY336" s="58" t="str">
        <f t="shared" si="189"/>
        <v/>
      </c>
      <c r="AZ336" s="59"/>
      <c r="BA336" s="58" t="str">
        <f t="shared" si="190"/>
        <v/>
      </c>
      <c r="BB336" s="59"/>
      <c r="BC336" s="58" t="str">
        <f t="shared" si="191"/>
        <v/>
      </c>
      <c r="BD336" s="59"/>
      <c r="BE336" s="58" t="str">
        <f t="shared" si="192"/>
        <v/>
      </c>
      <c r="BF336" s="59"/>
      <c r="BG336" s="58">
        <f t="shared" si="193"/>
        <v>1344</v>
      </c>
      <c r="BH336" s="59"/>
      <c r="BI336" s="58" t="str">
        <f t="shared" si="194"/>
        <v/>
      </c>
      <c r="BJ336" s="59"/>
      <c r="BK336" s="58" t="str">
        <f t="shared" si="195"/>
        <v/>
      </c>
      <c r="BL336" s="59"/>
      <c r="BM336" s="58" t="str">
        <f t="shared" si="196"/>
        <v/>
      </c>
      <c r="BN336" s="59"/>
      <c r="BO336" s="58" t="str">
        <f t="shared" si="197"/>
        <v/>
      </c>
      <c r="BP336" s="59"/>
      <c r="BQ336" s="58" t="str">
        <f t="shared" si="198"/>
        <v/>
      </c>
      <c r="BR336" s="59"/>
      <c r="BS336" s="58" t="str">
        <f t="shared" si="199"/>
        <v/>
      </c>
      <c r="BT336" s="59"/>
      <c r="BU336" s="58" t="str">
        <f t="shared" si="200"/>
        <v/>
      </c>
      <c r="BV336" s="59"/>
      <c r="BW336" s="58" t="str">
        <f t="shared" si="201"/>
        <v/>
      </c>
      <c r="BX336" s="59"/>
      <c r="BY336" s="58" t="str">
        <f t="shared" si="202"/>
        <v/>
      </c>
      <c r="BZ336" s="59"/>
    </row>
    <row r="337" spans="1:78" ht="14.5" hidden="1">
      <c r="A337" s="51" t="s">
        <v>58</v>
      </c>
      <c r="B337" s="52">
        <v>401</v>
      </c>
      <c r="C337" s="52" t="s">
        <v>188</v>
      </c>
      <c r="D337" s="41">
        <f t="shared" si="177"/>
        <v>6</v>
      </c>
      <c r="E337" s="170"/>
      <c r="F337" s="41" t="s">
        <v>689</v>
      </c>
      <c r="G337" s="52" t="s">
        <v>190</v>
      </c>
      <c r="H337" s="52" t="s">
        <v>562</v>
      </c>
      <c r="I337" s="52" t="s">
        <v>244</v>
      </c>
      <c r="J337" s="52" t="s">
        <v>438</v>
      </c>
      <c r="K337" s="53">
        <v>45695</v>
      </c>
      <c r="L337" s="108">
        <v>1040</v>
      </c>
      <c r="M337" s="101"/>
      <c r="N337" s="101"/>
      <c r="O337" s="107">
        <f t="shared" si="172"/>
        <v>1040</v>
      </c>
      <c r="P337" s="54">
        <f t="shared" si="173"/>
        <v>1040</v>
      </c>
      <c r="Q337" s="101" t="s">
        <v>431</v>
      </c>
      <c r="R337" s="101"/>
      <c r="S337" s="101"/>
      <c r="T337" s="102">
        <f t="shared" si="178"/>
        <v>1.4444444444444444</v>
      </c>
      <c r="U337" s="102">
        <v>6</v>
      </c>
      <c r="V337" s="99">
        <v>120</v>
      </c>
      <c r="W337" s="55">
        <f t="shared" si="174"/>
        <v>45675</v>
      </c>
      <c r="X337" s="55"/>
      <c r="Y337" s="56">
        <f t="shared" ca="1" si="175"/>
        <v>-165</v>
      </c>
      <c r="Z337" s="55">
        <f t="shared" si="171"/>
        <v>45691</v>
      </c>
      <c r="AA337" s="55"/>
      <c r="AB337" s="56">
        <f t="shared" ca="1" si="176"/>
        <v>-149</v>
      </c>
      <c r="AC337" s="55"/>
      <c r="AD337" s="57"/>
      <c r="AE337" s="58" t="str">
        <f t="shared" si="179"/>
        <v>-</v>
      </c>
      <c r="AF337" s="59"/>
      <c r="AG337" s="58" t="str">
        <f t="shared" si="180"/>
        <v/>
      </c>
      <c r="AH337" s="59"/>
      <c r="AI337" s="58" t="str">
        <f t="shared" si="181"/>
        <v/>
      </c>
      <c r="AJ337" s="59"/>
      <c r="AK337" s="58" t="str">
        <f t="shared" si="182"/>
        <v/>
      </c>
      <c r="AL337" s="59"/>
      <c r="AM337" s="58" t="str">
        <f t="shared" si="183"/>
        <v/>
      </c>
      <c r="AN337" s="59"/>
      <c r="AO337" s="58" t="str">
        <f t="shared" si="184"/>
        <v/>
      </c>
      <c r="AP337" s="59"/>
      <c r="AQ337" s="58" t="str">
        <f t="shared" si="185"/>
        <v/>
      </c>
      <c r="AR337" s="59"/>
      <c r="AS337" s="58" t="str">
        <f t="shared" si="186"/>
        <v/>
      </c>
      <c r="AT337" s="59"/>
      <c r="AU337" s="58" t="str">
        <f t="shared" si="187"/>
        <v/>
      </c>
      <c r="AV337" s="59"/>
      <c r="AW337" s="58" t="str">
        <f t="shared" si="188"/>
        <v/>
      </c>
      <c r="AX337" s="59"/>
      <c r="AY337" s="58" t="str">
        <f t="shared" si="189"/>
        <v/>
      </c>
      <c r="AZ337" s="59"/>
      <c r="BA337" s="58" t="str">
        <f t="shared" si="190"/>
        <v/>
      </c>
      <c r="BB337" s="59"/>
      <c r="BC337" s="58" t="str">
        <f t="shared" si="191"/>
        <v/>
      </c>
      <c r="BD337" s="59"/>
      <c r="BE337" s="58" t="str">
        <f t="shared" si="192"/>
        <v/>
      </c>
      <c r="BF337" s="59"/>
      <c r="BG337" s="58">
        <f t="shared" si="193"/>
        <v>1040</v>
      </c>
      <c r="BH337" s="59"/>
      <c r="BI337" s="58" t="str">
        <f t="shared" si="194"/>
        <v/>
      </c>
      <c r="BJ337" s="59"/>
      <c r="BK337" s="58" t="str">
        <f t="shared" si="195"/>
        <v/>
      </c>
      <c r="BL337" s="59"/>
      <c r="BM337" s="58" t="str">
        <f t="shared" si="196"/>
        <v/>
      </c>
      <c r="BN337" s="59"/>
      <c r="BO337" s="58" t="str">
        <f t="shared" si="197"/>
        <v/>
      </c>
      <c r="BP337" s="59"/>
      <c r="BQ337" s="58" t="str">
        <f t="shared" si="198"/>
        <v/>
      </c>
      <c r="BR337" s="59"/>
      <c r="BS337" s="58" t="str">
        <f t="shared" si="199"/>
        <v/>
      </c>
      <c r="BT337" s="59"/>
      <c r="BU337" s="58" t="str">
        <f t="shared" si="200"/>
        <v/>
      </c>
      <c r="BV337" s="59"/>
      <c r="BW337" s="58" t="str">
        <f t="shared" si="201"/>
        <v/>
      </c>
      <c r="BX337" s="59"/>
      <c r="BY337" s="58" t="str">
        <f t="shared" si="202"/>
        <v/>
      </c>
      <c r="BZ337" s="59"/>
    </row>
    <row r="338" spans="1:78" ht="14.5" hidden="1">
      <c r="A338" s="51" t="s">
        <v>58</v>
      </c>
      <c r="B338" s="52">
        <v>423</v>
      </c>
      <c r="C338" s="52" t="s">
        <v>188</v>
      </c>
      <c r="D338" s="41">
        <f t="shared" si="177"/>
        <v>6</v>
      </c>
      <c r="E338" s="170">
        <v>45675</v>
      </c>
      <c r="F338" s="41" t="s">
        <v>689</v>
      </c>
      <c r="G338" s="52" t="s">
        <v>157</v>
      </c>
      <c r="H338" s="52" t="s">
        <v>243</v>
      </c>
      <c r="I338" s="52" t="s">
        <v>155</v>
      </c>
      <c r="J338" s="52" t="s">
        <v>428</v>
      </c>
      <c r="K338" s="53">
        <v>45695</v>
      </c>
      <c r="L338" s="108">
        <v>3834</v>
      </c>
      <c r="M338" s="101"/>
      <c r="N338" s="101"/>
      <c r="O338" s="107">
        <f t="shared" si="172"/>
        <v>3834</v>
      </c>
      <c r="P338" s="54">
        <f t="shared" si="173"/>
        <v>3834</v>
      </c>
      <c r="Q338" s="101" t="s">
        <v>429</v>
      </c>
      <c r="R338" s="101"/>
      <c r="S338" s="101"/>
      <c r="T338" s="102">
        <f t="shared" si="178"/>
        <v>0.63900000000000001</v>
      </c>
      <c r="U338" s="102">
        <v>6</v>
      </c>
      <c r="V338" s="99">
        <v>1000</v>
      </c>
      <c r="W338" s="55">
        <f t="shared" si="174"/>
        <v>45675</v>
      </c>
      <c r="X338" s="55"/>
      <c r="Y338" s="56">
        <f t="shared" ca="1" si="175"/>
        <v>-165</v>
      </c>
      <c r="Z338" s="55">
        <f t="shared" si="171"/>
        <v>45691</v>
      </c>
      <c r="AA338" s="55"/>
      <c r="AB338" s="56">
        <f t="shared" ca="1" si="176"/>
        <v>-149</v>
      </c>
      <c r="AC338" s="55"/>
      <c r="AD338" s="57"/>
      <c r="AE338" s="58" t="str">
        <f t="shared" si="179"/>
        <v>-</v>
      </c>
      <c r="AF338" s="59"/>
      <c r="AG338" s="58" t="str">
        <f t="shared" si="180"/>
        <v/>
      </c>
      <c r="AH338" s="59"/>
      <c r="AI338" s="58" t="str">
        <f t="shared" si="181"/>
        <v/>
      </c>
      <c r="AJ338" s="59"/>
      <c r="AK338" s="58" t="str">
        <f t="shared" si="182"/>
        <v/>
      </c>
      <c r="AL338" s="59"/>
      <c r="AM338" s="58" t="str">
        <f t="shared" si="183"/>
        <v/>
      </c>
      <c r="AN338" s="59"/>
      <c r="AO338" s="58" t="str">
        <f t="shared" si="184"/>
        <v/>
      </c>
      <c r="AP338" s="59"/>
      <c r="AQ338" s="58" t="str">
        <f t="shared" si="185"/>
        <v/>
      </c>
      <c r="AR338" s="59"/>
      <c r="AS338" s="58" t="str">
        <f t="shared" si="186"/>
        <v/>
      </c>
      <c r="AT338" s="59"/>
      <c r="AU338" s="58" t="str">
        <f t="shared" si="187"/>
        <v/>
      </c>
      <c r="AV338" s="59"/>
      <c r="AW338" s="58" t="str">
        <f t="shared" si="188"/>
        <v/>
      </c>
      <c r="AX338" s="59"/>
      <c r="AY338" s="58" t="str">
        <f t="shared" si="189"/>
        <v/>
      </c>
      <c r="AZ338" s="59"/>
      <c r="BA338" s="58" t="str">
        <f t="shared" si="190"/>
        <v/>
      </c>
      <c r="BB338" s="59"/>
      <c r="BC338" s="58" t="str">
        <f t="shared" si="191"/>
        <v/>
      </c>
      <c r="BD338" s="59"/>
      <c r="BE338" s="58" t="str">
        <f t="shared" si="192"/>
        <v/>
      </c>
      <c r="BF338" s="59"/>
      <c r="BG338" s="58">
        <f t="shared" si="193"/>
        <v>3834</v>
      </c>
      <c r="BH338" s="59"/>
      <c r="BI338" s="58" t="str">
        <f t="shared" si="194"/>
        <v/>
      </c>
      <c r="BJ338" s="59"/>
      <c r="BK338" s="58" t="str">
        <f t="shared" si="195"/>
        <v/>
      </c>
      <c r="BL338" s="59"/>
      <c r="BM338" s="58" t="str">
        <f t="shared" si="196"/>
        <v/>
      </c>
      <c r="BN338" s="59"/>
      <c r="BO338" s="58" t="str">
        <f t="shared" si="197"/>
        <v/>
      </c>
      <c r="BP338" s="59"/>
      <c r="BQ338" s="58" t="str">
        <f t="shared" si="198"/>
        <v/>
      </c>
      <c r="BR338" s="59"/>
      <c r="BS338" s="58" t="str">
        <f t="shared" si="199"/>
        <v/>
      </c>
      <c r="BT338" s="59"/>
      <c r="BU338" s="58" t="str">
        <f t="shared" si="200"/>
        <v/>
      </c>
      <c r="BV338" s="59"/>
      <c r="BW338" s="58" t="str">
        <f t="shared" si="201"/>
        <v/>
      </c>
      <c r="BX338" s="59"/>
      <c r="BY338" s="58" t="str">
        <f t="shared" si="202"/>
        <v/>
      </c>
      <c r="BZ338" s="59"/>
    </row>
    <row r="339" spans="1:78" ht="14.5" hidden="1">
      <c r="A339" s="51" t="s">
        <v>58</v>
      </c>
      <c r="B339" s="52">
        <v>423</v>
      </c>
      <c r="C339" s="52" t="s">
        <v>188</v>
      </c>
      <c r="D339" s="41">
        <f t="shared" si="177"/>
        <v>6</v>
      </c>
      <c r="E339" s="170" t="s">
        <v>631</v>
      </c>
      <c r="F339" s="41" t="s">
        <v>689</v>
      </c>
      <c r="G339" s="52" t="s">
        <v>391</v>
      </c>
      <c r="H339" s="52" t="s">
        <v>392</v>
      </c>
      <c r="I339" s="52" t="s">
        <v>393</v>
      </c>
      <c r="J339" s="52" t="s">
        <v>433</v>
      </c>
      <c r="K339" s="53">
        <v>45695</v>
      </c>
      <c r="L339" s="108">
        <v>4140</v>
      </c>
      <c r="M339" s="101"/>
      <c r="N339" s="101"/>
      <c r="O339" s="107">
        <f t="shared" si="172"/>
        <v>4140</v>
      </c>
      <c r="P339" s="54">
        <f t="shared" si="173"/>
        <v>4140</v>
      </c>
      <c r="Q339" s="101" t="s">
        <v>443</v>
      </c>
      <c r="R339" s="101"/>
      <c r="S339" s="101"/>
      <c r="T339" s="102">
        <f t="shared" si="178"/>
        <v>8.625</v>
      </c>
      <c r="U339" s="102">
        <v>6</v>
      </c>
      <c r="V339" s="99">
        <v>80</v>
      </c>
      <c r="W339" s="55">
        <f t="shared" si="174"/>
        <v>45675</v>
      </c>
      <c r="X339" s="55"/>
      <c r="Y339" s="56">
        <f t="shared" ca="1" si="175"/>
        <v>-165</v>
      </c>
      <c r="Z339" s="55">
        <f t="shared" si="171"/>
        <v>45691</v>
      </c>
      <c r="AA339" s="55"/>
      <c r="AB339" s="56">
        <f t="shared" ca="1" si="176"/>
        <v>-149</v>
      </c>
      <c r="AC339" s="55"/>
      <c r="AD339" s="57"/>
      <c r="AE339" s="58" t="str">
        <f t="shared" si="179"/>
        <v>-</v>
      </c>
      <c r="AF339" s="59"/>
      <c r="AG339" s="58" t="str">
        <f t="shared" si="180"/>
        <v/>
      </c>
      <c r="AH339" s="59"/>
      <c r="AI339" s="58" t="str">
        <f t="shared" si="181"/>
        <v/>
      </c>
      <c r="AJ339" s="59"/>
      <c r="AK339" s="58" t="str">
        <f t="shared" si="182"/>
        <v/>
      </c>
      <c r="AL339" s="59"/>
      <c r="AM339" s="58" t="str">
        <f t="shared" si="183"/>
        <v/>
      </c>
      <c r="AN339" s="59"/>
      <c r="AO339" s="58" t="str">
        <f t="shared" si="184"/>
        <v/>
      </c>
      <c r="AP339" s="59"/>
      <c r="AQ339" s="58" t="str">
        <f t="shared" si="185"/>
        <v/>
      </c>
      <c r="AR339" s="59"/>
      <c r="AS339" s="58" t="str">
        <f t="shared" si="186"/>
        <v/>
      </c>
      <c r="AT339" s="59"/>
      <c r="AU339" s="58" t="str">
        <f t="shared" si="187"/>
        <v/>
      </c>
      <c r="AV339" s="59"/>
      <c r="AW339" s="58" t="str">
        <f t="shared" si="188"/>
        <v/>
      </c>
      <c r="AX339" s="59"/>
      <c r="AY339" s="58" t="str">
        <f t="shared" si="189"/>
        <v/>
      </c>
      <c r="AZ339" s="59"/>
      <c r="BA339" s="58" t="str">
        <f t="shared" si="190"/>
        <v/>
      </c>
      <c r="BB339" s="59"/>
      <c r="BC339" s="58" t="str">
        <f t="shared" si="191"/>
        <v/>
      </c>
      <c r="BD339" s="59"/>
      <c r="BE339" s="58" t="str">
        <f t="shared" si="192"/>
        <v/>
      </c>
      <c r="BF339" s="59"/>
      <c r="BG339" s="58">
        <f t="shared" si="193"/>
        <v>4140</v>
      </c>
      <c r="BH339" s="59"/>
      <c r="BI339" s="58" t="str">
        <f t="shared" si="194"/>
        <v/>
      </c>
      <c r="BJ339" s="59"/>
      <c r="BK339" s="58" t="str">
        <f t="shared" si="195"/>
        <v/>
      </c>
      <c r="BL339" s="59"/>
      <c r="BM339" s="58" t="str">
        <f t="shared" si="196"/>
        <v/>
      </c>
      <c r="BN339" s="59"/>
      <c r="BO339" s="58" t="str">
        <f t="shared" si="197"/>
        <v/>
      </c>
      <c r="BP339" s="59"/>
      <c r="BQ339" s="58" t="str">
        <f t="shared" si="198"/>
        <v/>
      </c>
      <c r="BR339" s="59"/>
      <c r="BS339" s="58" t="str">
        <f t="shared" si="199"/>
        <v/>
      </c>
      <c r="BT339" s="59"/>
      <c r="BU339" s="58" t="str">
        <f t="shared" si="200"/>
        <v/>
      </c>
      <c r="BV339" s="59"/>
      <c r="BW339" s="58" t="str">
        <f t="shared" si="201"/>
        <v/>
      </c>
      <c r="BX339" s="59"/>
      <c r="BY339" s="58" t="str">
        <f t="shared" si="202"/>
        <v/>
      </c>
      <c r="BZ339" s="59"/>
    </row>
    <row r="340" spans="1:78" ht="14.5" hidden="1">
      <c r="A340" s="51" t="s">
        <v>58</v>
      </c>
      <c r="B340" s="52">
        <v>424</v>
      </c>
      <c r="C340" s="52" t="s">
        <v>188</v>
      </c>
      <c r="D340" s="41">
        <f t="shared" si="177"/>
        <v>6</v>
      </c>
      <c r="E340" s="170"/>
      <c r="F340" s="41" t="s">
        <v>689</v>
      </c>
      <c r="G340" s="52" t="s">
        <v>158</v>
      </c>
      <c r="H340" s="52" t="s">
        <v>242</v>
      </c>
      <c r="I340" s="52" t="s">
        <v>154</v>
      </c>
      <c r="J340" s="52" t="s">
        <v>432</v>
      </c>
      <c r="K340" s="53">
        <v>45695</v>
      </c>
      <c r="L340" s="108">
        <v>1144</v>
      </c>
      <c r="M340" s="101"/>
      <c r="N340" s="101"/>
      <c r="O340" s="107">
        <f t="shared" si="172"/>
        <v>1144</v>
      </c>
      <c r="P340" s="54">
        <f t="shared" si="173"/>
        <v>1144</v>
      </c>
      <c r="Q340" s="101" t="s">
        <v>437</v>
      </c>
      <c r="R340" s="101"/>
      <c r="S340" s="101"/>
      <c r="T340" s="102">
        <f t="shared" si="178"/>
        <v>1.5888888888888888</v>
      </c>
      <c r="U340" s="102">
        <v>6</v>
      </c>
      <c r="V340" s="99">
        <v>120</v>
      </c>
      <c r="W340" s="55">
        <f t="shared" si="174"/>
        <v>45675</v>
      </c>
      <c r="X340" s="55"/>
      <c r="Y340" s="56">
        <f t="shared" ca="1" si="175"/>
        <v>-165</v>
      </c>
      <c r="Z340" s="55">
        <f t="shared" si="171"/>
        <v>45691</v>
      </c>
      <c r="AA340" s="55"/>
      <c r="AB340" s="56">
        <f t="shared" ca="1" si="176"/>
        <v>-149</v>
      </c>
      <c r="AC340" s="55"/>
      <c r="AD340" s="57"/>
      <c r="AE340" s="58" t="str">
        <f t="shared" si="179"/>
        <v>-</v>
      </c>
      <c r="AF340" s="59"/>
      <c r="AG340" s="58" t="str">
        <f t="shared" si="180"/>
        <v/>
      </c>
      <c r="AH340" s="59"/>
      <c r="AI340" s="58" t="str">
        <f t="shared" si="181"/>
        <v/>
      </c>
      <c r="AJ340" s="59"/>
      <c r="AK340" s="58" t="str">
        <f t="shared" si="182"/>
        <v/>
      </c>
      <c r="AL340" s="59"/>
      <c r="AM340" s="58" t="str">
        <f t="shared" si="183"/>
        <v/>
      </c>
      <c r="AN340" s="59"/>
      <c r="AO340" s="58" t="str">
        <f t="shared" si="184"/>
        <v/>
      </c>
      <c r="AP340" s="59"/>
      <c r="AQ340" s="58" t="str">
        <f t="shared" si="185"/>
        <v/>
      </c>
      <c r="AR340" s="59"/>
      <c r="AS340" s="58" t="str">
        <f t="shared" si="186"/>
        <v/>
      </c>
      <c r="AT340" s="59"/>
      <c r="AU340" s="58" t="str">
        <f t="shared" si="187"/>
        <v/>
      </c>
      <c r="AV340" s="59"/>
      <c r="AW340" s="58" t="str">
        <f t="shared" si="188"/>
        <v/>
      </c>
      <c r="AX340" s="59"/>
      <c r="AY340" s="58" t="str">
        <f t="shared" si="189"/>
        <v/>
      </c>
      <c r="AZ340" s="59"/>
      <c r="BA340" s="58" t="str">
        <f t="shared" si="190"/>
        <v/>
      </c>
      <c r="BB340" s="59"/>
      <c r="BC340" s="58" t="str">
        <f t="shared" si="191"/>
        <v/>
      </c>
      <c r="BD340" s="59"/>
      <c r="BE340" s="58" t="str">
        <f t="shared" si="192"/>
        <v/>
      </c>
      <c r="BF340" s="59"/>
      <c r="BG340" s="58">
        <f t="shared" si="193"/>
        <v>1144</v>
      </c>
      <c r="BH340" s="59"/>
      <c r="BI340" s="58" t="str">
        <f t="shared" si="194"/>
        <v/>
      </c>
      <c r="BJ340" s="59"/>
      <c r="BK340" s="58" t="str">
        <f t="shared" si="195"/>
        <v/>
      </c>
      <c r="BL340" s="59"/>
      <c r="BM340" s="58" t="str">
        <f t="shared" si="196"/>
        <v/>
      </c>
      <c r="BN340" s="59"/>
      <c r="BO340" s="58" t="str">
        <f t="shared" si="197"/>
        <v/>
      </c>
      <c r="BP340" s="59"/>
      <c r="BQ340" s="58" t="str">
        <f t="shared" si="198"/>
        <v/>
      </c>
      <c r="BR340" s="59"/>
      <c r="BS340" s="58" t="str">
        <f t="shared" si="199"/>
        <v/>
      </c>
      <c r="BT340" s="59"/>
      <c r="BU340" s="58" t="str">
        <f t="shared" si="200"/>
        <v/>
      </c>
      <c r="BV340" s="59"/>
      <c r="BW340" s="58" t="str">
        <f t="shared" si="201"/>
        <v/>
      </c>
      <c r="BX340" s="59"/>
      <c r="BY340" s="58" t="str">
        <f t="shared" si="202"/>
        <v/>
      </c>
      <c r="BZ340" s="59"/>
    </row>
    <row r="341" spans="1:78" ht="14.5" hidden="1">
      <c r="A341" s="51" t="s">
        <v>58</v>
      </c>
      <c r="B341" s="52">
        <v>424</v>
      </c>
      <c r="C341" s="52" t="s">
        <v>188</v>
      </c>
      <c r="D341" s="41">
        <f t="shared" si="177"/>
        <v>6</v>
      </c>
      <c r="E341" s="170" t="s">
        <v>631</v>
      </c>
      <c r="F341" s="41" t="s">
        <v>689</v>
      </c>
      <c r="G341" s="52" t="s">
        <v>158</v>
      </c>
      <c r="H341" s="52" t="s">
        <v>242</v>
      </c>
      <c r="I341" s="52" t="s">
        <v>155</v>
      </c>
      <c r="J341" s="52" t="s">
        <v>432</v>
      </c>
      <c r="K341" s="53">
        <v>45695</v>
      </c>
      <c r="L341" s="108">
        <v>1388</v>
      </c>
      <c r="M341" s="101"/>
      <c r="N341" s="101"/>
      <c r="O341" s="107">
        <f t="shared" si="172"/>
        <v>1388</v>
      </c>
      <c r="P341" s="54">
        <f t="shared" si="173"/>
        <v>1388</v>
      </c>
      <c r="Q341" s="101" t="s">
        <v>439</v>
      </c>
      <c r="R341" s="101"/>
      <c r="S341" s="101"/>
      <c r="T341" s="102">
        <f t="shared" si="178"/>
        <v>1.9277777777777778</v>
      </c>
      <c r="U341" s="102">
        <v>6</v>
      </c>
      <c r="V341" s="99">
        <v>120</v>
      </c>
      <c r="W341" s="55">
        <f t="shared" si="174"/>
        <v>45675</v>
      </c>
      <c r="X341" s="55"/>
      <c r="Y341" s="56">
        <f t="shared" ca="1" si="175"/>
        <v>-165</v>
      </c>
      <c r="Z341" s="55">
        <f t="shared" si="171"/>
        <v>45691</v>
      </c>
      <c r="AA341" s="55"/>
      <c r="AB341" s="56">
        <f t="shared" ca="1" si="176"/>
        <v>-149</v>
      </c>
      <c r="AC341" s="55"/>
      <c r="AD341" s="57"/>
      <c r="AE341" s="58" t="str">
        <f t="shared" si="179"/>
        <v>-</v>
      </c>
      <c r="AF341" s="59"/>
      <c r="AG341" s="58" t="str">
        <f t="shared" si="180"/>
        <v/>
      </c>
      <c r="AH341" s="59"/>
      <c r="AI341" s="58" t="str">
        <f t="shared" si="181"/>
        <v/>
      </c>
      <c r="AJ341" s="59"/>
      <c r="AK341" s="58" t="str">
        <f t="shared" si="182"/>
        <v/>
      </c>
      <c r="AL341" s="59"/>
      <c r="AM341" s="58" t="str">
        <f t="shared" si="183"/>
        <v/>
      </c>
      <c r="AN341" s="59"/>
      <c r="AO341" s="58" t="str">
        <f t="shared" si="184"/>
        <v/>
      </c>
      <c r="AP341" s="59"/>
      <c r="AQ341" s="58" t="str">
        <f t="shared" si="185"/>
        <v/>
      </c>
      <c r="AR341" s="59"/>
      <c r="AS341" s="58" t="str">
        <f t="shared" si="186"/>
        <v/>
      </c>
      <c r="AT341" s="59"/>
      <c r="AU341" s="58" t="str">
        <f t="shared" si="187"/>
        <v/>
      </c>
      <c r="AV341" s="59"/>
      <c r="AW341" s="58" t="str">
        <f t="shared" si="188"/>
        <v/>
      </c>
      <c r="AX341" s="59"/>
      <c r="AY341" s="58" t="str">
        <f t="shared" si="189"/>
        <v/>
      </c>
      <c r="AZ341" s="59"/>
      <c r="BA341" s="58" t="str">
        <f t="shared" si="190"/>
        <v/>
      </c>
      <c r="BB341" s="59"/>
      <c r="BC341" s="58" t="str">
        <f t="shared" si="191"/>
        <v/>
      </c>
      <c r="BD341" s="59"/>
      <c r="BE341" s="58" t="str">
        <f t="shared" si="192"/>
        <v/>
      </c>
      <c r="BF341" s="59"/>
      <c r="BG341" s="58">
        <f t="shared" si="193"/>
        <v>1388</v>
      </c>
      <c r="BH341" s="59"/>
      <c r="BI341" s="58" t="str">
        <f t="shared" si="194"/>
        <v/>
      </c>
      <c r="BJ341" s="59"/>
      <c r="BK341" s="58" t="str">
        <f t="shared" si="195"/>
        <v/>
      </c>
      <c r="BL341" s="59"/>
      <c r="BM341" s="58" t="str">
        <f t="shared" si="196"/>
        <v/>
      </c>
      <c r="BN341" s="59"/>
      <c r="BO341" s="58" t="str">
        <f t="shared" si="197"/>
        <v/>
      </c>
      <c r="BP341" s="59"/>
      <c r="BQ341" s="58" t="str">
        <f t="shared" si="198"/>
        <v/>
      </c>
      <c r="BR341" s="59"/>
      <c r="BS341" s="58" t="str">
        <f t="shared" si="199"/>
        <v/>
      </c>
      <c r="BT341" s="59"/>
      <c r="BU341" s="58" t="str">
        <f t="shared" si="200"/>
        <v/>
      </c>
      <c r="BV341" s="59"/>
      <c r="BW341" s="58" t="str">
        <f t="shared" si="201"/>
        <v/>
      </c>
      <c r="BX341" s="59"/>
      <c r="BY341" s="58" t="str">
        <f t="shared" si="202"/>
        <v/>
      </c>
      <c r="BZ341" s="59"/>
    </row>
    <row r="342" spans="1:78" ht="14.5" hidden="1">
      <c r="A342" s="51" t="s">
        <v>58</v>
      </c>
      <c r="B342" s="52">
        <v>424</v>
      </c>
      <c r="C342" s="52" t="s">
        <v>188</v>
      </c>
      <c r="D342" s="41">
        <f t="shared" si="177"/>
        <v>6</v>
      </c>
      <c r="E342" s="170" t="s">
        <v>631</v>
      </c>
      <c r="F342" s="41" t="s">
        <v>689</v>
      </c>
      <c r="G342" s="52" t="s">
        <v>391</v>
      </c>
      <c r="H342" s="52" t="s">
        <v>392</v>
      </c>
      <c r="I342" s="52" t="s">
        <v>393</v>
      </c>
      <c r="J342" s="52" t="s">
        <v>433</v>
      </c>
      <c r="K342" s="53">
        <v>45695</v>
      </c>
      <c r="L342" s="108">
        <v>2328</v>
      </c>
      <c r="M342" s="101"/>
      <c r="N342" s="101"/>
      <c r="O342" s="107">
        <f t="shared" si="172"/>
        <v>2328</v>
      </c>
      <c r="P342" s="54">
        <f t="shared" si="173"/>
        <v>2328</v>
      </c>
      <c r="Q342" s="101" t="s">
        <v>443</v>
      </c>
      <c r="R342" s="101"/>
      <c r="S342" s="101"/>
      <c r="T342" s="102">
        <f t="shared" si="178"/>
        <v>4.8499999999999996</v>
      </c>
      <c r="U342" s="102">
        <v>6</v>
      </c>
      <c r="V342" s="99">
        <v>80</v>
      </c>
      <c r="W342" s="55">
        <f t="shared" si="174"/>
        <v>45675</v>
      </c>
      <c r="X342" s="55"/>
      <c r="Y342" s="56">
        <f t="shared" ca="1" si="175"/>
        <v>-165</v>
      </c>
      <c r="Z342" s="55">
        <f t="shared" si="171"/>
        <v>45691</v>
      </c>
      <c r="AA342" s="55"/>
      <c r="AB342" s="56">
        <f t="shared" ca="1" si="176"/>
        <v>-149</v>
      </c>
      <c r="AC342" s="55"/>
      <c r="AD342" s="57"/>
      <c r="AE342" s="58" t="str">
        <f t="shared" si="179"/>
        <v>-</v>
      </c>
      <c r="AF342" s="59"/>
      <c r="AG342" s="58" t="str">
        <f t="shared" si="180"/>
        <v/>
      </c>
      <c r="AH342" s="59"/>
      <c r="AI342" s="58" t="str">
        <f t="shared" si="181"/>
        <v/>
      </c>
      <c r="AJ342" s="59"/>
      <c r="AK342" s="58" t="str">
        <f t="shared" si="182"/>
        <v/>
      </c>
      <c r="AL342" s="59"/>
      <c r="AM342" s="58" t="str">
        <f t="shared" si="183"/>
        <v/>
      </c>
      <c r="AN342" s="59"/>
      <c r="AO342" s="58" t="str">
        <f t="shared" si="184"/>
        <v/>
      </c>
      <c r="AP342" s="59"/>
      <c r="AQ342" s="58" t="str">
        <f t="shared" si="185"/>
        <v/>
      </c>
      <c r="AR342" s="59"/>
      <c r="AS342" s="58" t="str">
        <f t="shared" si="186"/>
        <v/>
      </c>
      <c r="AT342" s="59"/>
      <c r="AU342" s="58" t="str">
        <f t="shared" si="187"/>
        <v/>
      </c>
      <c r="AV342" s="59"/>
      <c r="AW342" s="58" t="str">
        <f t="shared" si="188"/>
        <v/>
      </c>
      <c r="AX342" s="59"/>
      <c r="AY342" s="58" t="str">
        <f t="shared" si="189"/>
        <v/>
      </c>
      <c r="AZ342" s="59"/>
      <c r="BA342" s="58" t="str">
        <f t="shared" si="190"/>
        <v/>
      </c>
      <c r="BB342" s="59"/>
      <c r="BC342" s="58" t="str">
        <f t="shared" si="191"/>
        <v/>
      </c>
      <c r="BD342" s="59"/>
      <c r="BE342" s="58" t="str">
        <f t="shared" si="192"/>
        <v/>
      </c>
      <c r="BF342" s="59"/>
      <c r="BG342" s="58">
        <f t="shared" si="193"/>
        <v>2328</v>
      </c>
      <c r="BH342" s="59"/>
      <c r="BI342" s="58" t="str">
        <f t="shared" si="194"/>
        <v/>
      </c>
      <c r="BJ342" s="59"/>
      <c r="BK342" s="58" t="str">
        <f t="shared" si="195"/>
        <v/>
      </c>
      <c r="BL342" s="59"/>
      <c r="BM342" s="58" t="str">
        <f t="shared" si="196"/>
        <v/>
      </c>
      <c r="BN342" s="59"/>
      <c r="BO342" s="58" t="str">
        <f t="shared" si="197"/>
        <v/>
      </c>
      <c r="BP342" s="59"/>
      <c r="BQ342" s="58" t="str">
        <f t="shared" si="198"/>
        <v/>
      </c>
      <c r="BR342" s="59"/>
      <c r="BS342" s="58" t="str">
        <f t="shared" si="199"/>
        <v/>
      </c>
      <c r="BT342" s="59"/>
      <c r="BU342" s="58" t="str">
        <f t="shared" si="200"/>
        <v/>
      </c>
      <c r="BV342" s="59"/>
      <c r="BW342" s="58" t="str">
        <f t="shared" si="201"/>
        <v/>
      </c>
      <c r="BX342" s="59"/>
      <c r="BY342" s="58" t="str">
        <f t="shared" si="202"/>
        <v/>
      </c>
      <c r="BZ342" s="59"/>
    </row>
    <row r="343" spans="1:78" ht="14.5" hidden="1">
      <c r="A343" s="51" t="s">
        <v>58</v>
      </c>
      <c r="B343" s="52">
        <v>425</v>
      </c>
      <c r="C343" s="52" t="s">
        <v>188</v>
      </c>
      <c r="D343" s="41">
        <f t="shared" si="177"/>
        <v>6</v>
      </c>
      <c r="E343" s="170" t="s">
        <v>631</v>
      </c>
      <c r="F343" s="41" t="s">
        <v>689</v>
      </c>
      <c r="G343" s="52" t="s">
        <v>157</v>
      </c>
      <c r="H343" s="52" t="s">
        <v>243</v>
      </c>
      <c r="I343" s="52" t="s">
        <v>162</v>
      </c>
      <c r="J343" s="52" t="s">
        <v>428</v>
      </c>
      <c r="K343" s="53">
        <v>45695</v>
      </c>
      <c r="L343" s="108">
        <v>3756</v>
      </c>
      <c r="M343" s="101"/>
      <c r="N343" s="101"/>
      <c r="O343" s="107">
        <f t="shared" si="172"/>
        <v>3756</v>
      </c>
      <c r="P343" s="54">
        <f t="shared" si="173"/>
        <v>3756</v>
      </c>
      <c r="Q343" s="101" t="s">
        <v>429</v>
      </c>
      <c r="R343" s="101"/>
      <c r="S343" s="101"/>
      <c r="T343" s="102">
        <f t="shared" si="178"/>
        <v>0.626</v>
      </c>
      <c r="U343" s="102">
        <v>6</v>
      </c>
      <c r="V343" s="99">
        <v>1000</v>
      </c>
      <c r="W343" s="55">
        <f t="shared" si="174"/>
        <v>45675</v>
      </c>
      <c r="X343" s="55"/>
      <c r="Y343" s="56">
        <f t="shared" ca="1" si="175"/>
        <v>-165</v>
      </c>
      <c r="Z343" s="55">
        <f t="shared" si="171"/>
        <v>45691</v>
      </c>
      <c r="AA343" s="55"/>
      <c r="AB343" s="56">
        <f t="shared" ca="1" si="176"/>
        <v>-149</v>
      </c>
      <c r="AC343" s="55"/>
      <c r="AD343" s="57"/>
      <c r="AE343" s="58" t="str">
        <f t="shared" si="179"/>
        <v>-</v>
      </c>
      <c r="AF343" s="59"/>
      <c r="AG343" s="58" t="str">
        <f t="shared" si="180"/>
        <v/>
      </c>
      <c r="AH343" s="59"/>
      <c r="AI343" s="58" t="str">
        <f t="shared" si="181"/>
        <v/>
      </c>
      <c r="AJ343" s="59"/>
      <c r="AK343" s="58" t="str">
        <f t="shared" si="182"/>
        <v/>
      </c>
      <c r="AL343" s="59"/>
      <c r="AM343" s="58" t="str">
        <f t="shared" si="183"/>
        <v/>
      </c>
      <c r="AN343" s="59"/>
      <c r="AO343" s="58" t="str">
        <f t="shared" si="184"/>
        <v/>
      </c>
      <c r="AP343" s="59"/>
      <c r="AQ343" s="58" t="str">
        <f t="shared" si="185"/>
        <v/>
      </c>
      <c r="AR343" s="59"/>
      <c r="AS343" s="58" t="str">
        <f t="shared" si="186"/>
        <v/>
      </c>
      <c r="AT343" s="59"/>
      <c r="AU343" s="58" t="str">
        <f t="shared" si="187"/>
        <v/>
      </c>
      <c r="AV343" s="59"/>
      <c r="AW343" s="58" t="str">
        <f t="shared" si="188"/>
        <v/>
      </c>
      <c r="AX343" s="59"/>
      <c r="AY343" s="58" t="str">
        <f t="shared" si="189"/>
        <v/>
      </c>
      <c r="AZ343" s="59"/>
      <c r="BA343" s="58" t="str">
        <f t="shared" si="190"/>
        <v/>
      </c>
      <c r="BB343" s="59"/>
      <c r="BC343" s="58" t="str">
        <f t="shared" si="191"/>
        <v/>
      </c>
      <c r="BD343" s="59"/>
      <c r="BE343" s="58" t="str">
        <f t="shared" si="192"/>
        <v/>
      </c>
      <c r="BF343" s="59"/>
      <c r="BG343" s="58">
        <f t="shared" si="193"/>
        <v>3756</v>
      </c>
      <c r="BH343" s="59"/>
      <c r="BI343" s="58" t="str">
        <f t="shared" si="194"/>
        <v/>
      </c>
      <c r="BJ343" s="59"/>
      <c r="BK343" s="58" t="str">
        <f t="shared" si="195"/>
        <v/>
      </c>
      <c r="BL343" s="59"/>
      <c r="BM343" s="58" t="str">
        <f t="shared" si="196"/>
        <v/>
      </c>
      <c r="BN343" s="59"/>
      <c r="BO343" s="58" t="str">
        <f t="shared" si="197"/>
        <v/>
      </c>
      <c r="BP343" s="59"/>
      <c r="BQ343" s="58" t="str">
        <f t="shared" si="198"/>
        <v/>
      </c>
      <c r="BR343" s="59"/>
      <c r="BS343" s="58" t="str">
        <f t="shared" si="199"/>
        <v/>
      </c>
      <c r="BT343" s="59"/>
      <c r="BU343" s="58" t="str">
        <f t="shared" si="200"/>
        <v/>
      </c>
      <c r="BV343" s="59"/>
      <c r="BW343" s="58" t="str">
        <f t="shared" si="201"/>
        <v/>
      </c>
      <c r="BX343" s="59"/>
      <c r="BY343" s="58" t="str">
        <f t="shared" si="202"/>
        <v/>
      </c>
      <c r="BZ343" s="59"/>
    </row>
    <row r="344" spans="1:78" ht="14.5" hidden="1">
      <c r="A344" s="51" t="s">
        <v>58</v>
      </c>
      <c r="B344" s="52">
        <v>425</v>
      </c>
      <c r="C344" s="52" t="s">
        <v>188</v>
      </c>
      <c r="D344" s="41">
        <f t="shared" si="177"/>
        <v>6</v>
      </c>
      <c r="E344" s="170" t="s">
        <v>631</v>
      </c>
      <c r="F344" s="41" t="s">
        <v>689</v>
      </c>
      <c r="G344" s="52" t="s">
        <v>158</v>
      </c>
      <c r="H344" s="52" t="s">
        <v>242</v>
      </c>
      <c r="I344" s="52" t="s">
        <v>155</v>
      </c>
      <c r="J344" s="52" t="s">
        <v>432</v>
      </c>
      <c r="K344" s="53">
        <v>45695</v>
      </c>
      <c r="L344" s="108">
        <v>1592</v>
      </c>
      <c r="M344" s="101"/>
      <c r="N344" s="101"/>
      <c r="O344" s="107">
        <f t="shared" si="172"/>
        <v>1592</v>
      </c>
      <c r="P344" s="54">
        <f t="shared" si="173"/>
        <v>1592</v>
      </c>
      <c r="Q344" s="101" t="s">
        <v>439</v>
      </c>
      <c r="R344" s="101"/>
      <c r="S344" s="101"/>
      <c r="T344" s="102">
        <f t="shared" si="178"/>
        <v>2.2111111111111112</v>
      </c>
      <c r="U344" s="102">
        <v>6</v>
      </c>
      <c r="V344" s="99">
        <v>120</v>
      </c>
      <c r="W344" s="55">
        <f t="shared" si="174"/>
        <v>45675</v>
      </c>
      <c r="X344" s="55"/>
      <c r="Y344" s="56">
        <f t="shared" ca="1" si="175"/>
        <v>-165</v>
      </c>
      <c r="Z344" s="55">
        <f t="shared" si="171"/>
        <v>45691</v>
      </c>
      <c r="AA344" s="55"/>
      <c r="AB344" s="56">
        <f t="shared" ca="1" si="176"/>
        <v>-149</v>
      </c>
      <c r="AC344" s="55"/>
      <c r="AD344" s="57"/>
      <c r="AE344" s="58" t="str">
        <f t="shared" si="179"/>
        <v>-</v>
      </c>
      <c r="AF344" s="59"/>
      <c r="AG344" s="58" t="str">
        <f t="shared" si="180"/>
        <v/>
      </c>
      <c r="AH344" s="59"/>
      <c r="AI344" s="58" t="str">
        <f t="shared" si="181"/>
        <v/>
      </c>
      <c r="AJ344" s="59"/>
      <c r="AK344" s="58" t="str">
        <f t="shared" si="182"/>
        <v/>
      </c>
      <c r="AL344" s="59"/>
      <c r="AM344" s="58" t="str">
        <f t="shared" si="183"/>
        <v/>
      </c>
      <c r="AN344" s="59"/>
      <c r="AO344" s="58" t="str">
        <f t="shared" si="184"/>
        <v/>
      </c>
      <c r="AP344" s="59"/>
      <c r="AQ344" s="58" t="str">
        <f t="shared" si="185"/>
        <v/>
      </c>
      <c r="AR344" s="59"/>
      <c r="AS344" s="58" t="str">
        <f t="shared" si="186"/>
        <v/>
      </c>
      <c r="AT344" s="59"/>
      <c r="AU344" s="58" t="str">
        <f t="shared" si="187"/>
        <v/>
      </c>
      <c r="AV344" s="59"/>
      <c r="AW344" s="58" t="str">
        <f t="shared" si="188"/>
        <v/>
      </c>
      <c r="AX344" s="59"/>
      <c r="AY344" s="58" t="str">
        <f t="shared" si="189"/>
        <v/>
      </c>
      <c r="AZ344" s="59"/>
      <c r="BA344" s="58" t="str">
        <f t="shared" si="190"/>
        <v/>
      </c>
      <c r="BB344" s="59"/>
      <c r="BC344" s="58" t="str">
        <f t="shared" si="191"/>
        <v/>
      </c>
      <c r="BD344" s="59"/>
      <c r="BE344" s="58" t="str">
        <f t="shared" si="192"/>
        <v/>
      </c>
      <c r="BF344" s="59"/>
      <c r="BG344" s="58">
        <f t="shared" si="193"/>
        <v>1592</v>
      </c>
      <c r="BH344" s="59"/>
      <c r="BI344" s="58" t="str">
        <f t="shared" si="194"/>
        <v/>
      </c>
      <c r="BJ344" s="59"/>
      <c r="BK344" s="58" t="str">
        <f t="shared" si="195"/>
        <v/>
      </c>
      <c r="BL344" s="59"/>
      <c r="BM344" s="58" t="str">
        <f t="shared" si="196"/>
        <v/>
      </c>
      <c r="BN344" s="59"/>
      <c r="BO344" s="58" t="str">
        <f t="shared" si="197"/>
        <v/>
      </c>
      <c r="BP344" s="59"/>
      <c r="BQ344" s="58" t="str">
        <f t="shared" si="198"/>
        <v/>
      </c>
      <c r="BR344" s="59"/>
      <c r="BS344" s="58" t="str">
        <f t="shared" si="199"/>
        <v/>
      </c>
      <c r="BT344" s="59"/>
      <c r="BU344" s="58" t="str">
        <f t="shared" si="200"/>
        <v/>
      </c>
      <c r="BV344" s="59"/>
      <c r="BW344" s="58" t="str">
        <f t="shared" si="201"/>
        <v/>
      </c>
      <c r="BX344" s="59"/>
      <c r="BY344" s="58" t="str">
        <f t="shared" si="202"/>
        <v/>
      </c>
      <c r="BZ344" s="59"/>
    </row>
    <row r="345" spans="1:78" ht="14.5" hidden="1">
      <c r="A345" s="51" t="s">
        <v>58</v>
      </c>
      <c r="B345" s="52">
        <v>425</v>
      </c>
      <c r="C345" s="52" t="s">
        <v>188</v>
      </c>
      <c r="D345" s="41">
        <f t="shared" si="177"/>
        <v>6</v>
      </c>
      <c r="E345" s="170"/>
      <c r="F345" s="41" t="s">
        <v>689</v>
      </c>
      <c r="G345" s="52" t="s">
        <v>158</v>
      </c>
      <c r="H345" s="52" t="s">
        <v>242</v>
      </c>
      <c r="I345" s="52" t="s">
        <v>156</v>
      </c>
      <c r="J345" s="52" t="s">
        <v>432</v>
      </c>
      <c r="K345" s="53">
        <v>45695</v>
      </c>
      <c r="L345" s="108">
        <v>816</v>
      </c>
      <c r="M345" s="101"/>
      <c r="N345" s="101"/>
      <c r="O345" s="107">
        <f t="shared" si="172"/>
        <v>816</v>
      </c>
      <c r="P345" s="54">
        <f t="shared" si="173"/>
        <v>816</v>
      </c>
      <c r="Q345" s="101" t="s">
        <v>439</v>
      </c>
      <c r="R345" s="101"/>
      <c r="S345" s="101"/>
      <c r="T345" s="102">
        <f t="shared" si="178"/>
        <v>1.1333333333333333</v>
      </c>
      <c r="U345" s="102">
        <v>6</v>
      </c>
      <c r="V345" s="99">
        <v>120</v>
      </c>
      <c r="W345" s="55">
        <f t="shared" si="174"/>
        <v>45675</v>
      </c>
      <c r="X345" s="55"/>
      <c r="Y345" s="56">
        <f t="shared" ca="1" si="175"/>
        <v>-165</v>
      </c>
      <c r="Z345" s="55">
        <f t="shared" si="171"/>
        <v>45691</v>
      </c>
      <c r="AA345" s="55"/>
      <c r="AB345" s="56">
        <f t="shared" ca="1" si="176"/>
        <v>-149</v>
      </c>
      <c r="AC345" s="55"/>
      <c r="AD345" s="57"/>
      <c r="AE345" s="58" t="str">
        <f t="shared" si="179"/>
        <v>-</v>
      </c>
      <c r="AF345" s="59"/>
      <c r="AG345" s="58" t="str">
        <f t="shared" si="180"/>
        <v/>
      </c>
      <c r="AH345" s="59"/>
      <c r="AI345" s="58" t="str">
        <f t="shared" si="181"/>
        <v/>
      </c>
      <c r="AJ345" s="59"/>
      <c r="AK345" s="58" t="str">
        <f t="shared" si="182"/>
        <v/>
      </c>
      <c r="AL345" s="59"/>
      <c r="AM345" s="58" t="str">
        <f t="shared" si="183"/>
        <v/>
      </c>
      <c r="AN345" s="59"/>
      <c r="AO345" s="58" t="str">
        <f t="shared" si="184"/>
        <v/>
      </c>
      <c r="AP345" s="59"/>
      <c r="AQ345" s="58" t="str">
        <f t="shared" si="185"/>
        <v/>
      </c>
      <c r="AR345" s="59"/>
      <c r="AS345" s="58" t="str">
        <f t="shared" si="186"/>
        <v/>
      </c>
      <c r="AT345" s="59"/>
      <c r="AU345" s="58" t="str">
        <f t="shared" si="187"/>
        <v/>
      </c>
      <c r="AV345" s="59"/>
      <c r="AW345" s="58" t="str">
        <f t="shared" si="188"/>
        <v/>
      </c>
      <c r="AX345" s="59"/>
      <c r="AY345" s="58" t="str">
        <f t="shared" si="189"/>
        <v/>
      </c>
      <c r="AZ345" s="59"/>
      <c r="BA345" s="58" t="str">
        <f t="shared" si="190"/>
        <v/>
      </c>
      <c r="BB345" s="59"/>
      <c r="BC345" s="58" t="str">
        <f t="shared" si="191"/>
        <v/>
      </c>
      <c r="BD345" s="59"/>
      <c r="BE345" s="58" t="str">
        <f t="shared" si="192"/>
        <v/>
      </c>
      <c r="BF345" s="59"/>
      <c r="BG345" s="58">
        <f t="shared" si="193"/>
        <v>816</v>
      </c>
      <c r="BH345" s="59"/>
      <c r="BI345" s="58" t="str">
        <f t="shared" si="194"/>
        <v/>
      </c>
      <c r="BJ345" s="59"/>
      <c r="BK345" s="58" t="str">
        <f t="shared" si="195"/>
        <v/>
      </c>
      <c r="BL345" s="59"/>
      <c r="BM345" s="58" t="str">
        <f t="shared" si="196"/>
        <v/>
      </c>
      <c r="BN345" s="59"/>
      <c r="BO345" s="58" t="str">
        <f t="shared" si="197"/>
        <v/>
      </c>
      <c r="BP345" s="59"/>
      <c r="BQ345" s="58" t="str">
        <f t="shared" si="198"/>
        <v/>
      </c>
      <c r="BR345" s="59"/>
      <c r="BS345" s="58" t="str">
        <f t="shared" si="199"/>
        <v/>
      </c>
      <c r="BT345" s="59"/>
      <c r="BU345" s="58" t="str">
        <f t="shared" si="200"/>
        <v/>
      </c>
      <c r="BV345" s="59"/>
      <c r="BW345" s="58" t="str">
        <f t="shared" si="201"/>
        <v/>
      </c>
      <c r="BX345" s="59"/>
      <c r="BY345" s="58" t="str">
        <f t="shared" si="202"/>
        <v/>
      </c>
      <c r="BZ345" s="59"/>
    </row>
    <row r="346" spans="1:78" ht="14.5" hidden="1">
      <c r="A346" s="51" t="s">
        <v>58</v>
      </c>
      <c r="B346" s="52">
        <v>426</v>
      </c>
      <c r="C346" s="52" t="s">
        <v>188</v>
      </c>
      <c r="D346" s="41">
        <f t="shared" si="177"/>
        <v>6</v>
      </c>
      <c r="E346" s="170">
        <v>45677</v>
      </c>
      <c r="F346" s="41" t="s">
        <v>689</v>
      </c>
      <c r="G346" s="52" t="s">
        <v>157</v>
      </c>
      <c r="H346" s="52" t="s">
        <v>243</v>
      </c>
      <c r="I346" s="52" t="s">
        <v>155</v>
      </c>
      <c r="J346" s="52" t="s">
        <v>428</v>
      </c>
      <c r="K346" s="53">
        <v>45695</v>
      </c>
      <c r="L346" s="108">
        <v>3708</v>
      </c>
      <c r="M346" s="101"/>
      <c r="N346" s="101"/>
      <c r="O346" s="107">
        <f t="shared" si="172"/>
        <v>3708</v>
      </c>
      <c r="P346" s="54">
        <f t="shared" si="173"/>
        <v>3708</v>
      </c>
      <c r="Q346" s="101" t="s">
        <v>429</v>
      </c>
      <c r="R346" s="101"/>
      <c r="S346" s="101"/>
      <c r="T346" s="102">
        <f t="shared" si="178"/>
        <v>0.61799999999999999</v>
      </c>
      <c r="U346" s="102">
        <v>6</v>
      </c>
      <c r="V346" s="99">
        <v>1000</v>
      </c>
      <c r="W346" s="55">
        <f t="shared" si="174"/>
        <v>45675</v>
      </c>
      <c r="X346" s="55"/>
      <c r="Y346" s="56">
        <f t="shared" ca="1" si="175"/>
        <v>-165</v>
      </c>
      <c r="Z346" s="55">
        <f t="shared" si="171"/>
        <v>45691</v>
      </c>
      <c r="AA346" s="55"/>
      <c r="AB346" s="56">
        <f t="shared" ca="1" si="176"/>
        <v>-149</v>
      </c>
      <c r="AC346" s="55"/>
      <c r="AD346" s="57"/>
      <c r="AE346" s="58" t="str">
        <f t="shared" si="179"/>
        <v>-</v>
      </c>
      <c r="AF346" s="59"/>
      <c r="AG346" s="58" t="str">
        <f t="shared" si="180"/>
        <v/>
      </c>
      <c r="AH346" s="59"/>
      <c r="AI346" s="58" t="str">
        <f t="shared" si="181"/>
        <v/>
      </c>
      <c r="AJ346" s="59"/>
      <c r="AK346" s="58" t="str">
        <f t="shared" si="182"/>
        <v/>
      </c>
      <c r="AL346" s="59"/>
      <c r="AM346" s="58" t="str">
        <f t="shared" si="183"/>
        <v/>
      </c>
      <c r="AN346" s="59"/>
      <c r="AO346" s="58" t="str">
        <f t="shared" si="184"/>
        <v/>
      </c>
      <c r="AP346" s="59"/>
      <c r="AQ346" s="58" t="str">
        <f t="shared" si="185"/>
        <v/>
      </c>
      <c r="AR346" s="59"/>
      <c r="AS346" s="58" t="str">
        <f t="shared" si="186"/>
        <v/>
      </c>
      <c r="AT346" s="59"/>
      <c r="AU346" s="58" t="str">
        <f t="shared" si="187"/>
        <v/>
      </c>
      <c r="AV346" s="59"/>
      <c r="AW346" s="58" t="str">
        <f t="shared" si="188"/>
        <v/>
      </c>
      <c r="AX346" s="59"/>
      <c r="AY346" s="58" t="str">
        <f t="shared" si="189"/>
        <v/>
      </c>
      <c r="AZ346" s="59"/>
      <c r="BA346" s="58" t="str">
        <f t="shared" si="190"/>
        <v/>
      </c>
      <c r="BB346" s="59"/>
      <c r="BC346" s="58" t="str">
        <f t="shared" si="191"/>
        <v/>
      </c>
      <c r="BD346" s="59"/>
      <c r="BE346" s="58" t="str">
        <f t="shared" si="192"/>
        <v/>
      </c>
      <c r="BF346" s="59"/>
      <c r="BG346" s="58">
        <f t="shared" si="193"/>
        <v>3708</v>
      </c>
      <c r="BH346" s="59"/>
      <c r="BI346" s="58" t="str">
        <f t="shared" si="194"/>
        <v/>
      </c>
      <c r="BJ346" s="59"/>
      <c r="BK346" s="58" t="str">
        <f t="shared" si="195"/>
        <v/>
      </c>
      <c r="BL346" s="59"/>
      <c r="BM346" s="58" t="str">
        <f t="shared" si="196"/>
        <v/>
      </c>
      <c r="BN346" s="59"/>
      <c r="BO346" s="58" t="str">
        <f t="shared" si="197"/>
        <v/>
      </c>
      <c r="BP346" s="59"/>
      <c r="BQ346" s="58" t="str">
        <f t="shared" si="198"/>
        <v/>
      </c>
      <c r="BR346" s="59"/>
      <c r="BS346" s="58" t="str">
        <f t="shared" si="199"/>
        <v/>
      </c>
      <c r="BT346" s="59"/>
      <c r="BU346" s="58" t="str">
        <f t="shared" si="200"/>
        <v/>
      </c>
      <c r="BV346" s="59"/>
      <c r="BW346" s="58" t="str">
        <f t="shared" si="201"/>
        <v/>
      </c>
      <c r="BX346" s="59"/>
      <c r="BY346" s="58" t="str">
        <f t="shared" si="202"/>
        <v/>
      </c>
      <c r="BZ346" s="59"/>
    </row>
    <row r="347" spans="1:78" ht="14.5" hidden="1">
      <c r="A347" s="51" t="s">
        <v>58</v>
      </c>
      <c r="B347" s="52">
        <v>426</v>
      </c>
      <c r="C347" s="52" t="s">
        <v>188</v>
      </c>
      <c r="D347" s="41">
        <f t="shared" si="177"/>
        <v>6</v>
      </c>
      <c r="E347" s="170" t="s">
        <v>631</v>
      </c>
      <c r="F347" s="41" t="s">
        <v>689</v>
      </c>
      <c r="G347" s="52" t="s">
        <v>390</v>
      </c>
      <c r="H347" s="52" t="s">
        <v>242</v>
      </c>
      <c r="I347" s="52" t="s">
        <v>162</v>
      </c>
      <c r="J347" s="52" t="s">
        <v>430</v>
      </c>
      <c r="K347" s="53">
        <v>45695</v>
      </c>
      <c r="L347" s="108">
        <v>3156</v>
      </c>
      <c r="M347" s="101"/>
      <c r="N347" s="101"/>
      <c r="O347" s="107">
        <f t="shared" si="172"/>
        <v>3156</v>
      </c>
      <c r="P347" s="54">
        <f t="shared" si="173"/>
        <v>3156</v>
      </c>
      <c r="Q347" s="101" t="s">
        <v>431</v>
      </c>
      <c r="R347" s="101"/>
      <c r="S347" s="101"/>
      <c r="T347" s="102">
        <f t="shared" si="178"/>
        <v>4.3833333333333337</v>
      </c>
      <c r="U347" s="102">
        <v>6</v>
      </c>
      <c r="V347" s="99">
        <v>120</v>
      </c>
      <c r="W347" s="55">
        <f t="shared" si="174"/>
        <v>45675</v>
      </c>
      <c r="X347" s="55"/>
      <c r="Y347" s="56">
        <f t="shared" ca="1" si="175"/>
        <v>-165</v>
      </c>
      <c r="Z347" s="55">
        <f t="shared" si="171"/>
        <v>45691</v>
      </c>
      <c r="AA347" s="55"/>
      <c r="AB347" s="56">
        <f t="shared" ca="1" si="176"/>
        <v>-149</v>
      </c>
      <c r="AC347" s="55"/>
      <c r="AD347" s="57"/>
      <c r="AE347" s="58" t="str">
        <f t="shared" si="179"/>
        <v>-</v>
      </c>
      <c r="AF347" s="59"/>
      <c r="AG347" s="58" t="str">
        <f t="shared" si="180"/>
        <v/>
      </c>
      <c r="AH347" s="59"/>
      <c r="AI347" s="58" t="str">
        <f t="shared" si="181"/>
        <v/>
      </c>
      <c r="AJ347" s="59"/>
      <c r="AK347" s="58" t="str">
        <f t="shared" si="182"/>
        <v/>
      </c>
      <c r="AL347" s="59"/>
      <c r="AM347" s="58" t="str">
        <f t="shared" si="183"/>
        <v/>
      </c>
      <c r="AN347" s="59"/>
      <c r="AO347" s="58" t="str">
        <f t="shared" si="184"/>
        <v/>
      </c>
      <c r="AP347" s="59"/>
      <c r="AQ347" s="58" t="str">
        <f t="shared" si="185"/>
        <v/>
      </c>
      <c r="AR347" s="59"/>
      <c r="AS347" s="58" t="str">
        <f t="shared" si="186"/>
        <v/>
      </c>
      <c r="AT347" s="59"/>
      <c r="AU347" s="58" t="str">
        <f t="shared" si="187"/>
        <v/>
      </c>
      <c r="AV347" s="59"/>
      <c r="AW347" s="58" t="str">
        <f t="shared" si="188"/>
        <v/>
      </c>
      <c r="AX347" s="59"/>
      <c r="AY347" s="58" t="str">
        <f t="shared" si="189"/>
        <v/>
      </c>
      <c r="AZ347" s="59"/>
      <c r="BA347" s="58" t="str">
        <f t="shared" si="190"/>
        <v/>
      </c>
      <c r="BB347" s="59"/>
      <c r="BC347" s="58" t="str">
        <f t="shared" si="191"/>
        <v/>
      </c>
      <c r="BD347" s="59"/>
      <c r="BE347" s="58" t="str">
        <f t="shared" si="192"/>
        <v/>
      </c>
      <c r="BF347" s="59"/>
      <c r="BG347" s="58">
        <f t="shared" si="193"/>
        <v>3156</v>
      </c>
      <c r="BH347" s="59"/>
      <c r="BI347" s="58" t="str">
        <f t="shared" si="194"/>
        <v/>
      </c>
      <c r="BJ347" s="59"/>
      <c r="BK347" s="58" t="str">
        <f t="shared" si="195"/>
        <v/>
      </c>
      <c r="BL347" s="59"/>
      <c r="BM347" s="58" t="str">
        <f t="shared" si="196"/>
        <v/>
      </c>
      <c r="BN347" s="59"/>
      <c r="BO347" s="58" t="str">
        <f t="shared" si="197"/>
        <v/>
      </c>
      <c r="BP347" s="59"/>
      <c r="BQ347" s="58" t="str">
        <f t="shared" si="198"/>
        <v/>
      </c>
      <c r="BR347" s="59"/>
      <c r="BS347" s="58" t="str">
        <f t="shared" si="199"/>
        <v/>
      </c>
      <c r="BT347" s="59"/>
      <c r="BU347" s="58" t="str">
        <f t="shared" si="200"/>
        <v/>
      </c>
      <c r="BV347" s="59"/>
      <c r="BW347" s="58" t="str">
        <f t="shared" si="201"/>
        <v/>
      </c>
      <c r="BX347" s="59"/>
      <c r="BY347" s="58" t="str">
        <f t="shared" si="202"/>
        <v/>
      </c>
      <c r="BZ347" s="59"/>
    </row>
    <row r="348" spans="1:78" ht="14.5" hidden="1">
      <c r="A348" s="51" t="s">
        <v>58</v>
      </c>
      <c r="B348" s="52">
        <v>426</v>
      </c>
      <c r="C348" s="52" t="s">
        <v>188</v>
      </c>
      <c r="D348" s="41">
        <f t="shared" si="177"/>
        <v>6</v>
      </c>
      <c r="E348" s="170"/>
      <c r="F348" s="41" t="s">
        <v>690</v>
      </c>
      <c r="G348" s="52" t="s">
        <v>158</v>
      </c>
      <c r="H348" s="52" t="s">
        <v>242</v>
      </c>
      <c r="I348" s="52" t="s">
        <v>156</v>
      </c>
      <c r="J348" s="52" t="s">
        <v>432</v>
      </c>
      <c r="K348" s="53">
        <v>45695</v>
      </c>
      <c r="L348" s="108">
        <v>100</v>
      </c>
      <c r="M348" s="101"/>
      <c r="N348" s="101"/>
      <c r="O348" s="107">
        <f t="shared" si="172"/>
        <v>100</v>
      </c>
      <c r="P348" s="54">
        <f t="shared" si="173"/>
        <v>100</v>
      </c>
      <c r="Q348" s="101" t="s">
        <v>439</v>
      </c>
      <c r="R348" s="101"/>
      <c r="S348" s="101"/>
      <c r="T348" s="102">
        <f t="shared" si="178"/>
        <v>0.1388888888888889</v>
      </c>
      <c r="U348" s="102">
        <v>6</v>
      </c>
      <c r="V348" s="99">
        <v>120</v>
      </c>
      <c r="W348" s="55">
        <f t="shared" si="174"/>
        <v>45675</v>
      </c>
      <c r="X348" s="55"/>
      <c r="Y348" s="56">
        <f t="shared" ca="1" si="175"/>
        <v>-165</v>
      </c>
      <c r="Z348" s="55">
        <f t="shared" si="171"/>
        <v>45691</v>
      </c>
      <c r="AA348" s="55"/>
      <c r="AB348" s="56">
        <f t="shared" ca="1" si="176"/>
        <v>-149</v>
      </c>
      <c r="AC348" s="55"/>
      <c r="AD348" s="57"/>
      <c r="AE348" s="58" t="str">
        <f t="shared" si="179"/>
        <v>-</v>
      </c>
      <c r="AF348" s="59"/>
      <c r="AG348" s="58" t="str">
        <f t="shared" si="180"/>
        <v/>
      </c>
      <c r="AH348" s="59"/>
      <c r="AI348" s="58" t="str">
        <f t="shared" si="181"/>
        <v/>
      </c>
      <c r="AJ348" s="59"/>
      <c r="AK348" s="58" t="str">
        <f t="shared" si="182"/>
        <v/>
      </c>
      <c r="AL348" s="59"/>
      <c r="AM348" s="58" t="str">
        <f t="shared" si="183"/>
        <v/>
      </c>
      <c r="AN348" s="59"/>
      <c r="AO348" s="58" t="str">
        <f t="shared" si="184"/>
        <v/>
      </c>
      <c r="AP348" s="59"/>
      <c r="AQ348" s="58" t="str">
        <f t="shared" si="185"/>
        <v/>
      </c>
      <c r="AR348" s="59"/>
      <c r="AS348" s="58" t="str">
        <f t="shared" si="186"/>
        <v/>
      </c>
      <c r="AT348" s="59"/>
      <c r="AU348" s="58" t="str">
        <f t="shared" si="187"/>
        <v/>
      </c>
      <c r="AV348" s="59"/>
      <c r="AW348" s="58" t="str">
        <f t="shared" si="188"/>
        <v/>
      </c>
      <c r="AX348" s="59"/>
      <c r="AY348" s="58" t="str">
        <f t="shared" si="189"/>
        <v/>
      </c>
      <c r="AZ348" s="59"/>
      <c r="BA348" s="58" t="str">
        <f t="shared" si="190"/>
        <v/>
      </c>
      <c r="BB348" s="59"/>
      <c r="BC348" s="58" t="str">
        <f t="shared" si="191"/>
        <v/>
      </c>
      <c r="BD348" s="59"/>
      <c r="BE348" s="58" t="str">
        <f t="shared" si="192"/>
        <v/>
      </c>
      <c r="BF348" s="59"/>
      <c r="BG348" s="58">
        <f t="shared" si="193"/>
        <v>100</v>
      </c>
      <c r="BH348" s="59"/>
      <c r="BI348" s="58" t="str">
        <f t="shared" si="194"/>
        <v/>
      </c>
      <c r="BJ348" s="59"/>
      <c r="BK348" s="58" t="str">
        <f t="shared" si="195"/>
        <v/>
      </c>
      <c r="BL348" s="59"/>
      <c r="BM348" s="58" t="str">
        <f t="shared" si="196"/>
        <v/>
      </c>
      <c r="BN348" s="59"/>
      <c r="BO348" s="58" t="str">
        <f t="shared" si="197"/>
        <v/>
      </c>
      <c r="BP348" s="59"/>
      <c r="BQ348" s="58" t="str">
        <f t="shared" si="198"/>
        <v/>
      </c>
      <c r="BR348" s="59"/>
      <c r="BS348" s="58" t="str">
        <f t="shared" si="199"/>
        <v/>
      </c>
      <c r="BT348" s="59"/>
      <c r="BU348" s="58" t="str">
        <f t="shared" si="200"/>
        <v/>
      </c>
      <c r="BV348" s="59"/>
      <c r="BW348" s="58" t="str">
        <f t="shared" si="201"/>
        <v/>
      </c>
      <c r="BX348" s="59"/>
      <c r="BY348" s="58" t="str">
        <f t="shared" si="202"/>
        <v/>
      </c>
      <c r="BZ348" s="59"/>
    </row>
    <row r="349" spans="1:78" ht="14.5" hidden="1">
      <c r="A349" s="51" t="s">
        <v>58</v>
      </c>
      <c r="B349" s="52">
        <v>427</v>
      </c>
      <c r="C349" s="52" t="s">
        <v>188</v>
      </c>
      <c r="D349" s="41">
        <f t="shared" si="177"/>
        <v>6</v>
      </c>
      <c r="E349" s="170" t="s">
        <v>631</v>
      </c>
      <c r="F349" s="41" t="s">
        <v>689</v>
      </c>
      <c r="G349" s="52" t="s">
        <v>157</v>
      </c>
      <c r="H349" s="52" t="s">
        <v>243</v>
      </c>
      <c r="I349" s="52" t="s">
        <v>162</v>
      </c>
      <c r="J349" s="52" t="s">
        <v>428</v>
      </c>
      <c r="K349" s="53">
        <v>45695</v>
      </c>
      <c r="L349" s="108">
        <v>2472</v>
      </c>
      <c r="M349" s="101"/>
      <c r="N349" s="101"/>
      <c r="O349" s="107">
        <f t="shared" si="172"/>
        <v>2472</v>
      </c>
      <c r="P349" s="54">
        <f t="shared" si="173"/>
        <v>2472</v>
      </c>
      <c r="Q349" s="101" t="s">
        <v>429</v>
      </c>
      <c r="R349" s="101"/>
      <c r="S349" s="101"/>
      <c r="T349" s="102">
        <f t="shared" si="178"/>
        <v>0.41199999999999998</v>
      </c>
      <c r="U349" s="102">
        <v>6</v>
      </c>
      <c r="V349" s="99">
        <v>1000</v>
      </c>
      <c r="W349" s="55">
        <f t="shared" si="174"/>
        <v>45675</v>
      </c>
      <c r="X349" s="55"/>
      <c r="Y349" s="56">
        <f t="shared" ca="1" si="175"/>
        <v>-165</v>
      </c>
      <c r="Z349" s="55">
        <f t="shared" si="171"/>
        <v>45691</v>
      </c>
      <c r="AA349" s="55"/>
      <c r="AB349" s="56">
        <f t="shared" ca="1" si="176"/>
        <v>-149</v>
      </c>
      <c r="AC349" s="55"/>
      <c r="AD349" s="57"/>
      <c r="AE349" s="58" t="str">
        <f t="shared" si="179"/>
        <v>-</v>
      </c>
      <c r="AF349" s="59"/>
      <c r="AG349" s="58" t="str">
        <f t="shared" si="180"/>
        <v/>
      </c>
      <c r="AH349" s="59"/>
      <c r="AI349" s="58" t="str">
        <f t="shared" si="181"/>
        <v/>
      </c>
      <c r="AJ349" s="59"/>
      <c r="AK349" s="58" t="str">
        <f t="shared" si="182"/>
        <v/>
      </c>
      <c r="AL349" s="59"/>
      <c r="AM349" s="58" t="str">
        <f t="shared" si="183"/>
        <v/>
      </c>
      <c r="AN349" s="59"/>
      <c r="AO349" s="58" t="str">
        <f t="shared" si="184"/>
        <v/>
      </c>
      <c r="AP349" s="59"/>
      <c r="AQ349" s="58" t="str">
        <f t="shared" si="185"/>
        <v/>
      </c>
      <c r="AR349" s="59"/>
      <c r="AS349" s="58" t="str">
        <f t="shared" si="186"/>
        <v/>
      </c>
      <c r="AT349" s="59"/>
      <c r="AU349" s="58" t="str">
        <f t="shared" si="187"/>
        <v/>
      </c>
      <c r="AV349" s="59"/>
      <c r="AW349" s="58" t="str">
        <f t="shared" si="188"/>
        <v/>
      </c>
      <c r="AX349" s="59"/>
      <c r="AY349" s="58" t="str">
        <f t="shared" si="189"/>
        <v/>
      </c>
      <c r="AZ349" s="59"/>
      <c r="BA349" s="58" t="str">
        <f t="shared" si="190"/>
        <v/>
      </c>
      <c r="BB349" s="59"/>
      <c r="BC349" s="58" t="str">
        <f t="shared" si="191"/>
        <v/>
      </c>
      <c r="BD349" s="59"/>
      <c r="BE349" s="58" t="str">
        <f t="shared" si="192"/>
        <v/>
      </c>
      <c r="BF349" s="59"/>
      <c r="BG349" s="58">
        <f t="shared" si="193"/>
        <v>2472</v>
      </c>
      <c r="BH349" s="59"/>
      <c r="BI349" s="58" t="str">
        <f t="shared" si="194"/>
        <v/>
      </c>
      <c r="BJ349" s="59"/>
      <c r="BK349" s="58" t="str">
        <f t="shared" si="195"/>
        <v/>
      </c>
      <c r="BL349" s="59"/>
      <c r="BM349" s="58" t="str">
        <f t="shared" si="196"/>
        <v/>
      </c>
      <c r="BN349" s="59"/>
      <c r="BO349" s="58" t="str">
        <f t="shared" si="197"/>
        <v/>
      </c>
      <c r="BP349" s="59"/>
      <c r="BQ349" s="58" t="str">
        <f t="shared" si="198"/>
        <v/>
      </c>
      <c r="BR349" s="59"/>
      <c r="BS349" s="58" t="str">
        <f t="shared" si="199"/>
        <v/>
      </c>
      <c r="BT349" s="59"/>
      <c r="BU349" s="58" t="str">
        <f t="shared" si="200"/>
        <v/>
      </c>
      <c r="BV349" s="59"/>
      <c r="BW349" s="58" t="str">
        <f t="shared" si="201"/>
        <v/>
      </c>
      <c r="BX349" s="59"/>
      <c r="BY349" s="58" t="str">
        <f t="shared" si="202"/>
        <v/>
      </c>
      <c r="BZ349" s="59"/>
    </row>
    <row r="350" spans="1:78" ht="14.5" hidden="1">
      <c r="A350" s="51" t="s">
        <v>58</v>
      </c>
      <c r="B350" s="52">
        <v>427</v>
      </c>
      <c r="C350" s="52" t="s">
        <v>188</v>
      </c>
      <c r="D350" s="41">
        <f t="shared" si="177"/>
        <v>6</v>
      </c>
      <c r="E350" s="170">
        <v>45677</v>
      </c>
      <c r="F350" s="41" t="s">
        <v>689</v>
      </c>
      <c r="G350" s="52" t="s">
        <v>157</v>
      </c>
      <c r="H350" s="52" t="s">
        <v>243</v>
      </c>
      <c r="I350" s="52" t="s">
        <v>155</v>
      </c>
      <c r="J350" s="52" t="s">
        <v>428</v>
      </c>
      <c r="K350" s="53">
        <v>45695</v>
      </c>
      <c r="L350" s="108">
        <v>1488</v>
      </c>
      <c r="M350" s="101"/>
      <c r="N350" s="101"/>
      <c r="O350" s="107">
        <f t="shared" si="172"/>
        <v>1488</v>
      </c>
      <c r="P350" s="54">
        <f t="shared" si="173"/>
        <v>1488</v>
      </c>
      <c r="Q350" s="101" t="s">
        <v>429</v>
      </c>
      <c r="R350" s="101"/>
      <c r="S350" s="101"/>
      <c r="T350" s="102">
        <f t="shared" si="178"/>
        <v>0.248</v>
      </c>
      <c r="U350" s="102">
        <v>6</v>
      </c>
      <c r="V350" s="99">
        <v>1000</v>
      </c>
      <c r="W350" s="55">
        <f t="shared" si="174"/>
        <v>45675</v>
      </c>
      <c r="X350" s="55"/>
      <c r="Y350" s="56">
        <f t="shared" ca="1" si="175"/>
        <v>-165</v>
      </c>
      <c r="Z350" s="55">
        <f t="shared" si="171"/>
        <v>45691</v>
      </c>
      <c r="AA350" s="55"/>
      <c r="AB350" s="56">
        <f t="shared" ca="1" si="176"/>
        <v>-149</v>
      </c>
      <c r="AC350" s="55"/>
      <c r="AD350" s="57"/>
      <c r="AE350" s="58" t="str">
        <f t="shared" si="179"/>
        <v>-</v>
      </c>
      <c r="AF350" s="59"/>
      <c r="AG350" s="58" t="str">
        <f t="shared" si="180"/>
        <v/>
      </c>
      <c r="AH350" s="59"/>
      <c r="AI350" s="58" t="str">
        <f t="shared" si="181"/>
        <v/>
      </c>
      <c r="AJ350" s="59"/>
      <c r="AK350" s="58" t="str">
        <f t="shared" si="182"/>
        <v/>
      </c>
      <c r="AL350" s="59"/>
      <c r="AM350" s="58" t="str">
        <f t="shared" si="183"/>
        <v/>
      </c>
      <c r="AN350" s="59"/>
      <c r="AO350" s="58" t="str">
        <f t="shared" si="184"/>
        <v/>
      </c>
      <c r="AP350" s="59"/>
      <c r="AQ350" s="58" t="str">
        <f t="shared" si="185"/>
        <v/>
      </c>
      <c r="AR350" s="59"/>
      <c r="AS350" s="58" t="str">
        <f t="shared" si="186"/>
        <v/>
      </c>
      <c r="AT350" s="59"/>
      <c r="AU350" s="58" t="str">
        <f t="shared" si="187"/>
        <v/>
      </c>
      <c r="AV350" s="59"/>
      <c r="AW350" s="58" t="str">
        <f t="shared" si="188"/>
        <v/>
      </c>
      <c r="AX350" s="59"/>
      <c r="AY350" s="58" t="str">
        <f t="shared" si="189"/>
        <v/>
      </c>
      <c r="AZ350" s="59"/>
      <c r="BA350" s="58" t="str">
        <f t="shared" si="190"/>
        <v/>
      </c>
      <c r="BB350" s="59"/>
      <c r="BC350" s="58" t="str">
        <f t="shared" si="191"/>
        <v/>
      </c>
      <c r="BD350" s="59"/>
      <c r="BE350" s="58" t="str">
        <f t="shared" si="192"/>
        <v/>
      </c>
      <c r="BF350" s="59"/>
      <c r="BG350" s="58">
        <f t="shared" si="193"/>
        <v>1488</v>
      </c>
      <c r="BH350" s="59"/>
      <c r="BI350" s="58" t="str">
        <f t="shared" si="194"/>
        <v/>
      </c>
      <c r="BJ350" s="59"/>
      <c r="BK350" s="58" t="str">
        <f t="shared" si="195"/>
        <v/>
      </c>
      <c r="BL350" s="59"/>
      <c r="BM350" s="58" t="str">
        <f t="shared" si="196"/>
        <v/>
      </c>
      <c r="BN350" s="59"/>
      <c r="BO350" s="58" t="str">
        <f t="shared" si="197"/>
        <v/>
      </c>
      <c r="BP350" s="59"/>
      <c r="BQ350" s="58" t="str">
        <f t="shared" si="198"/>
        <v/>
      </c>
      <c r="BR350" s="59"/>
      <c r="BS350" s="58" t="str">
        <f t="shared" si="199"/>
        <v/>
      </c>
      <c r="BT350" s="59"/>
      <c r="BU350" s="58" t="str">
        <f t="shared" si="200"/>
        <v/>
      </c>
      <c r="BV350" s="59"/>
      <c r="BW350" s="58" t="str">
        <f t="shared" si="201"/>
        <v/>
      </c>
      <c r="BX350" s="59"/>
      <c r="BY350" s="58" t="str">
        <f t="shared" si="202"/>
        <v/>
      </c>
      <c r="BZ350" s="59"/>
    </row>
    <row r="351" spans="1:78" ht="14.5" hidden="1">
      <c r="A351" s="51" t="s">
        <v>58</v>
      </c>
      <c r="B351" s="52">
        <v>427</v>
      </c>
      <c r="C351" s="52" t="s">
        <v>188</v>
      </c>
      <c r="D351" s="41">
        <f t="shared" si="177"/>
        <v>6</v>
      </c>
      <c r="E351" s="170" t="s">
        <v>631</v>
      </c>
      <c r="F351" s="41" t="s">
        <v>689</v>
      </c>
      <c r="G351" s="52" t="s">
        <v>158</v>
      </c>
      <c r="H351" s="52" t="s">
        <v>242</v>
      </c>
      <c r="I351" s="52" t="s">
        <v>155</v>
      </c>
      <c r="J351" s="52" t="s">
        <v>432</v>
      </c>
      <c r="K351" s="53">
        <v>45695</v>
      </c>
      <c r="L351" s="108">
        <v>1488</v>
      </c>
      <c r="M351" s="101"/>
      <c r="N351" s="101"/>
      <c r="O351" s="107">
        <f t="shared" si="172"/>
        <v>1488</v>
      </c>
      <c r="P351" s="54">
        <f t="shared" si="173"/>
        <v>1488</v>
      </c>
      <c r="Q351" s="101" t="s">
        <v>439</v>
      </c>
      <c r="R351" s="101"/>
      <c r="S351" s="101"/>
      <c r="T351" s="102">
        <f t="shared" si="178"/>
        <v>2.0666666666666669</v>
      </c>
      <c r="U351" s="102">
        <v>6</v>
      </c>
      <c r="V351" s="99">
        <v>120</v>
      </c>
      <c r="W351" s="55">
        <f t="shared" si="174"/>
        <v>45675</v>
      </c>
      <c r="X351" s="55"/>
      <c r="Y351" s="56">
        <f t="shared" ca="1" si="175"/>
        <v>-165</v>
      </c>
      <c r="Z351" s="55">
        <f t="shared" si="171"/>
        <v>45691</v>
      </c>
      <c r="AA351" s="55"/>
      <c r="AB351" s="56">
        <f t="shared" ca="1" si="176"/>
        <v>-149</v>
      </c>
      <c r="AC351" s="55"/>
      <c r="AD351" s="57"/>
      <c r="AE351" s="58" t="str">
        <f t="shared" si="179"/>
        <v>-</v>
      </c>
      <c r="AF351" s="59"/>
      <c r="AG351" s="58" t="str">
        <f t="shared" si="180"/>
        <v/>
      </c>
      <c r="AH351" s="59"/>
      <c r="AI351" s="58" t="str">
        <f t="shared" si="181"/>
        <v/>
      </c>
      <c r="AJ351" s="59"/>
      <c r="AK351" s="58" t="str">
        <f t="shared" si="182"/>
        <v/>
      </c>
      <c r="AL351" s="59"/>
      <c r="AM351" s="58" t="str">
        <f t="shared" si="183"/>
        <v/>
      </c>
      <c r="AN351" s="59"/>
      <c r="AO351" s="58" t="str">
        <f t="shared" si="184"/>
        <v/>
      </c>
      <c r="AP351" s="59"/>
      <c r="AQ351" s="58" t="str">
        <f t="shared" si="185"/>
        <v/>
      </c>
      <c r="AR351" s="59"/>
      <c r="AS351" s="58" t="str">
        <f t="shared" si="186"/>
        <v/>
      </c>
      <c r="AT351" s="59"/>
      <c r="AU351" s="58" t="str">
        <f t="shared" si="187"/>
        <v/>
      </c>
      <c r="AV351" s="59"/>
      <c r="AW351" s="58" t="str">
        <f t="shared" si="188"/>
        <v/>
      </c>
      <c r="AX351" s="59"/>
      <c r="AY351" s="58" t="str">
        <f t="shared" si="189"/>
        <v/>
      </c>
      <c r="AZ351" s="59"/>
      <c r="BA351" s="58" t="str">
        <f t="shared" si="190"/>
        <v/>
      </c>
      <c r="BB351" s="59"/>
      <c r="BC351" s="58" t="str">
        <f t="shared" si="191"/>
        <v/>
      </c>
      <c r="BD351" s="59"/>
      <c r="BE351" s="58" t="str">
        <f t="shared" si="192"/>
        <v/>
      </c>
      <c r="BF351" s="59"/>
      <c r="BG351" s="58">
        <f t="shared" si="193"/>
        <v>1488</v>
      </c>
      <c r="BH351" s="59"/>
      <c r="BI351" s="58" t="str">
        <f t="shared" si="194"/>
        <v/>
      </c>
      <c r="BJ351" s="59"/>
      <c r="BK351" s="58" t="str">
        <f t="shared" si="195"/>
        <v/>
      </c>
      <c r="BL351" s="59"/>
      <c r="BM351" s="58" t="str">
        <f t="shared" si="196"/>
        <v/>
      </c>
      <c r="BN351" s="59"/>
      <c r="BO351" s="58" t="str">
        <f t="shared" si="197"/>
        <v/>
      </c>
      <c r="BP351" s="59"/>
      <c r="BQ351" s="58" t="str">
        <f t="shared" si="198"/>
        <v/>
      </c>
      <c r="BR351" s="59"/>
      <c r="BS351" s="58" t="str">
        <f t="shared" si="199"/>
        <v/>
      </c>
      <c r="BT351" s="59"/>
      <c r="BU351" s="58" t="str">
        <f t="shared" si="200"/>
        <v/>
      </c>
      <c r="BV351" s="59"/>
      <c r="BW351" s="58" t="str">
        <f t="shared" si="201"/>
        <v/>
      </c>
      <c r="BX351" s="59"/>
      <c r="BY351" s="58" t="str">
        <f t="shared" si="202"/>
        <v/>
      </c>
      <c r="BZ351" s="59"/>
    </row>
    <row r="352" spans="1:78" ht="14.5" hidden="1">
      <c r="A352" s="51" t="s">
        <v>58</v>
      </c>
      <c r="B352" s="52">
        <v>427</v>
      </c>
      <c r="C352" s="52" t="s">
        <v>188</v>
      </c>
      <c r="D352" s="41">
        <f t="shared" si="177"/>
        <v>6</v>
      </c>
      <c r="E352" s="170" t="s">
        <v>631</v>
      </c>
      <c r="F352" s="41" t="s">
        <v>689</v>
      </c>
      <c r="G352" s="52" t="s">
        <v>391</v>
      </c>
      <c r="H352" s="52" t="s">
        <v>392</v>
      </c>
      <c r="I352" s="52" t="s">
        <v>393</v>
      </c>
      <c r="J352" s="52" t="s">
        <v>433</v>
      </c>
      <c r="K352" s="53">
        <v>45695</v>
      </c>
      <c r="L352" s="108">
        <v>1572</v>
      </c>
      <c r="M352" s="101"/>
      <c r="N352" s="101"/>
      <c r="O352" s="107">
        <f t="shared" si="172"/>
        <v>1572</v>
      </c>
      <c r="P352" s="54">
        <f t="shared" si="173"/>
        <v>1572</v>
      </c>
      <c r="Q352" s="101" t="s">
        <v>443</v>
      </c>
      <c r="R352" s="101"/>
      <c r="S352" s="101"/>
      <c r="T352" s="102">
        <f t="shared" si="178"/>
        <v>3.2749999999999999</v>
      </c>
      <c r="U352" s="102">
        <v>6</v>
      </c>
      <c r="V352" s="99">
        <v>80</v>
      </c>
      <c r="W352" s="55">
        <f t="shared" si="174"/>
        <v>45675</v>
      </c>
      <c r="X352" s="55"/>
      <c r="Y352" s="56">
        <f t="shared" ca="1" si="175"/>
        <v>-165</v>
      </c>
      <c r="Z352" s="55">
        <f t="shared" si="171"/>
        <v>45691</v>
      </c>
      <c r="AA352" s="55"/>
      <c r="AB352" s="56">
        <f t="shared" ca="1" si="176"/>
        <v>-149</v>
      </c>
      <c r="AC352" s="55"/>
      <c r="AD352" s="57"/>
      <c r="AE352" s="58" t="str">
        <f t="shared" si="179"/>
        <v>-</v>
      </c>
      <c r="AF352" s="59"/>
      <c r="AG352" s="58" t="str">
        <f t="shared" si="180"/>
        <v/>
      </c>
      <c r="AH352" s="59"/>
      <c r="AI352" s="58" t="str">
        <f t="shared" si="181"/>
        <v/>
      </c>
      <c r="AJ352" s="59"/>
      <c r="AK352" s="58" t="str">
        <f t="shared" si="182"/>
        <v/>
      </c>
      <c r="AL352" s="59"/>
      <c r="AM352" s="58" t="str">
        <f t="shared" si="183"/>
        <v/>
      </c>
      <c r="AN352" s="59"/>
      <c r="AO352" s="58" t="str">
        <f t="shared" si="184"/>
        <v/>
      </c>
      <c r="AP352" s="59"/>
      <c r="AQ352" s="58" t="str">
        <f t="shared" si="185"/>
        <v/>
      </c>
      <c r="AR352" s="59"/>
      <c r="AS352" s="58" t="str">
        <f t="shared" si="186"/>
        <v/>
      </c>
      <c r="AT352" s="59"/>
      <c r="AU352" s="58" t="str">
        <f t="shared" si="187"/>
        <v/>
      </c>
      <c r="AV352" s="59"/>
      <c r="AW352" s="58" t="str">
        <f t="shared" si="188"/>
        <v/>
      </c>
      <c r="AX352" s="59"/>
      <c r="AY352" s="58" t="str">
        <f t="shared" si="189"/>
        <v/>
      </c>
      <c r="AZ352" s="59"/>
      <c r="BA352" s="58" t="str">
        <f t="shared" si="190"/>
        <v/>
      </c>
      <c r="BB352" s="59"/>
      <c r="BC352" s="58" t="str">
        <f t="shared" si="191"/>
        <v/>
      </c>
      <c r="BD352" s="59"/>
      <c r="BE352" s="58" t="str">
        <f t="shared" si="192"/>
        <v/>
      </c>
      <c r="BF352" s="59"/>
      <c r="BG352" s="58">
        <f t="shared" si="193"/>
        <v>1572</v>
      </c>
      <c r="BH352" s="59"/>
      <c r="BI352" s="58" t="str">
        <f t="shared" si="194"/>
        <v/>
      </c>
      <c r="BJ352" s="59"/>
      <c r="BK352" s="58" t="str">
        <f t="shared" si="195"/>
        <v/>
      </c>
      <c r="BL352" s="59"/>
      <c r="BM352" s="58" t="str">
        <f t="shared" si="196"/>
        <v/>
      </c>
      <c r="BN352" s="59"/>
      <c r="BO352" s="58" t="str">
        <f t="shared" si="197"/>
        <v/>
      </c>
      <c r="BP352" s="59"/>
      <c r="BQ352" s="58" t="str">
        <f t="shared" si="198"/>
        <v/>
      </c>
      <c r="BR352" s="59"/>
      <c r="BS352" s="58" t="str">
        <f t="shared" si="199"/>
        <v/>
      </c>
      <c r="BT352" s="59"/>
      <c r="BU352" s="58" t="str">
        <f t="shared" si="200"/>
        <v/>
      </c>
      <c r="BV352" s="59"/>
      <c r="BW352" s="58" t="str">
        <f t="shared" si="201"/>
        <v/>
      </c>
      <c r="BX352" s="59"/>
      <c r="BY352" s="58" t="str">
        <f t="shared" si="202"/>
        <v/>
      </c>
      <c r="BZ352" s="59"/>
    </row>
    <row r="353" spans="1:78" ht="14.5" hidden="1">
      <c r="A353" s="51" t="s">
        <v>58</v>
      </c>
      <c r="B353" s="52">
        <v>382</v>
      </c>
      <c r="C353" s="52" t="s">
        <v>188</v>
      </c>
      <c r="D353" s="41">
        <f t="shared" si="177"/>
        <v>7</v>
      </c>
      <c r="E353" s="170" t="s">
        <v>631</v>
      </c>
      <c r="F353" s="41"/>
      <c r="G353" s="52" t="s">
        <v>189</v>
      </c>
      <c r="H353" s="52" t="s">
        <v>242</v>
      </c>
      <c r="I353" s="52" t="s">
        <v>162</v>
      </c>
      <c r="J353" s="52" t="s">
        <v>432</v>
      </c>
      <c r="K353" s="53">
        <v>45702</v>
      </c>
      <c r="L353" s="108">
        <v>1560</v>
      </c>
      <c r="M353" s="101"/>
      <c r="N353" s="101"/>
      <c r="O353" s="107">
        <f t="shared" si="172"/>
        <v>1560</v>
      </c>
      <c r="P353" s="54">
        <f t="shared" si="173"/>
        <v>1560</v>
      </c>
      <c r="Q353" s="101" t="s">
        <v>178</v>
      </c>
      <c r="R353" s="166">
        <v>45702</v>
      </c>
      <c r="S353" s="101"/>
      <c r="T353" s="102">
        <f t="shared" si="178"/>
        <v>2.1666666666666665</v>
      </c>
      <c r="U353" s="102">
        <v>6</v>
      </c>
      <c r="V353" s="99">
        <v>120</v>
      </c>
      <c r="W353" s="55">
        <f t="shared" si="174"/>
        <v>45682</v>
      </c>
      <c r="X353" s="55"/>
      <c r="Y353" s="56">
        <f t="shared" ca="1" si="175"/>
        <v>-158</v>
      </c>
      <c r="Z353" s="55">
        <f t="shared" si="171"/>
        <v>45698</v>
      </c>
      <c r="AA353" s="55"/>
      <c r="AB353" s="56">
        <f t="shared" ca="1" si="176"/>
        <v>-142</v>
      </c>
      <c r="AC353" s="55"/>
      <c r="AD353" s="57"/>
      <c r="AE353" s="58" t="str">
        <f t="shared" si="179"/>
        <v>-</v>
      </c>
      <c r="AF353" s="59"/>
      <c r="AG353" s="58" t="str">
        <f t="shared" si="180"/>
        <v/>
      </c>
      <c r="AH353" s="59"/>
      <c r="AI353" s="58" t="str">
        <f t="shared" si="181"/>
        <v/>
      </c>
      <c r="AJ353" s="59"/>
      <c r="AK353" s="58" t="str">
        <f t="shared" si="182"/>
        <v/>
      </c>
      <c r="AL353" s="59"/>
      <c r="AM353" s="58" t="str">
        <f t="shared" si="183"/>
        <v/>
      </c>
      <c r="AN353" s="59"/>
      <c r="AO353" s="58" t="str">
        <f t="shared" si="184"/>
        <v/>
      </c>
      <c r="AP353" s="59"/>
      <c r="AQ353" s="58" t="str">
        <f t="shared" si="185"/>
        <v/>
      </c>
      <c r="AR353" s="59"/>
      <c r="AS353" s="58" t="str">
        <f t="shared" si="186"/>
        <v/>
      </c>
      <c r="AT353" s="59"/>
      <c r="AU353" s="58" t="str">
        <f t="shared" si="187"/>
        <v/>
      </c>
      <c r="AV353" s="59"/>
      <c r="AW353" s="58" t="str">
        <f t="shared" si="188"/>
        <v/>
      </c>
      <c r="AX353" s="59"/>
      <c r="AY353" s="58" t="str">
        <f t="shared" si="189"/>
        <v/>
      </c>
      <c r="AZ353" s="59"/>
      <c r="BA353" s="58" t="str">
        <f t="shared" si="190"/>
        <v/>
      </c>
      <c r="BB353" s="59"/>
      <c r="BC353" s="58" t="str">
        <f t="shared" si="191"/>
        <v/>
      </c>
      <c r="BD353" s="59"/>
      <c r="BE353" s="58" t="str">
        <f t="shared" si="192"/>
        <v/>
      </c>
      <c r="BF353" s="59"/>
      <c r="BG353" s="58" t="str">
        <f t="shared" si="193"/>
        <v/>
      </c>
      <c r="BH353" s="59"/>
      <c r="BI353" s="58">
        <f t="shared" si="194"/>
        <v>1560</v>
      </c>
      <c r="BJ353" s="59"/>
      <c r="BK353" s="58" t="str">
        <f t="shared" si="195"/>
        <v/>
      </c>
      <c r="BL353" s="59"/>
      <c r="BM353" s="58" t="str">
        <f t="shared" si="196"/>
        <v/>
      </c>
      <c r="BN353" s="59"/>
      <c r="BO353" s="58" t="str">
        <f t="shared" si="197"/>
        <v/>
      </c>
      <c r="BP353" s="59"/>
      <c r="BQ353" s="58" t="str">
        <f t="shared" si="198"/>
        <v/>
      </c>
      <c r="BR353" s="59"/>
      <c r="BS353" s="58" t="str">
        <f t="shared" si="199"/>
        <v/>
      </c>
      <c r="BT353" s="59"/>
      <c r="BU353" s="58" t="str">
        <f t="shared" si="200"/>
        <v/>
      </c>
      <c r="BV353" s="59"/>
      <c r="BW353" s="58" t="str">
        <f t="shared" si="201"/>
        <v/>
      </c>
      <c r="BX353" s="59"/>
      <c r="BY353" s="58" t="str">
        <f t="shared" si="202"/>
        <v/>
      </c>
      <c r="BZ353" s="59"/>
    </row>
    <row r="354" spans="1:78" ht="14.5" hidden="1">
      <c r="A354" s="51" t="s">
        <v>58</v>
      </c>
      <c r="B354" s="52">
        <v>383</v>
      </c>
      <c r="C354" s="52" t="s">
        <v>188</v>
      </c>
      <c r="D354" s="41">
        <f t="shared" si="177"/>
        <v>7</v>
      </c>
      <c r="E354" s="170"/>
      <c r="F354" s="41"/>
      <c r="G354" s="52" t="s">
        <v>189</v>
      </c>
      <c r="H354" s="52" t="s">
        <v>242</v>
      </c>
      <c r="I354" s="52" t="s">
        <v>162</v>
      </c>
      <c r="J354" s="52" t="s">
        <v>432</v>
      </c>
      <c r="K354" s="53">
        <v>45702</v>
      </c>
      <c r="L354" s="108">
        <v>1400</v>
      </c>
      <c r="M354" s="101"/>
      <c r="N354" s="101"/>
      <c r="O354" s="107">
        <f t="shared" si="172"/>
        <v>1400</v>
      </c>
      <c r="P354" s="54">
        <f t="shared" si="173"/>
        <v>1400</v>
      </c>
      <c r="Q354" s="101" t="s">
        <v>178</v>
      </c>
      <c r="R354" s="166">
        <v>45702</v>
      </c>
      <c r="S354" s="101"/>
      <c r="T354" s="102">
        <f t="shared" si="178"/>
        <v>1.9444444444444444</v>
      </c>
      <c r="U354" s="102">
        <v>6</v>
      </c>
      <c r="V354" s="99">
        <v>120</v>
      </c>
      <c r="W354" s="55">
        <f t="shared" si="174"/>
        <v>45682</v>
      </c>
      <c r="X354" s="55"/>
      <c r="Y354" s="56">
        <f t="shared" ca="1" si="175"/>
        <v>-158</v>
      </c>
      <c r="Z354" s="55">
        <f t="shared" si="171"/>
        <v>45698</v>
      </c>
      <c r="AA354" s="55"/>
      <c r="AB354" s="56">
        <f t="shared" ca="1" si="176"/>
        <v>-142</v>
      </c>
      <c r="AC354" s="55"/>
      <c r="AD354" s="57"/>
      <c r="AE354" s="58" t="str">
        <f t="shared" si="179"/>
        <v>-</v>
      </c>
      <c r="AF354" s="59"/>
      <c r="AG354" s="58" t="str">
        <f t="shared" si="180"/>
        <v/>
      </c>
      <c r="AH354" s="59"/>
      <c r="AI354" s="58" t="str">
        <f t="shared" si="181"/>
        <v/>
      </c>
      <c r="AJ354" s="59"/>
      <c r="AK354" s="58" t="str">
        <f t="shared" si="182"/>
        <v/>
      </c>
      <c r="AL354" s="59"/>
      <c r="AM354" s="58" t="str">
        <f t="shared" si="183"/>
        <v/>
      </c>
      <c r="AN354" s="59"/>
      <c r="AO354" s="58" t="str">
        <f t="shared" si="184"/>
        <v/>
      </c>
      <c r="AP354" s="59"/>
      <c r="AQ354" s="58" t="str">
        <f t="shared" si="185"/>
        <v/>
      </c>
      <c r="AR354" s="59"/>
      <c r="AS354" s="58" t="str">
        <f t="shared" si="186"/>
        <v/>
      </c>
      <c r="AT354" s="59"/>
      <c r="AU354" s="58" t="str">
        <f t="shared" si="187"/>
        <v/>
      </c>
      <c r="AV354" s="59"/>
      <c r="AW354" s="58" t="str">
        <f t="shared" si="188"/>
        <v/>
      </c>
      <c r="AX354" s="59"/>
      <c r="AY354" s="58" t="str">
        <f t="shared" si="189"/>
        <v/>
      </c>
      <c r="AZ354" s="59"/>
      <c r="BA354" s="58" t="str">
        <f t="shared" si="190"/>
        <v/>
      </c>
      <c r="BB354" s="59"/>
      <c r="BC354" s="58" t="str">
        <f t="shared" si="191"/>
        <v/>
      </c>
      <c r="BD354" s="59"/>
      <c r="BE354" s="58" t="str">
        <f t="shared" si="192"/>
        <v/>
      </c>
      <c r="BF354" s="59"/>
      <c r="BG354" s="58" t="str">
        <f t="shared" si="193"/>
        <v/>
      </c>
      <c r="BH354" s="59"/>
      <c r="BI354" s="58">
        <f t="shared" si="194"/>
        <v>1400</v>
      </c>
      <c r="BJ354" s="59"/>
      <c r="BK354" s="58" t="str">
        <f t="shared" si="195"/>
        <v/>
      </c>
      <c r="BL354" s="59"/>
      <c r="BM354" s="58" t="str">
        <f t="shared" si="196"/>
        <v/>
      </c>
      <c r="BN354" s="59"/>
      <c r="BO354" s="58" t="str">
        <f t="shared" si="197"/>
        <v/>
      </c>
      <c r="BP354" s="59"/>
      <c r="BQ354" s="58" t="str">
        <f t="shared" si="198"/>
        <v/>
      </c>
      <c r="BR354" s="59"/>
      <c r="BS354" s="58" t="str">
        <f t="shared" si="199"/>
        <v/>
      </c>
      <c r="BT354" s="59"/>
      <c r="BU354" s="58" t="str">
        <f t="shared" si="200"/>
        <v/>
      </c>
      <c r="BV354" s="59"/>
      <c r="BW354" s="58" t="str">
        <f t="shared" si="201"/>
        <v/>
      </c>
      <c r="BX354" s="59"/>
      <c r="BY354" s="58" t="str">
        <f t="shared" si="202"/>
        <v/>
      </c>
      <c r="BZ354" s="59"/>
    </row>
    <row r="355" spans="1:78" ht="14.5" hidden="1">
      <c r="A355" s="51" t="s">
        <v>58</v>
      </c>
      <c r="B355" s="52">
        <v>384</v>
      </c>
      <c r="C355" s="52" t="s">
        <v>188</v>
      </c>
      <c r="D355" s="41">
        <f t="shared" si="177"/>
        <v>7</v>
      </c>
      <c r="E355" s="170"/>
      <c r="F355" s="41"/>
      <c r="G355" s="52" t="s">
        <v>193</v>
      </c>
      <c r="H355" s="52" t="s">
        <v>300</v>
      </c>
      <c r="I355" s="52" t="s">
        <v>162</v>
      </c>
      <c r="J355" s="52" t="s">
        <v>440</v>
      </c>
      <c r="K355" s="53">
        <v>45702</v>
      </c>
      <c r="L355" s="108">
        <v>1045</v>
      </c>
      <c r="M355" s="101"/>
      <c r="N355" s="101"/>
      <c r="O355" s="107">
        <f t="shared" si="172"/>
        <v>1045</v>
      </c>
      <c r="P355" s="54">
        <f t="shared" si="173"/>
        <v>1045</v>
      </c>
      <c r="Q355" s="101" t="s">
        <v>178</v>
      </c>
      <c r="R355" s="101"/>
      <c r="S355" s="101"/>
      <c r="T355" s="102">
        <f t="shared" si="178"/>
        <v>1.4513888888888888</v>
      </c>
      <c r="U355" s="102">
        <v>6</v>
      </c>
      <c r="V355" s="99">
        <v>120</v>
      </c>
      <c r="W355" s="55">
        <f t="shared" si="174"/>
        <v>45682</v>
      </c>
      <c r="X355" s="55"/>
      <c r="Y355" s="56">
        <f t="shared" ca="1" si="175"/>
        <v>-158</v>
      </c>
      <c r="Z355" s="55">
        <f t="shared" si="171"/>
        <v>45698</v>
      </c>
      <c r="AA355" s="55"/>
      <c r="AB355" s="56">
        <f t="shared" ca="1" si="176"/>
        <v>-142</v>
      </c>
      <c r="AC355" s="55"/>
      <c r="AD355" s="57"/>
      <c r="AE355" s="58" t="str">
        <f t="shared" si="179"/>
        <v>-</v>
      </c>
      <c r="AF355" s="59"/>
      <c r="AG355" s="58" t="str">
        <f t="shared" si="180"/>
        <v/>
      </c>
      <c r="AH355" s="59"/>
      <c r="AI355" s="58" t="str">
        <f t="shared" si="181"/>
        <v/>
      </c>
      <c r="AJ355" s="59"/>
      <c r="AK355" s="58" t="str">
        <f t="shared" si="182"/>
        <v/>
      </c>
      <c r="AL355" s="59"/>
      <c r="AM355" s="58" t="str">
        <f t="shared" si="183"/>
        <v/>
      </c>
      <c r="AN355" s="59"/>
      <c r="AO355" s="58" t="str">
        <f t="shared" si="184"/>
        <v/>
      </c>
      <c r="AP355" s="59"/>
      <c r="AQ355" s="58" t="str">
        <f t="shared" si="185"/>
        <v/>
      </c>
      <c r="AR355" s="59"/>
      <c r="AS355" s="58" t="str">
        <f t="shared" si="186"/>
        <v/>
      </c>
      <c r="AT355" s="59"/>
      <c r="AU355" s="58" t="str">
        <f t="shared" si="187"/>
        <v/>
      </c>
      <c r="AV355" s="59"/>
      <c r="AW355" s="58" t="str">
        <f t="shared" si="188"/>
        <v/>
      </c>
      <c r="AX355" s="59"/>
      <c r="AY355" s="58" t="str">
        <f t="shared" si="189"/>
        <v/>
      </c>
      <c r="AZ355" s="59"/>
      <c r="BA355" s="58" t="str">
        <f t="shared" si="190"/>
        <v/>
      </c>
      <c r="BB355" s="59"/>
      <c r="BC355" s="58" t="str">
        <f t="shared" si="191"/>
        <v/>
      </c>
      <c r="BD355" s="59"/>
      <c r="BE355" s="58" t="str">
        <f t="shared" si="192"/>
        <v/>
      </c>
      <c r="BF355" s="59"/>
      <c r="BG355" s="58" t="str">
        <f t="shared" si="193"/>
        <v/>
      </c>
      <c r="BH355" s="59"/>
      <c r="BI355" s="58">
        <f t="shared" si="194"/>
        <v>1045</v>
      </c>
      <c r="BJ355" s="59"/>
      <c r="BK355" s="58" t="str">
        <f t="shared" si="195"/>
        <v/>
      </c>
      <c r="BL355" s="59"/>
      <c r="BM355" s="58" t="str">
        <f t="shared" si="196"/>
        <v/>
      </c>
      <c r="BN355" s="59"/>
      <c r="BO355" s="58" t="str">
        <f t="shared" si="197"/>
        <v/>
      </c>
      <c r="BP355" s="59"/>
      <c r="BQ355" s="58" t="str">
        <f t="shared" si="198"/>
        <v/>
      </c>
      <c r="BR355" s="59"/>
      <c r="BS355" s="58" t="str">
        <f t="shared" si="199"/>
        <v/>
      </c>
      <c r="BT355" s="59"/>
      <c r="BU355" s="58" t="str">
        <f t="shared" si="200"/>
        <v/>
      </c>
      <c r="BV355" s="59"/>
      <c r="BW355" s="58" t="str">
        <f t="shared" si="201"/>
        <v/>
      </c>
      <c r="BX355" s="59"/>
      <c r="BY355" s="58" t="str">
        <f t="shared" si="202"/>
        <v/>
      </c>
      <c r="BZ355" s="59"/>
    </row>
    <row r="356" spans="1:78" ht="14.5" hidden="1">
      <c r="A356" s="51" t="s">
        <v>58</v>
      </c>
      <c r="B356" s="52">
        <v>384</v>
      </c>
      <c r="C356" s="52" t="s">
        <v>188</v>
      </c>
      <c r="D356" s="41">
        <f t="shared" si="177"/>
        <v>7</v>
      </c>
      <c r="E356" s="170"/>
      <c r="F356" s="41"/>
      <c r="G356" s="52" t="s">
        <v>391</v>
      </c>
      <c r="H356" s="52" t="s">
        <v>392</v>
      </c>
      <c r="I356" s="52" t="s">
        <v>393</v>
      </c>
      <c r="J356" s="52" t="s">
        <v>433</v>
      </c>
      <c r="K356" s="53">
        <v>45702</v>
      </c>
      <c r="L356" s="108">
        <v>1488</v>
      </c>
      <c r="M356" s="101"/>
      <c r="N356" s="101"/>
      <c r="O356" s="107">
        <f t="shared" si="172"/>
        <v>1488</v>
      </c>
      <c r="P356" s="54">
        <f t="shared" si="173"/>
        <v>1488</v>
      </c>
      <c r="Q356" s="101" t="s">
        <v>443</v>
      </c>
      <c r="R356" s="101"/>
      <c r="S356" s="101"/>
      <c r="T356" s="102">
        <f t="shared" si="178"/>
        <v>3.1</v>
      </c>
      <c r="U356" s="102">
        <v>6</v>
      </c>
      <c r="V356" s="99">
        <v>80</v>
      </c>
      <c r="W356" s="55">
        <f t="shared" si="174"/>
        <v>45682</v>
      </c>
      <c r="X356" s="55"/>
      <c r="Y356" s="56">
        <f t="shared" ca="1" si="175"/>
        <v>-158</v>
      </c>
      <c r="Z356" s="55">
        <f t="shared" si="171"/>
        <v>45698</v>
      </c>
      <c r="AA356" s="55"/>
      <c r="AB356" s="56">
        <f t="shared" ca="1" si="176"/>
        <v>-142</v>
      </c>
      <c r="AC356" s="55"/>
      <c r="AD356" s="57"/>
      <c r="AE356" s="58" t="str">
        <f t="shared" si="179"/>
        <v>-</v>
      </c>
      <c r="AF356" s="59"/>
      <c r="AG356" s="58" t="str">
        <f t="shared" si="180"/>
        <v/>
      </c>
      <c r="AH356" s="59"/>
      <c r="AI356" s="58" t="str">
        <f t="shared" si="181"/>
        <v/>
      </c>
      <c r="AJ356" s="59"/>
      <c r="AK356" s="58" t="str">
        <f t="shared" si="182"/>
        <v/>
      </c>
      <c r="AL356" s="59"/>
      <c r="AM356" s="58" t="str">
        <f t="shared" si="183"/>
        <v/>
      </c>
      <c r="AN356" s="59"/>
      <c r="AO356" s="58" t="str">
        <f t="shared" si="184"/>
        <v/>
      </c>
      <c r="AP356" s="59"/>
      <c r="AQ356" s="58" t="str">
        <f t="shared" si="185"/>
        <v/>
      </c>
      <c r="AR356" s="59"/>
      <c r="AS356" s="58" t="str">
        <f t="shared" si="186"/>
        <v/>
      </c>
      <c r="AT356" s="59"/>
      <c r="AU356" s="58" t="str">
        <f t="shared" si="187"/>
        <v/>
      </c>
      <c r="AV356" s="59"/>
      <c r="AW356" s="58" t="str">
        <f t="shared" si="188"/>
        <v/>
      </c>
      <c r="AX356" s="59"/>
      <c r="AY356" s="58" t="str">
        <f t="shared" si="189"/>
        <v/>
      </c>
      <c r="AZ356" s="59"/>
      <c r="BA356" s="58" t="str">
        <f t="shared" si="190"/>
        <v/>
      </c>
      <c r="BB356" s="59"/>
      <c r="BC356" s="58" t="str">
        <f t="shared" si="191"/>
        <v/>
      </c>
      <c r="BD356" s="59"/>
      <c r="BE356" s="58" t="str">
        <f t="shared" si="192"/>
        <v/>
      </c>
      <c r="BF356" s="59"/>
      <c r="BG356" s="58" t="str">
        <f t="shared" si="193"/>
        <v/>
      </c>
      <c r="BH356" s="59"/>
      <c r="BI356" s="58">
        <f t="shared" si="194"/>
        <v>1488</v>
      </c>
      <c r="BJ356" s="59"/>
      <c r="BK356" s="58" t="str">
        <f t="shared" si="195"/>
        <v/>
      </c>
      <c r="BL356" s="59"/>
      <c r="BM356" s="58" t="str">
        <f t="shared" si="196"/>
        <v/>
      </c>
      <c r="BN356" s="59"/>
      <c r="BO356" s="58" t="str">
        <f t="shared" si="197"/>
        <v/>
      </c>
      <c r="BP356" s="59"/>
      <c r="BQ356" s="58" t="str">
        <f t="shared" si="198"/>
        <v/>
      </c>
      <c r="BR356" s="59"/>
      <c r="BS356" s="58" t="str">
        <f t="shared" si="199"/>
        <v/>
      </c>
      <c r="BT356" s="59"/>
      <c r="BU356" s="58" t="str">
        <f t="shared" si="200"/>
        <v/>
      </c>
      <c r="BV356" s="59"/>
      <c r="BW356" s="58" t="str">
        <f t="shared" si="201"/>
        <v/>
      </c>
      <c r="BX356" s="59"/>
      <c r="BY356" s="58" t="str">
        <f t="shared" si="202"/>
        <v/>
      </c>
      <c r="BZ356" s="59"/>
    </row>
    <row r="357" spans="1:78" ht="14.5" hidden="1">
      <c r="A357" s="51" t="s">
        <v>446</v>
      </c>
      <c r="B357" s="52" t="s">
        <v>566</v>
      </c>
      <c r="C357" s="52" t="s">
        <v>60</v>
      </c>
      <c r="D357" s="41">
        <f t="shared" si="177"/>
        <v>7</v>
      </c>
      <c r="E357" s="170"/>
      <c r="F357" s="41"/>
      <c r="G357" s="52" t="s">
        <v>187</v>
      </c>
      <c r="H357" s="52" t="s">
        <v>448</v>
      </c>
      <c r="I357" s="52" t="s">
        <v>164</v>
      </c>
      <c r="J357" s="52" t="s">
        <v>449</v>
      </c>
      <c r="K357" s="53">
        <v>45700</v>
      </c>
      <c r="L357" s="108">
        <v>9000</v>
      </c>
      <c r="M357" s="101"/>
      <c r="N357" s="101"/>
      <c r="O357" s="101">
        <f>+L357-N357</f>
        <v>9000</v>
      </c>
      <c r="P357" s="54">
        <f>+L357-M357</f>
        <v>9000</v>
      </c>
      <c r="Q357" s="101" t="s">
        <v>429</v>
      </c>
      <c r="R357" s="101"/>
      <c r="S357" s="101"/>
      <c r="T357" s="102">
        <f t="shared" si="178"/>
        <v>1.3636363636363635</v>
      </c>
      <c r="U357" s="102">
        <v>6</v>
      </c>
      <c r="V357" s="99">
        <v>1100</v>
      </c>
      <c r="W357" s="55">
        <f>+K357-(28)</f>
        <v>45672</v>
      </c>
      <c r="X357" s="55"/>
      <c r="Y357" s="56">
        <f t="shared" ca="1" si="175"/>
        <v>-168</v>
      </c>
      <c r="Z357" s="55">
        <f t="shared" si="171"/>
        <v>45688</v>
      </c>
      <c r="AA357" s="55"/>
      <c r="AB357" s="56">
        <f t="shared" ca="1" si="176"/>
        <v>-152</v>
      </c>
      <c r="AC357" s="55"/>
      <c r="AD357" s="57"/>
      <c r="AE357" s="58" t="str">
        <f t="shared" si="179"/>
        <v>-</v>
      </c>
      <c r="AF357" s="59"/>
      <c r="AG357" s="58" t="str">
        <f t="shared" si="180"/>
        <v/>
      </c>
      <c r="AH357" s="59"/>
      <c r="AI357" s="58" t="str">
        <f t="shared" si="181"/>
        <v/>
      </c>
      <c r="AJ357" s="59"/>
      <c r="AK357" s="58" t="str">
        <f t="shared" si="182"/>
        <v/>
      </c>
      <c r="AL357" s="59"/>
      <c r="AM357" s="58" t="str">
        <f t="shared" si="183"/>
        <v/>
      </c>
      <c r="AN357" s="59"/>
      <c r="AO357" s="58" t="str">
        <f t="shared" si="184"/>
        <v/>
      </c>
      <c r="AP357" s="59"/>
      <c r="AQ357" s="58" t="str">
        <f t="shared" si="185"/>
        <v/>
      </c>
      <c r="AR357" s="59"/>
      <c r="AS357" s="58" t="str">
        <f t="shared" si="186"/>
        <v/>
      </c>
      <c r="AT357" s="59"/>
      <c r="AU357" s="58" t="str">
        <f t="shared" si="187"/>
        <v/>
      </c>
      <c r="AV357" s="59"/>
      <c r="AW357" s="58" t="str">
        <f t="shared" si="188"/>
        <v/>
      </c>
      <c r="AX357" s="59"/>
      <c r="AY357" s="58" t="str">
        <f t="shared" si="189"/>
        <v/>
      </c>
      <c r="AZ357" s="59"/>
      <c r="BA357" s="58" t="str">
        <f t="shared" si="190"/>
        <v/>
      </c>
      <c r="BB357" s="59"/>
      <c r="BC357" s="58" t="str">
        <f t="shared" si="191"/>
        <v/>
      </c>
      <c r="BD357" s="59"/>
      <c r="BE357" s="58" t="str">
        <f t="shared" si="192"/>
        <v/>
      </c>
      <c r="BF357" s="59"/>
      <c r="BG357" s="58">
        <f t="shared" si="193"/>
        <v>9000</v>
      </c>
      <c r="BH357" s="59"/>
      <c r="BI357" s="58" t="str">
        <f t="shared" si="194"/>
        <v/>
      </c>
      <c r="BJ357" s="59"/>
      <c r="BK357" s="58" t="str">
        <f t="shared" si="195"/>
        <v/>
      </c>
      <c r="BL357" s="59"/>
      <c r="BM357" s="58" t="str">
        <f t="shared" si="196"/>
        <v/>
      </c>
      <c r="BN357" s="59"/>
      <c r="BO357" s="58" t="str">
        <f t="shared" si="197"/>
        <v/>
      </c>
      <c r="BP357" s="59"/>
      <c r="BQ357" s="58" t="str">
        <f t="shared" si="198"/>
        <v/>
      </c>
      <c r="BR357" s="59"/>
      <c r="BS357" s="58" t="str">
        <f t="shared" si="199"/>
        <v/>
      </c>
      <c r="BT357" s="59"/>
      <c r="BU357" s="58" t="str">
        <f t="shared" si="200"/>
        <v/>
      </c>
      <c r="BV357" s="59"/>
      <c r="BW357" s="58" t="str">
        <f t="shared" si="201"/>
        <v/>
      </c>
      <c r="BX357" s="59"/>
      <c r="BY357" s="58" t="str">
        <f t="shared" si="202"/>
        <v/>
      </c>
      <c r="BZ357" s="59"/>
    </row>
    <row r="358" spans="1:78" ht="14.5" hidden="1">
      <c r="A358" s="51" t="s">
        <v>446</v>
      </c>
      <c r="B358" s="52" t="s">
        <v>566</v>
      </c>
      <c r="C358" s="52" t="s">
        <v>60</v>
      </c>
      <c r="D358" s="41">
        <f t="shared" si="177"/>
        <v>7</v>
      </c>
      <c r="E358" s="170"/>
      <c r="F358" s="41"/>
      <c r="G358" s="52" t="s">
        <v>187</v>
      </c>
      <c r="H358" s="52" t="s">
        <v>448</v>
      </c>
      <c r="I358" s="52" t="s">
        <v>155</v>
      </c>
      <c r="J358" s="52" t="s">
        <v>449</v>
      </c>
      <c r="K358" s="53">
        <v>45700</v>
      </c>
      <c r="L358" s="108">
        <v>9000</v>
      </c>
      <c r="M358" s="101"/>
      <c r="N358" s="101"/>
      <c r="O358" s="101">
        <f>+L358-N358</f>
        <v>9000</v>
      </c>
      <c r="P358" s="54">
        <f>+L358-M358</f>
        <v>9000</v>
      </c>
      <c r="Q358" s="101" t="s">
        <v>429</v>
      </c>
      <c r="R358" s="101"/>
      <c r="S358" s="101"/>
      <c r="T358" s="102">
        <f t="shared" si="178"/>
        <v>1.3636363636363635</v>
      </c>
      <c r="U358" s="102">
        <v>6</v>
      </c>
      <c r="V358" s="99">
        <v>1100</v>
      </c>
      <c r="W358" s="55">
        <f>+K358-(28)</f>
        <v>45672</v>
      </c>
      <c r="X358" s="55"/>
      <c r="Y358" s="56">
        <f t="shared" ca="1" si="175"/>
        <v>-168</v>
      </c>
      <c r="Z358" s="55">
        <f t="shared" si="171"/>
        <v>45688</v>
      </c>
      <c r="AA358" s="55"/>
      <c r="AB358" s="56">
        <f t="shared" ca="1" si="176"/>
        <v>-152</v>
      </c>
      <c r="AC358" s="55"/>
      <c r="AD358" s="57"/>
      <c r="AE358" s="58" t="str">
        <f t="shared" si="179"/>
        <v>-</v>
      </c>
      <c r="AF358" s="59"/>
      <c r="AG358" s="58" t="str">
        <f t="shared" si="180"/>
        <v/>
      </c>
      <c r="AH358" s="59"/>
      <c r="AI358" s="58" t="str">
        <f t="shared" si="181"/>
        <v/>
      </c>
      <c r="AJ358" s="59"/>
      <c r="AK358" s="58" t="str">
        <f t="shared" si="182"/>
        <v/>
      </c>
      <c r="AL358" s="59"/>
      <c r="AM358" s="58" t="str">
        <f t="shared" si="183"/>
        <v/>
      </c>
      <c r="AN358" s="59"/>
      <c r="AO358" s="58" t="str">
        <f t="shared" si="184"/>
        <v/>
      </c>
      <c r="AP358" s="59"/>
      <c r="AQ358" s="58" t="str">
        <f t="shared" si="185"/>
        <v/>
      </c>
      <c r="AR358" s="59"/>
      <c r="AS358" s="58" t="str">
        <f t="shared" si="186"/>
        <v/>
      </c>
      <c r="AT358" s="59"/>
      <c r="AU358" s="58" t="str">
        <f t="shared" si="187"/>
        <v/>
      </c>
      <c r="AV358" s="59"/>
      <c r="AW358" s="58" t="str">
        <f t="shared" si="188"/>
        <v/>
      </c>
      <c r="AX358" s="59"/>
      <c r="AY358" s="58" t="str">
        <f t="shared" si="189"/>
        <v/>
      </c>
      <c r="AZ358" s="59"/>
      <c r="BA358" s="58" t="str">
        <f t="shared" si="190"/>
        <v/>
      </c>
      <c r="BB358" s="59"/>
      <c r="BC358" s="58" t="str">
        <f t="shared" si="191"/>
        <v/>
      </c>
      <c r="BD358" s="59"/>
      <c r="BE358" s="58" t="str">
        <f t="shared" si="192"/>
        <v/>
      </c>
      <c r="BF358" s="59"/>
      <c r="BG358" s="58">
        <f t="shared" si="193"/>
        <v>9000</v>
      </c>
      <c r="BH358" s="59"/>
      <c r="BI358" s="58" t="str">
        <f t="shared" si="194"/>
        <v/>
      </c>
      <c r="BJ358" s="59"/>
      <c r="BK358" s="58" t="str">
        <f t="shared" si="195"/>
        <v/>
      </c>
      <c r="BL358" s="59"/>
      <c r="BM358" s="58" t="str">
        <f t="shared" si="196"/>
        <v/>
      </c>
      <c r="BN358" s="59"/>
      <c r="BO358" s="58" t="str">
        <f t="shared" si="197"/>
        <v/>
      </c>
      <c r="BP358" s="59"/>
      <c r="BQ358" s="58" t="str">
        <f t="shared" si="198"/>
        <v/>
      </c>
      <c r="BR358" s="59"/>
      <c r="BS358" s="58" t="str">
        <f t="shared" si="199"/>
        <v/>
      </c>
      <c r="BT358" s="59"/>
      <c r="BU358" s="58" t="str">
        <f t="shared" si="200"/>
        <v/>
      </c>
      <c r="BV358" s="59"/>
      <c r="BW358" s="58" t="str">
        <f t="shared" si="201"/>
        <v/>
      </c>
      <c r="BX358" s="59"/>
      <c r="BY358" s="58" t="str">
        <f t="shared" si="202"/>
        <v/>
      </c>
      <c r="BZ358" s="59"/>
    </row>
    <row r="359" spans="1:78" ht="14.5" hidden="1">
      <c r="A359" s="51" t="s">
        <v>446</v>
      </c>
      <c r="B359" s="52" t="s">
        <v>566</v>
      </c>
      <c r="C359" s="52" t="s">
        <v>60</v>
      </c>
      <c r="D359" s="41">
        <f t="shared" si="177"/>
        <v>7</v>
      </c>
      <c r="E359" s="170"/>
      <c r="F359" s="41"/>
      <c r="G359" s="52" t="s">
        <v>187</v>
      </c>
      <c r="H359" s="52" t="s">
        <v>448</v>
      </c>
      <c r="I359" s="52" t="s">
        <v>450</v>
      </c>
      <c r="J359" s="52" t="s">
        <v>449</v>
      </c>
      <c r="K359" s="53">
        <v>45700</v>
      </c>
      <c r="L359" s="108">
        <v>6000</v>
      </c>
      <c r="M359" s="101"/>
      <c r="N359" s="101"/>
      <c r="O359" s="101">
        <f>+L359-N359</f>
        <v>6000</v>
      </c>
      <c r="P359" s="54">
        <f>+L359-M359</f>
        <v>6000</v>
      </c>
      <c r="Q359" s="101" t="s">
        <v>429</v>
      </c>
      <c r="R359" s="101"/>
      <c r="S359" s="101"/>
      <c r="T359" s="102">
        <f t="shared" si="178"/>
        <v>0.90909090909090906</v>
      </c>
      <c r="U359" s="102">
        <v>6</v>
      </c>
      <c r="V359" s="99">
        <v>1100</v>
      </c>
      <c r="W359" s="55">
        <f>+K359-(28)</f>
        <v>45672</v>
      </c>
      <c r="X359" s="55"/>
      <c r="Y359" s="56">
        <f t="shared" ca="1" si="175"/>
        <v>-168</v>
      </c>
      <c r="Z359" s="55">
        <f t="shared" si="171"/>
        <v>45688</v>
      </c>
      <c r="AA359" s="55"/>
      <c r="AB359" s="56">
        <f t="shared" ca="1" si="176"/>
        <v>-152</v>
      </c>
      <c r="AC359" s="55"/>
      <c r="AD359" s="57"/>
      <c r="AE359" s="58" t="str">
        <f t="shared" si="179"/>
        <v>-</v>
      </c>
      <c r="AF359" s="59"/>
      <c r="AG359" s="58" t="str">
        <f t="shared" si="180"/>
        <v/>
      </c>
      <c r="AH359" s="59"/>
      <c r="AI359" s="58" t="str">
        <f t="shared" si="181"/>
        <v/>
      </c>
      <c r="AJ359" s="59"/>
      <c r="AK359" s="58" t="str">
        <f t="shared" si="182"/>
        <v/>
      </c>
      <c r="AL359" s="59"/>
      <c r="AM359" s="58" t="str">
        <f t="shared" si="183"/>
        <v/>
      </c>
      <c r="AN359" s="59"/>
      <c r="AO359" s="58" t="str">
        <f t="shared" si="184"/>
        <v/>
      </c>
      <c r="AP359" s="59"/>
      <c r="AQ359" s="58" t="str">
        <f t="shared" si="185"/>
        <v/>
      </c>
      <c r="AR359" s="59"/>
      <c r="AS359" s="58" t="str">
        <f t="shared" si="186"/>
        <v/>
      </c>
      <c r="AT359" s="59"/>
      <c r="AU359" s="58" t="str">
        <f t="shared" si="187"/>
        <v/>
      </c>
      <c r="AV359" s="59"/>
      <c r="AW359" s="58" t="str">
        <f t="shared" si="188"/>
        <v/>
      </c>
      <c r="AX359" s="59"/>
      <c r="AY359" s="58" t="str">
        <f t="shared" si="189"/>
        <v/>
      </c>
      <c r="AZ359" s="59"/>
      <c r="BA359" s="58" t="str">
        <f t="shared" si="190"/>
        <v/>
      </c>
      <c r="BB359" s="59"/>
      <c r="BC359" s="58" t="str">
        <f t="shared" si="191"/>
        <v/>
      </c>
      <c r="BD359" s="59"/>
      <c r="BE359" s="58" t="str">
        <f t="shared" si="192"/>
        <v/>
      </c>
      <c r="BF359" s="59"/>
      <c r="BG359" s="58">
        <f t="shared" si="193"/>
        <v>6000</v>
      </c>
      <c r="BH359" s="59"/>
      <c r="BI359" s="58" t="str">
        <f t="shared" si="194"/>
        <v/>
      </c>
      <c r="BJ359" s="59"/>
      <c r="BK359" s="58" t="str">
        <f t="shared" si="195"/>
        <v/>
      </c>
      <c r="BL359" s="59"/>
      <c r="BM359" s="58" t="str">
        <f t="shared" si="196"/>
        <v/>
      </c>
      <c r="BN359" s="59"/>
      <c r="BO359" s="58" t="str">
        <f t="shared" si="197"/>
        <v/>
      </c>
      <c r="BP359" s="59"/>
      <c r="BQ359" s="58" t="str">
        <f t="shared" si="198"/>
        <v/>
      </c>
      <c r="BR359" s="59"/>
      <c r="BS359" s="58" t="str">
        <f t="shared" si="199"/>
        <v/>
      </c>
      <c r="BT359" s="59"/>
      <c r="BU359" s="58" t="str">
        <f t="shared" si="200"/>
        <v/>
      </c>
      <c r="BV359" s="59"/>
      <c r="BW359" s="58" t="str">
        <f t="shared" si="201"/>
        <v/>
      </c>
      <c r="BX359" s="59"/>
      <c r="BY359" s="58" t="str">
        <f t="shared" si="202"/>
        <v/>
      </c>
      <c r="BZ359" s="59"/>
    </row>
    <row r="360" spans="1:78" ht="14.5" hidden="1">
      <c r="A360" s="51" t="s">
        <v>58</v>
      </c>
      <c r="B360" s="52">
        <v>384</v>
      </c>
      <c r="C360" s="52" t="s">
        <v>188</v>
      </c>
      <c r="D360" s="41">
        <f t="shared" si="177"/>
        <v>7</v>
      </c>
      <c r="E360" s="170"/>
      <c r="F360" s="41"/>
      <c r="G360" s="52" t="s">
        <v>158</v>
      </c>
      <c r="H360" s="52" t="s">
        <v>242</v>
      </c>
      <c r="I360" s="52" t="s">
        <v>156</v>
      </c>
      <c r="J360" s="52" t="s">
        <v>432</v>
      </c>
      <c r="K360" s="53">
        <v>45702</v>
      </c>
      <c r="L360" s="108">
        <v>1336</v>
      </c>
      <c r="M360" s="101"/>
      <c r="N360" s="101"/>
      <c r="O360" s="107">
        <f t="shared" ref="O360:O423" si="203">+L360-N360</f>
        <v>1336</v>
      </c>
      <c r="P360" s="54">
        <f t="shared" ref="P360:P423" si="204">+L360-M360</f>
        <v>1336</v>
      </c>
      <c r="Q360" s="101" t="s">
        <v>439</v>
      </c>
      <c r="R360" s="101"/>
      <c r="S360" s="101"/>
      <c r="T360" s="102">
        <f t="shared" si="178"/>
        <v>1.8555555555555556</v>
      </c>
      <c r="U360" s="102">
        <v>6</v>
      </c>
      <c r="V360" s="99">
        <v>120</v>
      </c>
      <c r="W360" s="55">
        <f t="shared" ref="W360:W387" si="205">+K360-(20)</f>
        <v>45682</v>
      </c>
      <c r="X360" s="55"/>
      <c r="Y360" s="56">
        <f t="shared" ca="1" si="175"/>
        <v>-158</v>
      </c>
      <c r="Z360" s="55">
        <f t="shared" si="171"/>
        <v>45698</v>
      </c>
      <c r="AA360" s="55"/>
      <c r="AB360" s="56">
        <f t="shared" ca="1" si="176"/>
        <v>-142</v>
      </c>
      <c r="AC360" s="55"/>
      <c r="AD360" s="57"/>
      <c r="AE360" s="58" t="str">
        <f t="shared" si="179"/>
        <v>-</v>
      </c>
      <c r="AF360" s="59"/>
      <c r="AG360" s="58" t="str">
        <f t="shared" si="180"/>
        <v/>
      </c>
      <c r="AH360" s="59"/>
      <c r="AI360" s="58" t="str">
        <f t="shared" si="181"/>
        <v/>
      </c>
      <c r="AJ360" s="59"/>
      <c r="AK360" s="58" t="str">
        <f t="shared" si="182"/>
        <v/>
      </c>
      <c r="AL360" s="59"/>
      <c r="AM360" s="58" t="str">
        <f t="shared" si="183"/>
        <v/>
      </c>
      <c r="AN360" s="59"/>
      <c r="AO360" s="58" t="str">
        <f t="shared" si="184"/>
        <v/>
      </c>
      <c r="AP360" s="59"/>
      <c r="AQ360" s="58" t="str">
        <f t="shared" si="185"/>
        <v/>
      </c>
      <c r="AR360" s="59"/>
      <c r="AS360" s="58" t="str">
        <f t="shared" si="186"/>
        <v/>
      </c>
      <c r="AT360" s="59"/>
      <c r="AU360" s="58" t="str">
        <f t="shared" si="187"/>
        <v/>
      </c>
      <c r="AV360" s="59"/>
      <c r="AW360" s="58" t="str">
        <f t="shared" si="188"/>
        <v/>
      </c>
      <c r="AX360" s="59"/>
      <c r="AY360" s="58" t="str">
        <f t="shared" si="189"/>
        <v/>
      </c>
      <c r="AZ360" s="59"/>
      <c r="BA360" s="58" t="str">
        <f t="shared" si="190"/>
        <v/>
      </c>
      <c r="BB360" s="59"/>
      <c r="BC360" s="58" t="str">
        <f t="shared" si="191"/>
        <v/>
      </c>
      <c r="BD360" s="59"/>
      <c r="BE360" s="58" t="str">
        <f t="shared" si="192"/>
        <v/>
      </c>
      <c r="BF360" s="59"/>
      <c r="BG360" s="58" t="str">
        <f t="shared" si="193"/>
        <v/>
      </c>
      <c r="BH360" s="59"/>
      <c r="BI360" s="58">
        <f t="shared" si="194"/>
        <v>1336</v>
      </c>
      <c r="BJ360" s="59"/>
      <c r="BK360" s="58" t="str">
        <f t="shared" si="195"/>
        <v/>
      </c>
      <c r="BL360" s="59"/>
      <c r="BM360" s="58" t="str">
        <f t="shared" si="196"/>
        <v/>
      </c>
      <c r="BN360" s="59"/>
      <c r="BO360" s="58" t="str">
        <f t="shared" si="197"/>
        <v/>
      </c>
      <c r="BP360" s="59"/>
      <c r="BQ360" s="58" t="str">
        <f t="shared" si="198"/>
        <v/>
      </c>
      <c r="BR360" s="59"/>
      <c r="BS360" s="58" t="str">
        <f t="shared" si="199"/>
        <v/>
      </c>
      <c r="BT360" s="59"/>
      <c r="BU360" s="58" t="str">
        <f t="shared" si="200"/>
        <v/>
      </c>
      <c r="BV360" s="59"/>
      <c r="BW360" s="58" t="str">
        <f t="shared" si="201"/>
        <v/>
      </c>
      <c r="BX360" s="59"/>
      <c r="BY360" s="58" t="str">
        <f t="shared" si="202"/>
        <v/>
      </c>
      <c r="BZ360" s="59"/>
    </row>
    <row r="361" spans="1:78" ht="14.5" hidden="1">
      <c r="A361" s="51" t="s">
        <v>58</v>
      </c>
      <c r="B361" s="52">
        <v>384</v>
      </c>
      <c r="C361" s="52" t="s">
        <v>188</v>
      </c>
      <c r="D361" s="41">
        <f t="shared" si="177"/>
        <v>7</v>
      </c>
      <c r="E361" s="170"/>
      <c r="F361" s="41"/>
      <c r="G361" s="52" t="s">
        <v>190</v>
      </c>
      <c r="H361" s="52" t="s">
        <v>242</v>
      </c>
      <c r="I361" s="52" t="s">
        <v>244</v>
      </c>
      <c r="J361" s="52" t="s">
        <v>438</v>
      </c>
      <c r="K361" s="53">
        <v>45702</v>
      </c>
      <c r="L361" s="108">
        <v>1336</v>
      </c>
      <c r="M361" s="101"/>
      <c r="N361" s="101"/>
      <c r="O361" s="107">
        <f t="shared" si="203"/>
        <v>1336</v>
      </c>
      <c r="P361" s="54">
        <f t="shared" si="204"/>
        <v>1336</v>
      </c>
      <c r="Q361" s="101" t="s">
        <v>439</v>
      </c>
      <c r="R361" s="101"/>
      <c r="S361" s="101"/>
      <c r="T361" s="102">
        <f t="shared" si="178"/>
        <v>1.8555555555555556</v>
      </c>
      <c r="U361" s="102">
        <v>6</v>
      </c>
      <c r="V361" s="99">
        <v>120</v>
      </c>
      <c r="W361" s="55">
        <f t="shared" si="205"/>
        <v>45682</v>
      </c>
      <c r="X361" s="55"/>
      <c r="Y361" s="56">
        <f t="shared" ca="1" si="175"/>
        <v>-158</v>
      </c>
      <c r="Z361" s="55">
        <f t="shared" si="171"/>
        <v>45698</v>
      </c>
      <c r="AA361" s="55"/>
      <c r="AB361" s="56">
        <f t="shared" ca="1" si="176"/>
        <v>-142</v>
      </c>
      <c r="AC361" s="55"/>
      <c r="AD361" s="57"/>
      <c r="AE361" s="58" t="str">
        <f t="shared" si="179"/>
        <v>-</v>
      </c>
      <c r="AF361" s="59"/>
      <c r="AG361" s="58" t="str">
        <f t="shared" si="180"/>
        <v/>
      </c>
      <c r="AH361" s="59"/>
      <c r="AI361" s="58" t="str">
        <f t="shared" si="181"/>
        <v/>
      </c>
      <c r="AJ361" s="59"/>
      <c r="AK361" s="58" t="str">
        <f t="shared" si="182"/>
        <v/>
      </c>
      <c r="AL361" s="59"/>
      <c r="AM361" s="58" t="str">
        <f t="shared" si="183"/>
        <v/>
      </c>
      <c r="AN361" s="59"/>
      <c r="AO361" s="58" t="str">
        <f t="shared" si="184"/>
        <v/>
      </c>
      <c r="AP361" s="59"/>
      <c r="AQ361" s="58" t="str">
        <f t="shared" si="185"/>
        <v/>
      </c>
      <c r="AR361" s="59"/>
      <c r="AS361" s="58" t="str">
        <f t="shared" si="186"/>
        <v/>
      </c>
      <c r="AT361" s="59"/>
      <c r="AU361" s="58" t="str">
        <f t="shared" si="187"/>
        <v/>
      </c>
      <c r="AV361" s="59"/>
      <c r="AW361" s="58" t="str">
        <f t="shared" si="188"/>
        <v/>
      </c>
      <c r="AX361" s="59"/>
      <c r="AY361" s="58" t="str">
        <f t="shared" si="189"/>
        <v/>
      </c>
      <c r="AZ361" s="59"/>
      <c r="BA361" s="58" t="str">
        <f t="shared" si="190"/>
        <v/>
      </c>
      <c r="BB361" s="59"/>
      <c r="BC361" s="58" t="str">
        <f t="shared" si="191"/>
        <v/>
      </c>
      <c r="BD361" s="59"/>
      <c r="BE361" s="58" t="str">
        <f t="shared" si="192"/>
        <v/>
      </c>
      <c r="BF361" s="59"/>
      <c r="BG361" s="58" t="str">
        <f t="shared" si="193"/>
        <v/>
      </c>
      <c r="BH361" s="59"/>
      <c r="BI361" s="58">
        <f t="shared" si="194"/>
        <v>1336</v>
      </c>
      <c r="BJ361" s="59"/>
      <c r="BK361" s="58" t="str">
        <f t="shared" si="195"/>
        <v/>
      </c>
      <c r="BL361" s="59"/>
      <c r="BM361" s="58" t="str">
        <f t="shared" si="196"/>
        <v/>
      </c>
      <c r="BN361" s="59"/>
      <c r="BO361" s="58" t="str">
        <f t="shared" si="197"/>
        <v/>
      </c>
      <c r="BP361" s="59"/>
      <c r="BQ361" s="58" t="str">
        <f t="shared" si="198"/>
        <v/>
      </c>
      <c r="BR361" s="59"/>
      <c r="BS361" s="58" t="str">
        <f t="shared" si="199"/>
        <v/>
      </c>
      <c r="BT361" s="59"/>
      <c r="BU361" s="58" t="str">
        <f t="shared" si="200"/>
        <v/>
      </c>
      <c r="BV361" s="59"/>
      <c r="BW361" s="58" t="str">
        <f t="shared" si="201"/>
        <v/>
      </c>
      <c r="BX361" s="59"/>
      <c r="BY361" s="58" t="str">
        <f t="shared" si="202"/>
        <v/>
      </c>
      <c r="BZ361" s="59"/>
    </row>
    <row r="362" spans="1:78" ht="14.5" hidden="1">
      <c r="A362" s="51" t="s">
        <v>58</v>
      </c>
      <c r="B362" s="52">
        <v>384</v>
      </c>
      <c r="C362" s="52" t="s">
        <v>188</v>
      </c>
      <c r="D362" s="41">
        <f t="shared" si="177"/>
        <v>7</v>
      </c>
      <c r="E362" s="170"/>
      <c r="F362" s="41"/>
      <c r="G362" s="52" t="s">
        <v>135</v>
      </c>
      <c r="H362" s="52" t="s">
        <v>256</v>
      </c>
      <c r="I362" s="52" t="s">
        <v>451</v>
      </c>
      <c r="J362" s="52" t="s">
        <v>452</v>
      </c>
      <c r="K362" s="53">
        <v>45702</v>
      </c>
      <c r="L362" s="108">
        <v>6800</v>
      </c>
      <c r="M362" s="101"/>
      <c r="N362" s="101"/>
      <c r="O362" s="107">
        <f t="shared" si="203"/>
        <v>6800</v>
      </c>
      <c r="P362" s="54">
        <f t="shared" si="204"/>
        <v>6800</v>
      </c>
      <c r="Q362" s="101" t="s">
        <v>178</v>
      </c>
      <c r="R362" s="101"/>
      <c r="S362" s="101"/>
      <c r="T362" s="102">
        <f t="shared" si="178"/>
        <v>3.2380952380952381</v>
      </c>
      <c r="U362" s="102">
        <v>6</v>
      </c>
      <c r="V362" s="99">
        <v>350</v>
      </c>
      <c r="W362" s="55">
        <f t="shared" si="205"/>
        <v>45682</v>
      </c>
      <c r="X362" s="55"/>
      <c r="Y362" s="56">
        <f t="shared" ca="1" si="175"/>
        <v>-158</v>
      </c>
      <c r="Z362" s="55">
        <f t="shared" si="171"/>
        <v>45698</v>
      </c>
      <c r="AA362" s="55"/>
      <c r="AB362" s="56">
        <f t="shared" ca="1" si="176"/>
        <v>-142</v>
      </c>
      <c r="AC362" s="55"/>
      <c r="AD362" s="57"/>
      <c r="AE362" s="58" t="str">
        <f t="shared" si="179"/>
        <v>-</v>
      </c>
      <c r="AF362" s="59"/>
      <c r="AG362" s="58" t="str">
        <f t="shared" si="180"/>
        <v/>
      </c>
      <c r="AH362" s="59"/>
      <c r="AI362" s="58" t="str">
        <f t="shared" si="181"/>
        <v/>
      </c>
      <c r="AJ362" s="59"/>
      <c r="AK362" s="58" t="str">
        <f t="shared" si="182"/>
        <v/>
      </c>
      <c r="AL362" s="59"/>
      <c r="AM362" s="58" t="str">
        <f t="shared" si="183"/>
        <v/>
      </c>
      <c r="AN362" s="59"/>
      <c r="AO362" s="58" t="str">
        <f t="shared" si="184"/>
        <v/>
      </c>
      <c r="AP362" s="59"/>
      <c r="AQ362" s="58" t="str">
        <f t="shared" si="185"/>
        <v/>
      </c>
      <c r="AR362" s="59"/>
      <c r="AS362" s="58" t="str">
        <f t="shared" si="186"/>
        <v/>
      </c>
      <c r="AT362" s="59"/>
      <c r="AU362" s="58" t="str">
        <f t="shared" si="187"/>
        <v/>
      </c>
      <c r="AV362" s="59"/>
      <c r="AW362" s="58" t="str">
        <f t="shared" si="188"/>
        <v/>
      </c>
      <c r="AX362" s="59"/>
      <c r="AY362" s="58" t="str">
        <f t="shared" si="189"/>
        <v/>
      </c>
      <c r="AZ362" s="59"/>
      <c r="BA362" s="58" t="str">
        <f t="shared" si="190"/>
        <v/>
      </c>
      <c r="BB362" s="59"/>
      <c r="BC362" s="58" t="str">
        <f t="shared" si="191"/>
        <v/>
      </c>
      <c r="BD362" s="59"/>
      <c r="BE362" s="58" t="str">
        <f t="shared" si="192"/>
        <v/>
      </c>
      <c r="BF362" s="59"/>
      <c r="BG362" s="58" t="str">
        <f t="shared" si="193"/>
        <v/>
      </c>
      <c r="BH362" s="59"/>
      <c r="BI362" s="58">
        <f t="shared" si="194"/>
        <v>6800</v>
      </c>
      <c r="BJ362" s="59"/>
      <c r="BK362" s="58" t="str">
        <f t="shared" si="195"/>
        <v/>
      </c>
      <c r="BL362" s="59"/>
      <c r="BM362" s="58" t="str">
        <f t="shared" si="196"/>
        <v/>
      </c>
      <c r="BN362" s="59"/>
      <c r="BO362" s="58" t="str">
        <f t="shared" si="197"/>
        <v/>
      </c>
      <c r="BP362" s="59"/>
      <c r="BQ362" s="58" t="str">
        <f t="shared" si="198"/>
        <v/>
      </c>
      <c r="BR362" s="59"/>
      <c r="BS362" s="58" t="str">
        <f t="shared" si="199"/>
        <v/>
      </c>
      <c r="BT362" s="59"/>
      <c r="BU362" s="58" t="str">
        <f t="shared" si="200"/>
        <v/>
      </c>
      <c r="BV362" s="59"/>
      <c r="BW362" s="58" t="str">
        <f t="shared" si="201"/>
        <v/>
      </c>
      <c r="BX362" s="59"/>
      <c r="BY362" s="58" t="str">
        <f t="shared" si="202"/>
        <v/>
      </c>
      <c r="BZ362" s="59"/>
    </row>
    <row r="363" spans="1:78" ht="14.5" hidden="1">
      <c r="A363" s="51" t="s">
        <v>58</v>
      </c>
      <c r="B363" s="52">
        <v>385</v>
      </c>
      <c r="C363" s="52" t="s">
        <v>188</v>
      </c>
      <c r="D363" s="41">
        <f t="shared" si="177"/>
        <v>7</v>
      </c>
      <c r="E363" s="170"/>
      <c r="F363" s="41"/>
      <c r="G363" s="52" t="s">
        <v>193</v>
      </c>
      <c r="H363" s="52" t="s">
        <v>300</v>
      </c>
      <c r="I363" s="52" t="s">
        <v>162</v>
      </c>
      <c r="J363" s="52" t="s">
        <v>440</v>
      </c>
      <c r="K363" s="53">
        <v>45702</v>
      </c>
      <c r="L363" s="108">
        <v>1040</v>
      </c>
      <c r="M363" s="101"/>
      <c r="N363" s="101"/>
      <c r="O363" s="107">
        <f t="shared" si="203"/>
        <v>1040</v>
      </c>
      <c r="P363" s="54">
        <f t="shared" si="204"/>
        <v>1040</v>
      </c>
      <c r="Q363" s="101" t="s">
        <v>178</v>
      </c>
      <c r="R363" s="101"/>
      <c r="S363" s="101"/>
      <c r="T363" s="102">
        <f t="shared" si="178"/>
        <v>1.4444444444444444</v>
      </c>
      <c r="U363" s="102">
        <v>6</v>
      </c>
      <c r="V363" s="99">
        <v>120</v>
      </c>
      <c r="W363" s="55">
        <f t="shared" si="205"/>
        <v>45682</v>
      </c>
      <c r="X363" s="55"/>
      <c r="Y363" s="56">
        <f t="shared" ca="1" si="175"/>
        <v>-158</v>
      </c>
      <c r="Z363" s="55">
        <f t="shared" si="171"/>
        <v>45698</v>
      </c>
      <c r="AA363" s="55"/>
      <c r="AB363" s="56">
        <f t="shared" ca="1" si="176"/>
        <v>-142</v>
      </c>
      <c r="AC363" s="55"/>
      <c r="AD363" s="57"/>
      <c r="AE363" s="58" t="str">
        <f t="shared" si="179"/>
        <v>-</v>
      </c>
      <c r="AF363" s="59"/>
      <c r="AG363" s="58" t="str">
        <f t="shared" si="180"/>
        <v/>
      </c>
      <c r="AH363" s="59"/>
      <c r="AI363" s="58" t="str">
        <f t="shared" si="181"/>
        <v/>
      </c>
      <c r="AJ363" s="59"/>
      <c r="AK363" s="58" t="str">
        <f t="shared" si="182"/>
        <v/>
      </c>
      <c r="AL363" s="59"/>
      <c r="AM363" s="58" t="str">
        <f t="shared" si="183"/>
        <v/>
      </c>
      <c r="AN363" s="59"/>
      <c r="AO363" s="58" t="str">
        <f t="shared" si="184"/>
        <v/>
      </c>
      <c r="AP363" s="59"/>
      <c r="AQ363" s="58" t="str">
        <f t="shared" si="185"/>
        <v/>
      </c>
      <c r="AR363" s="59"/>
      <c r="AS363" s="58" t="str">
        <f t="shared" si="186"/>
        <v/>
      </c>
      <c r="AT363" s="59"/>
      <c r="AU363" s="58" t="str">
        <f t="shared" si="187"/>
        <v/>
      </c>
      <c r="AV363" s="59"/>
      <c r="AW363" s="58" t="str">
        <f t="shared" si="188"/>
        <v/>
      </c>
      <c r="AX363" s="59"/>
      <c r="AY363" s="58" t="str">
        <f t="shared" si="189"/>
        <v/>
      </c>
      <c r="AZ363" s="59"/>
      <c r="BA363" s="58" t="str">
        <f t="shared" si="190"/>
        <v/>
      </c>
      <c r="BB363" s="59"/>
      <c r="BC363" s="58" t="str">
        <f t="shared" si="191"/>
        <v/>
      </c>
      <c r="BD363" s="59"/>
      <c r="BE363" s="58" t="str">
        <f t="shared" si="192"/>
        <v/>
      </c>
      <c r="BF363" s="59"/>
      <c r="BG363" s="58" t="str">
        <f t="shared" si="193"/>
        <v/>
      </c>
      <c r="BH363" s="59"/>
      <c r="BI363" s="58">
        <f t="shared" si="194"/>
        <v>1040</v>
      </c>
      <c r="BJ363" s="59"/>
      <c r="BK363" s="58" t="str">
        <f t="shared" si="195"/>
        <v/>
      </c>
      <c r="BL363" s="59"/>
      <c r="BM363" s="58" t="str">
        <f t="shared" si="196"/>
        <v/>
      </c>
      <c r="BN363" s="59"/>
      <c r="BO363" s="58" t="str">
        <f t="shared" si="197"/>
        <v/>
      </c>
      <c r="BP363" s="59"/>
      <c r="BQ363" s="58" t="str">
        <f t="shared" si="198"/>
        <v/>
      </c>
      <c r="BR363" s="59"/>
      <c r="BS363" s="58" t="str">
        <f t="shared" si="199"/>
        <v/>
      </c>
      <c r="BT363" s="59"/>
      <c r="BU363" s="58" t="str">
        <f t="shared" si="200"/>
        <v/>
      </c>
      <c r="BV363" s="59"/>
      <c r="BW363" s="58" t="str">
        <f t="shared" si="201"/>
        <v/>
      </c>
      <c r="BX363" s="59"/>
      <c r="BY363" s="58" t="str">
        <f t="shared" si="202"/>
        <v/>
      </c>
      <c r="BZ363" s="59"/>
    </row>
    <row r="364" spans="1:78" ht="14.5">
      <c r="A364" s="51" t="s">
        <v>58</v>
      </c>
      <c r="B364" s="52">
        <v>385</v>
      </c>
      <c r="C364" s="52" t="s">
        <v>188</v>
      </c>
      <c r="D364" s="41">
        <f t="shared" si="177"/>
        <v>7</v>
      </c>
      <c r="E364" s="170">
        <v>45668</v>
      </c>
      <c r="F364" s="41"/>
      <c r="G364" s="52" t="s">
        <v>201</v>
      </c>
      <c r="H364" s="52" t="s">
        <v>247</v>
      </c>
      <c r="I364" s="52" t="s">
        <v>155</v>
      </c>
      <c r="J364" s="52" t="s">
        <v>442</v>
      </c>
      <c r="K364" s="53">
        <v>45702</v>
      </c>
      <c r="L364" s="108">
        <v>14256</v>
      </c>
      <c r="M364" s="101"/>
      <c r="N364" s="101"/>
      <c r="O364" s="107">
        <f t="shared" si="203"/>
        <v>14256</v>
      </c>
      <c r="P364" s="54">
        <f t="shared" si="204"/>
        <v>14256</v>
      </c>
      <c r="Q364" s="101" t="s">
        <v>567</v>
      </c>
      <c r="R364" s="101"/>
      <c r="S364" s="101"/>
      <c r="T364" s="102">
        <f t="shared" si="178"/>
        <v>8.1462857142857139</v>
      </c>
      <c r="U364" s="102">
        <v>5</v>
      </c>
      <c r="V364" s="99">
        <v>350</v>
      </c>
      <c r="W364" s="55">
        <f t="shared" si="205"/>
        <v>45682</v>
      </c>
      <c r="X364" s="55"/>
      <c r="Y364" s="56">
        <f t="shared" ca="1" si="175"/>
        <v>-158</v>
      </c>
      <c r="Z364" s="55">
        <f t="shared" si="171"/>
        <v>45698</v>
      </c>
      <c r="AA364" s="55"/>
      <c r="AB364" s="56">
        <f t="shared" ca="1" si="176"/>
        <v>-142</v>
      </c>
      <c r="AC364" s="55"/>
      <c r="AD364" s="57"/>
      <c r="AE364" s="58" t="str">
        <f t="shared" si="179"/>
        <v>-</v>
      </c>
      <c r="AF364" s="59"/>
      <c r="AG364" s="58" t="str">
        <f t="shared" si="180"/>
        <v/>
      </c>
      <c r="AH364" s="59"/>
      <c r="AI364" s="58" t="str">
        <f t="shared" si="181"/>
        <v/>
      </c>
      <c r="AJ364" s="59"/>
      <c r="AK364" s="58" t="str">
        <f t="shared" si="182"/>
        <v/>
      </c>
      <c r="AL364" s="59"/>
      <c r="AM364" s="58" t="str">
        <f t="shared" si="183"/>
        <v/>
      </c>
      <c r="AN364" s="59"/>
      <c r="AO364" s="58" t="str">
        <f t="shared" si="184"/>
        <v/>
      </c>
      <c r="AP364" s="59"/>
      <c r="AQ364" s="58" t="str">
        <f t="shared" si="185"/>
        <v/>
      </c>
      <c r="AR364" s="59"/>
      <c r="AS364" s="58" t="str">
        <f t="shared" si="186"/>
        <v/>
      </c>
      <c r="AT364" s="59"/>
      <c r="AU364" s="58" t="str">
        <f t="shared" si="187"/>
        <v/>
      </c>
      <c r="AV364" s="59"/>
      <c r="AW364" s="58" t="str">
        <f t="shared" si="188"/>
        <v/>
      </c>
      <c r="AX364" s="59"/>
      <c r="AY364" s="58" t="str">
        <f t="shared" si="189"/>
        <v/>
      </c>
      <c r="AZ364" s="59"/>
      <c r="BA364" s="58" t="str">
        <f t="shared" si="190"/>
        <v/>
      </c>
      <c r="BB364" s="59"/>
      <c r="BC364" s="58" t="str">
        <f t="shared" si="191"/>
        <v/>
      </c>
      <c r="BD364" s="59"/>
      <c r="BE364" s="58" t="str">
        <f t="shared" si="192"/>
        <v/>
      </c>
      <c r="BF364" s="59"/>
      <c r="BG364" s="58" t="str">
        <f t="shared" si="193"/>
        <v/>
      </c>
      <c r="BH364" s="59"/>
      <c r="BI364" s="58">
        <f t="shared" si="194"/>
        <v>14256</v>
      </c>
      <c r="BJ364" s="59"/>
      <c r="BK364" s="58" t="str">
        <f t="shared" si="195"/>
        <v/>
      </c>
      <c r="BL364" s="59"/>
      <c r="BM364" s="58" t="str">
        <f t="shared" si="196"/>
        <v/>
      </c>
      <c r="BN364" s="59"/>
      <c r="BO364" s="58" t="str">
        <f t="shared" si="197"/>
        <v/>
      </c>
      <c r="BP364" s="59"/>
      <c r="BQ364" s="58" t="str">
        <f t="shared" si="198"/>
        <v/>
      </c>
      <c r="BR364" s="59"/>
      <c r="BS364" s="58" t="str">
        <f t="shared" si="199"/>
        <v/>
      </c>
      <c r="BT364" s="59"/>
      <c r="BU364" s="58" t="str">
        <f t="shared" si="200"/>
        <v/>
      </c>
      <c r="BV364" s="59"/>
      <c r="BW364" s="58" t="str">
        <f t="shared" si="201"/>
        <v/>
      </c>
      <c r="BX364" s="59"/>
      <c r="BY364" s="58" t="str">
        <f t="shared" si="202"/>
        <v/>
      </c>
      <c r="BZ364" s="59"/>
    </row>
    <row r="365" spans="1:78" ht="14.5" hidden="1">
      <c r="A365" s="51" t="s">
        <v>58</v>
      </c>
      <c r="B365" s="52">
        <v>385</v>
      </c>
      <c r="C365" s="52" t="s">
        <v>188</v>
      </c>
      <c r="D365" s="41">
        <f t="shared" si="177"/>
        <v>7</v>
      </c>
      <c r="E365" s="170" t="s">
        <v>631</v>
      </c>
      <c r="F365" s="41"/>
      <c r="G365" s="52" t="s">
        <v>390</v>
      </c>
      <c r="H365" s="52" t="s">
        <v>242</v>
      </c>
      <c r="I365" s="52" t="s">
        <v>162</v>
      </c>
      <c r="J365" s="52" t="s">
        <v>497</v>
      </c>
      <c r="K365" s="53">
        <v>45702</v>
      </c>
      <c r="L365" s="108">
        <v>1932</v>
      </c>
      <c r="M365" s="101"/>
      <c r="N365" s="101"/>
      <c r="O365" s="107">
        <f t="shared" si="203"/>
        <v>1932</v>
      </c>
      <c r="P365" s="54">
        <f t="shared" si="204"/>
        <v>1932</v>
      </c>
      <c r="Q365" s="101" t="s">
        <v>431</v>
      </c>
      <c r="R365" s="101"/>
      <c r="S365" s="101"/>
      <c r="T365" s="102">
        <f t="shared" si="178"/>
        <v>2.6833333333333331</v>
      </c>
      <c r="U365" s="102">
        <v>6</v>
      </c>
      <c r="V365" s="99">
        <v>120</v>
      </c>
      <c r="W365" s="55">
        <f t="shared" si="205"/>
        <v>45682</v>
      </c>
      <c r="X365" s="55"/>
      <c r="Y365" s="56">
        <f t="shared" ca="1" si="175"/>
        <v>-158</v>
      </c>
      <c r="Z365" s="55">
        <f t="shared" si="171"/>
        <v>45698</v>
      </c>
      <c r="AA365" s="55"/>
      <c r="AB365" s="56">
        <f t="shared" ca="1" si="176"/>
        <v>-142</v>
      </c>
      <c r="AC365" s="55"/>
      <c r="AD365" s="57"/>
      <c r="AE365" s="58" t="str">
        <f t="shared" si="179"/>
        <v>-</v>
      </c>
      <c r="AF365" s="59"/>
      <c r="AG365" s="58" t="str">
        <f t="shared" si="180"/>
        <v/>
      </c>
      <c r="AH365" s="59"/>
      <c r="AI365" s="58" t="str">
        <f t="shared" si="181"/>
        <v/>
      </c>
      <c r="AJ365" s="59"/>
      <c r="AK365" s="58" t="str">
        <f t="shared" si="182"/>
        <v/>
      </c>
      <c r="AL365" s="59"/>
      <c r="AM365" s="58" t="str">
        <f t="shared" si="183"/>
        <v/>
      </c>
      <c r="AN365" s="59"/>
      <c r="AO365" s="58" t="str">
        <f t="shared" si="184"/>
        <v/>
      </c>
      <c r="AP365" s="59"/>
      <c r="AQ365" s="58" t="str">
        <f t="shared" si="185"/>
        <v/>
      </c>
      <c r="AR365" s="59"/>
      <c r="AS365" s="58" t="str">
        <f t="shared" si="186"/>
        <v/>
      </c>
      <c r="AT365" s="59"/>
      <c r="AU365" s="58" t="str">
        <f t="shared" si="187"/>
        <v/>
      </c>
      <c r="AV365" s="59"/>
      <c r="AW365" s="58" t="str">
        <f t="shared" si="188"/>
        <v/>
      </c>
      <c r="AX365" s="59"/>
      <c r="AY365" s="58" t="str">
        <f t="shared" si="189"/>
        <v/>
      </c>
      <c r="AZ365" s="59"/>
      <c r="BA365" s="58" t="str">
        <f t="shared" si="190"/>
        <v/>
      </c>
      <c r="BB365" s="59"/>
      <c r="BC365" s="58" t="str">
        <f t="shared" si="191"/>
        <v/>
      </c>
      <c r="BD365" s="59"/>
      <c r="BE365" s="58" t="str">
        <f t="shared" si="192"/>
        <v/>
      </c>
      <c r="BF365" s="59"/>
      <c r="BG365" s="58" t="str">
        <f t="shared" si="193"/>
        <v/>
      </c>
      <c r="BH365" s="59"/>
      <c r="BI365" s="58">
        <f t="shared" si="194"/>
        <v>1932</v>
      </c>
      <c r="BJ365" s="59"/>
      <c r="BK365" s="58" t="str">
        <f t="shared" si="195"/>
        <v/>
      </c>
      <c r="BL365" s="59"/>
      <c r="BM365" s="58" t="str">
        <f t="shared" si="196"/>
        <v/>
      </c>
      <c r="BN365" s="59"/>
      <c r="BO365" s="58" t="str">
        <f t="shared" si="197"/>
        <v/>
      </c>
      <c r="BP365" s="59"/>
      <c r="BQ365" s="58" t="str">
        <f t="shared" si="198"/>
        <v/>
      </c>
      <c r="BR365" s="59"/>
      <c r="BS365" s="58" t="str">
        <f t="shared" si="199"/>
        <v/>
      </c>
      <c r="BT365" s="59"/>
      <c r="BU365" s="58" t="str">
        <f t="shared" si="200"/>
        <v/>
      </c>
      <c r="BV365" s="59"/>
      <c r="BW365" s="58" t="str">
        <f t="shared" si="201"/>
        <v/>
      </c>
      <c r="BX365" s="59"/>
      <c r="BY365" s="58" t="str">
        <f t="shared" si="202"/>
        <v/>
      </c>
      <c r="BZ365" s="59"/>
    </row>
    <row r="366" spans="1:78" ht="14.5" hidden="1">
      <c r="A366" s="51" t="s">
        <v>58</v>
      </c>
      <c r="B366" s="52">
        <v>385</v>
      </c>
      <c r="C366" s="52" t="s">
        <v>188</v>
      </c>
      <c r="D366" s="41">
        <f t="shared" si="177"/>
        <v>7</v>
      </c>
      <c r="E366" s="170"/>
      <c r="F366" s="41"/>
      <c r="G366" s="52" t="s">
        <v>158</v>
      </c>
      <c r="H366" s="52" t="s">
        <v>242</v>
      </c>
      <c r="I366" s="52" t="s">
        <v>155</v>
      </c>
      <c r="J366" s="52" t="s">
        <v>432</v>
      </c>
      <c r="K366" s="53">
        <v>45702</v>
      </c>
      <c r="L366" s="108">
        <v>1336</v>
      </c>
      <c r="M366" s="101"/>
      <c r="N366" s="101"/>
      <c r="O366" s="107">
        <f t="shared" si="203"/>
        <v>1336</v>
      </c>
      <c r="P366" s="54">
        <f t="shared" si="204"/>
        <v>1336</v>
      </c>
      <c r="Q366" s="101" t="s">
        <v>439</v>
      </c>
      <c r="R366" s="101"/>
      <c r="S366" s="101"/>
      <c r="T366" s="102">
        <f t="shared" si="178"/>
        <v>1.8555555555555556</v>
      </c>
      <c r="U366" s="102">
        <v>6</v>
      </c>
      <c r="V366" s="99">
        <v>120</v>
      </c>
      <c r="W366" s="55">
        <f t="shared" si="205"/>
        <v>45682</v>
      </c>
      <c r="X366" s="55"/>
      <c r="Y366" s="56">
        <f t="shared" ca="1" si="175"/>
        <v>-158</v>
      </c>
      <c r="Z366" s="55">
        <f t="shared" si="171"/>
        <v>45698</v>
      </c>
      <c r="AA366" s="55"/>
      <c r="AB366" s="56">
        <f t="shared" ca="1" si="176"/>
        <v>-142</v>
      </c>
      <c r="AC366" s="55"/>
      <c r="AD366" s="57"/>
      <c r="AE366" s="58" t="str">
        <f t="shared" si="179"/>
        <v>-</v>
      </c>
      <c r="AF366" s="59"/>
      <c r="AG366" s="58" t="str">
        <f t="shared" si="180"/>
        <v/>
      </c>
      <c r="AH366" s="59"/>
      <c r="AI366" s="58" t="str">
        <f t="shared" si="181"/>
        <v/>
      </c>
      <c r="AJ366" s="59"/>
      <c r="AK366" s="58" t="str">
        <f t="shared" si="182"/>
        <v/>
      </c>
      <c r="AL366" s="59"/>
      <c r="AM366" s="58" t="str">
        <f t="shared" si="183"/>
        <v/>
      </c>
      <c r="AN366" s="59"/>
      <c r="AO366" s="58" t="str">
        <f t="shared" si="184"/>
        <v/>
      </c>
      <c r="AP366" s="59"/>
      <c r="AQ366" s="58" t="str">
        <f t="shared" si="185"/>
        <v/>
      </c>
      <c r="AR366" s="59"/>
      <c r="AS366" s="58" t="str">
        <f t="shared" si="186"/>
        <v/>
      </c>
      <c r="AT366" s="59"/>
      <c r="AU366" s="58" t="str">
        <f t="shared" si="187"/>
        <v/>
      </c>
      <c r="AV366" s="59"/>
      <c r="AW366" s="58" t="str">
        <f t="shared" si="188"/>
        <v/>
      </c>
      <c r="AX366" s="59"/>
      <c r="AY366" s="58" t="str">
        <f t="shared" si="189"/>
        <v/>
      </c>
      <c r="AZ366" s="59"/>
      <c r="BA366" s="58" t="str">
        <f t="shared" si="190"/>
        <v/>
      </c>
      <c r="BB366" s="59"/>
      <c r="BC366" s="58" t="str">
        <f t="shared" si="191"/>
        <v/>
      </c>
      <c r="BD366" s="59"/>
      <c r="BE366" s="58" t="str">
        <f t="shared" si="192"/>
        <v/>
      </c>
      <c r="BF366" s="59"/>
      <c r="BG366" s="58" t="str">
        <f t="shared" si="193"/>
        <v/>
      </c>
      <c r="BH366" s="59"/>
      <c r="BI366" s="58">
        <f t="shared" si="194"/>
        <v>1336</v>
      </c>
      <c r="BJ366" s="59"/>
      <c r="BK366" s="58" t="str">
        <f t="shared" si="195"/>
        <v/>
      </c>
      <c r="BL366" s="59"/>
      <c r="BM366" s="58" t="str">
        <f t="shared" si="196"/>
        <v/>
      </c>
      <c r="BN366" s="59"/>
      <c r="BO366" s="58" t="str">
        <f t="shared" si="197"/>
        <v/>
      </c>
      <c r="BP366" s="59"/>
      <c r="BQ366" s="58" t="str">
        <f t="shared" si="198"/>
        <v/>
      </c>
      <c r="BR366" s="59"/>
      <c r="BS366" s="58" t="str">
        <f t="shared" si="199"/>
        <v/>
      </c>
      <c r="BT366" s="59"/>
      <c r="BU366" s="58" t="str">
        <f t="shared" si="200"/>
        <v/>
      </c>
      <c r="BV366" s="59"/>
      <c r="BW366" s="58" t="str">
        <f t="shared" si="201"/>
        <v/>
      </c>
      <c r="BX366" s="59"/>
      <c r="BY366" s="58" t="str">
        <f t="shared" si="202"/>
        <v/>
      </c>
      <c r="BZ366" s="59"/>
    </row>
    <row r="367" spans="1:78" ht="14.5" hidden="1">
      <c r="A367" s="51" t="s">
        <v>58</v>
      </c>
      <c r="B367" s="52">
        <v>385</v>
      </c>
      <c r="C367" s="52" t="s">
        <v>188</v>
      </c>
      <c r="D367" s="41">
        <f t="shared" si="177"/>
        <v>7</v>
      </c>
      <c r="E367" s="170"/>
      <c r="F367" s="41"/>
      <c r="G367" s="52" t="s">
        <v>391</v>
      </c>
      <c r="H367" s="52" t="s">
        <v>392</v>
      </c>
      <c r="I367" s="52" t="s">
        <v>393</v>
      </c>
      <c r="J367" s="52" t="s">
        <v>433</v>
      </c>
      <c r="K367" s="53">
        <v>45702</v>
      </c>
      <c r="L367" s="108">
        <v>744</v>
      </c>
      <c r="M367" s="101"/>
      <c r="N367" s="101"/>
      <c r="O367" s="107">
        <f t="shared" si="203"/>
        <v>744</v>
      </c>
      <c r="P367" s="54">
        <f t="shared" si="204"/>
        <v>744</v>
      </c>
      <c r="Q367" s="101" t="s">
        <v>443</v>
      </c>
      <c r="R367" s="101"/>
      <c r="S367" s="101"/>
      <c r="T367" s="102">
        <f t="shared" si="178"/>
        <v>1.55</v>
      </c>
      <c r="U367" s="102">
        <v>6</v>
      </c>
      <c r="V367" s="99">
        <v>80</v>
      </c>
      <c r="W367" s="55">
        <f t="shared" si="205"/>
        <v>45682</v>
      </c>
      <c r="X367" s="55"/>
      <c r="Y367" s="56">
        <f t="shared" ca="1" si="175"/>
        <v>-158</v>
      </c>
      <c r="Z367" s="55">
        <f t="shared" si="171"/>
        <v>45698</v>
      </c>
      <c r="AA367" s="55"/>
      <c r="AB367" s="56">
        <f t="shared" ca="1" si="176"/>
        <v>-142</v>
      </c>
      <c r="AC367" s="55"/>
      <c r="AD367" s="57"/>
      <c r="AE367" s="58" t="str">
        <f t="shared" si="179"/>
        <v>-</v>
      </c>
      <c r="AF367" s="59"/>
      <c r="AG367" s="58" t="str">
        <f t="shared" si="180"/>
        <v/>
      </c>
      <c r="AH367" s="59"/>
      <c r="AI367" s="58" t="str">
        <f t="shared" si="181"/>
        <v/>
      </c>
      <c r="AJ367" s="59"/>
      <c r="AK367" s="58" t="str">
        <f t="shared" si="182"/>
        <v/>
      </c>
      <c r="AL367" s="59"/>
      <c r="AM367" s="58" t="str">
        <f t="shared" si="183"/>
        <v/>
      </c>
      <c r="AN367" s="59"/>
      <c r="AO367" s="58" t="str">
        <f t="shared" si="184"/>
        <v/>
      </c>
      <c r="AP367" s="59"/>
      <c r="AQ367" s="58" t="str">
        <f t="shared" si="185"/>
        <v/>
      </c>
      <c r="AR367" s="59"/>
      <c r="AS367" s="58" t="str">
        <f t="shared" si="186"/>
        <v/>
      </c>
      <c r="AT367" s="59"/>
      <c r="AU367" s="58" t="str">
        <f t="shared" si="187"/>
        <v/>
      </c>
      <c r="AV367" s="59"/>
      <c r="AW367" s="58" t="str">
        <f t="shared" si="188"/>
        <v/>
      </c>
      <c r="AX367" s="59"/>
      <c r="AY367" s="58" t="str">
        <f t="shared" si="189"/>
        <v/>
      </c>
      <c r="AZ367" s="59"/>
      <c r="BA367" s="58" t="str">
        <f t="shared" si="190"/>
        <v/>
      </c>
      <c r="BB367" s="59"/>
      <c r="BC367" s="58" t="str">
        <f t="shared" si="191"/>
        <v/>
      </c>
      <c r="BD367" s="59"/>
      <c r="BE367" s="58" t="str">
        <f t="shared" si="192"/>
        <v/>
      </c>
      <c r="BF367" s="59"/>
      <c r="BG367" s="58" t="str">
        <f t="shared" si="193"/>
        <v/>
      </c>
      <c r="BH367" s="59"/>
      <c r="BI367" s="58">
        <f t="shared" si="194"/>
        <v>744</v>
      </c>
      <c r="BJ367" s="59"/>
      <c r="BK367" s="58" t="str">
        <f t="shared" si="195"/>
        <v/>
      </c>
      <c r="BL367" s="59"/>
      <c r="BM367" s="58" t="str">
        <f t="shared" si="196"/>
        <v/>
      </c>
      <c r="BN367" s="59"/>
      <c r="BO367" s="58" t="str">
        <f t="shared" si="197"/>
        <v/>
      </c>
      <c r="BP367" s="59"/>
      <c r="BQ367" s="58" t="str">
        <f t="shared" si="198"/>
        <v/>
      </c>
      <c r="BR367" s="59"/>
      <c r="BS367" s="58" t="str">
        <f t="shared" si="199"/>
        <v/>
      </c>
      <c r="BT367" s="59"/>
      <c r="BU367" s="58" t="str">
        <f t="shared" si="200"/>
        <v/>
      </c>
      <c r="BV367" s="59"/>
      <c r="BW367" s="58" t="str">
        <f t="shared" si="201"/>
        <v/>
      </c>
      <c r="BX367" s="59"/>
      <c r="BY367" s="58" t="str">
        <f t="shared" si="202"/>
        <v/>
      </c>
      <c r="BZ367" s="59"/>
    </row>
    <row r="368" spans="1:78" ht="14.5" hidden="1">
      <c r="A368" s="51" t="s">
        <v>58</v>
      </c>
      <c r="B368" s="52">
        <v>385</v>
      </c>
      <c r="C368" s="52" t="s">
        <v>188</v>
      </c>
      <c r="D368" s="41">
        <f t="shared" si="177"/>
        <v>7</v>
      </c>
      <c r="E368" s="170"/>
      <c r="F368" s="41"/>
      <c r="G368" s="52" t="s">
        <v>158</v>
      </c>
      <c r="H368" s="52" t="s">
        <v>242</v>
      </c>
      <c r="I368" s="52" t="s">
        <v>156</v>
      </c>
      <c r="J368" s="52" t="s">
        <v>432</v>
      </c>
      <c r="K368" s="53">
        <v>45702</v>
      </c>
      <c r="L368" s="108">
        <v>192</v>
      </c>
      <c r="M368" s="101"/>
      <c r="N368" s="101"/>
      <c r="O368" s="107">
        <f t="shared" si="203"/>
        <v>192</v>
      </c>
      <c r="P368" s="54">
        <f t="shared" si="204"/>
        <v>192</v>
      </c>
      <c r="Q368" s="101" t="s">
        <v>439</v>
      </c>
      <c r="R368" s="101"/>
      <c r="S368" s="101"/>
      <c r="T368" s="102">
        <f t="shared" si="178"/>
        <v>0.26666666666666666</v>
      </c>
      <c r="U368" s="102">
        <v>6</v>
      </c>
      <c r="V368" s="99">
        <v>120</v>
      </c>
      <c r="W368" s="55">
        <f t="shared" si="205"/>
        <v>45682</v>
      </c>
      <c r="X368" s="55"/>
      <c r="Y368" s="56">
        <f t="shared" ca="1" si="175"/>
        <v>-158</v>
      </c>
      <c r="Z368" s="55">
        <f t="shared" si="171"/>
        <v>45698</v>
      </c>
      <c r="AA368" s="55"/>
      <c r="AB368" s="56">
        <f t="shared" ca="1" si="176"/>
        <v>-142</v>
      </c>
      <c r="AC368" s="55"/>
      <c r="AD368" s="57"/>
      <c r="AE368" s="58" t="str">
        <f t="shared" si="179"/>
        <v>-</v>
      </c>
      <c r="AF368" s="59"/>
      <c r="AG368" s="58" t="str">
        <f t="shared" si="180"/>
        <v/>
      </c>
      <c r="AH368" s="59"/>
      <c r="AI368" s="58" t="str">
        <f t="shared" si="181"/>
        <v/>
      </c>
      <c r="AJ368" s="59"/>
      <c r="AK368" s="58" t="str">
        <f t="shared" si="182"/>
        <v/>
      </c>
      <c r="AL368" s="59"/>
      <c r="AM368" s="58" t="str">
        <f t="shared" si="183"/>
        <v/>
      </c>
      <c r="AN368" s="59"/>
      <c r="AO368" s="58" t="str">
        <f t="shared" si="184"/>
        <v/>
      </c>
      <c r="AP368" s="59"/>
      <c r="AQ368" s="58" t="str">
        <f t="shared" si="185"/>
        <v/>
      </c>
      <c r="AR368" s="59"/>
      <c r="AS368" s="58" t="str">
        <f t="shared" si="186"/>
        <v/>
      </c>
      <c r="AT368" s="59"/>
      <c r="AU368" s="58" t="str">
        <f t="shared" si="187"/>
        <v/>
      </c>
      <c r="AV368" s="59"/>
      <c r="AW368" s="58" t="str">
        <f t="shared" si="188"/>
        <v/>
      </c>
      <c r="AX368" s="59"/>
      <c r="AY368" s="58" t="str">
        <f t="shared" si="189"/>
        <v/>
      </c>
      <c r="AZ368" s="59"/>
      <c r="BA368" s="58" t="str">
        <f t="shared" si="190"/>
        <v/>
      </c>
      <c r="BB368" s="59"/>
      <c r="BC368" s="58" t="str">
        <f t="shared" si="191"/>
        <v/>
      </c>
      <c r="BD368" s="59"/>
      <c r="BE368" s="58" t="str">
        <f t="shared" si="192"/>
        <v/>
      </c>
      <c r="BF368" s="59"/>
      <c r="BG368" s="58" t="str">
        <f t="shared" si="193"/>
        <v/>
      </c>
      <c r="BH368" s="59"/>
      <c r="BI368" s="58">
        <f t="shared" si="194"/>
        <v>192</v>
      </c>
      <c r="BJ368" s="59"/>
      <c r="BK368" s="58" t="str">
        <f t="shared" si="195"/>
        <v/>
      </c>
      <c r="BL368" s="59"/>
      <c r="BM368" s="58" t="str">
        <f t="shared" si="196"/>
        <v/>
      </c>
      <c r="BN368" s="59"/>
      <c r="BO368" s="58" t="str">
        <f t="shared" si="197"/>
        <v/>
      </c>
      <c r="BP368" s="59"/>
      <c r="BQ368" s="58" t="str">
        <f t="shared" si="198"/>
        <v/>
      </c>
      <c r="BR368" s="59"/>
      <c r="BS368" s="58" t="str">
        <f t="shared" si="199"/>
        <v/>
      </c>
      <c r="BT368" s="59"/>
      <c r="BU368" s="58" t="str">
        <f t="shared" si="200"/>
        <v/>
      </c>
      <c r="BV368" s="59"/>
      <c r="BW368" s="58" t="str">
        <f t="shared" si="201"/>
        <v/>
      </c>
      <c r="BX368" s="59"/>
      <c r="BY368" s="58" t="str">
        <f t="shared" si="202"/>
        <v/>
      </c>
      <c r="BZ368" s="59"/>
    </row>
    <row r="369" spans="1:78" ht="14.5" hidden="1">
      <c r="A369" s="51" t="s">
        <v>58</v>
      </c>
      <c r="B369" s="52">
        <v>399</v>
      </c>
      <c r="C369" s="52" t="s">
        <v>188</v>
      </c>
      <c r="D369" s="41">
        <f t="shared" si="177"/>
        <v>7</v>
      </c>
      <c r="E369" s="170"/>
      <c r="F369" s="41"/>
      <c r="G369" s="52" t="s">
        <v>189</v>
      </c>
      <c r="H369" s="52" t="s">
        <v>242</v>
      </c>
      <c r="I369" s="52" t="s">
        <v>162</v>
      </c>
      <c r="J369" s="52" t="s">
        <v>432</v>
      </c>
      <c r="K369" s="53">
        <v>45702</v>
      </c>
      <c r="L369" s="108">
        <v>1336</v>
      </c>
      <c r="M369" s="101"/>
      <c r="N369" s="101"/>
      <c r="O369" s="107">
        <f t="shared" si="203"/>
        <v>1336</v>
      </c>
      <c r="P369" s="54">
        <f t="shared" si="204"/>
        <v>1336</v>
      </c>
      <c r="Q369" s="101" t="s">
        <v>178</v>
      </c>
      <c r="R369" s="166">
        <v>45702</v>
      </c>
      <c r="S369" s="101"/>
      <c r="T369" s="102">
        <f t="shared" si="178"/>
        <v>1.8555555555555556</v>
      </c>
      <c r="U369" s="102">
        <v>6</v>
      </c>
      <c r="V369" s="99">
        <v>120</v>
      </c>
      <c r="W369" s="55">
        <f t="shared" si="205"/>
        <v>45682</v>
      </c>
      <c r="X369" s="55"/>
      <c r="Y369" s="56">
        <f t="shared" ca="1" si="175"/>
        <v>-158</v>
      </c>
      <c r="Z369" s="55">
        <f t="shared" si="171"/>
        <v>45698</v>
      </c>
      <c r="AA369" s="55"/>
      <c r="AB369" s="56">
        <f t="shared" ca="1" si="176"/>
        <v>-142</v>
      </c>
      <c r="AC369" s="55"/>
      <c r="AD369" s="57"/>
      <c r="AE369" s="58" t="str">
        <f t="shared" si="179"/>
        <v>-</v>
      </c>
      <c r="AF369" s="59"/>
      <c r="AG369" s="58" t="str">
        <f t="shared" si="180"/>
        <v/>
      </c>
      <c r="AH369" s="59"/>
      <c r="AI369" s="58" t="str">
        <f t="shared" si="181"/>
        <v/>
      </c>
      <c r="AJ369" s="59"/>
      <c r="AK369" s="58" t="str">
        <f t="shared" si="182"/>
        <v/>
      </c>
      <c r="AL369" s="59"/>
      <c r="AM369" s="58" t="str">
        <f t="shared" si="183"/>
        <v/>
      </c>
      <c r="AN369" s="59"/>
      <c r="AO369" s="58" t="str">
        <f t="shared" si="184"/>
        <v/>
      </c>
      <c r="AP369" s="59"/>
      <c r="AQ369" s="58" t="str">
        <f t="shared" si="185"/>
        <v/>
      </c>
      <c r="AR369" s="59"/>
      <c r="AS369" s="58" t="str">
        <f t="shared" si="186"/>
        <v/>
      </c>
      <c r="AT369" s="59"/>
      <c r="AU369" s="58" t="str">
        <f t="shared" si="187"/>
        <v/>
      </c>
      <c r="AV369" s="59"/>
      <c r="AW369" s="58" t="str">
        <f t="shared" si="188"/>
        <v/>
      </c>
      <c r="AX369" s="59"/>
      <c r="AY369" s="58" t="str">
        <f t="shared" si="189"/>
        <v/>
      </c>
      <c r="AZ369" s="59"/>
      <c r="BA369" s="58" t="str">
        <f t="shared" si="190"/>
        <v/>
      </c>
      <c r="BB369" s="59"/>
      <c r="BC369" s="58" t="str">
        <f t="shared" si="191"/>
        <v/>
      </c>
      <c r="BD369" s="59"/>
      <c r="BE369" s="58" t="str">
        <f t="shared" si="192"/>
        <v/>
      </c>
      <c r="BF369" s="59"/>
      <c r="BG369" s="58" t="str">
        <f t="shared" si="193"/>
        <v/>
      </c>
      <c r="BH369" s="59"/>
      <c r="BI369" s="58">
        <f t="shared" si="194"/>
        <v>1336</v>
      </c>
      <c r="BJ369" s="59"/>
      <c r="BK369" s="58" t="str">
        <f t="shared" si="195"/>
        <v/>
      </c>
      <c r="BL369" s="59"/>
      <c r="BM369" s="58" t="str">
        <f t="shared" si="196"/>
        <v/>
      </c>
      <c r="BN369" s="59"/>
      <c r="BO369" s="58" t="str">
        <f t="shared" si="197"/>
        <v/>
      </c>
      <c r="BP369" s="59"/>
      <c r="BQ369" s="58" t="str">
        <f t="shared" si="198"/>
        <v/>
      </c>
      <c r="BR369" s="59"/>
      <c r="BS369" s="58" t="str">
        <f t="shared" si="199"/>
        <v/>
      </c>
      <c r="BT369" s="59"/>
      <c r="BU369" s="58" t="str">
        <f t="shared" si="200"/>
        <v/>
      </c>
      <c r="BV369" s="59"/>
      <c r="BW369" s="58" t="str">
        <f t="shared" si="201"/>
        <v/>
      </c>
      <c r="BX369" s="59"/>
      <c r="BY369" s="58" t="str">
        <f t="shared" si="202"/>
        <v/>
      </c>
      <c r="BZ369" s="59"/>
    </row>
    <row r="370" spans="1:78" ht="14.5" hidden="1">
      <c r="A370" s="51" t="s">
        <v>58</v>
      </c>
      <c r="B370" s="52">
        <v>401</v>
      </c>
      <c r="C370" s="52" t="s">
        <v>188</v>
      </c>
      <c r="D370" s="41">
        <f t="shared" si="177"/>
        <v>7</v>
      </c>
      <c r="E370" s="170"/>
      <c r="F370" s="41"/>
      <c r="G370" s="52" t="s">
        <v>189</v>
      </c>
      <c r="H370" s="52" t="s">
        <v>242</v>
      </c>
      <c r="I370" s="52" t="s">
        <v>162</v>
      </c>
      <c r="J370" s="52" t="s">
        <v>432</v>
      </c>
      <c r="K370" s="53">
        <v>45702</v>
      </c>
      <c r="L370" s="108">
        <v>1412</v>
      </c>
      <c r="M370" s="101"/>
      <c r="N370" s="101"/>
      <c r="O370" s="107">
        <f t="shared" si="203"/>
        <v>1412</v>
      </c>
      <c r="P370" s="54">
        <f t="shared" si="204"/>
        <v>1412</v>
      </c>
      <c r="Q370" s="101" t="s">
        <v>178</v>
      </c>
      <c r="R370" s="166">
        <v>45702</v>
      </c>
      <c r="S370" s="101"/>
      <c r="T370" s="102">
        <f t="shared" si="178"/>
        <v>1.961111111111111</v>
      </c>
      <c r="U370" s="102">
        <v>6</v>
      </c>
      <c r="V370" s="99">
        <v>120</v>
      </c>
      <c r="W370" s="55">
        <f t="shared" si="205"/>
        <v>45682</v>
      </c>
      <c r="X370" s="55"/>
      <c r="Y370" s="56">
        <f t="shared" ca="1" si="175"/>
        <v>-158</v>
      </c>
      <c r="Z370" s="55">
        <f t="shared" si="171"/>
        <v>45698</v>
      </c>
      <c r="AA370" s="55"/>
      <c r="AB370" s="56">
        <f t="shared" ca="1" si="176"/>
        <v>-142</v>
      </c>
      <c r="AC370" s="55"/>
      <c r="AD370" s="57"/>
      <c r="AE370" s="58" t="str">
        <f t="shared" si="179"/>
        <v>-</v>
      </c>
      <c r="AF370" s="59"/>
      <c r="AG370" s="58" t="str">
        <f t="shared" si="180"/>
        <v/>
      </c>
      <c r="AH370" s="59"/>
      <c r="AI370" s="58" t="str">
        <f t="shared" si="181"/>
        <v/>
      </c>
      <c r="AJ370" s="59"/>
      <c r="AK370" s="58" t="str">
        <f t="shared" si="182"/>
        <v/>
      </c>
      <c r="AL370" s="59"/>
      <c r="AM370" s="58" t="str">
        <f t="shared" si="183"/>
        <v/>
      </c>
      <c r="AN370" s="59"/>
      <c r="AO370" s="58" t="str">
        <f t="shared" si="184"/>
        <v/>
      </c>
      <c r="AP370" s="59"/>
      <c r="AQ370" s="58" t="str">
        <f t="shared" si="185"/>
        <v/>
      </c>
      <c r="AR370" s="59"/>
      <c r="AS370" s="58" t="str">
        <f t="shared" si="186"/>
        <v/>
      </c>
      <c r="AT370" s="59"/>
      <c r="AU370" s="58" t="str">
        <f t="shared" si="187"/>
        <v/>
      </c>
      <c r="AV370" s="59"/>
      <c r="AW370" s="58" t="str">
        <f t="shared" si="188"/>
        <v/>
      </c>
      <c r="AX370" s="59"/>
      <c r="AY370" s="58" t="str">
        <f t="shared" si="189"/>
        <v/>
      </c>
      <c r="AZ370" s="59"/>
      <c r="BA370" s="58" t="str">
        <f t="shared" si="190"/>
        <v/>
      </c>
      <c r="BB370" s="59"/>
      <c r="BC370" s="58" t="str">
        <f t="shared" si="191"/>
        <v/>
      </c>
      <c r="BD370" s="59"/>
      <c r="BE370" s="58" t="str">
        <f t="shared" si="192"/>
        <v/>
      </c>
      <c r="BF370" s="59"/>
      <c r="BG370" s="58" t="str">
        <f t="shared" si="193"/>
        <v/>
      </c>
      <c r="BH370" s="59"/>
      <c r="BI370" s="58">
        <f t="shared" si="194"/>
        <v>1412</v>
      </c>
      <c r="BJ370" s="59"/>
      <c r="BK370" s="58" t="str">
        <f t="shared" si="195"/>
        <v/>
      </c>
      <c r="BL370" s="59"/>
      <c r="BM370" s="58" t="str">
        <f t="shared" si="196"/>
        <v/>
      </c>
      <c r="BN370" s="59"/>
      <c r="BO370" s="58" t="str">
        <f t="shared" si="197"/>
        <v/>
      </c>
      <c r="BP370" s="59"/>
      <c r="BQ370" s="58" t="str">
        <f t="shared" si="198"/>
        <v/>
      </c>
      <c r="BR370" s="59"/>
      <c r="BS370" s="58" t="str">
        <f t="shared" si="199"/>
        <v/>
      </c>
      <c r="BT370" s="59"/>
      <c r="BU370" s="58" t="str">
        <f t="shared" si="200"/>
        <v/>
      </c>
      <c r="BV370" s="59"/>
      <c r="BW370" s="58" t="str">
        <f t="shared" si="201"/>
        <v/>
      </c>
      <c r="BX370" s="59"/>
      <c r="BY370" s="58" t="str">
        <f t="shared" si="202"/>
        <v/>
      </c>
      <c r="BZ370" s="59"/>
    </row>
    <row r="371" spans="1:78" ht="14.5" hidden="1">
      <c r="A371" s="51" t="s">
        <v>58</v>
      </c>
      <c r="B371" s="52">
        <v>402</v>
      </c>
      <c r="C371" s="52" t="s">
        <v>188</v>
      </c>
      <c r="D371" s="41">
        <f t="shared" si="177"/>
        <v>7</v>
      </c>
      <c r="E371" s="170">
        <v>45664</v>
      </c>
      <c r="F371" s="41"/>
      <c r="G371" s="52" t="s">
        <v>81</v>
      </c>
      <c r="H371" s="52" t="s">
        <v>290</v>
      </c>
      <c r="I371" s="52" t="s">
        <v>291</v>
      </c>
      <c r="J371" s="52" t="s">
        <v>435</v>
      </c>
      <c r="K371" s="53">
        <v>45702</v>
      </c>
      <c r="L371" s="108">
        <v>3000</v>
      </c>
      <c r="M371" s="101"/>
      <c r="N371" s="101"/>
      <c r="O371" s="107">
        <f t="shared" si="203"/>
        <v>3000</v>
      </c>
      <c r="P371" s="54">
        <f t="shared" si="204"/>
        <v>3000</v>
      </c>
      <c r="Q371" s="101" t="s">
        <v>436</v>
      </c>
      <c r="R371" s="101"/>
      <c r="S371" s="101"/>
      <c r="T371" s="102">
        <f t="shared" si="178"/>
        <v>0.16666666666666666</v>
      </c>
      <c r="U371" s="102">
        <v>6</v>
      </c>
      <c r="V371" s="100">
        <v>3000</v>
      </c>
      <c r="W371" s="55">
        <f t="shared" si="205"/>
        <v>45682</v>
      </c>
      <c r="X371" s="55"/>
      <c r="Y371" s="56">
        <f t="shared" ca="1" si="175"/>
        <v>-158</v>
      </c>
      <c r="Z371" s="55">
        <f t="shared" si="171"/>
        <v>45698</v>
      </c>
      <c r="AA371" s="55"/>
      <c r="AB371" s="56">
        <f t="shared" ca="1" si="176"/>
        <v>-142</v>
      </c>
      <c r="AC371" s="55"/>
      <c r="AD371" s="57"/>
      <c r="AE371" s="58" t="str">
        <f t="shared" si="179"/>
        <v>-</v>
      </c>
      <c r="AF371" s="59"/>
      <c r="AG371" s="58" t="str">
        <f t="shared" si="180"/>
        <v/>
      </c>
      <c r="AH371" s="59"/>
      <c r="AI371" s="58" t="str">
        <f t="shared" si="181"/>
        <v/>
      </c>
      <c r="AJ371" s="59"/>
      <c r="AK371" s="58" t="str">
        <f t="shared" si="182"/>
        <v/>
      </c>
      <c r="AL371" s="59"/>
      <c r="AM371" s="58" t="str">
        <f t="shared" si="183"/>
        <v/>
      </c>
      <c r="AN371" s="59"/>
      <c r="AO371" s="58" t="str">
        <f t="shared" si="184"/>
        <v/>
      </c>
      <c r="AP371" s="59"/>
      <c r="AQ371" s="58" t="str">
        <f t="shared" si="185"/>
        <v/>
      </c>
      <c r="AR371" s="59"/>
      <c r="AS371" s="58" t="str">
        <f t="shared" si="186"/>
        <v/>
      </c>
      <c r="AT371" s="59"/>
      <c r="AU371" s="58" t="str">
        <f t="shared" si="187"/>
        <v/>
      </c>
      <c r="AV371" s="59"/>
      <c r="AW371" s="58" t="str">
        <f t="shared" si="188"/>
        <v/>
      </c>
      <c r="AX371" s="59"/>
      <c r="AY371" s="58" t="str">
        <f t="shared" si="189"/>
        <v/>
      </c>
      <c r="AZ371" s="59"/>
      <c r="BA371" s="58" t="str">
        <f t="shared" si="190"/>
        <v/>
      </c>
      <c r="BB371" s="59"/>
      <c r="BC371" s="58" t="str">
        <f t="shared" si="191"/>
        <v/>
      </c>
      <c r="BD371" s="59"/>
      <c r="BE371" s="58" t="str">
        <f t="shared" si="192"/>
        <v/>
      </c>
      <c r="BF371" s="59"/>
      <c r="BG371" s="58" t="str">
        <f t="shared" si="193"/>
        <v/>
      </c>
      <c r="BH371" s="59"/>
      <c r="BI371" s="58">
        <f t="shared" si="194"/>
        <v>3000</v>
      </c>
      <c r="BJ371" s="59"/>
      <c r="BK371" s="58" t="str">
        <f t="shared" si="195"/>
        <v/>
      </c>
      <c r="BL371" s="59"/>
      <c r="BM371" s="58" t="str">
        <f t="shared" si="196"/>
        <v/>
      </c>
      <c r="BN371" s="59"/>
      <c r="BO371" s="58" t="str">
        <f t="shared" si="197"/>
        <v/>
      </c>
      <c r="BP371" s="59"/>
      <c r="BQ371" s="58" t="str">
        <f t="shared" si="198"/>
        <v/>
      </c>
      <c r="BR371" s="59"/>
      <c r="BS371" s="58" t="str">
        <f t="shared" si="199"/>
        <v/>
      </c>
      <c r="BT371" s="59"/>
      <c r="BU371" s="58" t="str">
        <f t="shared" si="200"/>
        <v/>
      </c>
      <c r="BV371" s="59"/>
      <c r="BW371" s="58" t="str">
        <f t="shared" si="201"/>
        <v/>
      </c>
      <c r="BX371" s="59"/>
      <c r="BY371" s="58" t="str">
        <f t="shared" si="202"/>
        <v/>
      </c>
      <c r="BZ371" s="59"/>
    </row>
    <row r="372" spans="1:78" ht="14.5" hidden="1">
      <c r="A372" s="51" t="s">
        <v>58</v>
      </c>
      <c r="B372" s="52">
        <v>402</v>
      </c>
      <c r="C372" s="52" t="s">
        <v>188</v>
      </c>
      <c r="D372" s="41">
        <f t="shared" si="177"/>
        <v>7</v>
      </c>
      <c r="E372" s="170">
        <v>45664</v>
      </c>
      <c r="F372" s="41"/>
      <c r="G372" s="52" t="s">
        <v>81</v>
      </c>
      <c r="H372" s="52" t="s">
        <v>290</v>
      </c>
      <c r="I372" s="52" t="s">
        <v>293</v>
      </c>
      <c r="J372" s="52" t="s">
        <v>435</v>
      </c>
      <c r="K372" s="53">
        <v>45702</v>
      </c>
      <c r="L372" s="108">
        <v>3000</v>
      </c>
      <c r="M372" s="101"/>
      <c r="N372" s="101"/>
      <c r="O372" s="107">
        <f t="shared" si="203"/>
        <v>3000</v>
      </c>
      <c r="P372" s="54">
        <f t="shared" si="204"/>
        <v>3000</v>
      </c>
      <c r="Q372" s="101" t="s">
        <v>436</v>
      </c>
      <c r="R372" s="101"/>
      <c r="S372" s="101"/>
      <c r="T372" s="102">
        <f t="shared" si="178"/>
        <v>0.16666666666666666</v>
      </c>
      <c r="U372" s="102">
        <v>6</v>
      </c>
      <c r="V372" s="100">
        <v>3000</v>
      </c>
      <c r="W372" s="55">
        <f t="shared" si="205"/>
        <v>45682</v>
      </c>
      <c r="X372" s="55"/>
      <c r="Y372" s="56">
        <f t="shared" ca="1" si="175"/>
        <v>-158</v>
      </c>
      <c r="Z372" s="55">
        <f t="shared" si="171"/>
        <v>45698</v>
      </c>
      <c r="AA372" s="55"/>
      <c r="AB372" s="56">
        <f t="shared" ca="1" si="176"/>
        <v>-142</v>
      </c>
      <c r="AC372" s="55"/>
      <c r="AD372" s="57"/>
      <c r="AE372" s="58" t="str">
        <f t="shared" si="179"/>
        <v>-</v>
      </c>
      <c r="AF372" s="59"/>
      <c r="AG372" s="58" t="str">
        <f t="shared" si="180"/>
        <v/>
      </c>
      <c r="AH372" s="59"/>
      <c r="AI372" s="58" t="str">
        <f t="shared" si="181"/>
        <v/>
      </c>
      <c r="AJ372" s="59"/>
      <c r="AK372" s="58" t="str">
        <f t="shared" si="182"/>
        <v/>
      </c>
      <c r="AL372" s="59"/>
      <c r="AM372" s="58" t="str">
        <f t="shared" si="183"/>
        <v/>
      </c>
      <c r="AN372" s="59"/>
      <c r="AO372" s="58" t="str">
        <f t="shared" si="184"/>
        <v/>
      </c>
      <c r="AP372" s="59"/>
      <c r="AQ372" s="58" t="str">
        <f t="shared" si="185"/>
        <v/>
      </c>
      <c r="AR372" s="59"/>
      <c r="AS372" s="58" t="str">
        <f t="shared" si="186"/>
        <v/>
      </c>
      <c r="AT372" s="59"/>
      <c r="AU372" s="58" t="str">
        <f t="shared" si="187"/>
        <v/>
      </c>
      <c r="AV372" s="59"/>
      <c r="AW372" s="58" t="str">
        <f t="shared" si="188"/>
        <v/>
      </c>
      <c r="AX372" s="59"/>
      <c r="AY372" s="58" t="str">
        <f t="shared" si="189"/>
        <v/>
      </c>
      <c r="AZ372" s="59"/>
      <c r="BA372" s="58" t="str">
        <f t="shared" si="190"/>
        <v/>
      </c>
      <c r="BB372" s="59"/>
      <c r="BC372" s="58" t="str">
        <f t="shared" si="191"/>
        <v/>
      </c>
      <c r="BD372" s="59"/>
      <c r="BE372" s="58" t="str">
        <f t="shared" si="192"/>
        <v/>
      </c>
      <c r="BF372" s="59"/>
      <c r="BG372" s="58" t="str">
        <f t="shared" si="193"/>
        <v/>
      </c>
      <c r="BH372" s="59"/>
      <c r="BI372" s="58">
        <f t="shared" si="194"/>
        <v>3000</v>
      </c>
      <c r="BJ372" s="59"/>
      <c r="BK372" s="58" t="str">
        <f t="shared" si="195"/>
        <v/>
      </c>
      <c r="BL372" s="59"/>
      <c r="BM372" s="58" t="str">
        <f t="shared" si="196"/>
        <v/>
      </c>
      <c r="BN372" s="59"/>
      <c r="BO372" s="58" t="str">
        <f t="shared" si="197"/>
        <v/>
      </c>
      <c r="BP372" s="59"/>
      <c r="BQ372" s="58" t="str">
        <f t="shared" si="198"/>
        <v/>
      </c>
      <c r="BR372" s="59"/>
      <c r="BS372" s="58" t="str">
        <f t="shared" si="199"/>
        <v/>
      </c>
      <c r="BT372" s="59"/>
      <c r="BU372" s="58" t="str">
        <f t="shared" si="200"/>
        <v/>
      </c>
      <c r="BV372" s="59"/>
      <c r="BW372" s="58" t="str">
        <f t="shared" si="201"/>
        <v/>
      </c>
      <c r="BX372" s="59"/>
      <c r="BY372" s="58" t="str">
        <f t="shared" si="202"/>
        <v/>
      </c>
      <c r="BZ372" s="59"/>
    </row>
    <row r="373" spans="1:78" ht="14.5" hidden="1">
      <c r="A373" s="51" t="s">
        <v>58</v>
      </c>
      <c r="B373" s="52">
        <v>402</v>
      </c>
      <c r="C373" s="52" t="s">
        <v>188</v>
      </c>
      <c r="D373" s="41">
        <f t="shared" si="177"/>
        <v>7</v>
      </c>
      <c r="E373" s="170">
        <v>45664</v>
      </c>
      <c r="F373" s="41"/>
      <c r="G373" s="52" t="s">
        <v>81</v>
      </c>
      <c r="H373" s="52" t="s">
        <v>290</v>
      </c>
      <c r="I373" s="52" t="s">
        <v>294</v>
      </c>
      <c r="J373" s="52" t="s">
        <v>435</v>
      </c>
      <c r="K373" s="53">
        <v>45702</v>
      </c>
      <c r="L373" s="108">
        <v>3000</v>
      </c>
      <c r="M373" s="101"/>
      <c r="N373" s="101"/>
      <c r="O373" s="107">
        <f t="shared" si="203"/>
        <v>3000</v>
      </c>
      <c r="P373" s="54">
        <f t="shared" si="204"/>
        <v>3000</v>
      </c>
      <c r="Q373" s="101" t="s">
        <v>436</v>
      </c>
      <c r="R373" s="101"/>
      <c r="S373" s="101"/>
      <c r="T373" s="102">
        <f t="shared" si="178"/>
        <v>0.16666666666666666</v>
      </c>
      <c r="U373" s="102">
        <v>6</v>
      </c>
      <c r="V373" s="100">
        <v>3000</v>
      </c>
      <c r="W373" s="55">
        <f t="shared" si="205"/>
        <v>45682</v>
      </c>
      <c r="X373" s="55"/>
      <c r="Y373" s="56">
        <f t="shared" ca="1" si="175"/>
        <v>-158</v>
      </c>
      <c r="Z373" s="55">
        <f t="shared" si="171"/>
        <v>45698</v>
      </c>
      <c r="AA373" s="55"/>
      <c r="AB373" s="56">
        <f t="shared" ca="1" si="176"/>
        <v>-142</v>
      </c>
      <c r="AC373" s="55"/>
      <c r="AD373" s="57"/>
      <c r="AE373" s="58" t="str">
        <f t="shared" si="179"/>
        <v>-</v>
      </c>
      <c r="AF373" s="59"/>
      <c r="AG373" s="58" t="str">
        <f t="shared" si="180"/>
        <v/>
      </c>
      <c r="AH373" s="59"/>
      <c r="AI373" s="58" t="str">
        <f t="shared" si="181"/>
        <v/>
      </c>
      <c r="AJ373" s="59"/>
      <c r="AK373" s="58" t="str">
        <f t="shared" si="182"/>
        <v/>
      </c>
      <c r="AL373" s="59"/>
      <c r="AM373" s="58" t="str">
        <f t="shared" si="183"/>
        <v/>
      </c>
      <c r="AN373" s="59"/>
      <c r="AO373" s="58" t="str">
        <f t="shared" si="184"/>
        <v/>
      </c>
      <c r="AP373" s="59"/>
      <c r="AQ373" s="58" t="str">
        <f t="shared" si="185"/>
        <v/>
      </c>
      <c r="AR373" s="59"/>
      <c r="AS373" s="58" t="str">
        <f t="shared" si="186"/>
        <v/>
      </c>
      <c r="AT373" s="59"/>
      <c r="AU373" s="58" t="str">
        <f t="shared" si="187"/>
        <v/>
      </c>
      <c r="AV373" s="59"/>
      <c r="AW373" s="58" t="str">
        <f t="shared" si="188"/>
        <v/>
      </c>
      <c r="AX373" s="59"/>
      <c r="AY373" s="58" t="str">
        <f t="shared" si="189"/>
        <v/>
      </c>
      <c r="AZ373" s="59"/>
      <c r="BA373" s="58" t="str">
        <f t="shared" si="190"/>
        <v/>
      </c>
      <c r="BB373" s="59"/>
      <c r="BC373" s="58" t="str">
        <f t="shared" si="191"/>
        <v/>
      </c>
      <c r="BD373" s="59"/>
      <c r="BE373" s="58" t="str">
        <f t="shared" si="192"/>
        <v/>
      </c>
      <c r="BF373" s="59"/>
      <c r="BG373" s="58" t="str">
        <f t="shared" si="193"/>
        <v/>
      </c>
      <c r="BH373" s="59"/>
      <c r="BI373" s="58">
        <f t="shared" si="194"/>
        <v>3000</v>
      </c>
      <c r="BJ373" s="59"/>
      <c r="BK373" s="58" t="str">
        <f t="shared" si="195"/>
        <v/>
      </c>
      <c r="BL373" s="59"/>
      <c r="BM373" s="58" t="str">
        <f t="shared" si="196"/>
        <v/>
      </c>
      <c r="BN373" s="59"/>
      <c r="BO373" s="58" t="str">
        <f t="shared" si="197"/>
        <v/>
      </c>
      <c r="BP373" s="59"/>
      <c r="BQ373" s="58" t="str">
        <f t="shared" si="198"/>
        <v/>
      </c>
      <c r="BR373" s="59"/>
      <c r="BS373" s="58" t="str">
        <f t="shared" si="199"/>
        <v/>
      </c>
      <c r="BT373" s="59"/>
      <c r="BU373" s="58" t="str">
        <f t="shared" si="200"/>
        <v/>
      </c>
      <c r="BV373" s="59"/>
      <c r="BW373" s="58" t="str">
        <f t="shared" si="201"/>
        <v/>
      </c>
      <c r="BX373" s="59"/>
      <c r="BY373" s="58" t="str">
        <f t="shared" si="202"/>
        <v/>
      </c>
      <c r="BZ373" s="59"/>
    </row>
    <row r="374" spans="1:78" s="103" customFormat="1" ht="14.5">
      <c r="A374" s="51" t="s">
        <v>58</v>
      </c>
      <c r="B374" s="52">
        <v>402</v>
      </c>
      <c r="C374" s="52" t="s">
        <v>188</v>
      </c>
      <c r="D374" s="41">
        <f t="shared" si="177"/>
        <v>7</v>
      </c>
      <c r="E374" s="170">
        <v>45668</v>
      </c>
      <c r="F374" s="41"/>
      <c r="G374" s="52" t="s">
        <v>201</v>
      </c>
      <c r="H374" s="52" t="s">
        <v>247</v>
      </c>
      <c r="I374" s="52" t="s">
        <v>155</v>
      </c>
      <c r="J374" s="52" t="s">
        <v>442</v>
      </c>
      <c r="K374" s="53">
        <v>45702</v>
      </c>
      <c r="L374" s="108">
        <v>14832</v>
      </c>
      <c r="M374" s="101"/>
      <c r="N374" s="101"/>
      <c r="O374" s="107">
        <f t="shared" si="203"/>
        <v>14832</v>
      </c>
      <c r="P374" s="54">
        <f t="shared" si="204"/>
        <v>14832</v>
      </c>
      <c r="Q374" s="101" t="s">
        <v>567</v>
      </c>
      <c r="R374" s="101"/>
      <c r="S374" s="101"/>
      <c r="T374" s="102">
        <f t="shared" si="178"/>
        <v>8.4754285714285711</v>
      </c>
      <c r="U374" s="102">
        <v>5</v>
      </c>
      <c r="V374" s="99">
        <v>350</v>
      </c>
      <c r="W374" s="55">
        <f t="shared" si="205"/>
        <v>45682</v>
      </c>
      <c r="X374" s="55"/>
      <c r="Y374" s="56">
        <f t="shared" ca="1" si="175"/>
        <v>-158</v>
      </c>
      <c r="Z374" s="55">
        <f t="shared" ref="Z374:Z437" si="206">+W374+16</f>
        <v>45698</v>
      </c>
      <c r="AA374" s="55"/>
      <c r="AB374" s="56">
        <f t="shared" ca="1" si="176"/>
        <v>-142</v>
      </c>
      <c r="AC374" s="55"/>
      <c r="AD374" s="57"/>
      <c r="AE374" s="58" t="str">
        <f t="shared" si="179"/>
        <v>-</v>
      </c>
      <c r="AF374" s="59"/>
      <c r="AG374" s="58" t="str">
        <f t="shared" si="180"/>
        <v/>
      </c>
      <c r="AH374" s="59"/>
      <c r="AI374" s="58" t="str">
        <f t="shared" si="181"/>
        <v/>
      </c>
      <c r="AJ374" s="59"/>
      <c r="AK374" s="58" t="str">
        <f t="shared" si="182"/>
        <v/>
      </c>
      <c r="AL374" s="59"/>
      <c r="AM374" s="58" t="str">
        <f t="shared" si="183"/>
        <v/>
      </c>
      <c r="AN374" s="59"/>
      <c r="AO374" s="58" t="str">
        <f t="shared" si="184"/>
        <v/>
      </c>
      <c r="AP374" s="59"/>
      <c r="AQ374" s="58" t="str">
        <f t="shared" si="185"/>
        <v/>
      </c>
      <c r="AR374" s="59"/>
      <c r="AS374" s="58" t="str">
        <f t="shared" si="186"/>
        <v/>
      </c>
      <c r="AT374" s="59"/>
      <c r="AU374" s="58" t="str">
        <f t="shared" si="187"/>
        <v/>
      </c>
      <c r="AV374" s="59"/>
      <c r="AW374" s="58" t="str">
        <f t="shared" si="188"/>
        <v/>
      </c>
      <c r="AX374" s="59"/>
      <c r="AY374" s="58" t="str">
        <f t="shared" si="189"/>
        <v/>
      </c>
      <c r="AZ374" s="59"/>
      <c r="BA374" s="58" t="str">
        <f t="shared" si="190"/>
        <v/>
      </c>
      <c r="BB374" s="59"/>
      <c r="BC374" s="58" t="str">
        <f t="shared" si="191"/>
        <v/>
      </c>
      <c r="BD374" s="59"/>
      <c r="BE374" s="58" t="str">
        <f t="shared" si="192"/>
        <v/>
      </c>
      <c r="BF374" s="59"/>
      <c r="BG374" s="58" t="str">
        <f t="shared" si="193"/>
        <v/>
      </c>
      <c r="BH374" s="59"/>
      <c r="BI374" s="58">
        <f t="shared" si="194"/>
        <v>14832</v>
      </c>
      <c r="BJ374" s="59"/>
      <c r="BK374" s="58" t="str">
        <f t="shared" si="195"/>
        <v/>
      </c>
      <c r="BL374" s="59"/>
      <c r="BM374" s="58" t="str">
        <f t="shared" si="196"/>
        <v/>
      </c>
      <c r="BN374" s="59"/>
      <c r="BO374" s="58" t="str">
        <f t="shared" si="197"/>
        <v/>
      </c>
      <c r="BP374" s="59"/>
      <c r="BQ374" s="58" t="str">
        <f t="shared" si="198"/>
        <v/>
      </c>
      <c r="BR374" s="59"/>
      <c r="BS374" s="58" t="str">
        <f t="shared" si="199"/>
        <v/>
      </c>
      <c r="BT374" s="59"/>
      <c r="BU374" s="58" t="str">
        <f t="shared" si="200"/>
        <v/>
      </c>
      <c r="BV374" s="59"/>
      <c r="BW374" s="58" t="str">
        <f t="shared" si="201"/>
        <v/>
      </c>
      <c r="BX374" s="59"/>
      <c r="BY374" s="58" t="str">
        <f t="shared" si="202"/>
        <v/>
      </c>
      <c r="BZ374" s="59"/>
    </row>
    <row r="375" spans="1:78" ht="14.5" hidden="1">
      <c r="A375" s="51" t="s">
        <v>58</v>
      </c>
      <c r="B375" s="52">
        <v>402</v>
      </c>
      <c r="C375" s="52" t="s">
        <v>188</v>
      </c>
      <c r="D375" s="41">
        <f t="shared" si="177"/>
        <v>7</v>
      </c>
      <c r="E375" s="170">
        <v>45664</v>
      </c>
      <c r="F375" s="41"/>
      <c r="G375" s="52" t="s">
        <v>157</v>
      </c>
      <c r="H375" s="52" t="s">
        <v>243</v>
      </c>
      <c r="I375" s="52" t="s">
        <v>162</v>
      </c>
      <c r="J375" s="52" t="s">
        <v>428</v>
      </c>
      <c r="K375" s="53">
        <v>45702</v>
      </c>
      <c r="L375" s="108">
        <v>3768</v>
      </c>
      <c r="M375" s="101"/>
      <c r="N375" s="101"/>
      <c r="O375" s="107">
        <f t="shared" si="203"/>
        <v>3768</v>
      </c>
      <c r="P375" s="54">
        <f t="shared" si="204"/>
        <v>3768</v>
      </c>
      <c r="Q375" s="101" t="s">
        <v>429</v>
      </c>
      <c r="R375" s="101"/>
      <c r="S375" s="101"/>
      <c r="T375" s="102">
        <f t="shared" si="178"/>
        <v>0.628</v>
      </c>
      <c r="U375" s="102">
        <v>6</v>
      </c>
      <c r="V375" s="99">
        <v>1000</v>
      </c>
      <c r="W375" s="55">
        <f t="shared" si="205"/>
        <v>45682</v>
      </c>
      <c r="X375" s="55"/>
      <c r="Y375" s="56">
        <f t="shared" ca="1" si="175"/>
        <v>-158</v>
      </c>
      <c r="Z375" s="55">
        <f t="shared" si="206"/>
        <v>45698</v>
      </c>
      <c r="AA375" s="55"/>
      <c r="AB375" s="56">
        <f t="shared" ca="1" si="176"/>
        <v>-142</v>
      </c>
      <c r="AC375" s="55"/>
      <c r="AD375" s="57"/>
      <c r="AE375" s="58" t="str">
        <f t="shared" si="179"/>
        <v>-</v>
      </c>
      <c r="AF375" s="59"/>
      <c r="AG375" s="58" t="str">
        <f t="shared" si="180"/>
        <v/>
      </c>
      <c r="AH375" s="59"/>
      <c r="AI375" s="58" t="str">
        <f t="shared" si="181"/>
        <v/>
      </c>
      <c r="AJ375" s="59"/>
      <c r="AK375" s="58" t="str">
        <f t="shared" si="182"/>
        <v/>
      </c>
      <c r="AL375" s="59"/>
      <c r="AM375" s="58" t="str">
        <f t="shared" si="183"/>
        <v/>
      </c>
      <c r="AN375" s="59"/>
      <c r="AO375" s="58" t="str">
        <f t="shared" si="184"/>
        <v/>
      </c>
      <c r="AP375" s="59"/>
      <c r="AQ375" s="58" t="str">
        <f t="shared" si="185"/>
        <v/>
      </c>
      <c r="AR375" s="59"/>
      <c r="AS375" s="58" t="str">
        <f t="shared" si="186"/>
        <v/>
      </c>
      <c r="AT375" s="59"/>
      <c r="AU375" s="58" t="str">
        <f t="shared" si="187"/>
        <v/>
      </c>
      <c r="AV375" s="59"/>
      <c r="AW375" s="58" t="str">
        <f t="shared" si="188"/>
        <v/>
      </c>
      <c r="AX375" s="59"/>
      <c r="AY375" s="58" t="str">
        <f t="shared" si="189"/>
        <v/>
      </c>
      <c r="AZ375" s="59"/>
      <c r="BA375" s="58" t="str">
        <f t="shared" si="190"/>
        <v/>
      </c>
      <c r="BB375" s="59"/>
      <c r="BC375" s="58" t="str">
        <f t="shared" si="191"/>
        <v/>
      </c>
      <c r="BD375" s="59"/>
      <c r="BE375" s="58" t="str">
        <f t="shared" si="192"/>
        <v/>
      </c>
      <c r="BF375" s="59"/>
      <c r="BG375" s="58" t="str">
        <f t="shared" si="193"/>
        <v/>
      </c>
      <c r="BH375" s="59"/>
      <c r="BI375" s="58">
        <f t="shared" si="194"/>
        <v>3768</v>
      </c>
      <c r="BJ375" s="59"/>
      <c r="BK375" s="58" t="str">
        <f t="shared" si="195"/>
        <v/>
      </c>
      <c r="BL375" s="59"/>
      <c r="BM375" s="58" t="str">
        <f t="shared" si="196"/>
        <v/>
      </c>
      <c r="BN375" s="59"/>
      <c r="BO375" s="58" t="str">
        <f t="shared" si="197"/>
        <v/>
      </c>
      <c r="BP375" s="59"/>
      <c r="BQ375" s="58" t="str">
        <f t="shared" si="198"/>
        <v/>
      </c>
      <c r="BR375" s="59"/>
      <c r="BS375" s="58" t="str">
        <f t="shared" si="199"/>
        <v/>
      </c>
      <c r="BT375" s="59"/>
      <c r="BU375" s="58" t="str">
        <f t="shared" si="200"/>
        <v/>
      </c>
      <c r="BV375" s="59"/>
      <c r="BW375" s="58" t="str">
        <f t="shared" si="201"/>
        <v/>
      </c>
      <c r="BX375" s="59"/>
      <c r="BY375" s="58" t="str">
        <f t="shared" si="202"/>
        <v/>
      </c>
      <c r="BZ375" s="59"/>
    </row>
    <row r="376" spans="1:78" ht="14.5" hidden="1">
      <c r="A376" s="51" t="s">
        <v>58</v>
      </c>
      <c r="B376" s="52">
        <v>402</v>
      </c>
      <c r="C376" s="52" t="s">
        <v>188</v>
      </c>
      <c r="D376" s="41">
        <f t="shared" si="177"/>
        <v>7</v>
      </c>
      <c r="E376" s="170"/>
      <c r="F376" s="41"/>
      <c r="G376" s="52" t="s">
        <v>391</v>
      </c>
      <c r="H376" s="52" t="s">
        <v>392</v>
      </c>
      <c r="I376" s="52" t="s">
        <v>393</v>
      </c>
      <c r="J376" s="52" t="s">
        <v>433</v>
      </c>
      <c r="K376" s="53">
        <v>45702</v>
      </c>
      <c r="L376" s="108">
        <v>1968</v>
      </c>
      <c r="M376" s="101"/>
      <c r="N376" s="101"/>
      <c r="O376" s="107">
        <f t="shared" si="203"/>
        <v>1968</v>
      </c>
      <c r="P376" s="54">
        <f t="shared" si="204"/>
        <v>1968</v>
      </c>
      <c r="Q376" s="101" t="s">
        <v>443</v>
      </c>
      <c r="R376" s="101"/>
      <c r="S376" s="101"/>
      <c r="T376" s="102">
        <f t="shared" si="178"/>
        <v>4.0999999999999996</v>
      </c>
      <c r="U376" s="102">
        <v>6</v>
      </c>
      <c r="V376" s="99">
        <v>80</v>
      </c>
      <c r="W376" s="55">
        <f t="shared" si="205"/>
        <v>45682</v>
      </c>
      <c r="X376" s="55"/>
      <c r="Y376" s="56">
        <f t="shared" ca="1" si="175"/>
        <v>-158</v>
      </c>
      <c r="Z376" s="55">
        <f t="shared" si="206"/>
        <v>45698</v>
      </c>
      <c r="AA376" s="55"/>
      <c r="AB376" s="56">
        <f t="shared" ca="1" si="176"/>
        <v>-142</v>
      </c>
      <c r="AC376" s="55"/>
      <c r="AD376" s="57"/>
      <c r="AE376" s="58" t="str">
        <f t="shared" si="179"/>
        <v>-</v>
      </c>
      <c r="AF376" s="59"/>
      <c r="AG376" s="58" t="str">
        <f t="shared" si="180"/>
        <v/>
      </c>
      <c r="AH376" s="59"/>
      <c r="AI376" s="58" t="str">
        <f t="shared" si="181"/>
        <v/>
      </c>
      <c r="AJ376" s="59"/>
      <c r="AK376" s="58" t="str">
        <f t="shared" si="182"/>
        <v/>
      </c>
      <c r="AL376" s="59"/>
      <c r="AM376" s="58" t="str">
        <f t="shared" si="183"/>
        <v/>
      </c>
      <c r="AN376" s="59"/>
      <c r="AO376" s="58" t="str">
        <f t="shared" si="184"/>
        <v/>
      </c>
      <c r="AP376" s="59"/>
      <c r="AQ376" s="58" t="str">
        <f t="shared" si="185"/>
        <v/>
      </c>
      <c r="AR376" s="59"/>
      <c r="AS376" s="58" t="str">
        <f t="shared" si="186"/>
        <v/>
      </c>
      <c r="AT376" s="59"/>
      <c r="AU376" s="58" t="str">
        <f t="shared" si="187"/>
        <v/>
      </c>
      <c r="AV376" s="59"/>
      <c r="AW376" s="58" t="str">
        <f t="shared" si="188"/>
        <v/>
      </c>
      <c r="AX376" s="59"/>
      <c r="AY376" s="58" t="str">
        <f t="shared" si="189"/>
        <v/>
      </c>
      <c r="AZ376" s="59"/>
      <c r="BA376" s="58" t="str">
        <f t="shared" si="190"/>
        <v/>
      </c>
      <c r="BB376" s="59"/>
      <c r="BC376" s="58" t="str">
        <f t="shared" si="191"/>
        <v/>
      </c>
      <c r="BD376" s="59"/>
      <c r="BE376" s="58" t="str">
        <f t="shared" si="192"/>
        <v/>
      </c>
      <c r="BF376" s="59"/>
      <c r="BG376" s="58" t="str">
        <f t="shared" si="193"/>
        <v/>
      </c>
      <c r="BH376" s="59"/>
      <c r="BI376" s="58">
        <f t="shared" si="194"/>
        <v>1968</v>
      </c>
      <c r="BJ376" s="59"/>
      <c r="BK376" s="58" t="str">
        <f t="shared" si="195"/>
        <v/>
      </c>
      <c r="BL376" s="59"/>
      <c r="BM376" s="58" t="str">
        <f t="shared" si="196"/>
        <v/>
      </c>
      <c r="BN376" s="59"/>
      <c r="BO376" s="58" t="str">
        <f t="shared" si="197"/>
        <v/>
      </c>
      <c r="BP376" s="59"/>
      <c r="BQ376" s="58" t="str">
        <f t="shared" si="198"/>
        <v/>
      </c>
      <c r="BR376" s="59"/>
      <c r="BS376" s="58" t="str">
        <f t="shared" si="199"/>
        <v/>
      </c>
      <c r="BT376" s="59"/>
      <c r="BU376" s="58" t="str">
        <f t="shared" si="200"/>
        <v/>
      </c>
      <c r="BV376" s="59"/>
      <c r="BW376" s="58" t="str">
        <f t="shared" si="201"/>
        <v/>
      </c>
      <c r="BX376" s="59"/>
      <c r="BY376" s="58" t="str">
        <f t="shared" si="202"/>
        <v/>
      </c>
      <c r="BZ376" s="59"/>
    </row>
    <row r="377" spans="1:78" ht="14.5" hidden="1">
      <c r="A377" s="51" t="s">
        <v>58</v>
      </c>
      <c r="B377" s="52">
        <v>402</v>
      </c>
      <c r="C377" s="52" t="s">
        <v>188</v>
      </c>
      <c r="D377" s="41">
        <f t="shared" si="177"/>
        <v>7</v>
      </c>
      <c r="E377" s="170"/>
      <c r="F377" s="41"/>
      <c r="G377" s="52" t="s">
        <v>190</v>
      </c>
      <c r="H377" s="52" t="s">
        <v>242</v>
      </c>
      <c r="I377" s="52" t="s">
        <v>244</v>
      </c>
      <c r="J377" s="52" t="s">
        <v>438</v>
      </c>
      <c r="K377" s="53">
        <v>45702</v>
      </c>
      <c r="L377" s="108">
        <v>392</v>
      </c>
      <c r="M377" s="101"/>
      <c r="N377" s="101"/>
      <c r="O377" s="107">
        <f t="shared" si="203"/>
        <v>392</v>
      </c>
      <c r="P377" s="54">
        <f t="shared" si="204"/>
        <v>392</v>
      </c>
      <c r="Q377" s="101" t="s">
        <v>431</v>
      </c>
      <c r="R377" s="101"/>
      <c r="S377" s="101"/>
      <c r="T377" s="102">
        <f t="shared" si="178"/>
        <v>0.5444444444444444</v>
      </c>
      <c r="U377" s="102">
        <v>6</v>
      </c>
      <c r="V377" s="99">
        <v>120</v>
      </c>
      <c r="W377" s="55">
        <f t="shared" si="205"/>
        <v>45682</v>
      </c>
      <c r="X377" s="55"/>
      <c r="Y377" s="56">
        <f t="shared" ref="Y377:Y440" ca="1" si="207">+IF(X377="",W377-TODAY(),W377-X377)</f>
        <v>-158</v>
      </c>
      <c r="Z377" s="55">
        <f t="shared" si="206"/>
        <v>45698</v>
      </c>
      <c r="AA377" s="55"/>
      <c r="AB377" s="56">
        <f t="shared" ref="AB377:AB440" ca="1" si="208">+IF(AA377="",Z377-TODAY(),Z377-AA377)</f>
        <v>-142</v>
      </c>
      <c r="AC377" s="55"/>
      <c r="AD377" s="57"/>
      <c r="AE377" s="58" t="str">
        <f t="shared" si="179"/>
        <v>-</v>
      </c>
      <c r="AF377" s="59"/>
      <c r="AG377" s="58" t="str">
        <f t="shared" si="180"/>
        <v/>
      </c>
      <c r="AH377" s="59"/>
      <c r="AI377" s="58" t="str">
        <f t="shared" si="181"/>
        <v/>
      </c>
      <c r="AJ377" s="59"/>
      <c r="AK377" s="58" t="str">
        <f t="shared" si="182"/>
        <v/>
      </c>
      <c r="AL377" s="59"/>
      <c r="AM377" s="58" t="str">
        <f t="shared" si="183"/>
        <v/>
      </c>
      <c r="AN377" s="59"/>
      <c r="AO377" s="58" t="str">
        <f t="shared" si="184"/>
        <v/>
      </c>
      <c r="AP377" s="59"/>
      <c r="AQ377" s="58" t="str">
        <f t="shared" si="185"/>
        <v/>
      </c>
      <c r="AR377" s="59"/>
      <c r="AS377" s="58" t="str">
        <f t="shared" si="186"/>
        <v/>
      </c>
      <c r="AT377" s="59"/>
      <c r="AU377" s="58" t="str">
        <f t="shared" si="187"/>
        <v/>
      </c>
      <c r="AV377" s="59"/>
      <c r="AW377" s="58" t="str">
        <f t="shared" si="188"/>
        <v/>
      </c>
      <c r="AX377" s="59"/>
      <c r="AY377" s="58" t="str">
        <f t="shared" si="189"/>
        <v/>
      </c>
      <c r="AZ377" s="59"/>
      <c r="BA377" s="58" t="str">
        <f t="shared" si="190"/>
        <v/>
      </c>
      <c r="BB377" s="59"/>
      <c r="BC377" s="58" t="str">
        <f t="shared" si="191"/>
        <v/>
      </c>
      <c r="BD377" s="59"/>
      <c r="BE377" s="58" t="str">
        <f t="shared" si="192"/>
        <v/>
      </c>
      <c r="BF377" s="59"/>
      <c r="BG377" s="58" t="str">
        <f t="shared" si="193"/>
        <v/>
      </c>
      <c r="BH377" s="59"/>
      <c r="BI377" s="58">
        <f t="shared" si="194"/>
        <v>392</v>
      </c>
      <c r="BJ377" s="59"/>
      <c r="BK377" s="58" t="str">
        <f t="shared" si="195"/>
        <v/>
      </c>
      <c r="BL377" s="59"/>
      <c r="BM377" s="58" t="str">
        <f t="shared" si="196"/>
        <v/>
      </c>
      <c r="BN377" s="59"/>
      <c r="BO377" s="58" t="str">
        <f t="shared" si="197"/>
        <v/>
      </c>
      <c r="BP377" s="59"/>
      <c r="BQ377" s="58" t="str">
        <f t="shared" si="198"/>
        <v/>
      </c>
      <c r="BR377" s="59"/>
      <c r="BS377" s="58" t="str">
        <f t="shared" si="199"/>
        <v/>
      </c>
      <c r="BT377" s="59"/>
      <c r="BU377" s="58" t="str">
        <f t="shared" si="200"/>
        <v/>
      </c>
      <c r="BV377" s="59"/>
      <c r="BW377" s="58" t="str">
        <f t="shared" si="201"/>
        <v/>
      </c>
      <c r="BX377" s="59"/>
      <c r="BY377" s="58" t="str">
        <f t="shared" si="202"/>
        <v/>
      </c>
      <c r="BZ377" s="59"/>
    </row>
    <row r="378" spans="1:78" ht="14.5" hidden="1">
      <c r="A378" s="51" t="s">
        <v>58</v>
      </c>
      <c r="B378" s="52">
        <v>406</v>
      </c>
      <c r="C378" s="52" t="s">
        <v>188</v>
      </c>
      <c r="D378" s="41">
        <f t="shared" si="177"/>
        <v>7</v>
      </c>
      <c r="E378" s="170"/>
      <c r="F378" s="41"/>
      <c r="G378" s="52" t="s">
        <v>158</v>
      </c>
      <c r="H378" s="52" t="s">
        <v>242</v>
      </c>
      <c r="I378" s="52" t="s">
        <v>156</v>
      </c>
      <c r="J378" s="52" t="s">
        <v>432</v>
      </c>
      <c r="K378" s="53">
        <v>45702</v>
      </c>
      <c r="L378" s="108">
        <v>1072</v>
      </c>
      <c r="M378" s="101"/>
      <c r="N378" s="101"/>
      <c r="O378" s="107">
        <f t="shared" si="203"/>
        <v>1072</v>
      </c>
      <c r="P378" s="54">
        <f t="shared" si="204"/>
        <v>1072</v>
      </c>
      <c r="Q378" s="101" t="s">
        <v>437</v>
      </c>
      <c r="R378" s="101"/>
      <c r="S378" s="101"/>
      <c r="T378" s="102">
        <f t="shared" si="178"/>
        <v>1.4888888888888889</v>
      </c>
      <c r="U378" s="102">
        <v>6</v>
      </c>
      <c r="V378" s="99">
        <v>120</v>
      </c>
      <c r="W378" s="55">
        <f t="shared" si="205"/>
        <v>45682</v>
      </c>
      <c r="X378" s="55"/>
      <c r="Y378" s="56">
        <f t="shared" ca="1" si="207"/>
        <v>-158</v>
      </c>
      <c r="Z378" s="55">
        <f t="shared" si="206"/>
        <v>45698</v>
      </c>
      <c r="AA378" s="55"/>
      <c r="AB378" s="56">
        <f t="shared" ca="1" si="208"/>
        <v>-142</v>
      </c>
      <c r="AC378" s="55"/>
      <c r="AD378" s="57"/>
      <c r="AE378" s="58" t="str">
        <f t="shared" si="179"/>
        <v>-</v>
      </c>
      <c r="AF378" s="59"/>
      <c r="AG378" s="58" t="str">
        <f t="shared" si="180"/>
        <v/>
      </c>
      <c r="AH378" s="59"/>
      <c r="AI378" s="58" t="str">
        <f t="shared" si="181"/>
        <v/>
      </c>
      <c r="AJ378" s="59"/>
      <c r="AK378" s="58" t="str">
        <f t="shared" si="182"/>
        <v/>
      </c>
      <c r="AL378" s="59"/>
      <c r="AM378" s="58" t="str">
        <f t="shared" si="183"/>
        <v/>
      </c>
      <c r="AN378" s="59"/>
      <c r="AO378" s="58" t="str">
        <f t="shared" si="184"/>
        <v/>
      </c>
      <c r="AP378" s="59"/>
      <c r="AQ378" s="58" t="str">
        <f t="shared" si="185"/>
        <v/>
      </c>
      <c r="AR378" s="59"/>
      <c r="AS378" s="58" t="str">
        <f t="shared" si="186"/>
        <v/>
      </c>
      <c r="AT378" s="59"/>
      <c r="AU378" s="58" t="str">
        <f t="shared" si="187"/>
        <v/>
      </c>
      <c r="AV378" s="59"/>
      <c r="AW378" s="58" t="str">
        <f t="shared" si="188"/>
        <v/>
      </c>
      <c r="AX378" s="59"/>
      <c r="AY378" s="58" t="str">
        <f t="shared" si="189"/>
        <v/>
      </c>
      <c r="AZ378" s="59"/>
      <c r="BA378" s="58" t="str">
        <f t="shared" si="190"/>
        <v/>
      </c>
      <c r="BB378" s="59"/>
      <c r="BC378" s="58" t="str">
        <f t="shared" si="191"/>
        <v/>
      </c>
      <c r="BD378" s="59"/>
      <c r="BE378" s="58" t="str">
        <f t="shared" si="192"/>
        <v/>
      </c>
      <c r="BF378" s="59"/>
      <c r="BG378" s="58" t="str">
        <f t="shared" si="193"/>
        <v/>
      </c>
      <c r="BH378" s="59"/>
      <c r="BI378" s="58">
        <f t="shared" si="194"/>
        <v>1072</v>
      </c>
      <c r="BJ378" s="59"/>
      <c r="BK378" s="58" t="str">
        <f t="shared" si="195"/>
        <v/>
      </c>
      <c r="BL378" s="59"/>
      <c r="BM378" s="58" t="str">
        <f t="shared" si="196"/>
        <v/>
      </c>
      <c r="BN378" s="59"/>
      <c r="BO378" s="58" t="str">
        <f t="shared" si="197"/>
        <v/>
      </c>
      <c r="BP378" s="59"/>
      <c r="BQ378" s="58" t="str">
        <f t="shared" si="198"/>
        <v/>
      </c>
      <c r="BR378" s="59"/>
      <c r="BS378" s="58" t="str">
        <f t="shared" si="199"/>
        <v/>
      </c>
      <c r="BT378" s="59"/>
      <c r="BU378" s="58" t="str">
        <f t="shared" si="200"/>
        <v/>
      </c>
      <c r="BV378" s="59"/>
      <c r="BW378" s="58" t="str">
        <f t="shared" si="201"/>
        <v/>
      </c>
      <c r="BX378" s="59"/>
      <c r="BY378" s="58" t="str">
        <f t="shared" si="202"/>
        <v/>
      </c>
      <c r="BZ378" s="59"/>
    </row>
    <row r="379" spans="1:78" ht="14.5" hidden="1">
      <c r="A379" s="51" t="s">
        <v>58</v>
      </c>
      <c r="B379" s="52">
        <v>406</v>
      </c>
      <c r="C379" s="52" t="s">
        <v>188</v>
      </c>
      <c r="D379" s="41">
        <f t="shared" si="177"/>
        <v>7</v>
      </c>
      <c r="E379" s="170"/>
      <c r="F379" s="41"/>
      <c r="G379" s="52" t="s">
        <v>190</v>
      </c>
      <c r="H379" s="52" t="s">
        <v>242</v>
      </c>
      <c r="I379" s="52" t="s">
        <v>244</v>
      </c>
      <c r="J379" s="52" t="s">
        <v>438</v>
      </c>
      <c r="K379" s="53">
        <v>45702</v>
      </c>
      <c r="L379" s="108">
        <v>1368</v>
      </c>
      <c r="M379" s="101"/>
      <c r="N379" s="101"/>
      <c r="O379" s="107">
        <f t="shared" si="203"/>
        <v>1368</v>
      </c>
      <c r="P379" s="54">
        <f t="shared" si="204"/>
        <v>1368</v>
      </c>
      <c r="Q379" s="101" t="s">
        <v>431</v>
      </c>
      <c r="R379" s="101"/>
      <c r="S379" s="101"/>
      <c r="T379" s="102">
        <f t="shared" si="178"/>
        <v>1.9</v>
      </c>
      <c r="U379" s="102">
        <v>6</v>
      </c>
      <c r="V379" s="99">
        <v>120</v>
      </c>
      <c r="W379" s="55">
        <f t="shared" si="205"/>
        <v>45682</v>
      </c>
      <c r="X379" s="55"/>
      <c r="Y379" s="56">
        <f t="shared" ca="1" si="207"/>
        <v>-158</v>
      </c>
      <c r="Z379" s="55">
        <f t="shared" si="206"/>
        <v>45698</v>
      </c>
      <c r="AA379" s="55"/>
      <c r="AB379" s="56">
        <f t="shared" ca="1" si="208"/>
        <v>-142</v>
      </c>
      <c r="AC379" s="55"/>
      <c r="AD379" s="57"/>
      <c r="AE379" s="58" t="str">
        <f t="shared" si="179"/>
        <v>-</v>
      </c>
      <c r="AF379" s="59"/>
      <c r="AG379" s="58" t="str">
        <f t="shared" si="180"/>
        <v/>
      </c>
      <c r="AH379" s="59"/>
      <c r="AI379" s="58" t="str">
        <f t="shared" si="181"/>
        <v/>
      </c>
      <c r="AJ379" s="59"/>
      <c r="AK379" s="58" t="str">
        <f t="shared" si="182"/>
        <v/>
      </c>
      <c r="AL379" s="59"/>
      <c r="AM379" s="58" t="str">
        <f t="shared" si="183"/>
        <v/>
      </c>
      <c r="AN379" s="59"/>
      <c r="AO379" s="58" t="str">
        <f t="shared" si="184"/>
        <v/>
      </c>
      <c r="AP379" s="59"/>
      <c r="AQ379" s="58" t="str">
        <f t="shared" si="185"/>
        <v/>
      </c>
      <c r="AR379" s="59"/>
      <c r="AS379" s="58" t="str">
        <f t="shared" si="186"/>
        <v/>
      </c>
      <c r="AT379" s="59"/>
      <c r="AU379" s="58" t="str">
        <f t="shared" si="187"/>
        <v/>
      </c>
      <c r="AV379" s="59"/>
      <c r="AW379" s="58" t="str">
        <f t="shared" si="188"/>
        <v/>
      </c>
      <c r="AX379" s="59"/>
      <c r="AY379" s="58" t="str">
        <f t="shared" si="189"/>
        <v/>
      </c>
      <c r="AZ379" s="59"/>
      <c r="BA379" s="58" t="str">
        <f t="shared" si="190"/>
        <v/>
      </c>
      <c r="BB379" s="59"/>
      <c r="BC379" s="58" t="str">
        <f t="shared" si="191"/>
        <v/>
      </c>
      <c r="BD379" s="59"/>
      <c r="BE379" s="58" t="str">
        <f t="shared" si="192"/>
        <v/>
      </c>
      <c r="BF379" s="59"/>
      <c r="BG379" s="58" t="str">
        <f t="shared" si="193"/>
        <v/>
      </c>
      <c r="BH379" s="59"/>
      <c r="BI379" s="58">
        <f t="shared" si="194"/>
        <v>1368</v>
      </c>
      <c r="BJ379" s="59"/>
      <c r="BK379" s="58" t="str">
        <f t="shared" si="195"/>
        <v/>
      </c>
      <c r="BL379" s="59"/>
      <c r="BM379" s="58" t="str">
        <f t="shared" si="196"/>
        <v/>
      </c>
      <c r="BN379" s="59"/>
      <c r="BO379" s="58" t="str">
        <f t="shared" si="197"/>
        <v/>
      </c>
      <c r="BP379" s="59"/>
      <c r="BQ379" s="58" t="str">
        <f t="shared" si="198"/>
        <v/>
      </c>
      <c r="BR379" s="59"/>
      <c r="BS379" s="58" t="str">
        <f t="shared" si="199"/>
        <v/>
      </c>
      <c r="BT379" s="59"/>
      <c r="BU379" s="58" t="str">
        <f t="shared" si="200"/>
        <v/>
      </c>
      <c r="BV379" s="59"/>
      <c r="BW379" s="58" t="str">
        <f t="shared" si="201"/>
        <v/>
      </c>
      <c r="BX379" s="59"/>
      <c r="BY379" s="58" t="str">
        <f t="shared" si="202"/>
        <v/>
      </c>
      <c r="BZ379" s="59"/>
    </row>
    <row r="380" spans="1:78" ht="14.5" hidden="1">
      <c r="A380" s="51" t="s">
        <v>58</v>
      </c>
      <c r="B380" s="52">
        <v>407</v>
      </c>
      <c r="C380" s="52" t="s">
        <v>188</v>
      </c>
      <c r="D380" s="41">
        <f t="shared" si="177"/>
        <v>7</v>
      </c>
      <c r="E380" s="170"/>
      <c r="F380" s="41"/>
      <c r="G380" s="52" t="s">
        <v>158</v>
      </c>
      <c r="H380" s="52" t="s">
        <v>242</v>
      </c>
      <c r="I380" s="52" t="s">
        <v>155</v>
      </c>
      <c r="J380" s="52" t="s">
        <v>432</v>
      </c>
      <c r="K380" s="53">
        <v>45702</v>
      </c>
      <c r="L380" s="108">
        <v>1336</v>
      </c>
      <c r="M380" s="101"/>
      <c r="N380" s="101"/>
      <c r="O380" s="107">
        <f t="shared" si="203"/>
        <v>1336</v>
      </c>
      <c r="P380" s="54">
        <f t="shared" si="204"/>
        <v>1336</v>
      </c>
      <c r="Q380" s="101" t="s">
        <v>437</v>
      </c>
      <c r="R380" s="101"/>
      <c r="S380" s="101"/>
      <c r="T380" s="102">
        <f t="shared" si="178"/>
        <v>1.8555555555555556</v>
      </c>
      <c r="U380" s="102">
        <v>6</v>
      </c>
      <c r="V380" s="99">
        <v>120</v>
      </c>
      <c r="W380" s="55">
        <f t="shared" si="205"/>
        <v>45682</v>
      </c>
      <c r="X380" s="55"/>
      <c r="Y380" s="56">
        <f t="shared" ca="1" si="207"/>
        <v>-158</v>
      </c>
      <c r="Z380" s="55">
        <f t="shared" si="206"/>
        <v>45698</v>
      </c>
      <c r="AA380" s="55"/>
      <c r="AB380" s="56">
        <f t="shared" ca="1" si="208"/>
        <v>-142</v>
      </c>
      <c r="AC380" s="55"/>
      <c r="AD380" s="57"/>
      <c r="AE380" s="58" t="str">
        <f t="shared" si="179"/>
        <v>-</v>
      </c>
      <c r="AF380" s="59"/>
      <c r="AG380" s="58" t="str">
        <f t="shared" si="180"/>
        <v/>
      </c>
      <c r="AH380" s="59"/>
      <c r="AI380" s="58" t="str">
        <f t="shared" si="181"/>
        <v/>
      </c>
      <c r="AJ380" s="59"/>
      <c r="AK380" s="58" t="str">
        <f t="shared" si="182"/>
        <v/>
      </c>
      <c r="AL380" s="59"/>
      <c r="AM380" s="58" t="str">
        <f t="shared" si="183"/>
        <v/>
      </c>
      <c r="AN380" s="59"/>
      <c r="AO380" s="58" t="str">
        <f t="shared" si="184"/>
        <v/>
      </c>
      <c r="AP380" s="59"/>
      <c r="AQ380" s="58" t="str">
        <f t="shared" si="185"/>
        <v/>
      </c>
      <c r="AR380" s="59"/>
      <c r="AS380" s="58" t="str">
        <f t="shared" si="186"/>
        <v/>
      </c>
      <c r="AT380" s="59"/>
      <c r="AU380" s="58" t="str">
        <f t="shared" si="187"/>
        <v/>
      </c>
      <c r="AV380" s="59"/>
      <c r="AW380" s="58" t="str">
        <f t="shared" si="188"/>
        <v/>
      </c>
      <c r="AX380" s="59"/>
      <c r="AY380" s="58" t="str">
        <f t="shared" si="189"/>
        <v/>
      </c>
      <c r="AZ380" s="59"/>
      <c r="BA380" s="58" t="str">
        <f t="shared" si="190"/>
        <v/>
      </c>
      <c r="BB380" s="59"/>
      <c r="BC380" s="58" t="str">
        <f t="shared" si="191"/>
        <v/>
      </c>
      <c r="BD380" s="59"/>
      <c r="BE380" s="58" t="str">
        <f t="shared" si="192"/>
        <v/>
      </c>
      <c r="BF380" s="59"/>
      <c r="BG380" s="58" t="str">
        <f t="shared" si="193"/>
        <v/>
      </c>
      <c r="BH380" s="59"/>
      <c r="BI380" s="58">
        <f t="shared" si="194"/>
        <v>1336</v>
      </c>
      <c r="BJ380" s="59"/>
      <c r="BK380" s="58" t="str">
        <f t="shared" si="195"/>
        <v/>
      </c>
      <c r="BL380" s="59"/>
      <c r="BM380" s="58" t="str">
        <f t="shared" si="196"/>
        <v/>
      </c>
      <c r="BN380" s="59"/>
      <c r="BO380" s="58" t="str">
        <f t="shared" si="197"/>
        <v/>
      </c>
      <c r="BP380" s="59"/>
      <c r="BQ380" s="58" t="str">
        <f t="shared" si="198"/>
        <v/>
      </c>
      <c r="BR380" s="59"/>
      <c r="BS380" s="58" t="str">
        <f t="shared" si="199"/>
        <v/>
      </c>
      <c r="BT380" s="59"/>
      <c r="BU380" s="58" t="str">
        <f t="shared" si="200"/>
        <v/>
      </c>
      <c r="BV380" s="59"/>
      <c r="BW380" s="58" t="str">
        <f t="shared" si="201"/>
        <v/>
      </c>
      <c r="BX380" s="59"/>
      <c r="BY380" s="58" t="str">
        <f t="shared" si="202"/>
        <v/>
      </c>
      <c r="BZ380" s="59"/>
    </row>
    <row r="381" spans="1:78" ht="14.5" hidden="1">
      <c r="A381" s="51" t="s">
        <v>58</v>
      </c>
      <c r="B381" s="52">
        <v>407</v>
      </c>
      <c r="C381" s="52" t="s">
        <v>188</v>
      </c>
      <c r="D381" s="41">
        <f t="shared" si="177"/>
        <v>7</v>
      </c>
      <c r="E381" s="170"/>
      <c r="F381" s="41"/>
      <c r="G381" s="52" t="s">
        <v>158</v>
      </c>
      <c r="H381" s="52" t="s">
        <v>242</v>
      </c>
      <c r="I381" s="52" t="s">
        <v>156</v>
      </c>
      <c r="J381" s="52" t="s">
        <v>432</v>
      </c>
      <c r="K381" s="53">
        <v>45702</v>
      </c>
      <c r="L381" s="108">
        <v>1336</v>
      </c>
      <c r="M381" s="101"/>
      <c r="N381" s="101"/>
      <c r="O381" s="107">
        <f t="shared" si="203"/>
        <v>1336</v>
      </c>
      <c r="P381" s="54">
        <f t="shared" si="204"/>
        <v>1336</v>
      </c>
      <c r="Q381" s="101" t="s">
        <v>437</v>
      </c>
      <c r="R381" s="101"/>
      <c r="S381" s="101"/>
      <c r="T381" s="102">
        <f t="shared" si="178"/>
        <v>1.8555555555555556</v>
      </c>
      <c r="U381" s="102">
        <v>6</v>
      </c>
      <c r="V381" s="99">
        <v>120</v>
      </c>
      <c r="W381" s="55">
        <f t="shared" si="205"/>
        <v>45682</v>
      </c>
      <c r="X381" s="55"/>
      <c r="Y381" s="56">
        <f t="shared" ca="1" si="207"/>
        <v>-158</v>
      </c>
      <c r="Z381" s="55">
        <f t="shared" si="206"/>
        <v>45698</v>
      </c>
      <c r="AA381" s="55"/>
      <c r="AB381" s="56">
        <f t="shared" ca="1" si="208"/>
        <v>-142</v>
      </c>
      <c r="AC381" s="55"/>
      <c r="AD381" s="57"/>
      <c r="AE381" s="58" t="str">
        <f t="shared" si="179"/>
        <v>-</v>
      </c>
      <c r="AF381" s="59"/>
      <c r="AG381" s="58" t="str">
        <f t="shared" si="180"/>
        <v/>
      </c>
      <c r="AH381" s="59"/>
      <c r="AI381" s="58" t="str">
        <f t="shared" si="181"/>
        <v/>
      </c>
      <c r="AJ381" s="59"/>
      <c r="AK381" s="58" t="str">
        <f t="shared" si="182"/>
        <v/>
      </c>
      <c r="AL381" s="59"/>
      <c r="AM381" s="58" t="str">
        <f t="shared" si="183"/>
        <v/>
      </c>
      <c r="AN381" s="59"/>
      <c r="AO381" s="58" t="str">
        <f t="shared" si="184"/>
        <v/>
      </c>
      <c r="AP381" s="59"/>
      <c r="AQ381" s="58" t="str">
        <f t="shared" si="185"/>
        <v/>
      </c>
      <c r="AR381" s="59"/>
      <c r="AS381" s="58" t="str">
        <f t="shared" si="186"/>
        <v/>
      </c>
      <c r="AT381" s="59"/>
      <c r="AU381" s="58" t="str">
        <f t="shared" si="187"/>
        <v/>
      </c>
      <c r="AV381" s="59"/>
      <c r="AW381" s="58" t="str">
        <f t="shared" si="188"/>
        <v/>
      </c>
      <c r="AX381" s="59"/>
      <c r="AY381" s="58" t="str">
        <f t="shared" si="189"/>
        <v/>
      </c>
      <c r="AZ381" s="59"/>
      <c r="BA381" s="58" t="str">
        <f t="shared" si="190"/>
        <v/>
      </c>
      <c r="BB381" s="59"/>
      <c r="BC381" s="58" t="str">
        <f t="shared" si="191"/>
        <v/>
      </c>
      <c r="BD381" s="59"/>
      <c r="BE381" s="58" t="str">
        <f t="shared" si="192"/>
        <v/>
      </c>
      <c r="BF381" s="59"/>
      <c r="BG381" s="58" t="str">
        <f t="shared" si="193"/>
        <v/>
      </c>
      <c r="BH381" s="59"/>
      <c r="BI381" s="58">
        <f t="shared" si="194"/>
        <v>1336</v>
      </c>
      <c r="BJ381" s="59"/>
      <c r="BK381" s="58" t="str">
        <f t="shared" si="195"/>
        <v/>
      </c>
      <c r="BL381" s="59"/>
      <c r="BM381" s="58" t="str">
        <f t="shared" si="196"/>
        <v/>
      </c>
      <c r="BN381" s="59"/>
      <c r="BO381" s="58" t="str">
        <f t="shared" si="197"/>
        <v/>
      </c>
      <c r="BP381" s="59"/>
      <c r="BQ381" s="58" t="str">
        <f t="shared" si="198"/>
        <v/>
      </c>
      <c r="BR381" s="59"/>
      <c r="BS381" s="58" t="str">
        <f t="shared" si="199"/>
        <v/>
      </c>
      <c r="BT381" s="59"/>
      <c r="BU381" s="58" t="str">
        <f t="shared" si="200"/>
        <v/>
      </c>
      <c r="BV381" s="59"/>
      <c r="BW381" s="58" t="str">
        <f t="shared" si="201"/>
        <v/>
      </c>
      <c r="BX381" s="59"/>
      <c r="BY381" s="58" t="str">
        <f t="shared" si="202"/>
        <v/>
      </c>
      <c r="BZ381" s="59"/>
    </row>
    <row r="382" spans="1:78" ht="14.5" hidden="1">
      <c r="A382" s="51" t="s">
        <v>58</v>
      </c>
      <c r="B382" s="52">
        <v>407</v>
      </c>
      <c r="C382" s="52" t="s">
        <v>188</v>
      </c>
      <c r="D382" s="41">
        <f t="shared" si="177"/>
        <v>7</v>
      </c>
      <c r="E382" s="170"/>
      <c r="F382" s="41"/>
      <c r="G382" s="52" t="s">
        <v>190</v>
      </c>
      <c r="H382" s="52" t="s">
        <v>242</v>
      </c>
      <c r="I382" s="52" t="s">
        <v>244</v>
      </c>
      <c r="J382" s="52" t="s">
        <v>438</v>
      </c>
      <c r="K382" s="53">
        <v>45702</v>
      </c>
      <c r="L382" s="108">
        <v>1180</v>
      </c>
      <c r="M382" s="101"/>
      <c r="N382" s="101"/>
      <c r="O382" s="107">
        <f t="shared" si="203"/>
        <v>1180</v>
      </c>
      <c r="P382" s="54">
        <f t="shared" si="204"/>
        <v>1180</v>
      </c>
      <c r="Q382" s="101" t="s">
        <v>431</v>
      </c>
      <c r="R382" s="101"/>
      <c r="S382" s="101"/>
      <c r="T382" s="102">
        <f t="shared" si="178"/>
        <v>1.6388888888888888</v>
      </c>
      <c r="U382" s="102">
        <v>6</v>
      </c>
      <c r="V382" s="99">
        <v>120</v>
      </c>
      <c r="W382" s="55">
        <f t="shared" si="205"/>
        <v>45682</v>
      </c>
      <c r="X382" s="55"/>
      <c r="Y382" s="56">
        <f t="shared" ca="1" si="207"/>
        <v>-158</v>
      </c>
      <c r="Z382" s="55">
        <f t="shared" si="206"/>
        <v>45698</v>
      </c>
      <c r="AA382" s="55"/>
      <c r="AB382" s="56">
        <f t="shared" ca="1" si="208"/>
        <v>-142</v>
      </c>
      <c r="AC382" s="55"/>
      <c r="AD382" s="57"/>
      <c r="AE382" s="58" t="str">
        <f t="shared" si="179"/>
        <v>-</v>
      </c>
      <c r="AF382" s="59"/>
      <c r="AG382" s="58" t="str">
        <f t="shared" si="180"/>
        <v/>
      </c>
      <c r="AH382" s="59"/>
      <c r="AI382" s="58" t="str">
        <f t="shared" si="181"/>
        <v/>
      </c>
      <c r="AJ382" s="59"/>
      <c r="AK382" s="58" t="str">
        <f t="shared" si="182"/>
        <v/>
      </c>
      <c r="AL382" s="59"/>
      <c r="AM382" s="58" t="str">
        <f t="shared" si="183"/>
        <v/>
      </c>
      <c r="AN382" s="59"/>
      <c r="AO382" s="58" t="str">
        <f t="shared" si="184"/>
        <v/>
      </c>
      <c r="AP382" s="59"/>
      <c r="AQ382" s="58" t="str">
        <f t="shared" si="185"/>
        <v/>
      </c>
      <c r="AR382" s="59"/>
      <c r="AS382" s="58" t="str">
        <f t="shared" si="186"/>
        <v/>
      </c>
      <c r="AT382" s="59"/>
      <c r="AU382" s="58" t="str">
        <f t="shared" si="187"/>
        <v/>
      </c>
      <c r="AV382" s="59"/>
      <c r="AW382" s="58" t="str">
        <f t="shared" si="188"/>
        <v/>
      </c>
      <c r="AX382" s="59"/>
      <c r="AY382" s="58" t="str">
        <f t="shared" si="189"/>
        <v/>
      </c>
      <c r="AZ382" s="59"/>
      <c r="BA382" s="58" t="str">
        <f t="shared" si="190"/>
        <v/>
      </c>
      <c r="BB382" s="59"/>
      <c r="BC382" s="58" t="str">
        <f t="shared" si="191"/>
        <v/>
      </c>
      <c r="BD382" s="59"/>
      <c r="BE382" s="58" t="str">
        <f t="shared" si="192"/>
        <v/>
      </c>
      <c r="BF382" s="59"/>
      <c r="BG382" s="58" t="str">
        <f t="shared" si="193"/>
        <v/>
      </c>
      <c r="BH382" s="59"/>
      <c r="BI382" s="58">
        <f t="shared" si="194"/>
        <v>1180</v>
      </c>
      <c r="BJ382" s="59"/>
      <c r="BK382" s="58" t="str">
        <f t="shared" si="195"/>
        <v/>
      </c>
      <c r="BL382" s="59"/>
      <c r="BM382" s="58" t="str">
        <f t="shared" si="196"/>
        <v/>
      </c>
      <c r="BN382" s="59"/>
      <c r="BO382" s="58" t="str">
        <f t="shared" si="197"/>
        <v/>
      </c>
      <c r="BP382" s="59"/>
      <c r="BQ382" s="58" t="str">
        <f t="shared" si="198"/>
        <v/>
      </c>
      <c r="BR382" s="59"/>
      <c r="BS382" s="58" t="str">
        <f t="shared" si="199"/>
        <v/>
      </c>
      <c r="BT382" s="59"/>
      <c r="BU382" s="58" t="str">
        <f t="shared" si="200"/>
        <v/>
      </c>
      <c r="BV382" s="59"/>
      <c r="BW382" s="58" t="str">
        <f t="shared" si="201"/>
        <v/>
      </c>
      <c r="BX382" s="59"/>
      <c r="BY382" s="58" t="str">
        <f t="shared" si="202"/>
        <v/>
      </c>
      <c r="BZ382" s="59"/>
    </row>
    <row r="383" spans="1:78" ht="14.5" hidden="1">
      <c r="A383" s="51" t="s">
        <v>58</v>
      </c>
      <c r="B383" s="52">
        <v>410</v>
      </c>
      <c r="C383" s="52" t="s">
        <v>188</v>
      </c>
      <c r="D383" s="41">
        <f t="shared" si="177"/>
        <v>7</v>
      </c>
      <c r="E383" s="170" t="s">
        <v>631</v>
      </c>
      <c r="F383" s="41" t="s">
        <v>631</v>
      </c>
      <c r="G383" s="52" t="s">
        <v>205</v>
      </c>
      <c r="H383" s="52" t="s">
        <v>243</v>
      </c>
      <c r="I383" s="52" t="s">
        <v>162</v>
      </c>
      <c r="J383" s="52" t="s">
        <v>428</v>
      </c>
      <c r="K383" s="53">
        <v>45702</v>
      </c>
      <c r="L383" s="108">
        <v>498</v>
      </c>
      <c r="M383" s="101"/>
      <c r="N383" s="101"/>
      <c r="O383" s="107">
        <f t="shared" si="203"/>
        <v>498</v>
      </c>
      <c r="P383" s="54">
        <f t="shared" si="204"/>
        <v>498</v>
      </c>
      <c r="Q383" s="101" t="s">
        <v>429</v>
      </c>
      <c r="R383" s="101"/>
      <c r="S383" s="101"/>
      <c r="T383" s="102">
        <f t="shared" si="178"/>
        <v>8.3000000000000004E-2</v>
      </c>
      <c r="U383" s="102">
        <v>6</v>
      </c>
      <c r="V383" s="99">
        <v>1000</v>
      </c>
      <c r="W383" s="55">
        <f t="shared" si="205"/>
        <v>45682</v>
      </c>
      <c r="X383" s="55"/>
      <c r="Y383" s="56">
        <f t="shared" ca="1" si="207"/>
        <v>-158</v>
      </c>
      <c r="Z383" s="55">
        <f t="shared" si="206"/>
        <v>45698</v>
      </c>
      <c r="AA383" s="55"/>
      <c r="AB383" s="56">
        <f t="shared" ca="1" si="208"/>
        <v>-142</v>
      </c>
      <c r="AC383" s="55"/>
      <c r="AD383" s="57"/>
      <c r="AE383" s="58" t="str">
        <f t="shared" si="179"/>
        <v>-</v>
      </c>
      <c r="AF383" s="59"/>
      <c r="AG383" s="58" t="str">
        <f t="shared" si="180"/>
        <v/>
      </c>
      <c r="AH383" s="59"/>
      <c r="AI383" s="58" t="str">
        <f t="shared" si="181"/>
        <v/>
      </c>
      <c r="AJ383" s="59"/>
      <c r="AK383" s="58" t="str">
        <f t="shared" si="182"/>
        <v/>
      </c>
      <c r="AL383" s="59"/>
      <c r="AM383" s="58" t="str">
        <f t="shared" si="183"/>
        <v/>
      </c>
      <c r="AN383" s="59"/>
      <c r="AO383" s="58" t="str">
        <f t="shared" si="184"/>
        <v/>
      </c>
      <c r="AP383" s="59"/>
      <c r="AQ383" s="58" t="str">
        <f t="shared" si="185"/>
        <v/>
      </c>
      <c r="AR383" s="59"/>
      <c r="AS383" s="58" t="str">
        <f t="shared" si="186"/>
        <v/>
      </c>
      <c r="AT383" s="59"/>
      <c r="AU383" s="58" t="str">
        <f t="shared" si="187"/>
        <v/>
      </c>
      <c r="AV383" s="59"/>
      <c r="AW383" s="58" t="str">
        <f t="shared" si="188"/>
        <v/>
      </c>
      <c r="AX383" s="59"/>
      <c r="AY383" s="58" t="str">
        <f t="shared" si="189"/>
        <v/>
      </c>
      <c r="AZ383" s="59"/>
      <c r="BA383" s="58" t="str">
        <f t="shared" si="190"/>
        <v/>
      </c>
      <c r="BB383" s="59"/>
      <c r="BC383" s="58" t="str">
        <f t="shared" si="191"/>
        <v/>
      </c>
      <c r="BD383" s="59"/>
      <c r="BE383" s="58" t="str">
        <f t="shared" si="192"/>
        <v/>
      </c>
      <c r="BF383" s="59"/>
      <c r="BG383" s="58" t="str">
        <f t="shared" si="193"/>
        <v/>
      </c>
      <c r="BH383" s="59"/>
      <c r="BI383" s="58">
        <f t="shared" si="194"/>
        <v>498</v>
      </c>
      <c r="BJ383" s="59"/>
      <c r="BK383" s="58" t="str">
        <f t="shared" si="195"/>
        <v/>
      </c>
      <c r="BL383" s="59"/>
      <c r="BM383" s="58" t="str">
        <f t="shared" si="196"/>
        <v/>
      </c>
      <c r="BN383" s="59"/>
      <c r="BO383" s="58" t="str">
        <f t="shared" si="197"/>
        <v/>
      </c>
      <c r="BP383" s="59"/>
      <c r="BQ383" s="58" t="str">
        <f t="shared" si="198"/>
        <v/>
      </c>
      <c r="BR383" s="59"/>
      <c r="BS383" s="58" t="str">
        <f t="shared" si="199"/>
        <v/>
      </c>
      <c r="BT383" s="59"/>
      <c r="BU383" s="58" t="str">
        <f t="shared" si="200"/>
        <v/>
      </c>
      <c r="BV383" s="59"/>
      <c r="BW383" s="58" t="str">
        <f t="shared" si="201"/>
        <v/>
      </c>
      <c r="BX383" s="59"/>
      <c r="BY383" s="58" t="str">
        <f t="shared" si="202"/>
        <v/>
      </c>
      <c r="BZ383" s="59"/>
    </row>
    <row r="384" spans="1:78" ht="14.5" hidden="1">
      <c r="A384" s="51" t="s">
        <v>58</v>
      </c>
      <c r="B384" s="52">
        <v>410</v>
      </c>
      <c r="C384" s="52" t="s">
        <v>188</v>
      </c>
      <c r="D384" s="41">
        <f t="shared" si="177"/>
        <v>7</v>
      </c>
      <c r="E384" s="170"/>
      <c r="F384" s="41"/>
      <c r="G384" s="52" t="s">
        <v>158</v>
      </c>
      <c r="H384" s="52" t="s">
        <v>242</v>
      </c>
      <c r="I384" s="52" t="s">
        <v>155</v>
      </c>
      <c r="J384" s="52" t="s">
        <v>432</v>
      </c>
      <c r="K384" s="53">
        <v>45702</v>
      </c>
      <c r="L384" s="108">
        <v>1356</v>
      </c>
      <c r="M384" s="101"/>
      <c r="N384" s="101"/>
      <c r="O384" s="107">
        <f t="shared" si="203"/>
        <v>1356</v>
      </c>
      <c r="P384" s="54">
        <f t="shared" si="204"/>
        <v>1356</v>
      </c>
      <c r="Q384" s="101" t="s">
        <v>437</v>
      </c>
      <c r="R384" s="101"/>
      <c r="S384" s="101"/>
      <c r="T384" s="102">
        <f t="shared" si="178"/>
        <v>1.8833333333333333</v>
      </c>
      <c r="U384" s="102">
        <v>6</v>
      </c>
      <c r="V384" s="99">
        <v>120</v>
      </c>
      <c r="W384" s="55">
        <f t="shared" si="205"/>
        <v>45682</v>
      </c>
      <c r="X384" s="55"/>
      <c r="Y384" s="56">
        <f t="shared" ca="1" si="207"/>
        <v>-158</v>
      </c>
      <c r="Z384" s="55">
        <f t="shared" si="206"/>
        <v>45698</v>
      </c>
      <c r="AA384" s="55"/>
      <c r="AB384" s="56">
        <f t="shared" ca="1" si="208"/>
        <v>-142</v>
      </c>
      <c r="AC384" s="55"/>
      <c r="AD384" s="57"/>
      <c r="AE384" s="58" t="str">
        <f t="shared" si="179"/>
        <v>-</v>
      </c>
      <c r="AF384" s="59"/>
      <c r="AG384" s="58" t="str">
        <f t="shared" si="180"/>
        <v/>
      </c>
      <c r="AH384" s="59"/>
      <c r="AI384" s="58" t="str">
        <f t="shared" si="181"/>
        <v/>
      </c>
      <c r="AJ384" s="59"/>
      <c r="AK384" s="58" t="str">
        <f t="shared" si="182"/>
        <v/>
      </c>
      <c r="AL384" s="59"/>
      <c r="AM384" s="58" t="str">
        <f t="shared" si="183"/>
        <v/>
      </c>
      <c r="AN384" s="59"/>
      <c r="AO384" s="58" t="str">
        <f t="shared" si="184"/>
        <v/>
      </c>
      <c r="AP384" s="59"/>
      <c r="AQ384" s="58" t="str">
        <f t="shared" si="185"/>
        <v/>
      </c>
      <c r="AR384" s="59"/>
      <c r="AS384" s="58" t="str">
        <f t="shared" si="186"/>
        <v/>
      </c>
      <c r="AT384" s="59"/>
      <c r="AU384" s="58" t="str">
        <f t="shared" si="187"/>
        <v/>
      </c>
      <c r="AV384" s="59"/>
      <c r="AW384" s="58" t="str">
        <f t="shared" si="188"/>
        <v/>
      </c>
      <c r="AX384" s="59"/>
      <c r="AY384" s="58" t="str">
        <f t="shared" si="189"/>
        <v/>
      </c>
      <c r="AZ384" s="59"/>
      <c r="BA384" s="58" t="str">
        <f t="shared" si="190"/>
        <v/>
      </c>
      <c r="BB384" s="59"/>
      <c r="BC384" s="58" t="str">
        <f t="shared" si="191"/>
        <v/>
      </c>
      <c r="BD384" s="59"/>
      <c r="BE384" s="58" t="str">
        <f t="shared" si="192"/>
        <v/>
      </c>
      <c r="BF384" s="59"/>
      <c r="BG384" s="58" t="str">
        <f t="shared" si="193"/>
        <v/>
      </c>
      <c r="BH384" s="59"/>
      <c r="BI384" s="58">
        <f t="shared" si="194"/>
        <v>1356</v>
      </c>
      <c r="BJ384" s="59"/>
      <c r="BK384" s="58" t="str">
        <f t="shared" si="195"/>
        <v/>
      </c>
      <c r="BL384" s="59"/>
      <c r="BM384" s="58" t="str">
        <f t="shared" si="196"/>
        <v/>
      </c>
      <c r="BN384" s="59"/>
      <c r="BO384" s="58" t="str">
        <f t="shared" si="197"/>
        <v/>
      </c>
      <c r="BP384" s="59"/>
      <c r="BQ384" s="58" t="str">
        <f t="shared" si="198"/>
        <v/>
      </c>
      <c r="BR384" s="59"/>
      <c r="BS384" s="58" t="str">
        <f t="shared" si="199"/>
        <v/>
      </c>
      <c r="BT384" s="59"/>
      <c r="BU384" s="58" t="str">
        <f t="shared" si="200"/>
        <v/>
      </c>
      <c r="BV384" s="59"/>
      <c r="BW384" s="58" t="str">
        <f t="shared" si="201"/>
        <v/>
      </c>
      <c r="BX384" s="59"/>
      <c r="BY384" s="58" t="str">
        <f t="shared" si="202"/>
        <v/>
      </c>
      <c r="BZ384" s="59"/>
    </row>
    <row r="385" spans="1:78" ht="14.5" hidden="1">
      <c r="A385" s="51" t="s">
        <v>58</v>
      </c>
      <c r="B385" s="52">
        <v>410</v>
      </c>
      <c r="C385" s="52" t="s">
        <v>188</v>
      </c>
      <c r="D385" s="41">
        <f t="shared" si="177"/>
        <v>7</v>
      </c>
      <c r="E385" s="170"/>
      <c r="F385" s="41"/>
      <c r="G385" s="52" t="s">
        <v>158</v>
      </c>
      <c r="H385" s="52" t="s">
        <v>242</v>
      </c>
      <c r="I385" s="52" t="s">
        <v>156</v>
      </c>
      <c r="J385" s="52" t="s">
        <v>432</v>
      </c>
      <c r="K385" s="53">
        <v>45702</v>
      </c>
      <c r="L385" s="108">
        <v>2172</v>
      </c>
      <c r="M385" s="101"/>
      <c r="N385" s="101"/>
      <c r="O385" s="107">
        <f t="shared" si="203"/>
        <v>2172</v>
      </c>
      <c r="P385" s="54">
        <f t="shared" si="204"/>
        <v>2172</v>
      </c>
      <c r="Q385" s="101" t="s">
        <v>439</v>
      </c>
      <c r="R385" s="101"/>
      <c r="S385" s="101"/>
      <c r="T385" s="102">
        <f t="shared" si="178"/>
        <v>3.0166666666666666</v>
      </c>
      <c r="U385" s="102">
        <v>6</v>
      </c>
      <c r="V385" s="99">
        <v>120</v>
      </c>
      <c r="W385" s="55">
        <f t="shared" si="205"/>
        <v>45682</v>
      </c>
      <c r="X385" s="55"/>
      <c r="Y385" s="56">
        <f t="shared" ca="1" si="207"/>
        <v>-158</v>
      </c>
      <c r="Z385" s="55">
        <f t="shared" si="206"/>
        <v>45698</v>
      </c>
      <c r="AA385" s="55"/>
      <c r="AB385" s="56">
        <f t="shared" ca="1" si="208"/>
        <v>-142</v>
      </c>
      <c r="AC385" s="55"/>
      <c r="AD385" s="57"/>
      <c r="AE385" s="58" t="str">
        <f t="shared" si="179"/>
        <v>-</v>
      </c>
      <c r="AF385" s="59"/>
      <c r="AG385" s="58" t="str">
        <f t="shared" si="180"/>
        <v/>
      </c>
      <c r="AH385" s="59"/>
      <c r="AI385" s="58" t="str">
        <f t="shared" si="181"/>
        <v/>
      </c>
      <c r="AJ385" s="59"/>
      <c r="AK385" s="58" t="str">
        <f t="shared" si="182"/>
        <v/>
      </c>
      <c r="AL385" s="59"/>
      <c r="AM385" s="58" t="str">
        <f t="shared" si="183"/>
        <v/>
      </c>
      <c r="AN385" s="59"/>
      <c r="AO385" s="58" t="str">
        <f t="shared" si="184"/>
        <v/>
      </c>
      <c r="AP385" s="59"/>
      <c r="AQ385" s="58" t="str">
        <f t="shared" si="185"/>
        <v/>
      </c>
      <c r="AR385" s="59"/>
      <c r="AS385" s="58" t="str">
        <f t="shared" si="186"/>
        <v/>
      </c>
      <c r="AT385" s="59"/>
      <c r="AU385" s="58" t="str">
        <f t="shared" si="187"/>
        <v/>
      </c>
      <c r="AV385" s="59"/>
      <c r="AW385" s="58" t="str">
        <f t="shared" si="188"/>
        <v/>
      </c>
      <c r="AX385" s="59"/>
      <c r="AY385" s="58" t="str">
        <f t="shared" si="189"/>
        <v/>
      </c>
      <c r="AZ385" s="59"/>
      <c r="BA385" s="58" t="str">
        <f t="shared" si="190"/>
        <v/>
      </c>
      <c r="BB385" s="59"/>
      <c r="BC385" s="58" t="str">
        <f t="shared" si="191"/>
        <v/>
      </c>
      <c r="BD385" s="59"/>
      <c r="BE385" s="58" t="str">
        <f t="shared" si="192"/>
        <v/>
      </c>
      <c r="BF385" s="59"/>
      <c r="BG385" s="58" t="str">
        <f t="shared" si="193"/>
        <v/>
      </c>
      <c r="BH385" s="59"/>
      <c r="BI385" s="58">
        <f t="shared" si="194"/>
        <v>2172</v>
      </c>
      <c r="BJ385" s="59"/>
      <c r="BK385" s="58" t="str">
        <f t="shared" si="195"/>
        <v/>
      </c>
      <c r="BL385" s="59"/>
      <c r="BM385" s="58" t="str">
        <f t="shared" si="196"/>
        <v/>
      </c>
      <c r="BN385" s="59"/>
      <c r="BO385" s="58" t="str">
        <f t="shared" si="197"/>
        <v/>
      </c>
      <c r="BP385" s="59"/>
      <c r="BQ385" s="58" t="str">
        <f t="shared" si="198"/>
        <v/>
      </c>
      <c r="BR385" s="59"/>
      <c r="BS385" s="58" t="str">
        <f t="shared" si="199"/>
        <v/>
      </c>
      <c r="BT385" s="59"/>
      <c r="BU385" s="58" t="str">
        <f t="shared" si="200"/>
        <v/>
      </c>
      <c r="BV385" s="59"/>
      <c r="BW385" s="58" t="str">
        <f t="shared" si="201"/>
        <v/>
      </c>
      <c r="BX385" s="59"/>
      <c r="BY385" s="58" t="str">
        <f t="shared" si="202"/>
        <v/>
      </c>
      <c r="BZ385" s="59"/>
    </row>
    <row r="386" spans="1:78" ht="14.5" hidden="1">
      <c r="A386" s="51" t="s">
        <v>58</v>
      </c>
      <c r="B386" s="52">
        <v>402</v>
      </c>
      <c r="C386" s="52" t="s">
        <v>188</v>
      </c>
      <c r="D386" s="41">
        <f t="shared" si="177"/>
        <v>8</v>
      </c>
      <c r="E386" s="170"/>
      <c r="F386" s="41"/>
      <c r="G386" s="52" t="s">
        <v>189</v>
      </c>
      <c r="H386" s="52" t="s">
        <v>242</v>
      </c>
      <c r="I386" s="52" t="s">
        <v>162</v>
      </c>
      <c r="J386" s="52" t="s">
        <v>432</v>
      </c>
      <c r="K386" s="53">
        <v>45707</v>
      </c>
      <c r="L386" s="108">
        <v>372</v>
      </c>
      <c r="M386" s="101"/>
      <c r="N386" s="101"/>
      <c r="O386" s="107">
        <f t="shared" si="203"/>
        <v>372</v>
      </c>
      <c r="P386" s="54">
        <f t="shared" si="204"/>
        <v>372</v>
      </c>
      <c r="Q386" s="101" t="s">
        <v>178</v>
      </c>
      <c r="R386" s="166">
        <v>45707</v>
      </c>
      <c r="S386" s="101"/>
      <c r="T386" s="102">
        <f t="shared" si="178"/>
        <v>0.51666666666666672</v>
      </c>
      <c r="U386" s="102">
        <v>6</v>
      </c>
      <c r="V386" s="99">
        <v>120</v>
      </c>
      <c r="W386" s="55">
        <f t="shared" si="205"/>
        <v>45687</v>
      </c>
      <c r="X386" s="55"/>
      <c r="Y386" s="56">
        <f t="shared" ca="1" si="207"/>
        <v>-153</v>
      </c>
      <c r="Z386" s="55">
        <f t="shared" si="206"/>
        <v>45703</v>
      </c>
      <c r="AA386" s="55"/>
      <c r="AB386" s="56">
        <f t="shared" ca="1" si="208"/>
        <v>-137</v>
      </c>
      <c r="AC386" s="55"/>
      <c r="AD386" s="57"/>
      <c r="AE386" s="58" t="str">
        <f t="shared" si="179"/>
        <v>-</v>
      </c>
      <c r="AF386" s="59"/>
      <c r="AG386" s="58" t="str">
        <f t="shared" si="180"/>
        <v/>
      </c>
      <c r="AH386" s="59"/>
      <c r="AI386" s="58" t="str">
        <f t="shared" si="181"/>
        <v/>
      </c>
      <c r="AJ386" s="59"/>
      <c r="AK386" s="58" t="str">
        <f t="shared" si="182"/>
        <v/>
      </c>
      <c r="AL386" s="59"/>
      <c r="AM386" s="58" t="str">
        <f t="shared" si="183"/>
        <v/>
      </c>
      <c r="AN386" s="59"/>
      <c r="AO386" s="58" t="str">
        <f t="shared" si="184"/>
        <v/>
      </c>
      <c r="AP386" s="59"/>
      <c r="AQ386" s="58" t="str">
        <f t="shared" si="185"/>
        <v/>
      </c>
      <c r="AR386" s="59"/>
      <c r="AS386" s="58" t="str">
        <f t="shared" si="186"/>
        <v/>
      </c>
      <c r="AT386" s="59"/>
      <c r="AU386" s="58" t="str">
        <f t="shared" si="187"/>
        <v/>
      </c>
      <c r="AV386" s="59"/>
      <c r="AW386" s="58" t="str">
        <f t="shared" si="188"/>
        <v/>
      </c>
      <c r="AX386" s="59"/>
      <c r="AY386" s="58" t="str">
        <f t="shared" si="189"/>
        <v/>
      </c>
      <c r="AZ386" s="59"/>
      <c r="BA386" s="58" t="str">
        <f t="shared" si="190"/>
        <v/>
      </c>
      <c r="BB386" s="59"/>
      <c r="BC386" s="58" t="str">
        <f t="shared" si="191"/>
        <v/>
      </c>
      <c r="BD386" s="59"/>
      <c r="BE386" s="58" t="str">
        <f t="shared" si="192"/>
        <v/>
      </c>
      <c r="BF386" s="59"/>
      <c r="BG386" s="58" t="str">
        <f t="shared" si="193"/>
        <v/>
      </c>
      <c r="BH386" s="59"/>
      <c r="BI386" s="58" t="str">
        <f t="shared" si="194"/>
        <v/>
      </c>
      <c r="BJ386" s="59"/>
      <c r="BK386" s="58">
        <f t="shared" si="195"/>
        <v>372</v>
      </c>
      <c r="BL386" s="59"/>
      <c r="BM386" s="58" t="str">
        <f t="shared" si="196"/>
        <v/>
      </c>
      <c r="BN386" s="59"/>
      <c r="BO386" s="58" t="str">
        <f t="shared" si="197"/>
        <v/>
      </c>
      <c r="BP386" s="59"/>
      <c r="BQ386" s="58" t="str">
        <f t="shared" si="198"/>
        <v/>
      </c>
      <c r="BR386" s="59"/>
      <c r="BS386" s="58" t="str">
        <f t="shared" si="199"/>
        <v/>
      </c>
      <c r="BT386" s="59"/>
      <c r="BU386" s="58" t="str">
        <f t="shared" si="200"/>
        <v/>
      </c>
      <c r="BV386" s="59"/>
      <c r="BW386" s="58" t="str">
        <f t="shared" si="201"/>
        <v/>
      </c>
      <c r="BX386" s="59"/>
      <c r="BY386" s="58" t="str">
        <f t="shared" si="202"/>
        <v/>
      </c>
      <c r="BZ386" s="59"/>
    </row>
    <row r="387" spans="1:78" ht="14.5" hidden="1">
      <c r="A387" s="51" t="s">
        <v>58</v>
      </c>
      <c r="B387" s="52">
        <v>406</v>
      </c>
      <c r="C387" s="52" t="s">
        <v>188</v>
      </c>
      <c r="D387" s="41">
        <f t="shared" si="177"/>
        <v>8</v>
      </c>
      <c r="E387" s="170"/>
      <c r="F387" s="41"/>
      <c r="G387" s="52" t="s">
        <v>189</v>
      </c>
      <c r="H387" s="52" t="s">
        <v>242</v>
      </c>
      <c r="I387" s="52" t="s">
        <v>162</v>
      </c>
      <c r="J387" s="52" t="s">
        <v>432</v>
      </c>
      <c r="K387" s="53">
        <v>45707</v>
      </c>
      <c r="L387" s="108">
        <v>1412</v>
      </c>
      <c r="M387" s="101"/>
      <c r="N387" s="101"/>
      <c r="O387" s="107">
        <f t="shared" si="203"/>
        <v>1412</v>
      </c>
      <c r="P387" s="54">
        <f t="shared" si="204"/>
        <v>1412</v>
      </c>
      <c r="Q387" s="101" t="s">
        <v>178</v>
      </c>
      <c r="R387" s="166">
        <v>45707</v>
      </c>
      <c r="S387" s="101"/>
      <c r="T387" s="102">
        <f t="shared" si="178"/>
        <v>1.961111111111111</v>
      </c>
      <c r="U387" s="102">
        <v>6</v>
      </c>
      <c r="V387" s="99">
        <v>120</v>
      </c>
      <c r="W387" s="55">
        <f t="shared" si="205"/>
        <v>45687</v>
      </c>
      <c r="X387" s="55"/>
      <c r="Y387" s="56">
        <f t="shared" ca="1" si="207"/>
        <v>-153</v>
      </c>
      <c r="Z387" s="55">
        <f t="shared" si="206"/>
        <v>45703</v>
      </c>
      <c r="AA387" s="55"/>
      <c r="AB387" s="56">
        <f t="shared" ca="1" si="208"/>
        <v>-137</v>
      </c>
      <c r="AC387" s="55"/>
      <c r="AD387" s="57"/>
      <c r="AE387" s="58" t="str">
        <f t="shared" si="179"/>
        <v>-</v>
      </c>
      <c r="AF387" s="59"/>
      <c r="AG387" s="58" t="str">
        <f t="shared" si="180"/>
        <v/>
      </c>
      <c r="AH387" s="59"/>
      <c r="AI387" s="58" t="str">
        <f t="shared" si="181"/>
        <v/>
      </c>
      <c r="AJ387" s="59"/>
      <c r="AK387" s="58" t="str">
        <f t="shared" si="182"/>
        <v/>
      </c>
      <c r="AL387" s="59"/>
      <c r="AM387" s="58" t="str">
        <f t="shared" si="183"/>
        <v/>
      </c>
      <c r="AN387" s="59"/>
      <c r="AO387" s="58" t="str">
        <f t="shared" si="184"/>
        <v/>
      </c>
      <c r="AP387" s="59"/>
      <c r="AQ387" s="58" t="str">
        <f t="shared" si="185"/>
        <v/>
      </c>
      <c r="AR387" s="59"/>
      <c r="AS387" s="58" t="str">
        <f t="shared" si="186"/>
        <v/>
      </c>
      <c r="AT387" s="59"/>
      <c r="AU387" s="58" t="str">
        <f t="shared" si="187"/>
        <v/>
      </c>
      <c r="AV387" s="59"/>
      <c r="AW387" s="58" t="str">
        <f t="shared" si="188"/>
        <v/>
      </c>
      <c r="AX387" s="59"/>
      <c r="AY387" s="58" t="str">
        <f t="shared" si="189"/>
        <v/>
      </c>
      <c r="AZ387" s="59"/>
      <c r="BA387" s="58" t="str">
        <f t="shared" si="190"/>
        <v/>
      </c>
      <c r="BB387" s="59"/>
      <c r="BC387" s="58" t="str">
        <f t="shared" si="191"/>
        <v/>
      </c>
      <c r="BD387" s="59"/>
      <c r="BE387" s="58" t="str">
        <f t="shared" si="192"/>
        <v/>
      </c>
      <c r="BF387" s="59"/>
      <c r="BG387" s="58" t="str">
        <f t="shared" si="193"/>
        <v/>
      </c>
      <c r="BH387" s="59"/>
      <c r="BI387" s="58" t="str">
        <f t="shared" si="194"/>
        <v/>
      </c>
      <c r="BJ387" s="59"/>
      <c r="BK387" s="58">
        <f t="shared" si="195"/>
        <v>1412</v>
      </c>
      <c r="BL387" s="59"/>
      <c r="BM387" s="58" t="str">
        <f t="shared" si="196"/>
        <v/>
      </c>
      <c r="BN387" s="59"/>
      <c r="BO387" s="58" t="str">
        <f t="shared" si="197"/>
        <v/>
      </c>
      <c r="BP387" s="59"/>
      <c r="BQ387" s="58" t="str">
        <f t="shared" si="198"/>
        <v/>
      </c>
      <c r="BR387" s="59"/>
      <c r="BS387" s="58" t="str">
        <f t="shared" si="199"/>
        <v/>
      </c>
      <c r="BT387" s="59"/>
      <c r="BU387" s="58" t="str">
        <f t="shared" si="200"/>
        <v/>
      </c>
      <c r="BV387" s="59"/>
      <c r="BW387" s="58" t="str">
        <f t="shared" si="201"/>
        <v/>
      </c>
      <c r="BX387" s="59"/>
      <c r="BY387" s="58" t="str">
        <f t="shared" si="202"/>
        <v/>
      </c>
      <c r="BZ387" s="59"/>
    </row>
    <row r="388" spans="1:78" ht="14.5" hidden="1">
      <c r="A388" s="51" t="s">
        <v>446</v>
      </c>
      <c r="B388" s="52" t="s">
        <v>568</v>
      </c>
      <c r="C388" s="52" t="s">
        <v>60</v>
      </c>
      <c r="D388" s="41">
        <f t="shared" si="177"/>
        <v>8</v>
      </c>
      <c r="E388" s="170"/>
      <c r="F388" s="41"/>
      <c r="G388" s="52" t="s">
        <v>187</v>
      </c>
      <c r="H388" s="52" t="s">
        <v>448</v>
      </c>
      <c r="I388" s="52" t="s">
        <v>164</v>
      </c>
      <c r="J388" s="52" t="s">
        <v>449</v>
      </c>
      <c r="K388" s="53">
        <v>45708</v>
      </c>
      <c r="L388" s="108">
        <v>9000</v>
      </c>
      <c r="M388" s="101"/>
      <c r="N388" s="101"/>
      <c r="O388" s="101">
        <f t="shared" si="203"/>
        <v>9000</v>
      </c>
      <c r="P388" s="54">
        <f t="shared" si="204"/>
        <v>9000</v>
      </c>
      <c r="Q388" s="101" t="s">
        <v>429</v>
      </c>
      <c r="R388" s="101"/>
      <c r="S388" s="101"/>
      <c r="T388" s="102">
        <f t="shared" si="178"/>
        <v>1.3636363636363635</v>
      </c>
      <c r="U388" s="102">
        <v>6</v>
      </c>
      <c r="V388" s="99">
        <v>1100</v>
      </c>
      <c r="W388" s="55">
        <f>+K388-(28)</f>
        <v>45680</v>
      </c>
      <c r="X388" s="55"/>
      <c r="Y388" s="56">
        <f t="shared" ca="1" si="207"/>
        <v>-160</v>
      </c>
      <c r="Z388" s="55">
        <f t="shared" si="206"/>
        <v>45696</v>
      </c>
      <c r="AA388" s="55"/>
      <c r="AB388" s="56">
        <f t="shared" ca="1" si="208"/>
        <v>-144</v>
      </c>
      <c r="AC388" s="55"/>
      <c r="AD388" s="57"/>
      <c r="AE388" s="58" t="str">
        <f t="shared" si="179"/>
        <v>-</v>
      </c>
      <c r="AF388" s="59"/>
      <c r="AG388" s="58" t="str">
        <f t="shared" si="180"/>
        <v/>
      </c>
      <c r="AH388" s="59"/>
      <c r="AI388" s="58" t="str">
        <f t="shared" si="181"/>
        <v/>
      </c>
      <c r="AJ388" s="59"/>
      <c r="AK388" s="58" t="str">
        <f t="shared" si="182"/>
        <v/>
      </c>
      <c r="AL388" s="59"/>
      <c r="AM388" s="58" t="str">
        <f t="shared" si="183"/>
        <v/>
      </c>
      <c r="AN388" s="59"/>
      <c r="AO388" s="58" t="str">
        <f t="shared" si="184"/>
        <v/>
      </c>
      <c r="AP388" s="59"/>
      <c r="AQ388" s="58" t="str">
        <f t="shared" si="185"/>
        <v/>
      </c>
      <c r="AR388" s="59"/>
      <c r="AS388" s="58" t="str">
        <f t="shared" si="186"/>
        <v/>
      </c>
      <c r="AT388" s="59"/>
      <c r="AU388" s="58" t="str">
        <f t="shared" si="187"/>
        <v/>
      </c>
      <c r="AV388" s="59"/>
      <c r="AW388" s="58" t="str">
        <f t="shared" si="188"/>
        <v/>
      </c>
      <c r="AX388" s="59"/>
      <c r="AY388" s="58" t="str">
        <f t="shared" si="189"/>
        <v/>
      </c>
      <c r="AZ388" s="59"/>
      <c r="BA388" s="58" t="str">
        <f t="shared" si="190"/>
        <v/>
      </c>
      <c r="BB388" s="59"/>
      <c r="BC388" s="58" t="str">
        <f t="shared" si="191"/>
        <v/>
      </c>
      <c r="BD388" s="59"/>
      <c r="BE388" s="58" t="str">
        <f t="shared" si="192"/>
        <v/>
      </c>
      <c r="BF388" s="59"/>
      <c r="BG388" s="58" t="str">
        <f t="shared" si="193"/>
        <v/>
      </c>
      <c r="BH388" s="59"/>
      <c r="BI388" s="58">
        <f t="shared" si="194"/>
        <v>9000</v>
      </c>
      <c r="BJ388" s="59"/>
      <c r="BK388" s="58" t="str">
        <f t="shared" si="195"/>
        <v/>
      </c>
      <c r="BL388" s="59"/>
      <c r="BM388" s="58" t="str">
        <f t="shared" si="196"/>
        <v/>
      </c>
      <c r="BN388" s="59"/>
      <c r="BO388" s="58" t="str">
        <f t="shared" si="197"/>
        <v/>
      </c>
      <c r="BP388" s="59"/>
      <c r="BQ388" s="58" t="str">
        <f t="shared" si="198"/>
        <v/>
      </c>
      <c r="BR388" s="59"/>
      <c r="BS388" s="58" t="str">
        <f t="shared" si="199"/>
        <v/>
      </c>
      <c r="BT388" s="59"/>
      <c r="BU388" s="58" t="str">
        <f t="shared" si="200"/>
        <v/>
      </c>
      <c r="BV388" s="59"/>
      <c r="BW388" s="58" t="str">
        <f t="shared" si="201"/>
        <v/>
      </c>
      <c r="BX388" s="59"/>
      <c r="BY388" s="58" t="str">
        <f t="shared" si="202"/>
        <v/>
      </c>
      <c r="BZ388" s="59"/>
    </row>
    <row r="389" spans="1:78" ht="14.5" hidden="1">
      <c r="A389" s="51" t="s">
        <v>446</v>
      </c>
      <c r="B389" s="52" t="s">
        <v>568</v>
      </c>
      <c r="C389" s="52" t="s">
        <v>60</v>
      </c>
      <c r="D389" s="41">
        <f t="shared" si="177"/>
        <v>8</v>
      </c>
      <c r="E389" s="170"/>
      <c r="F389" s="41"/>
      <c r="G389" s="52" t="s">
        <v>187</v>
      </c>
      <c r="H389" s="52" t="s">
        <v>448</v>
      </c>
      <c r="I389" s="52" t="s">
        <v>155</v>
      </c>
      <c r="J389" s="52" t="s">
        <v>449</v>
      </c>
      <c r="K389" s="53">
        <v>45708</v>
      </c>
      <c r="L389" s="108">
        <v>9000</v>
      </c>
      <c r="M389" s="101"/>
      <c r="N389" s="101"/>
      <c r="O389" s="101">
        <f t="shared" si="203"/>
        <v>9000</v>
      </c>
      <c r="P389" s="54">
        <f t="shared" si="204"/>
        <v>9000</v>
      </c>
      <c r="Q389" s="101" t="s">
        <v>429</v>
      </c>
      <c r="R389" s="101"/>
      <c r="S389" s="101"/>
      <c r="T389" s="102">
        <f t="shared" si="178"/>
        <v>1.3636363636363635</v>
      </c>
      <c r="U389" s="102">
        <v>6</v>
      </c>
      <c r="V389" s="99">
        <v>1100</v>
      </c>
      <c r="W389" s="55">
        <f>+K389-(28)</f>
        <v>45680</v>
      </c>
      <c r="X389" s="55"/>
      <c r="Y389" s="56">
        <f t="shared" ca="1" si="207"/>
        <v>-160</v>
      </c>
      <c r="Z389" s="55">
        <f t="shared" si="206"/>
        <v>45696</v>
      </c>
      <c r="AA389" s="55"/>
      <c r="AB389" s="56">
        <f t="shared" ca="1" si="208"/>
        <v>-144</v>
      </c>
      <c r="AC389" s="55"/>
      <c r="AD389" s="57"/>
      <c r="AE389" s="58" t="str">
        <f t="shared" si="179"/>
        <v>-</v>
      </c>
      <c r="AF389" s="59"/>
      <c r="AG389" s="58" t="str">
        <f t="shared" si="180"/>
        <v/>
      </c>
      <c r="AH389" s="59"/>
      <c r="AI389" s="58" t="str">
        <f t="shared" si="181"/>
        <v/>
      </c>
      <c r="AJ389" s="59"/>
      <c r="AK389" s="58" t="str">
        <f t="shared" si="182"/>
        <v/>
      </c>
      <c r="AL389" s="59"/>
      <c r="AM389" s="58" t="str">
        <f t="shared" si="183"/>
        <v/>
      </c>
      <c r="AN389" s="59"/>
      <c r="AO389" s="58" t="str">
        <f t="shared" si="184"/>
        <v/>
      </c>
      <c r="AP389" s="59"/>
      <c r="AQ389" s="58" t="str">
        <f t="shared" si="185"/>
        <v/>
      </c>
      <c r="AR389" s="59"/>
      <c r="AS389" s="58" t="str">
        <f t="shared" si="186"/>
        <v/>
      </c>
      <c r="AT389" s="59"/>
      <c r="AU389" s="58" t="str">
        <f t="shared" si="187"/>
        <v/>
      </c>
      <c r="AV389" s="59"/>
      <c r="AW389" s="58" t="str">
        <f t="shared" si="188"/>
        <v/>
      </c>
      <c r="AX389" s="59"/>
      <c r="AY389" s="58" t="str">
        <f t="shared" si="189"/>
        <v/>
      </c>
      <c r="AZ389" s="59"/>
      <c r="BA389" s="58" t="str">
        <f t="shared" si="190"/>
        <v/>
      </c>
      <c r="BB389" s="59"/>
      <c r="BC389" s="58" t="str">
        <f t="shared" si="191"/>
        <v/>
      </c>
      <c r="BD389" s="59"/>
      <c r="BE389" s="58" t="str">
        <f t="shared" si="192"/>
        <v/>
      </c>
      <c r="BF389" s="59"/>
      <c r="BG389" s="58" t="str">
        <f t="shared" si="193"/>
        <v/>
      </c>
      <c r="BH389" s="59"/>
      <c r="BI389" s="58">
        <f t="shared" si="194"/>
        <v>9000</v>
      </c>
      <c r="BJ389" s="59"/>
      <c r="BK389" s="58" t="str">
        <f t="shared" si="195"/>
        <v/>
      </c>
      <c r="BL389" s="59"/>
      <c r="BM389" s="58" t="str">
        <f t="shared" si="196"/>
        <v/>
      </c>
      <c r="BN389" s="59"/>
      <c r="BO389" s="58" t="str">
        <f t="shared" si="197"/>
        <v/>
      </c>
      <c r="BP389" s="59"/>
      <c r="BQ389" s="58" t="str">
        <f t="shared" si="198"/>
        <v/>
      </c>
      <c r="BR389" s="59"/>
      <c r="BS389" s="58" t="str">
        <f t="shared" si="199"/>
        <v/>
      </c>
      <c r="BT389" s="59"/>
      <c r="BU389" s="58" t="str">
        <f t="shared" si="200"/>
        <v/>
      </c>
      <c r="BV389" s="59"/>
      <c r="BW389" s="58" t="str">
        <f t="shared" si="201"/>
        <v/>
      </c>
      <c r="BX389" s="59"/>
      <c r="BY389" s="58" t="str">
        <f t="shared" si="202"/>
        <v/>
      </c>
      <c r="BZ389" s="59"/>
    </row>
    <row r="390" spans="1:78" ht="14.5" hidden="1">
      <c r="A390" s="51" t="s">
        <v>446</v>
      </c>
      <c r="B390" s="52" t="s">
        <v>568</v>
      </c>
      <c r="C390" s="52" t="s">
        <v>60</v>
      </c>
      <c r="D390" s="41">
        <f t="shared" si="177"/>
        <v>8</v>
      </c>
      <c r="E390" s="170"/>
      <c r="F390" s="41"/>
      <c r="G390" s="52" t="s">
        <v>187</v>
      </c>
      <c r="H390" s="52" t="s">
        <v>448</v>
      </c>
      <c r="I390" s="52" t="s">
        <v>450</v>
      </c>
      <c r="J390" s="52" t="s">
        <v>449</v>
      </c>
      <c r="K390" s="53">
        <v>45708</v>
      </c>
      <c r="L390" s="108">
        <v>6000</v>
      </c>
      <c r="M390" s="101"/>
      <c r="N390" s="101"/>
      <c r="O390" s="101">
        <f t="shared" si="203"/>
        <v>6000</v>
      </c>
      <c r="P390" s="54">
        <f t="shared" si="204"/>
        <v>6000</v>
      </c>
      <c r="Q390" s="101" t="s">
        <v>429</v>
      </c>
      <c r="R390" s="101"/>
      <c r="S390" s="101"/>
      <c r="T390" s="102">
        <f t="shared" si="178"/>
        <v>0.90909090909090906</v>
      </c>
      <c r="U390" s="102">
        <v>6</v>
      </c>
      <c r="V390" s="99">
        <v>1100</v>
      </c>
      <c r="W390" s="55">
        <f>+K390-(28)</f>
        <v>45680</v>
      </c>
      <c r="X390" s="55"/>
      <c r="Y390" s="56">
        <f t="shared" ca="1" si="207"/>
        <v>-160</v>
      </c>
      <c r="Z390" s="55">
        <f t="shared" si="206"/>
        <v>45696</v>
      </c>
      <c r="AA390" s="55"/>
      <c r="AB390" s="56">
        <f t="shared" ca="1" si="208"/>
        <v>-144</v>
      </c>
      <c r="AC390" s="55"/>
      <c r="AD390" s="57"/>
      <c r="AE390" s="58" t="str">
        <f t="shared" si="179"/>
        <v>-</v>
      </c>
      <c r="AF390" s="59"/>
      <c r="AG390" s="58" t="str">
        <f t="shared" si="180"/>
        <v/>
      </c>
      <c r="AH390" s="59"/>
      <c r="AI390" s="58" t="str">
        <f t="shared" si="181"/>
        <v/>
      </c>
      <c r="AJ390" s="59"/>
      <c r="AK390" s="58" t="str">
        <f t="shared" si="182"/>
        <v/>
      </c>
      <c r="AL390" s="59"/>
      <c r="AM390" s="58" t="str">
        <f t="shared" si="183"/>
        <v/>
      </c>
      <c r="AN390" s="59"/>
      <c r="AO390" s="58" t="str">
        <f t="shared" si="184"/>
        <v/>
      </c>
      <c r="AP390" s="59"/>
      <c r="AQ390" s="58" t="str">
        <f t="shared" si="185"/>
        <v/>
      </c>
      <c r="AR390" s="59"/>
      <c r="AS390" s="58" t="str">
        <f t="shared" si="186"/>
        <v/>
      </c>
      <c r="AT390" s="59"/>
      <c r="AU390" s="58" t="str">
        <f t="shared" si="187"/>
        <v/>
      </c>
      <c r="AV390" s="59"/>
      <c r="AW390" s="58" t="str">
        <f t="shared" si="188"/>
        <v/>
      </c>
      <c r="AX390" s="59"/>
      <c r="AY390" s="58" t="str">
        <f t="shared" si="189"/>
        <v/>
      </c>
      <c r="AZ390" s="59"/>
      <c r="BA390" s="58" t="str">
        <f t="shared" si="190"/>
        <v/>
      </c>
      <c r="BB390" s="59"/>
      <c r="BC390" s="58" t="str">
        <f t="shared" si="191"/>
        <v/>
      </c>
      <c r="BD390" s="59"/>
      <c r="BE390" s="58" t="str">
        <f t="shared" si="192"/>
        <v/>
      </c>
      <c r="BF390" s="59"/>
      <c r="BG390" s="58" t="str">
        <f t="shared" si="193"/>
        <v/>
      </c>
      <c r="BH390" s="59"/>
      <c r="BI390" s="58">
        <f t="shared" si="194"/>
        <v>6000</v>
      </c>
      <c r="BJ390" s="59"/>
      <c r="BK390" s="58" t="str">
        <f t="shared" si="195"/>
        <v/>
      </c>
      <c r="BL390" s="59"/>
      <c r="BM390" s="58" t="str">
        <f t="shared" si="196"/>
        <v/>
      </c>
      <c r="BN390" s="59"/>
      <c r="BO390" s="58" t="str">
        <f t="shared" si="197"/>
        <v/>
      </c>
      <c r="BP390" s="59"/>
      <c r="BQ390" s="58" t="str">
        <f t="shared" si="198"/>
        <v/>
      </c>
      <c r="BR390" s="59"/>
      <c r="BS390" s="58" t="str">
        <f t="shared" si="199"/>
        <v/>
      </c>
      <c r="BT390" s="59"/>
      <c r="BU390" s="58" t="str">
        <f t="shared" si="200"/>
        <v/>
      </c>
      <c r="BV390" s="59"/>
      <c r="BW390" s="58" t="str">
        <f t="shared" si="201"/>
        <v/>
      </c>
      <c r="BX390" s="59"/>
      <c r="BY390" s="58" t="str">
        <f t="shared" si="202"/>
        <v/>
      </c>
      <c r="BZ390" s="59"/>
    </row>
    <row r="391" spans="1:78" ht="14.5" hidden="1">
      <c r="A391" s="51" t="s">
        <v>446</v>
      </c>
      <c r="B391" s="52" t="s">
        <v>569</v>
      </c>
      <c r="C391" s="52" t="s">
        <v>74</v>
      </c>
      <c r="D391" s="41">
        <f t="shared" ref="D391:D454" si="209">+WEEKNUM(K391)</f>
        <v>8</v>
      </c>
      <c r="E391" s="170"/>
      <c r="F391" s="41"/>
      <c r="G391" s="52" t="s">
        <v>204</v>
      </c>
      <c r="H391" s="52" t="s">
        <v>309</v>
      </c>
      <c r="I391" s="52" t="s">
        <v>162</v>
      </c>
      <c r="J391" s="52" t="s">
        <v>570</v>
      </c>
      <c r="K391" s="53">
        <v>45708</v>
      </c>
      <c r="L391" s="108">
        <v>1740</v>
      </c>
      <c r="M391" s="101"/>
      <c r="N391" s="101"/>
      <c r="O391" s="101">
        <f t="shared" si="203"/>
        <v>1740</v>
      </c>
      <c r="P391" s="54">
        <f t="shared" si="204"/>
        <v>1740</v>
      </c>
      <c r="Q391" s="101" t="s">
        <v>571</v>
      </c>
      <c r="R391" s="101"/>
      <c r="S391" s="101"/>
      <c r="T391" s="102">
        <f t="shared" ref="T391:T454" si="210">L391/(V391*U391)</f>
        <v>3.625</v>
      </c>
      <c r="U391" s="102">
        <v>6</v>
      </c>
      <c r="V391" s="99">
        <v>80</v>
      </c>
      <c r="W391" s="55">
        <f t="shared" ref="W391:W424" si="211">+K391-(32)</f>
        <v>45676</v>
      </c>
      <c r="X391" s="55"/>
      <c r="Y391" s="56">
        <f t="shared" ca="1" si="207"/>
        <v>-164</v>
      </c>
      <c r="Z391" s="55">
        <f t="shared" si="206"/>
        <v>45692</v>
      </c>
      <c r="AA391" s="55"/>
      <c r="AB391" s="56">
        <f t="shared" ca="1" si="208"/>
        <v>-148</v>
      </c>
      <c r="AC391" s="55"/>
      <c r="AD391" s="57"/>
      <c r="AE391" s="58" t="str">
        <f>+IF($AE$4=WEEKNUM(W391),L391,"-")</f>
        <v>-</v>
      </c>
      <c r="AF391" s="59"/>
      <c r="AG391" s="58" t="str">
        <f>+IF($AG$4=WEEKNUM(W391),L391,"")</f>
        <v/>
      </c>
      <c r="AH391" s="59"/>
      <c r="AI391" s="58" t="str">
        <f>+IF($AI$4=WEEKNUM(W391),L391,"")</f>
        <v/>
      </c>
      <c r="AJ391" s="59"/>
      <c r="AK391" s="58" t="str">
        <f>+IF($AK$4=WEEKNUM(W391),L391,"")</f>
        <v/>
      </c>
      <c r="AL391" s="59"/>
      <c r="AM391" s="58" t="str">
        <f>+IF($AM$4=WEEKNUM(W391),L391,"")</f>
        <v/>
      </c>
      <c r="AN391" s="59"/>
      <c r="AO391" s="58" t="str">
        <f>+IF($AO$4=WEEKNUM(W391),L391,"")</f>
        <v/>
      </c>
      <c r="AP391" s="59"/>
      <c r="AQ391" s="58" t="str">
        <f>+IF($AQ$4=WEEKNUM(W391),L391,"")</f>
        <v/>
      </c>
      <c r="AR391" s="59"/>
      <c r="AS391" s="58" t="str">
        <f>+IF($AS$4=WEEKNUM(W391),L391,"")</f>
        <v/>
      </c>
      <c r="AT391" s="59"/>
      <c r="AU391" s="58" t="str">
        <f>+IF($AU$4=WEEKNUM(W391),L391,"")</f>
        <v/>
      </c>
      <c r="AV391" s="59"/>
      <c r="AW391" s="58" t="str">
        <f>+IF($AW$4=WEEKNUM(W391),L391,"")</f>
        <v/>
      </c>
      <c r="AX391" s="59"/>
      <c r="AY391" s="58" t="str">
        <f>+IF($AY$4=WEEKNUM(W391),L391,"")</f>
        <v/>
      </c>
      <c r="AZ391" s="59"/>
      <c r="BA391" s="58" t="str">
        <f>+IF($BA$4=WEEKNUM(W391),L391,"")</f>
        <v/>
      </c>
      <c r="BB391" s="59"/>
      <c r="BC391" s="58" t="str">
        <f>+IF($BC$4=WEEKNUM(W391),L391,"")</f>
        <v/>
      </c>
      <c r="BD391" s="59"/>
      <c r="BE391" s="58" t="str">
        <f>+IF($BE$4=WEEKNUM(W391),L391,"")</f>
        <v/>
      </c>
      <c r="BF391" s="59"/>
      <c r="BG391" s="58" t="str">
        <f>+IF($BG$4=WEEKNUM(W391),L391,"")</f>
        <v/>
      </c>
      <c r="BH391" s="59"/>
      <c r="BI391" s="58">
        <f>+IF($BI$4=WEEKNUM(W391),L391,"")</f>
        <v>1740</v>
      </c>
      <c r="BJ391" s="59"/>
      <c r="BK391" s="58" t="str">
        <f>+IF($BK$4=WEEKNUM(W391),L391,"")</f>
        <v/>
      </c>
      <c r="BL391" s="59"/>
      <c r="BM391" s="58" t="str">
        <f>+IF($BM$4=WEEKNUM(W391),L391,"")</f>
        <v/>
      </c>
      <c r="BN391" s="59"/>
      <c r="BO391" s="58" t="str">
        <f>+IF($BO$4=WEEKNUM(W391),L391,"")</f>
        <v/>
      </c>
      <c r="BP391" s="59"/>
      <c r="BQ391" s="58" t="str">
        <f>+IF($BQ$4=WEEKNUM(W391),L391,"")</f>
        <v/>
      </c>
      <c r="BR391" s="59"/>
      <c r="BS391" s="58" t="str">
        <f>+IF($BS$4=WEEKNUM(W391),L391,"")</f>
        <v/>
      </c>
      <c r="BT391" s="59"/>
      <c r="BU391" s="58" t="str">
        <f>+IF($BU$4=WEEKNUM(W391),L391,"")</f>
        <v/>
      </c>
      <c r="BV391" s="59"/>
      <c r="BW391" s="58" t="str">
        <f>+IF($BW$4=WEEKNUM(W391),L391,"")</f>
        <v/>
      </c>
      <c r="BX391" s="59"/>
      <c r="BY391" s="58" t="str">
        <f>+IF($BY$4=WEEKNUM(W391),L391,"")</f>
        <v/>
      </c>
      <c r="BZ391" s="59"/>
    </row>
    <row r="392" spans="1:78" ht="14.5" hidden="1">
      <c r="A392" s="51" t="s">
        <v>446</v>
      </c>
      <c r="B392" s="52" t="s">
        <v>569</v>
      </c>
      <c r="C392" s="52" t="s">
        <v>74</v>
      </c>
      <c r="D392" s="41">
        <f t="shared" si="209"/>
        <v>8</v>
      </c>
      <c r="E392" s="170"/>
      <c r="F392" s="41"/>
      <c r="G392" s="52" t="s">
        <v>415</v>
      </c>
      <c r="H392" s="52" t="s">
        <v>347</v>
      </c>
      <c r="I392" s="52" t="s">
        <v>164</v>
      </c>
      <c r="J392" s="52" t="s">
        <v>572</v>
      </c>
      <c r="K392" s="53">
        <v>45708</v>
      </c>
      <c r="L392" s="108">
        <v>240</v>
      </c>
      <c r="M392" s="101"/>
      <c r="N392" s="101"/>
      <c r="O392" s="101">
        <f t="shared" si="203"/>
        <v>240</v>
      </c>
      <c r="P392" s="54">
        <f t="shared" si="204"/>
        <v>240</v>
      </c>
      <c r="Q392" s="101" t="s">
        <v>178</v>
      </c>
      <c r="R392" s="101"/>
      <c r="S392" s="101"/>
      <c r="T392" s="102">
        <f t="shared" si="210"/>
        <v>0.5</v>
      </c>
      <c r="U392" s="102">
        <v>6</v>
      </c>
      <c r="V392" s="99">
        <v>80</v>
      </c>
      <c r="W392" s="55">
        <f t="shared" si="211"/>
        <v>45676</v>
      </c>
      <c r="X392" s="55"/>
      <c r="Y392" s="56">
        <f t="shared" ca="1" si="207"/>
        <v>-164</v>
      </c>
      <c r="Z392" s="55">
        <f t="shared" si="206"/>
        <v>45692</v>
      </c>
      <c r="AA392" s="55"/>
      <c r="AB392" s="56">
        <f t="shared" ca="1" si="208"/>
        <v>-148</v>
      </c>
      <c r="AC392" s="55"/>
      <c r="AD392" s="57"/>
      <c r="AE392" s="58" t="str">
        <f>+IF($AE$4=WEEKNUM(W392),L392,"-")</f>
        <v>-</v>
      </c>
      <c r="AF392" s="59"/>
      <c r="AG392" s="58" t="str">
        <f>+IF($AG$4=WEEKNUM(W392),L392,"")</f>
        <v/>
      </c>
      <c r="AH392" s="59"/>
      <c r="AI392" s="58" t="str">
        <f>+IF($AI$4=WEEKNUM(W392),L392,"")</f>
        <v/>
      </c>
      <c r="AJ392" s="59"/>
      <c r="AK392" s="58" t="str">
        <f>+IF($AK$4=WEEKNUM(W392),L392,"")</f>
        <v/>
      </c>
      <c r="AL392" s="59"/>
      <c r="AM392" s="58" t="str">
        <f>+IF($AM$4=WEEKNUM(W392),L392,"")</f>
        <v/>
      </c>
      <c r="AN392" s="59"/>
      <c r="AO392" s="58" t="str">
        <f>+IF($AO$4=WEEKNUM(W392),L392,"")</f>
        <v/>
      </c>
      <c r="AP392" s="59"/>
      <c r="AQ392" s="58" t="str">
        <f>+IF($AQ$4=WEEKNUM(W392),L392,"")</f>
        <v/>
      </c>
      <c r="AR392" s="59"/>
      <c r="AS392" s="58" t="str">
        <f>+IF($AS$4=WEEKNUM(W392),L392,"")</f>
        <v/>
      </c>
      <c r="AT392" s="59"/>
      <c r="AU392" s="58" t="str">
        <f>+IF($AU$4=WEEKNUM(W392),L392,"")</f>
        <v/>
      </c>
      <c r="AV392" s="59"/>
      <c r="AW392" s="58" t="str">
        <f>+IF($AW$4=WEEKNUM(W392),L392,"")</f>
        <v/>
      </c>
      <c r="AX392" s="59"/>
      <c r="AY392" s="58" t="str">
        <f>+IF($AY$4=WEEKNUM(W392),L392,"")</f>
        <v/>
      </c>
      <c r="AZ392" s="59"/>
      <c r="BA392" s="58" t="str">
        <f>+IF($BA$4=WEEKNUM(W392),L392,"")</f>
        <v/>
      </c>
      <c r="BB392" s="59"/>
      <c r="BC392" s="58" t="str">
        <f>+IF($BC$4=WEEKNUM(W392),L392,"")</f>
        <v/>
      </c>
      <c r="BD392" s="59"/>
      <c r="BE392" s="58" t="str">
        <f>+IF($BE$4=WEEKNUM(W392),L392,"")</f>
        <v/>
      </c>
      <c r="BF392" s="59"/>
      <c r="BG392" s="58" t="str">
        <f>+IF($BG$4=WEEKNUM(W392),L392,"")</f>
        <v/>
      </c>
      <c r="BH392" s="59"/>
      <c r="BI392" s="58">
        <f>+IF($BI$4=WEEKNUM(W392),L392,"")</f>
        <v>240</v>
      </c>
      <c r="BJ392" s="59"/>
      <c r="BK392" s="58" t="str">
        <f>+IF($BK$4=WEEKNUM(W392),L392,"")</f>
        <v/>
      </c>
      <c r="BL392" s="59"/>
      <c r="BM392" s="58" t="str">
        <f>+IF($BM$4=WEEKNUM(W392),L392,"")</f>
        <v/>
      </c>
      <c r="BN392" s="59"/>
      <c r="BO392" s="58" t="str">
        <f>+IF($BO$4=WEEKNUM(W392),L392,"")</f>
        <v/>
      </c>
      <c r="BP392" s="59"/>
      <c r="BQ392" s="58" t="str">
        <f>+IF($BQ$4=WEEKNUM(W392),L392,"")</f>
        <v/>
      </c>
      <c r="BR392" s="59"/>
      <c r="BS392" s="58" t="str">
        <f>+IF($BS$4=WEEKNUM(W392),L392,"")</f>
        <v/>
      </c>
      <c r="BT392" s="59"/>
      <c r="BU392" s="58" t="str">
        <f>+IF($BU$4=WEEKNUM(W392),L392,"")</f>
        <v/>
      </c>
      <c r="BV392" s="59"/>
      <c r="BW392" s="58" t="str">
        <f>+IF($BW$4=WEEKNUM(W392),L392,"")</f>
        <v/>
      </c>
      <c r="BX392" s="59"/>
      <c r="BY392" s="58" t="str">
        <f>+IF($BY$4=WEEKNUM(W392),L392,"")</f>
        <v/>
      </c>
      <c r="BZ392" s="59"/>
    </row>
    <row r="393" spans="1:78" ht="14.5" hidden="1">
      <c r="A393" s="51" t="s">
        <v>446</v>
      </c>
      <c r="B393" s="52" t="s">
        <v>569</v>
      </c>
      <c r="C393" s="52" t="s">
        <v>74</v>
      </c>
      <c r="D393" s="41">
        <f t="shared" si="209"/>
        <v>8</v>
      </c>
      <c r="E393" s="170"/>
      <c r="F393" s="41"/>
      <c r="G393" s="52" t="s">
        <v>204</v>
      </c>
      <c r="H393" s="52" t="s">
        <v>308</v>
      </c>
      <c r="I393" s="52" t="s">
        <v>162</v>
      </c>
      <c r="J393" s="52" t="s">
        <v>509</v>
      </c>
      <c r="K393" s="53">
        <v>45708</v>
      </c>
      <c r="L393" s="108">
        <v>1640</v>
      </c>
      <c r="M393" s="101"/>
      <c r="N393" s="101"/>
      <c r="O393" s="101">
        <f t="shared" si="203"/>
        <v>1640</v>
      </c>
      <c r="P393" s="54">
        <f t="shared" si="204"/>
        <v>1640</v>
      </c>
      <c r="Q393" s="101" t="s">
        <v>573</v>
      </c>
      <c r="R393" s="101"/>
      <c r="S393" s="101"/>
      <c r="T393" s="102">
        <f t="shared" si="210"/>
        <v>3.4166666666666665</v>
      </c>
      <c r="U393" s="102">
        <v>6</v>
      </c>
      <c r="V393" s="99">
        <v>80</v>
      </c>
      <c r="W393" s="55">
        <f t="shared" si="211"/>
        <v>45676</v>
      </c>
      <c r="X393" s="55"/>
      <c r="Y393" s="56">
        <f t="shared" ca="1" si="207"/>
        <v>-164</v>
      </c>
      <c r="Z393" s="55">
        <f t="shared" si="206"/>
        <v>45692</v>
      </c>
      <c r="AA393" s="55"/>
      <c r="AB393" s="56">
        <f t="shared" ca="1" si="208"/>
        <v>-148</v>
      </c>
      <c r="AC393" s="55"/>
      <c r="AD393" s="57"/>
      <c r="AE393" s="58" t="str">
        <f>+IF($AE$4=WEEKNUM(W393),L393,"-")</f>
        <v>-</v>
      </c>
      <c r="AF393" s="59"/>
      <c r="AG393" s="58" t="str">
        <f>+IF($AG$4=WEEKNUM(W393),L393,"")</f>
        <v/>
      </c>
      <c r="AH393" s="59"/>
      <c r="AI393" s="58" t="str">
        <f>+IF($AI$4=WEEKNUM(W393),L393,"")</f>
        <v/>
      </c>
      <c r="AJ393" s="59"/>
      <c r="AK393" s="58" t="str">
        <f>+IF($AK$4=WEEKNUM(W393),L393,"")</f>
        <v/>
      </c>
      <c r="AL393" s="59"/>
      <c r="AM393" s="58" t="str">
        <f>+IF($AM$4=WEEKNUM(W393),L393,"")</f>
        <v/>
      </c>
      <c r="AN393" s="59"/>
      <c r="AO393" s="58" t="str">
        <f>+IF($AO$4=WEEKNUM(W393),L393,"")</f>
        <v/>
      </c>
      <c r="AP393" s="59"/>
      <c r="AQ393" s="58" t="str">
        <f>+IF($AQ$4=WEEKNUM(W393),L393,"")</f>
        <v/>
      </c>
      <c r="AR393" s="59"/>
      <c r="AS393" s="58" t="str">
        <f>+IF($AS$4=WEEKNUM(W393),L393,"")</f>
        <v/>
      </c>
      <c r="AT393" s="59"/>
      <c r="AU393" s="58" t="str">
        <f>+IF($AU$4=WEEKNUM(W393),L393,"")</f>
        <v/>
      </c>
      <c r="AV393" s="59"/>
      <c r="AW393" s="58" t="str">
        <f>+IF($AW$4=WEEKNUM(W393),L393,"")</f>
        <v/>
      </c>
      <c r="AX393" s="59"/>
      <c r="AY393" s="58" t="str">
        <f>+IF($AY$4=WEEKNUM(W393),L393,"")</f>
        <v/>
      </c>
      <c r="AZ393" s="59"/>
      <c r="BA393" s="58" t="str">
        <f>+IF($BA$4=WEEKNUM(W393),L393,"")</f>
        <v/>
      </c>
      <c r="BB393" s="59"/>
      <c r="BC393" s="58" t="str">
        <f>+IF($BC$4=WEEKNUM(W393),L393,"")</f>
        <v/>
      </c>
      <c r="BD393" s="59"/>
      <c r="BE393" s="58" t="str">
        <f>+IF($BE$4=WEEKNUM(W393),L393,"")</f>
        <v/>
      </c>
      <c r="BF393" s="59"/>
      <c r="BG393" s="58" t="str">
        <f>+IF($BG$4=WEEKNUM(W393),L393,"")</f>
        <v/>
      </c>
      <c r="BH393" s="59"/>
      <c r="BI393" s="58">
        <f>+IF($BI$4=WEEKNUM(W393),L393,"")</f>
        <v>1640</v>
      </c>
      <c r="BJ393" s="59"/>
      <c r="BK393" s="58" t="str">
        <f>+IF($BK$4=WEEKNUM(W393),L393,"")</f>
        <v/>
      </c>
      <c r="BL393" s="59"/>
      <c r="BM393" s="58" t="str">
        <f>+IF($BM$4=WEEKNUM(W393),L393,"")</f>
        <v/>
      </c>
      <c r="BN393" s="59"/>
      <c r="BO393" s="58" t="str">
        <f>+IF($BO$4=WEEKNUM(W393),L393,"")</f>
        <v/>
      </c>
      <c r="BP393" s="59"/>
      <c r="BQ393" s="58" t="str">
        <f>+IF($BQ$4=WEEKNUM(W393),L393,"")</f>
        <v/>
      </c>
      <c r="BR393" s="59"/>
      <c r="BS393" s="58" t="str">
        <f>+IF($BS$4=WEEKNUM(W393),L393,"")</f>
        <v/>
      </c>
      <c r="BT393" s="59"/>
      <c r="BU393" s="58" t="str">
        <f>+IF($BU$4=WEEKNUM(W393),L393,"")</f>
        <v/>
      </c>
      <c r="BV393" s="59"/>
      <c r="BW393" s="58" t="str">
        <f>+IF($BW$4=WEEKNUM(W393),L393,"")</f>
        <v/>
      </c>
      <c r="BX393" s="59"/>
      <c r="BY393" s="58" t="str">
        <f>+IF($BY$4=WEEKNUM(W393),L393,"")</f>
        <v/>
      </c>
      <c r="BZ393" s="59"/>
    </row>
    <row r="394" spans="1:78" ht="14.5" hidden="1">
      <c r="A394" s="51" t="s">
        <v>446</v>
      </c>
      <c r="B394" s="52" t="s">
        <v>569</v>
      </c>
      <c r="C394" s="52" t="s">
        <v>74</v>
      </c>
      <c r="D394" s="41">
        <f t="shared" si="209"/>
        <v>8</v>
      </c>
      <c r="E394" s="170"/>
      <c r="F394" s="41"/>
      <c r="G394" s="52" t="s">
        <v>204</v>
      </c>
      <c r="H394" s="52" t="s">
        <v>347</v>
      </c>
      <c r="I394" s="52" t="s">
        <v>162</v>
      </c>
      <c r="J394" s="52" t="s">
        <v>572</v>
      </c>
      <c r="K394" s="53">
        <v>45708</v>
      </c>
      <c r="L394" s="108">
        <v>696</v>
      </c>
      <c r="M394" s="101"/>
      <c r="N394" s="101"/>
      <c r="O394" s="101">
        <f t="shared" si="203"/>
        <v>696</v>
      </c>
      <c r="P394" s="54">
        <f t="shared" si="204"/>
        <v>696</v>
      </c>
      <c r="Q394" s="101" t="s">
        <v>178</v>
      </c>
      <c r="R394" s="101"/>
      <c r="S394" s="101"/>
      <c r="T394" s="102">
        <f t="shared" si="210"/>
        <v>1.45</v>
      </c>
      <c r="U394" s="102">
        <v>6</v>
      </c>
      <c r="V394" s="99">
        <v>80</v>
      </c>
      <c r="W394" s="55">
        <f t="shared" si="211"/>
        <v>45676</v>
      </c>
      <c r="X394" s="55"/>
      <c r="Y394" s="56">
        <f t="shared" ca="1" si="207"/>
        <v>-164</v>
      </c>
      <c r="Z394" s="55">
        <f t="shared" si="206"/>
        <v>45692</v>
      </c>
      <c r="AA394" s="55"/>
      <c r="AB394" s="56">
        <f t="shared" ca="1" si="208"/>
        <v>-148</v>
      </c>
      <c r="AC394" s="55"/>
      <c r="AD394" s="57"/>
      <c r="AE394" s="58" t="str">
        <f t="shared" ref="AE394:AE407" si="212">+IF($AE$4=WEEKNUM(Z394),L394,"-")</f>
        <v>-</v>
      </c>
      <c r="AF394" s="59"/>
      <c r="AG394" s="58" t="str">
        <f t="shared" ref="AG394:AG407" si="213">+IF($AG$4=WEEKNUM(Z394),L394,"")</f>
        <v/>
      </c>
      <c r="AH394" s="59"/>
      <c r="AI394" s="58" t="str">
        <f t="shared" ref="AI394:AI407" si="214">+IF($AI$4=WEEKNUM(Z394),L394,"")</f>
        <v/>
      </c>
      <c r="AJ394" s="59"/>
      <c r="AK394" s="58" t="str">
        <f t="shared" ref="AK394:AK407" si="215">+IF($AK$4=WEEKNUM(Z394),L394,"")</f>
        <v/>
      </c>
      <c r="AL394" s="59"/>
      <c r="AM394" s="58" t="str">
        <f t="shared" ref="AM394:AM407" si="216">+IF($AM$4=WEEKNUM(Z394),L394,"")</f>
        <v/>
      </c>
      <c r="AN394" s="59"/>
      <c r="AO394" s="58" t="str">
        <f t="shared" ref="AO394:AO407" si="217">+IF($AO$4=WEEKNUM(Z394),L394,"")</f>
        <v/>
      </c>
      <c r="AP394" s="59"/>
      <c r="AQ394" s="58" t="str">
        <f t="shared" ref="AQ394:AQ407" si="218">+IF($AQ$4=WEEKNUM(Z394),L394,"")</f>
        <v/>
      </c>
      <c r="AR394" s="59"/>
      <c r="AS394" s="58" t="str">
        <f t="shared" ref="AS394:AS407" si="219">+IF($AS$4=WEEKNUM(Z394),L394,"")</f>
        <v/>
      </c>
      <c r="AT394" s="59"/>
      <c r="AU394" s="58" t="str">
        <f t="shared" ref="AU394:AU407" si="220">+IF($AU$4=WEEKNUM(Z394),L394,"")</f>
        <v/>
      </c>
      <c r="AV394" s="59"/>
      <c r="AW394" s="58" t="str">
        <f t="shared" ref="AW394:AW407" si="221">+IF($AZ$4=WEEKNUM(Z394),L394,"")</f>
        <v/>
      </c>
      <c r="AX394" s="59"/>
      <c r="AY394" s="58" t="str">
        <f t="shared" ref="AY394:AY407" si="222">+IF($AY$4=WEEKNUM(Z394),L394,"")</f>
        <v/>
      </c>
      <c r="AZ394" s="59"/>
      <c r="BA394" s="58" t="str">
        <f t="shared" ref="BA394:BA407" si="223">+IF($BA$4=WEEKNUM(Z394),L394,"")</f>
        <v/>
      </c>
      <c r="BB394" s="59"/>
      <c r="BC394" s="58" t="str">
        <f t="shared" ref="BC394:BC407" si="224">+IF($BC$4=WEEKNUM(Z394),L394,"")</f>
        <v/>
      </c>
      <c r="BD394" s="59"/>
      <c r="BE394" s="58" t="str">
        <f t="shared" ref="BE394:BE407" si="225">+IF($BE$4=WEEKNUM(Z394),L394,"")</f>
        <v/>
      </c>
      <c r="BF394" s="59"/>
      <c r="BG394" s="58" t="str">
        <f t="shared" ref="BG394:BG407" si="226">+IF($BG$4=WEEKNUM(Z394),L394,"")</f>
        <v/>
      </c>
      <c r="BH394" s="59"/>
      <c r="BI394" s="58" t="str">
        <f t="shared" ref="BI394:BI407" si="227">+IF($BI$4=WEEKNUM(Z394),L394,"")</f>
        <v/>
      </c>
      <c r="BJ394" s="59"/>
      <c r="BK394" s="58" t="str">
        <f t="shared" ref="BK394:BK407" si="228">+IF($BK$4=WEEKNUM(Z394),L394,"")</f>
        <v/>
      </c>
      <c r="BL394" s="59"/>
      <c r="BM394" s="58">
        <f t="shared" ref="BM394:BM407" si="229">+IF($BM$4=WEEKNUM(Z394),L394,"")</f>
        <v>696</v>
      </c>
      <c r="BN394" s="59"/>
      <c r="BO394" s="58" t="str">
        <f t="shared" ref="BO394:BO407" si="230">+IF($BO$4=WEEKNUM(Z394),L394,"")</f>
        <v/>
      </c>
      <c r="BP394" s="59"/>
      <c r="BQ394" s="58" t="str">
        <f t="shared" ref="BQ394:BQ407" si="231">+IF($BQ$4=WEEKNUM(Z394),L394,"")</f>
        <v/>
      </c>
      <c r="BR394" s="59"/>
      <c r="BS394" s="58" t="str">
        <f t="shared" ref="BS394:BS407" si="232">+IF($BS$4=WEEKNUM(Z394),L394,"")</f>
        <v/>
      </c>
      <c r="BT394" s="59"/>
      <c r="BU394" s="58" t="str">
        <f t="shared" ref="BU394:BU407" si="233">+IF($BU$4=WEEKNUM(Z394),L394,"")</f>
        <v/>
      </c>
      <c r="BV394" s="59"/>
      <c r="BW394" s="58" t="str">
        <f t="shared" ref="BW394:BW407" si="234">+IF($BZ$4=WEEKNUM(Z394),L394,"")</f>
        <v/>
      </c>
      <c r="BX394" s="59"/>
      <c r="BY394" s="58" t="str">
        <f t="shared" ref="BY394:BY407" si="235">+IF($BY$4=WEEKNUM(Z394),L394,"")</f>
        <v/>
      </c>
      <c r="BZ394" s="59"/>
    </row>
    <row r="395" spans="1:78" ht="14.5" hidden="1">
      <c r="A395" s="51" t="s">
        <v>446</v>
      </c>
      <c r="B395" s="52" t="s">
        <v>569</v>
      </c>
      <c r="C395" s="52" t="s">
        <v>74</v>
      </c>
      <c r="D395" s="41">
        <f t="shared" si="209"/>
        <v>8</v>
      </c>
      <c r="E395" s="170"/>
      <c r="F395" s="41"/>
      <c r="G395" s="52" t="s">
        <v>199</v>
      </c>
      <c r="H395" s="52" t="s">
        <v>309</v>
      </c>
      <c r="I395" s="52" t="s">
        <v>155</v>
      </c>
      <c r="J395" s="52" t="s">
        <v>570</v>
      </c>
      <c r="K395" s="53">
        <v>45708</v>
      </c>
      <c r="L395" s="108">
        <v>768</v>
      </c>
      <c r="M395" s="101"/>
      <c r="N395" s="101"/>
      <c r="O395" s="101">
        <f t="shared" si="203"/>
        <v>768</v>
      </c>
      <c r="P395" s="54">
        <f t="shared" si="204"/>
        <v>768</v>
      </c>
      <c r="Q395" s="101" t="s">
        <v>571</v>
      </c>
      <c r="R395" s="101"/>
      <c r="S395" s="101"/>
      <c r="T395" s="102">
        <f t="shared" si="210"/>
        <v>1.6</v>
      </c>
      <c r="U395" s="102">
        <v>6</v>
      </c>
      <c r="V395" s="99">
        <v>80</v>
      </c>
      <c r="W395" s="55">
        <f t="shared" si="211"/>
        <v>45676</v>
      </c>
      <c r="X395" s="55"/>
      <c r="Y395" s="56">
        <f t="shared" ca="1" si="207"/>
        <v>-164</v>
      </c>
      <c r="Z395" s="55">
        <f t="shared" si="206"/>
        <v>45692</v>
      </c>
      <c r="AA395" s="55"/>
      <c r="AB395" s="56">
        <f t="shared" ca="1" si="208"/>
        <v>-148</v>
      </c>
      <c r="AC395" s="55"/>
      <c r="AD395" s="57"/>
      <c r="AE395" s="58" t="str">
        <f t="shared" si="212"/>
        <v>-</v>
      </c>
      <c r="AF395" s="59"/>
      <c r="AG395" s="58" t="str">
        <f t="shared" si="213"/>
        <v/>
      </c>
      <c r="AH395" s="59"/>
      <c r="AI395" s="58" t="str">
        <f t="shared" si="214"/>
        <v/>
      </c>
      <c r="AJ395" s="59"/>
      <c r="AK395" s="58" t="str">
        <f t="shared" si="215"/>
        <v/>
      </c>
      <c r="AL395" s="59"/>
      <c r="AM395" s="58" t="str">
        <f t="shared" si="216"/>
        <v/>
      </c>
      <c r="AN395" s="59"/>
      <c r="AO395" s="58" t="str">
        <f t="shared" si="217"/>
        <v/>
      </c>
      <c r="AP395" s="59"/>
      <c r="AQ395" s="58" t="str">
        <f t="shared" si="218"/>
        <v/>
      </c>
      <c r="AR395" s="59"/>
      <c r="AS395" s="58" t="str">
        <f t="shared" si="219"/>
        <v/>
      </c>
      <c r="AT395" s="59"/>
      <c r="AU395" s="58" t="str">
        <f t="shared" si="220"/>
        <v/>
      </c>
      <c r="AV395" s="59"/>
      <c r="AW395" s="58" t="str">
        <f t="shared" si="221"/>
        <v/>
      </c>
      <c r="AX395" s="59"/>
      <c r="AY395" s="58" t="str">
        <f t="shared" si="222"/>
        <v/>
      </c>
      <c r="AZ395" s="59"/>
      <c r="BA395" s="58" t="str">
        <f t="shared" si="223"/>
        <v/>
      </c>
      <c r="BB395" s="59"/>
      <c r="BC395" s="58" t="str">
        <f t="shared" si="224"/>
        <v/>
      </c>
      <c r="BD395" s="59"/>
      <c r="BE395" s="58" t="str">
        <f t="shared" si="225"/>
        <v/>
      </c>
      <c r="BF395" s="59"/>
      <c r="BG395" s="58" t="str">
        <f t="shared" si="226"/>
        <v/>
      </c>
      <c r="BH395" s="59"/>
      <c r="BI395" s="58" t="str">
        <f t="shared" si="227"/>
        <v/>
      </c>
      <c r="BJ395" s="59"/>
      <c r="BK395" s="58" t="str">
        <f t="shared" si="228"/>
        <v/>
      </c>
      <c r="BL395" s="59"/>
      <c r="BM395" s="58">
        <f t="shared" si="229"/>
        <v>768</v>
      </c>
      <c r="BN395" s="59"/>
      <c r="BO395" s="58" t="str">
        <f t="shared" si="230"/>
        <v/>
      </c>
      <c r="BP395" s="59"/>
      <c r="BQ395" s="58" t="str">
        <f t="shared" si="231"/>
        <v/>
      </c>
      <c r="BR395" s="59"/>
      <c r="BS395" s="58" t="str">
        <f t="shared" si="232"/>
        <v/>
      </c>
      <c r="BT395" s="59"/>
      <c r="BU395" s="58" t="str">
        <f t="shared" si="233"/>
        <v/>
      </c>
      <c r="BV395" s="59"/>
      <c r="BW395" s="58" t="str">
        <f t="shared" si="234"/>
        <v/>
      </c>
      <c r="BX395" s="59"/>
      <c r="BY395" s="58" t="str">
        <f t="shared" si="235"/>
        <v/>
      </c>
      <c r="BZ395" s="59"/>
    </row>
    <row r="396" spans="1:78" ht="14.5" hidden="1">
      <c r="A396" s="51" t="s">
        <v>446</v>
      </c>
      <c r="B396" s="52" t="s">
        <v>569</v>
      </c>
      <c r="C396" s="52" t="s">
        <v>74</v>
      </c>
      <c r="D396" s="41">
        <f t="shared" si="209"/>
        <v>8</v>
      </c>
      <c r="E396" s="170"/>
      <c r="F396" s="41"/>
      <c r="G396" s="52" t="s">
        <v>207</v>
      </c>
      <c r="H396" s="52" t="s">
        <v>309</v>
      </c>
      <c r="I396" s="52" t="s">
        <v>155</v>
      </c>
      <c r="J396" s="52" t="s">
        <v>570</v>
      </c>
      <c r="K396" s="53">
        <v>45708</v>
      </c>
      <c r="L396" s="108">
        <v>270</v>
      </c>
      <c r="M396" s="101"/>
      <c r="N396" s="101"/>
      <c r="O396" s="101">
        <f t="shared" si="203"/>
        <v>270</v>
      </c>
      <c r="P396" s="54">
        <f t="shared" si="204"/>
        <v>270</v>
      </c>
      <c r="Q396" s="101" t="s">
        <v>571</v>
      </c>
      <c r="R396" s="101"/>
      <c r="S396" s="101"/>
      <c r="T396" s="102">
        <f t="shared" si="210"/>
        <v>0.5625</v>
      </c>
      <c r="U396" s="102">
        <v>6</v>
      </c>
      <c r="V396" s="99">
        <v>80</v>
      </c>
      <c r="W396" s="55">
        <f t="shared" si="211"/>
        <v>45676</v>
      </c>
      <c r="X396" s="55"/>
      <c r="Y396" s="56">
        <f t="shared" ca="1" si="207"/>
        <v>-164</v>
      </c>
      <c r="Z396" s="55">
        <f t="shared" si="206"/>
        <v>45692</v>
      </c>
      <c r="AA396" s="55"/>
      <c r="AB396" s="56">
        <f t="shared" ca="1" si="208"/>
        <v>-148</v>
      </c>
      <c r="AC396" s="55"/>
      <c r="AD396" s="57"/>
      <c r="AE396" s="58" t="str">
        <f t="shared" si="212"/>
        <v>-</v>
      </c>
      <c r="AF396" s="59"/>
      <c r="AG396" s="58" t="str">
        <f t="shared" si="213"/>
        <v/>
      </c>
      <c r="AH396" s="59"/>
      <c r="AI396" s="58" t="str">
        <f t="shared" si="214"/>
        <v/>
      </c>
      <c r="AJ396" s="59"/>
      <c r="AK396" s="58" t="str">
        <f t="shared" si="215"/>
        <v/>
      </c>
      <c r="AL396" s="59"/>
      <c r="AM396" s="58" t="str">
        <f t="shared" si="216"/>
        <v/>
      </c>
      <c r="AN396" s="59"/>
      <c r="AO396" s="58" t="str">
        <f t="shared" si="217"/>
        <v/>
      </c>
      <c r="AP396" s="59"/>
      <c r="AQ396" s="58" t="str">
        <f t="shared" si="218"/>
        <v/>
      </c>
      <c r="AR396" s="59"/>
      <c r="AS396" s="58" t="str">
        <f t="shared" si="219"/>
        <v/>
      </c>
      <c r="AT396" s="59"/>
      <c r="AU396" s="58" t="str">
        <f t="shared" si="220"/>
        <v/>
      </c>
      <c r="AV396" s="59"/>
      <c r="AW396" s="58" t="str">
        <f t="shared" si="221"/>
        <v/>
      </c>
      <c r="AX396" s="59"/>
      <c r="AY396" s="58" t="str">
        <f t="shared" si="222"/>
        <v/>
      </c>
      <c r="AZ396" s="59"/>
      <c r="BA396" s="58" t="str">
        <f t="shared" si="223"/>
        <v/>
      </c>
      <c r="BB396" s="59"/>
      <c r="BC396" s="58" t="str">
        <f t="shared" si="224"/>
        <v/>
      </c>
      <c r="BD396" s="59"/>
      <c r="BE396" s="58" t="str">
        <f t="shared" si="225"/>
        <v/>
      </c>
      <c r="BF396" s="59"/>
      <c r="BG396" s="58" t="str">
        <f t="shared" si="226"/>
        <v/>
      </c>
      <c r="BH396" s="59"/>
      <c r="BI396" s="58" t="str">
        <f t="shared" si="227"/>
        <v/>
      </c>
      <c r="BJ396" s="59"/>
      <c r="BK396" s="58" t="str">
        <f t="shared" si="228"/>
        <v/>
      </c>
      <c r="BL396" s="59"/>
      <c r="BM396" s="58">
        <f t="shared" si="229"/>
        <v>270</v>
      </c>
      <c r="BN396" s="59"/>
      <c r="BO396" s="58" t="str">
        <f t="shared" si="230"/>
        <v/>
      </c>
      <c r="BP396" s="59"/>
      <c r="BQ396" s="58" t="str">
        <f t="shared" si="231"/>
        <v/>
      </c>
      <c r="BR396" s="59"/>
      <c r="BS396" s="58" t="str">
        <f t="shared" si="232"/>
        <v/>
      </c>
      <c r="BT396" s="59"/>
      <c r="BU396" s="58" t="str">
        <f t="shared" si="233"/>
        <v/>
      </c>
      <c r="BV396" s="59"/>
      <c r="BW396" s="58" t="str">
        <f t="shared" si="234"/>
        <v/>
      </c>
      <c r="BX396" s="59"/>
      <c r="BY396" s="58" t="str">
        <f t="shared" si="235"/>
        <v/>
      </c>
      <c r="BZ396" s="59"/>
    </row>
    <row r="397" spans="1:78" ht="14.5" hidden="1">
      <c r="A397" s="51" t="s">
        <v>446</v>
      </c>
      <c r="B397" s="52" t="s">
        <v>569</v>
      </c>
      <c r="C397" s="52" t="s">
        <v>74</v>
      </c>
      <c r="D397" s="41">
        <f t="shared" si="209"/>
        <v>8</v>
      </c>
      <c r="E397" s="170"/>
      <c r="F397" s="41"/>
      <c r="G397" s="52" t="s">
        <v>192</v>
      </c>
      <c r="H397" s="52" t="s">
        <v>309</v>
      </c>
      <c r="I397" s="52" t="s">
        <v>574</v>
      </c>
      <c r="J397" s="52" t="s">
        <v>570</v>
      </c>
      <c r="K397" s="53">
        <v>45708</v>
      </c>
      <c r="L397" s="108">
        <v>210</v>
      </c>
      <c r="M397" s="101"/>
      <c r="N397" s="101"/>
      <c r="O397" s="101">
        <f t="shared" si="203"/>
        <v>210</v>
      </c>
      <c r="P397" s="54">
        <f t="shared" si="204"/>
        <v>210</v>
      </c>
      <c r="Q397" s="101" t="s">
        <v>571</v>
      </c>
      <c r="R397" s="101"/>
      <c r="S397" s="101"/>
      <c r="T397" s="102">
        <f t="shared" si="210"/>
        <v>0.4375</v>
      </c>
      <c r="U397" s="102">
        <v>6</v>
      </c>
      <c r="V397" s="99">
        <v>80</v>
      </c>
      <c r="W397" s="55">
        <f t="shared" si="211"/>
        <v>45676</v>
      </c>
      <c r="X397" s="55"/>
      <c r="Y397" s="56">
        <f t="shared" ca="1" si="207"/>
        <v>-164</v>
      </c>
      <c r="Z397" s="55">
        <f t="shared" si="206"/>
        <v>45692</v>
      </c>
      <c r="AA397" s="55"/>
      <c r="AB397" s="56">
        <f t="shared" ca="1" si="208"/>
        <v>-148</v>
      </c>
      <c r="AC397" s="55"/>
      <c r="AD397" s="57"/>
      <c r="AE397" s="58" t="str">
        <f t="shared" si="212"/>
        <v>-</v>
      </c>
      <c r="AF397" s="59"/>
      <c r="AG397" s="58" t="str">
        <f t="shared" si="213"/>
        <v/>
      </c>
      <c r="AH397" s="59"/>
      <c r="AI397" s="58" t="str">
        <f t="shared" si="214"/>
        <v/>
      </c>
      <c r="AJ397" s="59"/>
      <c r="AK397" s="58" t="str">
        <f t="shared" si="215"/>
        <v/>
      </c>
      <c r="AL397" s="59"/>
      <c r="AM397" s="58" t="str">
        <f t="shared" si="216"/>
        <v/>
      </c>
      <c r="AN397" s="59"/>
      <c r="AO397" s="58" t="str">
        <f t="shared" si="217"/>
        <v/>
      </c>
      <c r="AP397" s="59"/>
      <c r="AQ397" s="58" t="str">
        <f t="shared" si="218"/>
        <v/>
      </c>
      <c r="AR397" s="59"/>
      <c r="AS397" s="58" t="str">
        <f t="shared" si="219"/>
        <v/>
      </c>
      <c r="AT397" s="59"/>
      <c r="AU397" s="58" t="str">
        <f t="shared" si="220"/>
        <v/>
      </c>
      <c r="AV397" s="59"/>
      <c r="AW397" s="58" t="str">
        <f t="shared" si="221"/>
        <v/>
      </c>
      <c r="AX397" s="59"/>
      <c r="AY397" s="58" t="str">
        <f t="shared" si="222"/>
        <v/>
      </c>
      <c r="AZ397" s="59"/>
      <c r="BA397" s="58" t="str">
        <f t="shared" si="223"/>
        <v/>
      </c>
      <c r="BB397" s="59"/>
      <c r="BC397" s="58" t="str">
        <f t="shared" si="224"/>
        <v/>
      </c>
      <c r="BD397" s="59"/>
      <c r="BE397" s="58" t="str">
        <f t="shared" si="225"/>
        <v/>
      </c>
      <c r="BF397" s="59"/>
      <c r="BG397" s="58" t="str">
        <f t="shared" si="226"/>
        <v/>
      </c>
      <c r="BH397" s="59"/>
      <c r="BI397" s="58" t="str">
        <f t="shared" si="227"/>
        <v/>
      </c>
      <c r="BJ397" s="59"/>
      <c r="BK397" s="58" t="str">
        <f t="shared" si="228"/>
        <v/>
      </c>
      <c r="BL397" s="59"/>
      <c r="BM397" s="58">
        <f t="shared" si="229"/>
        <v>210</v>
      </c>
      <c r="BN397" s="59"/>
      <c r="BO397" s="58" t="str">
        <f t="shared" si="230"/>
        <v/>
      </c>
      <c r="BP397" s="59"/>
      <c r="BQ397" s="58" t="str">
        <f t="shared" si="231"/>
        <v/>
      </c>
      <c r="BR397" s="59"/>
      <c r="BS397" s="58" t="str">
        <f t="shared" si="232"/>
        <v/>
      </c>
      <c r="BT397" s="59"/>
      <c r="BU397" s="58" t="str">
        <f t="shared" si="233"/>
        <v/>
      </c>
      <c r="BV397" s="59"/>
      <c r="BW397" s="58" t="str">
        <f t="shared" si="234"/>
        <v/>
      </c>
      <c r="BX397" s="59"/>
      <c r="BY397" s="58" t="str">
        <f t="shared" si="235"/>
        <v/>
      </c>
      <c r="BZ397" s="59"/>
    </row>
    <row r="398" spans="1:78" ht="14.5" hidden="1">
      <c r="A398" s="51" t="s">
        <v>446</v>
      </c>
      <c r="B398" s="52" t="s">
        <v>569</v>
      </c>
      <c r="C398" s="52" t="s">
        <v>74</v>
      </c>
      <c r="D398" s="41">
        <f t="shared" si="209"/>
        <v>8</v>
      </c>
      <c r="E398" s="170"/>
      <c r="F398" s="41"/>
      <c r="G398" s="52" t="s">
        <v>204</v>
      </c>
      <c r="H398" s="52" t="s">
        <v>347</v>
      </c>
      <c r="I398" s="52" t="s">
        <v>163</v>
      </c>
      <c r="J398" s="52" t="s">
        <v>572</v>
      </c>
      <c r="K398" s="53">
        <v>45708</v>
      </c>
      <c r="L398" s="108">
        <v>216</v>
      </c>
      <c r="M398" s="101"/>
      <c r="N398" s="101"/>
      <c r="O398" s="101">
        <f t="shared" si="203"/>
        <v>216</v>
      </c>
      <c r="P398" s="54">
        <f t="shared" si="204"/>
        <v>216</v>
      </c>
      <c r="Q398" s="101" t="s">
        <v>178</v>
      </c>
      <c r="R398" s="101"/>
      <c r="S398" s="101"/>
      <c r="T398" s="102">
        <f t="shared" si="210"/>
        <v>0.45</v>
      </c>
      <c r="U398" s="102">
        <v>6</v>
      </c>
      <c r="V398" s="99">
        <v>80</v>
      </c>
      <c r="W398" s="55">
        <f t="shared" si="211"/>
        <v>45676</v>
      </c>
      <c r="X398" s="55"/>
      <c r="Y398" s="56">
        <f t="shared" ca="1" si="207"/>
        <v>-164</v>
      </c>
      <c r="Z398" s="55">
        <f t="shared" si="206"/>
        <v>45692</v>
      </c>
      <c r="AA398" s="55"/>
      <c r="AB398" s="56">
        <f t="shared" ca="1" si="208"/>
        <v>-148</v>
      </c>
      <c r="AC398" s="55"/>
      <c r="AD398" s="57"/>
      <c r="AE398" s="58" t="str">
        <f t="shared" si="212"/>
        <v>-</v>
      </c>
      <c r="AF398" s="59"/>
      <c r="AG398" s="58" t="str">
        <f t="shared" si="213"/>
        <v/>
      </c>
      <c r="AH398" s="59"/>
      <c r="AI398" s="58" t="str">
        <f t="shared" si="214"/>
        <v/>
      </c>
      <c r="AJ398" s="59"/>
      <c r="AK398" s="58" t="str">
        <f t="shared" si="215"/>
        <v/>
      </c>
      <c r="AL398" s="59"/>
      <c r="AM398" s="58" t="str">
        <f t="shared" si="216"/>
        <v/>
      </c>
      <c r="AN398" s="59"/>
      <c r="AO398" s="58" t="str">
        <f t="shared" si="217"/>
        <v/>
      </c>
      <c r="AP398" s="59"/>
      <c r="AQ398" s="58" t="str">
        <f t="shared" si="218"/>
        <v/>
      </c>
      <c r="AR398" s="59"/>
      <c r="AS398" s="58" t="str">
        <f t="shared" si="219"/>
        <v/>
      </c>
      <c r="AT398" s="59"/>
      <c r="AU398" s="58" t="str">
        <f t="shared" si="220"/>
        <v/>
      </c>
      <c r="AV398" s="59"/>
      <c r="AW398" s="58" t="str">
        <f t="shared" si="221"/>
        <v/>
      </c>
      <c r="AX398" s="59"/>
      <c r="AY398" s="58" t="str">
        <f t="shared" si="222"/>
        <v/>
      </c>
      <c r="AZ398" s="59"/>
      <c r="BA398" s="58" t="str">
        <f t="shared" si="223"/>
        <v/>
      </c>
      <c r="BB398" s="59"/>
      <c r="BC398" s="58" t="str">
        <f t="shared" si="224"/>
        <v/>
      </c>
      <c r="BD398" s="59"/>
      <c r="BE398" s="58" t="str">
        <f t="shared" si="225"/>
        <v/>
      </c>
      <c r="BF398" s="59"/>
      <c r="BG398" s="58" t="str">
        <f t="shared" si="226"/>
        <v/>
      </c>
      <c r="BH398" s="59"/>
      <c r="BI398" s="58" t="str">
        <f t="shared" si="227"/>
        <v/>
      </c>
      <c r="BJ398" s="59"/>
      <c r="BK398" s="58" t="str">
        <f t="shared" si="228"/>
        <v/>
      </c>
      <c r="BL398" s="59"/>
      <c r="BM398" s="58">
        <f t="shared" si="229"/>
        <v>216</v>
      </c>
      <c r="BN398" s="59"/>
      <c r="BO398" s="58" t="str">
        <f t="shared" si="230"/>
        <v/>
      </c>
      <c r="BP398" s="59"/>
      <c r="BQ398" s="58" t="str">
        <f t="shared" si="231"/>
        <v/>
      </c>
      <c r="BR398" s="59"/>
      <c r="BS398" s="58" t="str">
        <f t="shared" si="232"/>
        <v/>
      </c>
      <c r="BT398" s="59"/>
      <c r="BU398" s="58" t="str">
        <f t="shared" si="233"/>
        <v/>
      </c>
      <c r="BV398" s="59"/>
      <c r="BW398" s="58" t="str">
        <f t="shared" si="234"/>
        <v/>
      </c>
      <c r="BX398" s="59"/>
      <c r="BY398" s="58" t="str">
        <f t="shared" si="235"/>
        <v/>
      </c>
      <c r="BZ398" s="59"/>
    </row>
    <row r="399" spans="1:78" ht="14.5" hidden="1">
      <c r="A399" s="51" t="s">
        <v>446</v>
      </c>
      <c r="B399" s="52" t="s">
        <v>569</v>
      </c>
      <c r="C399" s="52" t="s">
        <v>74</v>
      </c>
      <c r="D399" s="41">
        <f t="shared" si="209"/>
        <v>8</v>
      </c>
      <c r="E399" s="170"/>
      <c r="F399" s="41"/>
      <c r="G399" s="52" t="s">
        <v>199</v>
      </c>
      <c r="H399" s="52" t="s">
        <v>575</v>
      </c>
      <c r="I399" s="52" t="s">
        <v>155</v>
      </c>
      <c r="J399" s="52" t="s">
        <v>576</v>
      </c>
      <c r="K399" s="53">
        <v>45708</v>
      </c>
      <c r="L399" s="108">
        <v>250</v>
      </c>
      <c r="M399" s="101"/>
      <c r="N399" s="101"/>
      <c r="O399" s="101">
        <f t="shared" si="203"/>
        <v>250</v>
      </c>
      <c r="P399" s="54">
        <f t="shared" si="204"/>
        <v>250</v>
      </c>
      <c r="Q399" s="101" t="s">
        <v>571</v>
      </c>
      <c r="R399" s="101"/>
      <c r="S399" s="101"/>
      <c r="T399" s="102">
        <f t="shared" si="210"/>
        <v>0.52083333333333337</v>
      </c>
      <c r="U399" s="102">
        <v>6</v>
      </c>
      <c r="V399" s="99">
        <v>80</v>
      </c>
      <c r="W399" s="55">
        <f t="shared" si="211"/>
        <v>45676</v>
      </c>
      <c r="X399" s="55"/>
      <c r="Y399" s="56">
        <f t="shared" ca="1" si="207"/>
        <v>-164</v>
      </c>
      <c r="Z399" s="55">
        <f t="shared" si="206"/>
        <v>45692</v>
      </c>
      <c r="AA399" s="55"/>
      <c r="AB399" s="56">
        <f t="shared" ca="1" si="208"/>
        <v>-148</v>
      </c>
      <c r="AC399" s="55"/>
      <c r="AD399" s="57"/>
      <c r="AE399" s="58" t="str">
        <f t="shared" si="212"/>
        <v>-</v>
      </c>
      <c r="AF399" s="59"/>
      <c r="AG399" s="58" t="str">
        <f t="shared" si="213"/>
        <v/>
      </c>
      <c r="AH399" s="59"/>
      <c r="AI399" s="58" t="str">
        <f t="shared" si="214"/>
        <v/>
      </c>
      <c r="AJ399" s="59"/>
      <c r="AK399" s="58" t="str">
        <f t="shared" si="215"/>
        <v/>
      </c>
      <c r="AL399" s="59"/>
      <c r="AM399" s="58" t="str">
        <f t="shared" si="216"/>
        <v/>
      </c>
      <c r="AN399" s="59"/>
      <c r="AO399" s="58" t="str">
        <f t="shared" si="217"/>
        <v/>
      </c>
      <c r="AP399" s="59"/>
      <c r="AQ399" s="58" t="str">
        <f t="shared" si="218"/>
        <v/>
      </c>
      <c r="AR399" s="59"/>
      <c r="AS399" s="58" t="str">
        <f t="shared" si="219"/>
        <v/>
      </c>
      <c r="AT399" s="59"/>
      <c r="AU399" s="58" t="str">
        <f t="shared" si="220"/>
        <v/>
      </c>
      <c r="AV399" s="59"/>
      <c r="AW399" s="58" t="str">
        <f t="shared" si="221"/>
        <v/>
      </c>
      <c r="AX399" s="59"/>
      <c r="AY399" s="58" t="str">
        <f t="shared" si="222"/>
        <v/>
      </c>
      <c r="AZ399" s="59"/>
      <c r="BA399" s="58" t="str">
        <f t="shared" si="223"/>
        <v/>
      </c>
      <c r="BB399" s="59"/>
      <c r="BC399" s="58" t="str">
        <f t="shared" si="224"/>
        <v/>
      </c>
      <c r="BD399" s="59"/>
      <c r="BE399" s="58" t="str">
        <f t="shared" si="225"/>
        <v/>
      </c>
      <c r="BF399" s="59"/>
      <c r="BG399" s="58" t="str">
        <f t="shared" si="226"/>
        <v/>
      </c>
      <c r="BH399" s="59"/>
      <c r="BI399" s="58" t="str">
        <f t="shared" si="227"/>
        <v/>
      </c>
      <c r="BJ399" s="59"/>
      <c r="BK399" s="58" t="str">
        <f t="shared" si="228"/>
        <v/>
      </c>
      <c r="BL399" s="59"/>
      <c r="BM399" s="58">
        <f t="shared" si="229"/>
        <v>250</v>
      </c>
      <c r="BN399" s="59"/>
      <c r="BO399" s="58" t="str">
        <f t="shared" si="230"/>
        <v/>
      </c>
      <c r="BP399" s="59"/>
      <c r="BQ399" s="58" t="str">
        <f t="shared" si="231"/>
        <v/>
      </c>
      <c r="BR399" s="59"/>
      <c r="BS399" s="58" t="str">
        <f t="shared" si="232"/>
        <v/>
      </c>
      <c r="BT399" s="59"/>
      <c r="BU399" s="58" t="str">
        <f t="shared" si="233"/>
        <v/>
      </c>
      <c r="BV399" s="59"/>
      <c r="BW399" s="58" t="str">
        <f t="shared" si="234"/>
        <v/>
      </c>
      <c r="BX399" s="59"/>
      <c r="BY399" s="58" t="str">
        <f t="shared" si="235"/>
        <v/>
      </c>
      <c r="BZ399" s="59"/>
    </row>
    <row r="400" spans="1:78" ht="14.5" hidden="1">
      <c r="A400" s="51" t="s">
        <v>446</v>
      </c>
      <c r="B400" s="52" t="s">
        <v>569</v>
      </c>
      <c r="C400" s="52" t="s">
        <v>74</v>
      </c>
      <c r="D400" s="41">
        <f t="shared" si="209"/>
        <v>8</v>
      </c>
      <c r="E400" s="170"/>
      <c r="F400" s="41"/>
      <c r="G400" s="52" t="s">
        <v>204</v>
      </c>
      <c r="H400" s="52" t="s">
        <v>309</v>
      </c>
      <c r="I400" s="52" t="s">
        <v>163</v>
      </c>
      <c r="J400" s="52" t="s">
        <v>570</v>
      </c>
      <c r="K400" s="53">
        <v>45708</v>
      </c>
      <c r="L400" s="108">
        <v>420</v>
      </c>
      <c r="M400" s="101"/>
      <c r="N400" s="101"/>
      <c r="O400" s="101">
        <f t="shared" si="203"/>
        <v>420</v>
      </c>
      <c r="P400" s="54">
        <f t="shared" si="204"/>
        <v>420</v>
      </c>
      <c r="Q400" s="101" t="s">
        <v>571</v>
      </c>
      <c r="R400" s="101"/>
      <c r="S400" s="101"/>
      <c r="T400" s="102">
        <f t="shared" si="210"/>
        <v>0.875</v>
      </c>
      <c r="U400" s="102">
        <v>6</v>
      </c>
      <c r="V400" s="99">
        <v>80</v>
      </c>
      <c r="W400" s="55">
        <f t="shared" si="211"/>
        <v>45676</v>
      </c>
      <c r="X400" s="55"/>
      <c r="Y400" s="56">
        <f t="shared" ca="1" si="207"/>
        <v>-164</v>
      </c>
      <c r="Z400" s="55">
        <f t="shared" si="206"/>
        <v>45692</v>
      </c>
      <c r="AA400" s="55"/>
      <c r="AB400" s="56">
        <f t="shared" ca="1" si="208"/>
        <v>-148</v>
      </c>
      <c r="AC400" s="55"/>
      <c r="AD400" s="57"/>
      <c r="AE400" s="58" t="str">
        <f t="shared" si="212"/>
        <v>-</v>
      </c>
      <c r="AF400" s="59"/>
      <c r="AG400" s="58" t="str">
        <f t="shared" si="213"/>
        <v/>
      </c>
      <c r="AH400" s="59"/>
      <c r="AI400" s="58" t="str">
        <f t="shared" si="214"/>
        <v/>
      </c>
      <c r="AJ400" s="59"/>
      <c r="AK400" s="58" t="str">
        <f t="shared" si="215"/>
        <v/>
      </c>
      <c r="AL400" s="59"/>
      <c r="AM400" s="58" t="str">
        <f t="shared" si="216"/>
        <v/>
      </c>
      <c r="AN400" s="59"/>
      <c r="AO400" s="58" t="str">
        <f t="shared" si="217"/>
        <v/>
      </c>
      <c r="AP400" s="59"/>
      <c r="AQ400" s="58" t="str">
        <f t="shared" si="218"/>
        <v/>
      </c>
      <c r="AR400" s="59"/>
      <c r="AS400" s="58" t="str">
        <f t="shared" si="219"/>
        <v/>
      </c>
      <c r="AT400" s="59"/>
      <c r="AU400" s="58" t="str">
        <f t="shared" si="220"/>
        <v/>
      </c>
      <c r="AV400" s="59"/>
      <c r="AW400" s="58" t="str">
        <f t="shared" si="221"/>
        <v/>
      </c>
      <c r="AX400" s="59"/>
      <c r="AY400" s="58" t="str">
        <f t="shared" si="222"/>
        <v/>
      </c>
      <c r="AZ400" s="59"/>
      <c r="BA400" s="58" t="str">
        <f t="shared" si="223"/>
        <v/>
      </c>
      <c r="BB400" s="59"/>
      <c r="BC400" s="58" t="str">
        <f t="shared" si="224"/>
        <v/>
      </c>
      <c r="BD400" s="59"/>
      <c r="BE400" s="58" t="str">
        <f t="shared" si="225"/>
        <v/>
      </c>
      <c r="BF400" s="59"/>
      <c r="BG400" s="58" t="str">
        <f t="shared" si="226"/>
        <v/>
      </c>
      <c r="BH400" s="59"/>
      <c r="BI400" s="58" t="str">
        <f t="shared" si="227"/>
        <v/>
      </c>
      <c r="BJ400" s="59"/>
      <c r="BK400" s="58" t="str">
        <f t="shared" si="228"/>
        <v/>
      </c>
      <c r="BL400" s="59"/>
      <c r="BM400" s="58">
        <f t="shared" si="229"/>
        <v>420</v>
      </c>
      <c r="BN400" s="59"/>
      <c r="BO400" s="58" t="str">
        <f t="shared" si="230"/>
        <v/>
      </c>
      <c r="BP400" s="59"/>
      <c r="BQ400" s="58" t="str">
        <f t="shared" si="231"/>
        <v/>
      </c>
      <c r="BR400" s="59"/>
      <c r="BS400" s="58" t="str">
        <f t="shared" si="232"/>
        <v/>
      </c>
      <c r="BT400" s="59"/>
      <c r="BU400" s="58" t="str">
        <f t="shared" si="233"/>
        <v/>
      </c>
      <c r="BV400" s="59"/>
      <c r="BW400" s="58" t="str">
        <f t="shared" si="234"/>
        <v/>
      </c>
      <c r="BX400" s="59"/>
      <c r="BY400" s="58" t="str">
        <f t="shared" si="235"/>
        <v/>
      </c>
      <c r="BZ400" s="59"/>
    </row>
    <row r="401" spans="1:78" ht="14.5" hidden="1">
      <c r="A401" s="51" t="s">
        <v>446</v>
      </c>
      <c r="B401" s="52" t="s">
        <v>569</v>
      </c>
      <c r="C401" s="52" t="s">
        <v>74</v>
      </c>
      <c r="D401" s="41">
        <f t="shared" si="209"/>
        <v>8</v>
      </c>
      <c r="E401" s="170"/>
      <c r="F401" s="41"/>
      <c r="G401" s="52" t="s">
        <v>199</v>
      </c>
      <c r="H401" s="52" t="s">
        <v>308</v>
      </c>
      <c r="I401" s="52" t="s">
        <v>155</v>
      </c>
      <c r="J401" s="52" t="s">
        <v>570</v>
      </c>
      <c r="K401" s="53">
        <v>45708</v>
      </c>
      <c r="L401" s="108">
        <v>540</v>
      </c>
      <c r="M401" s="101"/>
      <c r="N401" s="101"/>
      <c r="O401" s="101">
        <f t="shared" si="203"/>
        <v>540</v>
      </c>
      <c r="P401" s="54">
        <f t="shared" si="204"/>
        <v>540</v>
      </c>
      <c r="Q401" s="101" t="s">
        <v>573</v>
      </c>
      <c r="R401" s="101"/>
      <c r="S401" s="101"/>
      <c r="T401" s="102">
        <f t="shared" si="210"/>
        <v>1.125</v>
      </c>
      <c r="U401" s="102">
        <v>6</v>
      </c>
      <c r="V401" s="99">
        <v>80</v>
      </c>
      <c r="W401" s="55">
        <f t="shared" si="211"/>
        <v>45676</v>
      </c>
      <c r="X401" s="55"/>
      <c r="Y401" s="56">
        <f t="shared" ca="1" si="207"/>
        <v>-164</v>
      </c>
      <c r="Z401" s="55">
        <f t="shared" si="206"/>
        <v>45692</v>
      </c>
      <c r="AA401" s="55"/>
      <c r="AB401" s="56">
        <f t="shared" ca="1" si="208"/>
        <v>-148</v>
      </c>
      <c r="AC401" s="55"/>
      <c r="AD401" s="57"/>
      <c r="AE401" s="58" t="str">
        <f t="shared" si="212"/>
        <v>-</v>
      </c>
      <c r="AF401" s="59"/>
      <c r="AG401" s="58" t="str">
        <f t="shared" si="213"/>
        <v/>
      </c>
      <c r="AH401" s="59"/>
      <c r="AI401" s="58" t="str">
        <f t="shared" si="214"/>
        <v/>
      </c>
      <c r="AJ401" s="59"/>
      <c r="AK401" s="58" t="str">
        <f t="shared" si="215"/>
        <v/>
      </c>
      <c r="AL401" s="59"/>
      <c r="AM401" s="58" t="str">
        <f t="shared" si="216"/>
        <v/>
      </c>
      <c r="AN401" s="59"/>
      <c r="AO401" s="58" t="str">
        <f t="shared" si="217"/>
        <v/>
      </c>
      <c r="AP401" s="59"/>
      <c r="AQ401" s="58" t="str">
        <f t="shared" si="218"/>
        <v/>
      </c>
      <c r="AR401" s="59"/>
      <c r="AS401" s="58" t="str">
        <f t="shared" si="219"/>
        <v/>
      </c>
      <c r="AT401" s="59"/>
      <c r="AU401" s="58" t="str">
        <f t="shared" si="220"/>
        <v/>
      </c>
      <c r="AV401" s="59"/>
      <c r="AW401" s="58" t="str">
        <f t="shared" si="221"/>
        <v/>
      </c>
      <c r="AX401" s="59"/>
      <c r="AY401" s="58" t="str">
        <f t="shared" si="222"/>
        <v/>
      </c>
      <c r="AZ401" s="59"/>
      <c r="BA401" s="58" t="str">
        <f t="shared" si="223"/>
        <v/>
      </c>
      <c r="BB401" s="59"/>
      <c r="BC401" s="58" t="str">
        <f t="shared" si="224"/>
        <v/>
      </c>
      <c r="BD401" s="59"/>
      <c r="BE401" s="58" t="str">
        <f t="shared" si="225"/>
        <v/>
      </c>
      <c r="BF401" s="59"/>
      <c r="BG401" s="58" t="str">
        <f t="shared" si="226"/>
        <v/>
      </c>
      <c r="BH401" s="59"/>
      <c r="BI401" s="58" t="str">
        <f t="shared" si="227"/>
        <v/>
      </c>
      <c r="BJ401" s="59"/>
      <c r="BK401" s="58" t="str">
        <f t="shared" si="228"/>
        <v/>
      </c>
      <c r="BL401" s="59"/>
      <c r="BM401" s="58">
        <f t="shared" si="229"/>
        <v>540</v>
      </c>
      <c r="BN401" s="59"/>
      <c r="BO401" s="58" t="str">
        <f t="shared" si="230"/>
        <v/>
      </c>
      <c r="BP401" s="59"/>
      <c r="BQ401" s="58" t="str">
        <f t="shared" si="231"/>
        <v/>
      </c>
      <c r="BR401" s="59"/>
      <c r="BS401" s="58" t="str">
        <f t="shared" si="232"/>
        <v/>
      </c>
      <c r="BT401" s="59"/>
      <c r="BU401" s="58" t="str">
        <f t="shared" si="233"/>
        <v/>
      </c>
      <c r="BV401" s="59"/>
      <c r="BW401" s="58" t="str">
        <f t="shared" si="234"/>
        <v/>
      </c>
      <c r="BX401" s="59"/>
      <c r="BY401" s="58" t="str">
        <f t="shared" si="235"/>
        <v/>
      </c>
      <c r="BZ401" s="59"/>
    </row>
    <row r="402" spans="1:78" ht="14.5" hidden="1">
      <c r="A402" s="51" t="s">
        <v>446</v>
      </c>
      <c r="B402" s="52" t="s">
        <v>569</v>
      </c>
      <c r="C402" s="52" t="s">
        <v>74</v>
      </c>
      <c r="D402" s="41">
        <f t="shared" si="209"/>
        <v>8</v>
      </c>
      <c r="E402" s="170"/>
      <c r="F402" s="41"/>
      <c r="G402" s="52" t="s">
        <v>207</v>
      </c>
      <c r="H402" s="52" t="s">
        <v>308</v>
      </c>
      <c r="I402" s="52" t="s">
        <v>162</v>
      </c>
      <c r="J402" s="52" t="s">
        <v>570</v>
      </c>
      <c r="K402" s="53">
        <v>45708</v>
      </c>
      <c r="L402" s="108">
        <v>680</v>
      </c>
      <c r="M402" s="101"/>
      <c r="N402" s="101"/>
      <c r="O402" s="101">
        <f t="shared" si="203"/>
        <v>680</v>
      </c>
      <c r="P402" s="54">
        <f t="shared" si="204"/>
        <v>680</v>
      </c>
      <c r="Q402" s="101" t="s">
        <v>573</v>
      </c>
      <c r="R402" s="101"/>
      <c r="S402" s="101"/>
      <c r="T402" s="102">
        <f t="shared" si="210"/>
        <v>1.4166666666666667</v>
      </c>
      <c r="U402" s="102">
        <v>6</v>
      </c>
      <c r="V402" s="99">
        <v>80</v>
      </c>
      <c r="W402" s="55">
        <f t="shared" si="211"/>
        <v>45676</v>
      </c>
      <c r="X402" s="55"/>
      <c r="Y402" s="56">
        <f t="shared" ca="1" si="207"/>
        <v>-164</v>
      </c>
      <c r="Z402" s="55">
        <f t="shared" si="206"/>
        <v>45692</v>
      </c>
      <c r="AA402" s="55"/>
      <c r="AB402" s="56">
        <f t="shared" ca="1" si="208"/>
        <v>-148</v>
      </c>
      <c r="AC402" s="55"/>
      <c r="AD402" s="57"/>
      <c r="AE402" s="58" t="str">
        <f t="shared" si="212"/>
        <v>-</v>
      </c>
      <c r="AF402" s="59"/>
      <c r="AG402" s="58" t="str">
        <f t="shared" si="213"/>
        <v/>
      </c>
      <c r="AH402" s="59"/>
      <c r="AI402" s="58" t="str">
        <f t="shared" si="214"/>
        <v/>
      </c>
      <c r="AJ402" s="59"/>
      <c r="AK402" s="58" t="str">
        <f t="shared" si="215"/>
        <v/>
      </c>
      <c r="AL402" s="59"/>
      <c r="AM402" s="58" t="str">
        <f t="shared" si="216"/>
        <v/>
      </c>
      <c r="AN402" s="59"/>
      <c r="AO402" s="58" t="str">
        <f t="shared" si="217"/>
        <v/>
      </c>
      <c r="AP402" s="59"/>
      <c r="AQ402" s="58" t="str">
        <f t="shared" si="218"/>
        <v/>
      </c>
      <c r="AR402" s="59"/>
      <c r="AS402" s="58" t="str">
        <f t="shared" si="219"/>
        <v/>
      </c>
      <c r="AT402" s="59"/>
      <c r="AU402" s="58" t="str">
        <f t="shared" si="220"/>
        <v/>
      </c>
      <c r="AV402" s="59"/>
      <c r="AW402" s="58" t="str">
        <f t="shared" si="221"/>
        <v/>
      </c>
      <c r="AX402" s="59"/>
      <c r="AY402" s="58" t="str">
        <f t="shared" si="222"/>
        <v/>
      </c>
      <c r="AZ402" s="59"/>
      <c r="BA402" s="58" t="str">
        <f t="shared" si="223"/>
        <v/>
      </c>
      <c r="BB402" s="59"/>
      <c r="BC402" s="58" t="str">
        <f t="shared" si="224"/>
        <v/>
      </c>
      <c r="BD402" s="59"/>
      <c r="BE402" s="58" t="str">
        <f t="shared" si="225"/>
        <v/>
      </c>
      <c r="BF402" s="59"/>
      <c r="BG402" s="58" t="str">
        <f t="shared" si="226"/>
        <v/>
      </c>
      <c r="BH402" s="59"/>
      <c r="BI402" s="58" t="str">
        <f t="shared" si="227"/>
        <v/>
      </c>
      <c r="BJ402" s="59"/>
      <c r="BK402" s="58" t="str">
        <f t="shared" si="228"/>
        <v/>
      </c>
      <c r="BL402" s="59"/>
      <c r="BM402" s="58">
        <f t="shared" si="229"/>
        <v>680</v>
      </c>
      <c r="BN402" s="59"/>
      <c r="BO402" s="58" t="str">
        <f t="shared" si="230"/>
        <v/>
      </c>
      <c r="BP402" s="59"/>
      <c r="BQ402" s="58" t="str">
        <f t="shared" si="231"/>
        <v/>
      </c>
      <c r="BR402" s="59"/>
      <c r="BS402" s="58" t="str">
        <f t="shared" si="232"/>
        <v/>
      </c>
      <c r="BT402" s="59"/>
      <c r="BU402" s="58" t="str">
        <f t="shared" si="233"/>
        <v/>
      </c>
      <c r="BV402" s="59"/>
      <c r="BW402" s="58" t="str">
        <f t="shared" si="234"/>
        <v/>
      </c>
      <c r="BX402" s="59"/>
      <c r="BY402" s="58" t="str">
        <f t="shared" si="235"/>
        <v/>
      </c>
      <c r="BZ402" s="59"/>
    </row>
    <row r="403" spans="1:78" ht="14.5" hidden="1">
      <c r="A403" s="51" t="s">
        <v>446</v>
      </c>
      <c r="B403" s="52" t="s">
        <v>569</v>
      </c>
      <c r="C403" s="52" t="s">
        <v>74</v>
      </c>
      <c r="D403" s="41">
        <f t="shared" si="209"/>
        <v>8</v>
      </c>
      <c r="E403" s="170"/>
      <c r="F403" s="41"/>
      <c r="G403" s="52" t="s">
        <v>192</v>
      </c>
      <c r="H403" s="52" t="s">
        <v>347</v>
      </c>
      <c r="I403" s="52" t="s">
        <v>155</v>
      </c>
      <c r="J403" s="52" t="s">
        <v>572</v>
      </c>
      <c r="K403" s="53">
        <v>45708</v>
      </c>
      <c r="L403" s="108">
        <v>144</v>
      </c>
      <c r="M403" s="101"/>
      <c r="N403" s="101"/>
      <c r="O403" s="101">
        <f t="shared" si="203"/>
        <v>144</v>
      </c>
      <c r="P403" s="54">
        <f t="shared" si="204"/>
        <v>144</v>
      </c>
      <c r="Q403" s="101" t="s">
        <v>178</v>
      </c>
      <c r="R403" s="101"/>
      <c r="S403" s="101"/>
      <c r="T403" s="102">
        <f t="shared" si="210"/>
        <v>0.3</v>
      </c>
      <c r="U403" s="102">
        <v>6</v>
      </c>
      <c r="V403" s="99">
        <v>80</v>
      </c>
      <c r="W403" s="55">
        <f t="shared" si="211"/>
        <v>45676</v>
      </c>
      <c r="X403" s="55"/>
      <c r="Y403" s="56">
        <f t="shared" ca="1" si="207"/>
        <v>-164</v>
      </c>
      <c r="Z403" s="55">
        <f t="shared" si="206"/>
        <v>45692</v>
      </c>
      <c r="AA403" s="55"/>
      <c r="AB403" s="56">
        <f t="shared" ca="1" si="208"/>
        <v>-148</v>
      </c>
      <c r="AC403" s="55"/>
      <c r="AD403" s="57"/>
      <c r="AE403" s="58" t="str">
        <f t="shared" si="212"/>
        <v>-</v>
      </c>
      <c r="AF403" s="59"/>
      <c r="AG403" s="58" t="str">
        <f t="shared" si="213"/>
        <v/>
      </c>
      <c r="AH403" s="59"/>
      <c r="AI403" s="58" t="str">
        <f t="shared" si="214"/>
        <v/>
      </c>
      <c r="AJ403" s="59"/>
      <c r="AK403" s="58" t="str">
        <f t="shared" si="215"/>
        <v/>
      </c>
      <c r="AL403" s="59"/>
      <c r="AM403" s="58" t="str">
        <f t="shared" si="216"/>
        <v/>
      </c>
      <c r="AN403" s="59"/>
      <c r="AO403" s="58" t="str">
        <f t="shared" si="217"/>
        <v/>
      </c>
      <c r="AP403" s="59"/>
      <c r="AQ403" s="58" t="str">
        <f t="shared" si="218"/>
        <v/>
      </c>
      <c r="AR403" s="59"/>
      <c r="AS403" s="58" t="str">
        <f t="shared" si="219"/>
        <v/>
      </c>
      <c r="AT403" s="59"/>
      <c r="AU403" s="58" t="str">
        <f t="shared" si="220"/>
        <v/>
      </c>
      <c r="AV403" s="59"/>
      <c r="AW403" s="58" t="str">
        <f t="shared" si="221"/>
        <v/>
      </c>
      <c r="AX403" s="59"/>
      <c r="AY403" s="58" t="str">
        <f t="shared" si="222"/>
        <v/>
      </c>
      <c r="AZ403" s="59"/>
      <c r="BA403" s="58" t="str">
        <f t="shared" si="223"/>
        <v/>
      </c>
      <c r="BB403" s="59"/>
      <c r="BC403" s="58" t="str">
        <f t="shared" si="224"/>
        <v/>
      </c>
      <c r="BD403" s="59"/>
      <c r="BE403" s="58" t="str">
        <f t="shared" si="225"/>
        <v/>
      </c>
      <c r="BF403" s="59"/>
      <c r="BG403" s="58" t="str">
        <f t="shared" si="226"/>
        <v/>
      </c>
      <c r="BH403" s="59"/>
      <c r="BI403" s="58" t="str">
        <f t="shared" si="227"/>
        <v/>
      </c>
      <c r="BJ403" s="59"/>
      <c r="BK403" s="58" t="str">
        <f t="shared" si="228"/>
        <v/>
      </c>
      <c r="BL403" s="59"/>
      <c r="BM403" s="58">
        <f t="shared" si="229"/>
        <v>144</v>
      </c>
      <c r="BN403" s="59"/>
      <c r="BO403" s="58" t="str">
        <f t="shared" si="230"/>
        <v/>
      </c>
      <c r="BP403" s="59"/>
      <c r="BQ403" s="58" t="str">
        <f t="shared" si="231"/>
        <v/>
      </c>
      <c r="BR403" s="59"/>
      <c r="BS403" s="58" t="str">
        <f t="shared" si="232"/>
        <v/>
      </c>
      <c r="BT403" s="59"/>
      <c r="BU403" s="58" t="str">
        <f t="shared" si="233"/>
        <v/>
      </c>
      <c r="BV403" s="59"/>
      <c r="BW403" s="58" t="str">
        <f t="shared" si="234"/>
        <v/>
      </c>
      <c r="BX403" s="59"/>
      <c r="BY403" s="58" t="str">
        <f t="shared" si="235"/>
        <v/>
      </c>
      <c r="BZ403" s="59"/>
    </row>
    <row r="404" spans="1:78" ht="14.5" hidden="1">
      <c r="A404" s="51" t="s">
        <v>446</v>
      </c>
      <c r="B404" s="52" t="s">
        <v>569</v>
      </c>
      <c r="C404" s="52" t="s">
        <v>74</v>
      </c>
      <c r="D404" s="41">
        <f t="shared" si="209"/>
        <v>8</v>
      </c>
      <c r="E404" s="170"/>
      <c r="F404" s="41"/>
      <c r="G404" s="52" t="s">
        <v>417</v>
      </c>
      <c r="H404" s="52" t="s">
        <v>309</v>
      </c>
      <c r="I404" s="52" t="s">
        <v>164</v>
      </c>
      <c r="J404" s="52" t="s">
        <v>570</v>
      </c>
      <c r="K404" s="53">
        <v>45708</v>
      </c>
      <c r="L404" s="108">
        <v>210</v>
      </c>
      <c r="M404" s="101"/>
      <c r="N404" s="101"/>
      <c r="O404" s="101">
        <f t="shared" si="203"/>
        <v>210</v>
      </c>
      <c r="P404" s="54">
        <f t="shared" si="204"/>
        <v>210</v>
      </c>
      <c r="Q404" s="101" t="s">
        <v>571</v>
      </c>
      <c r="R404" s="101"/>
      <c r="S404" s="101"/>
      <c r="T404" s="102">
        <f t="shared" si="210"/>
        <v>0.4375</v>
      </c>
      <c r="U404" s="102">
        <v>6</v>
      </c>
      <c r="V404" s="99">
        <v>80</v>
      </c>
      <c r="W404" s="55">
        <f t="shared" si="211"/>
        <v>45676</v>
      </c>
      <c r="X404" s="55"/>
      <c r="Y404" s="56">
        <f t="shared" ca="1" si="207"/>
        <v>-164</v>
      </c>
      <c r="Z404" s="55">
        <f t="shared" si="206"/>
        <v>45692</v>
      </c>
      <c r="AA404" s="55"/>
      <c r="AB404" s="56">
        <f t="shared" ca="1" si="208"/>
        <v>-148</v>
      </c>
      <c r="AC404" s="55"/>
      <c r="AD404" s="57"/>
      <c r="AE404" s="58" t="str">
        <f t="shared" si="212"/>
        <v>-</v>
      </c>
      <c r="AF404" s="59"/>
      <c r="AG404" s="58" t="str">
        <f t="shared" si="213"/>
        <v/>
      </c>
      <c r="AH404" s="59"/>
      <c r="AI404" s="58" t="str">
        <f t="shared" si="214"/>
        <v/>
      </c>
      <c r="AJ404" s="59"/>
      <c r="AK404" s="58" t="str">
        <f t="shared" si="215"/>
        <v/>
      </c>
      <c r="AL404" s="59"/>
      <c r="AM404" s="58" t="str">
        <f t="shared" si="216"/>
        <v/>
      </c>
      <c r="AN404" s="59"/>
      <c r="AO404" s="58" t="str">
        <f t="shared" si="217"/>
        <v/>
      </c>
      <c r="AP404" s="59"/>
      <c r="AQ404" s="58" t="str">
        <f t="shared" si="218"/>
        <v/>
      </c>
      <c r="AR404" s="59"/>
      <c r="AS404" s="58" t="str">
        <f t="shared" si="219"/>
        <v/>
      </c>
      <c r="AT404" s="59"/>
      <c r="AU404" s="58" t="str">
        <f t="shared" si="220"/>
        <v/>
      </c>
      <c r="AV404" s="59"/>
      <c r="AW404" s="58" t="str">
        <f t="shared" si="221"/>
        <v/>
      </c>
      <c r="AX404" s="59"/>
      <c r="AY404" s="58" t="str">
        <f t="shared" si="222"/>
        <v/>
      </c>
      <c r="AZ404" s="59"/>
      <c r="BA404" s="58" t="str">
        <f t="shared" si="223"/>
        <v/>
      </c>
      <c r="BB404" s="59"/>
      <c r="BC404" s="58" t="str">
        <f t="shared" si="224"/>
        <v/>
      </c>
      <c r="BD404" s="59"/>
      <c r="BE404" s="58" t="str">
        <f t="shared" si="225"/>
        <v/>
      </c>
      <c r="BF404" s="59"/>
      <c r="BG404" s="58" t="str">
        <f t="shared" si="226"/>
        <v/>
      </c>
      <c r="BH404" s="59"/>
      <c r="BI404" s="58" t="str">
        <f t="shared" si="227"/>
        <v/>
      </c>
      <c r="BJ404" s="59"/>
      <c r="BK404" s="58" t="str">
        <f t="shared" si="228"/>
        <v/>
      </c>
      <c r="BL404" s="59"/>
      <c r="BM404" s="58">
        <f t="shared" si="229"/>
        <v>210</v>
      </c>
      <c r="BN404" s="59"/>
      <c r="BO404" s="58" t="str">
        <f t="shared" si="230"/>
        <v/>
      </c>
      <c r="BP404" s="59"/>
      <c r="BQ404" s="58" t="str">
        <f t="shared" si="231"/>
        <v/>
      </c>
      <c r="BR404" s="59"/>
      <c r="BS404" s="58" t="str">
        <f t="shared" si="232"/>
        <v/>
      </c>
      <c r="BT404" s="59"/>
      <c r="BU404" s="58" t="str">
        <f t="shared" si="233"/>
        <v/>
      </c>
      <c r="BV404" s="59"/>
      <c r="BW404" s="58" t="str">
        <f t="shared" si="234"/>
        <v/>
      </c>
      <c r="BX404" s="59"/>
      <c r="BY404" s="58" t="str">
        <f t="shared" si="235"/>
        <v/>
      </c>
      <c r="BZ404" s="59"/>
    </row>
    <row r="405" spans="1:78" ht="14.5" hidden="1">
      <c r="A405" s="51" t="s">
        <v>446</v>
      </c>
      <c r="B405" s="52" t="s">
        <v>569</v>
      </c>
      <c r="C405" s="52" t="s">
        <v>74</v>
      </c>
      <c r="D405" s="41">
        <f t="shared" si="209"/>
        <v>8</v>
      </c>
      <c r="E405" s="170"/>
      <c r="F405" s="41"/>
      <c r="G405" s="52" t="s">
        <v>416</v>
      </c>
      <c r="H405" s="52" t="s">
        <v>308</v>
      </c>
      <c r="I405" s="52" t="s">
        <v>164</v>
      </c>
      <c r="J405" s="52" t="s">
        <v>570</v>
      </c>
      <c r="K405" s="53">
        <v>45708</v>
      </c>
      <c r="L405" s="108">
        <v>100</v>
      </c>
      <c r="M405" s="101"/>
      <c r="N405" s="101"/>
      <c r="O405" s="101">
        <f t="shared" si="203"/>
        <v>100</v>
      </c>
      <c r="P405" s="54">
        <f t="shared" si="204"/>
        <v>100</v>
      </c>
      <c r="Q405" s="101" t="s">
        <v>573</v>
      </c>
      <c r="R405" s="101"/>
      <c r="S405" s="101"/>
      <c r="T405" s="102">
        <f t="shared" si="210"/>
        <v>0.20833333333333334</v>
      </c>
      <c r="U405" s="102">
        <v>6</v>
      </c>
      <c r="V405" s="99">
        <v>80</v>
      </c>
      <c r="W405" s="55">
        <f t="shared" si="211"/>
        <v>45676</v>
      </c>
      <c r="X405" s="55"/>
      <c r="Y405" s="56">
        <f t="shared" ca="1" si="207"/>
        <v>-164</v>
      </c>
      <c r="Z405" s="55">
        <f t="shared" si="206"/>
        <v>45692</v>
      </c>
      <c r="AA405" s="55"/>
      <c r="AB405" s="56">
        <f t="shared" ca="1" si="208"/>
        <v>-148</v>
      </c>
      <c r="AC405" s="55"/>
      <c r="AD405" s="57"/>
      <c r="AE405" s="58" t="str">
        <f t="shared" si="212"/>
        <v>-</v>
      </c>
      <c r="AF405" s="59"/>
      <c r="AG405" s="58" t="str">
        <f t="shared" si="213"/>
        <v/>
      </c>
      <c r="AH405" s="59"/>
      <c r="AI405" s="58" t="str">
        <f t="shared" si="214"/>
        <v/>
      </c>
      <c r="AJ405" s="59"/>
      <c r="AK405" s="58" t="str">
        <f t="shared" si="215"/>
        <v/>
      </c>
      <c r="AL405" s="59"/>
      <c r="AM405" s="58" t="str">
        <f t="shared" si="216"/>
        <v/>
      </c>
      <c r="AN405" s="59"/>
      <c r="AO405" s="58" t="str">
        <f t="shared" si="217"/>
        <v/>
      </c>
      <c r="AP405" s="59"/>
      <c r="AQ405" s="58" t="str">
        <f t="shared" si="218"/>
        <v/>
      </c>
      <c r="AR405" s="59"/>
      <c r="AS405" s="58" t="str">
        <f t="shared" si="219"/>
        <v/>
      </c>
      <c r="AT405" s="59"/>
      <c r="AU405" s="58" t="str">
        <f t="shared" si="220"/>
        <v/>
      </c>
      <c r="AV405" s="59"/>
      <c r="AW405" s="58" t="str">
        <f t="shared" si="221"/>
        <v/>
      </c>
      <c r="AX405" s="59"/>
      <c r="AY405" s="58" t="str">
        <f t="shared" si="222"/>
        <v/>
      </c>
      <c r="AZ405" s="59"/>
      <c r="BA405" s="58" t="str">
        <f t="shared" si="223"/>
        <v/>
      </c>
      <c r="BB405" s="59"/>
      <c r="BC405" s="58" t="str">
        <f t="shared" si="224"/>
        <v/>
      </c>
      <c r="BD405" s="59"/>
      <c r="BE405" s="58" t="str">
        <f t="shared" si="225"/>
        <v/>
      </c>
      <c r="BF405" s="59"/>
      <c r="BG405" s="58" t="str">
        <f t="shared" si="226"/>
        <v/>
      </c>
      <c r="BH405" s="59"/>
      <c r="BI405" s="58" t="str">
        <f t="shared" si="227"/>
        <v/>
      </c>
      <c r="BJ405" s="59"/>
      <c r="BK405" s="58" t="str">
        <f t="shared" si="228"/>
        <v/>
      </c>
      <c r="BL405" s="59"/>
      <c r="BM405" s="58">
        <f t="shared" si="229"/>
        <v>100</v>
      </c>
      <c r="BN405" s="59"/>
      <c r="BO405" s="58" t="str">
        <f t="shared" si="230"/>
        <v/>
      </c>
      <c r="BP405" s="59"/>
      <c r="BQ405" s="58" t="str">
        <f t="shared" si="231"/>
        <v/>
      </c>
      <c r="BR405" s="59"/>
      <c r="BS405" s="58" t="str">
        <f t="shared" si="232"/>
        <v/>
      </c>
      <c r="BT405" s="59"/>
      <c r="BU405" s="58" t="str">
        <f t="shared" si="233"/>
        <v/>
      </c>
      <c r="BV405" s="59"/>
      <c r="BW405" s="58" t="str">
        <f t="shared" si="234"/>
        <v/>
      </c>
      <c r="BX405" s="59"/>
      <c r="BY405" s="58" t="str">
        <f t="shared" si="235"/>
        <v/>
      </c>
      <c r="BZ405" s="59"/>
    </row>
    <row r="406" spans="1:78" ht="14.5" hidden="1">
      <c r="A406" s="51" t="s">
        <v>446</v>
      </c>
      <c r="B406" s="52" t="s">
        <v>569</v>
      </c>
      <c r="C406" s="52" t="s">
        <v>74</v>
      </c>
      <c r="D406" s="41">
        <f t="shared" si="209"/>
        <v>8</v>
      </c>
      <c r="E406" s="170"/>
      <c r="F406" s="41"/>
      <c r="G406" s="52" t="s">
        <v>204</v>
      </c>
      <c r="H406" s="52" t="s">
        <v>308</v>
      </c>
      <c r="I406" s="52" t="s">
        <v>163</v>
      </c>
      <c r="J406" s="52" t="s">
        <v>570</v>
      </c>
      <c r="K406" s="53">
        <v>45708</v>
      </c>
      <c r="L406" s="108">
        <v>360</v>
      </c>
      <c r="M406" s="101"/>
      <c r="N406" s="101"/>
      <c r="O406" s="101">
        <f t="shared" si="203"/>
        <v>360</v>
      </c>
      <c r="P406" s="54">
        <f t="shared" si="204"/>
        <v>360</v>
      </c>
      <c r="Q406" s="101" t="s">
        <v>573</v>
      </c>
      <c r="R406" s="101"/>
      <c r="S406" s="101"/>
      <c r="T406" s="102">
        <f t="shared" si="210"/>
        <v>0.75</v>
      </c>
      <c r="U406" s="102">
        <v>6</v>
      </c>
      <c r="V406" s="99">
        <v>80</v>
      </c>
      <c r="W406" s="55">
        <f t="shared" si="211"/>
        <v>45676</v>
      </c>
      <c r="X406" s="55"/>
      <c r="Y406" s="56">
        <f t="shared" ca="1" si="207"/>
        <v>-164</v>
      </c>
      <c r="Z406" s="55">
        <f t="shared" si="206"/>
        <v>45692</v>
      </c>
      <c r="AA406" s="55"/>
      <c r="AB406" s="56">
        <f t="shared" ca="1" si="208"/>
        <v>-148</v>
      </c>
      <c r="AC406" s="55"/>
      <c r="AD406" s="57"/>
      <c r="AE406" s="58" t="str">
        <f t="shared" si="212"/>
        <v>-</v>
      </c>
      <c r="AF406" s="59"/>
      <c r="AG406" s="58" t="str">
        <f t="shared" si="213"/>
        <v/>
      </c>
      <c r="AH406" s="59"/>
      <c r="AI406" s="58" t="str">
        <f t="shared" si="214"/>
        <v/>
      </c>
      <c r="AJ406" s="59"/>
      <c r="AK406" s="58" t="str">
        <f t="shared" si="215"/>
        <v/>
      </c>
      <c r="AL406" s="59"/>
      <c r="AM406" s="58" t="str">
        <f t="shared" si="216"/>
        <v/>
      </c>
      <c r="AN406" s="59"/>
      <c r="AO406" s="58" t="str">
        <f t="shared" si="217"/>
        <v/>
      </c>
      <c r="AP406" s="59"/>
      <c r="AQ406" s="58" t="str">
        <f t="shared" si="218"/>
        <v/>
      </c>
      <c r="AR406" s="59"/>
      <c r="AS406" s="58" t="str">
        <f t="shared" si="219"/>
        <v/>
      </c>
      <c r="AT406" s="59"/>
      <c r="AU406" s="58" t="str">
        <f t="shared" si="220"/>
        <v/>
      </c>
      <c r="AV406" s="59"/>
      <c r="AW406" s="58" t="str">
        <f t="shared" si="221"/>
        <v/>
      </c>
      <c r="AX406" s="59"/>
      <c r="AY406" s="58" t="str">
        <f t="shared" si="222"/>
        <v/>
      </c>
      <c r="AZ406" s="59"/>
      <c r="BA406" s="58" t="str">
        <f t="shared" si="223"/>
        <v/>
      </c>
      <c r="BB406" s="59"/>
      <c r="BC406" s="58" t="str">
        <f t="shared" si="224"/>
        <v/>
      </c>
      <c r="BD406" s="59"/>
      <c r="BE406" s="58" t="str">
        <f t="shared" si="225"/>
        <v/>
      </c>
      <c r="BF406" s="59"/>
      <c r="BG406" s="58" t="str">
        <f t="shared" si="226"/>
        <v/>
      </c>
      <c r="BH406" s="59"/>
      <c r="BI406" s="58" t="str">
        <f t="shared" si="227"/>
        <v/>
      </c>
      <c r="BJ406" s="59"/>
      <c r="BK406" s="58" t="str">
        <f t="shared" si="228"/>
        <v/>
      </c>
      <c r="BL406" s="59"/>
      <c r="BM406" s="58">
        <f t="shared" si="229"/>
        <v>360</v>
      </c>
      <c r="BN406" s="59"/>
      <c r="BO406" s="58" t="str">
        <f t="shared" si="230"/>
        <v/>
      </c>
      <c r="BP406" s="59"/>
      <c r="BQ406" s="58" t="str">
        <f t="shared" si="231"/>
        <v/>
      </c>
      <c r="BR406" s="59"/>
      <c r="BS406" s="58" t="str">
        <f t="shared" si="232"/>
        <v/>
      </c>
      <c r="BT406" s="59"/>
      <c r="BU406" s="58" t="str">
        <f t="shared" si="233"/>
        <v/>
      </c>
      <c r="BV406" s="59"/>
      <c r="BW406" s="58" t="str">
        <f t="shared" si="234"/>
        <v/>
      </c>
      <c r="BX406" s="59"/>
      <c r="BY406" s="58" t="str">
        <f t="shared" si="235"/>
        <v/>
      </c>
      <c r="BZ406" s="59"/>
    </row>
    <row r="407" spans="1:78" ht="14.5" hidden="1">
      <c r="A407" s="51" t="s">
        <v>446</v>
      </c>
      <c r="B407" s="52" t="s">
        <v>569</v>
      </c>
      <c r="C407" s="52" t="s">
        <v>74</v>
      </c>
      <c r="D407" s="41">
        <f t="shared" si="209"/>
        <v>8</v>
      </c>
      <c r="E407" s="170"/>
      <c r="F407" s="41"/>
      <c r="G407" s="52" t="s">
        <v>199</v>
      </c>
      <c r="H407" s="52" t="s">
        <v>577</v>
      </c>
      <c r="I407" s="52" t="s">
        <v>155</v>
      </c>
      <c r="J407" s="52" t="s">
        <v>514</v>
      </c>
      <c r="K407" s="53">
        <v>45708</v>
      </c>
      <c r="L407" s="108">
        <v>840</v>
      </c>
      <c r="M407" s="101"/>
      <c r="N407" s="101"/>
      <c r="O407" s="101">
        <f t="shared" si="203"/>
        <v>840</v>
      </c>
      <c r="P407" s="54">
        <f t="shared" si="204"/>
        <v>840</v>
      </c>
      <c r="Q407" s="101" t="s">
        <v>443</v>
      </c>
      <c r="R407" s="101"/>
      <c r="S407" s="101"/>
      <c r="T407" s="102">
        <f t="shared" si="210"/>
        <v>0.48</v>
      </c>
      <c r="U407" s="102">
        <v>5</v>
      </c>
      <c r="V407" s="99">
        <v>350</v>
      </c>
      <c r="W407" s="55">
        <f t="shared" si="211"/>
        <v>45676</v>
      </c>
      <c r="X407" s="55"/>
      <c r="Y407" s="56">
        <f t="shared" ca="1" si="207"/>
        <v>-164</v>
      </c>
      <c r="Z407" s="55">
        <f t="shared" si="206"/>
        <v>45692</v>
      </c>
      <c r="AA407" s="55"/>
      <c r="AB407" s="56">
        <f t="shared" ca="1" si="208"/>
        <v>-148</v>
      </c>
      <c r="AC407" s="55"/>
      <c r="AD407" s="57"/>
      <c r="AE407" s="58" t="str">
        <f t="shared" si="212"/>
        <v>-</v>
      </c>
      <c r="AF407" s="59"/>
      <c r="AG407" s="58" t="str">
        <f t="shared" si="213"/>
        <v/>
      </c>
      <c r="AH407" s="59"/>
      <c r="AI407" s="58" t="str">
        <f t="shared" si="214"/>
        <v/>
      </c>
      <c r="AJ407" s="59"/>
      <c r="AK407" s="58" t="str">
        <f t="shared" si="215"/>
        <v/>
      </c>
      <c r="AL407" s="59"/>
      <c r="AM407" s="58" t="str">
        <f t="shared" si="216"/>
        <v/>
      </c>
      <c r="AN407" s="59"/>
      <c r="AO407" s="58" t="str">
        <f t="shared" si="217"/>
        <v/>
      </c>
      <c r="AP407" s="59"/>
      <c r="AQ407" s="58" t="str">
        <f t="shared" si="218"/>
        <v/>
      </c>
      <c r="AR407" s="59"/>
      <c r="AS407" s="58" t="str">
        <f t="shared" si="219"/>
        <v/>
      </c>
      <c r="AT407" s="59"/>
      <c r="AU407" s="58" t="str">
        <f t="shared" si="220"/>
        <v/>
      </c>
      <c r="AV407" s="59"/>
      <c r="AW407" s="58" t="str">
        <f t="shared" si="221"/>
        <v/>
      </c>
      <c r="AX407" s="59"/>
      <c r="AY407" s="58" t="str">
        <f t="shared" si="222"/>
        <v/>
      </c>
      <c r="AZ407" s="59"/>
      <c r="BA407" s="58" t="str">
        <f t="shared" si="223"/>
        <v/>
      </c>
      <c r="BB407" s="59"/>
      <c r="BC407" s="58" t="str">
        <f t="shared" si="224"/>
        <v/>
      </c>
      <c r="BD407" s="59"/>
      <c r="BE407" s="58" t="str">
        <f t="shared" si="225"/>
        <v/>
      </c>
      <c r="BF407" s="59"/>
      <c r="BG407" s="58" t="str">
        <f t="shared" si="226"/>
        <v/>
      </c>
      <c r="BH407" s="59"/>
      <c r="BI407" s="58" t="str">
        <f t="shared" si="227"/>
        <v/>
      </c>
      <c r="BJ407" s="59"/>
      <c r="BK407" s="58" t="str">
        <f t="shared" si="228"/>
        <v/>
      </c>
      <c r="BL407" s="59"/>
      <c r="BM407" s="58">
        <f t="shared" si="229"/>
        <v>840</v>
      </c>
      <c r="BN407" s="59"/>
      <c r="BO407" s="58" t="str">
        <f t="shared" si="230"/>
        <v/>
      </c>
      <c r="BP407" s="59"/>
      <c r="BQ407" s="58" t="str">
        <f t="shared" si="231"/>
        <v/>
      </c>
      <c r="BR407" s="59"/>
      <c r="BS407" s="58" t="str">
        <f t="shared" si="232"/>
        <v/>
      </c>
      <c r="BT407" s="59"/>
      <c r="BU407" s="58" t="str">
        <f t="shared" si="233"/>
        <v/>
      </c>
      <c r="BV407" s="59"/>
      <c r="BW407" s="58" t="str">
        <f t="shared" si="234"/>
        <v/>
      </c>
      <c r="BX407" s="59"/>
      <c r="BY407" s="58" t="str">
        <f t="shared" si="235"/>
        <v/>
      </c>
      <c r="BZ407" s="59"/>
    </row>
    <row r="408" spans="1:78" ht="14.5" hidden="1">
      <c r="A408" s="51" t="s">
        <v>446</v>
      </c>
      <c r="B408" s="52" t="s">
        <v>578</v>
      </c>
      <c r="C408" s="52" t="s">
        <v>74</v>
      </c>
      <c r="D408" s="41">
        <f t="shared" si="209"/>
        <v>8</v>
      </c>
      <c r="E408" s="170"/>
      <c r="F408" s="41"/>
      <c r="G408" s="52" t="s">
        <v>204</v>
      </c>
      <c r="H408" s="52" t="s">
        <v>309</v>
      </c>
      <c r="I408" s="52" t="s">
        <v>162</v>
      </c>
      <c r="J408" s="52" t="s">
        <v>570</v>
      </c>
      <c r="K408" s="53">
        <v>45708</v>
      </c>
      <c r="L408" s="108">
        <v>1530</v>
      </c>
      <c r="M408" s="101"/>
      <c r="N408" s="101"/>
      <c r="O408" s="101">
        <f t="shared" si="203"/>
        <v>1530</v>
      </c>
      <c r="P408" s="54">
        <f t="shared" si="204"/>
        <v>1530</v>
      </c>
      <c r="Q408" s="101" t="s">
        <v>443</v>
      </c>
      <c r="R408" s="101"/>
      <c r="S408" s="101"/>
      <c r="T408" s="102">
        <f t="shared" si="210"/>
        <v>3.1875</v>
      </c>
      <c r="U408" s="102">
        <v>6</v>
      </c>
      <c r="V408" s="99">
        <v>80</v>
      </c>
      <c r="W408" s="55">
        <f t="shared" si="211"/>
        <v>45676</v>
      </c>
      <c r="X408" s="55"/>
      <c r="Y408" s="56">
        <f t="shared" ca="1" si="207"/>
        <v>-164</v>
      </c>
      <c r="Z408" s="55">
        <f t="shared" si="206"/>
        <v>45692</v>
      </c>
      <c r="AA408" s="55"/>
      <c r="AB408" s="56">
        <f t="shared" ca="1" si="208"/>
        <v>-148</v>
      </c>
      <c r="AC408" s="55"/>
      <c r="AD408" s="57"/>
      <c r="AE408" s="58" t="str">
        <f t="shared" ref="AE408:AE424" si="236">+IF($AE$4=WEEKNUM(W408),L408,"-")</f>
        <v>-</v>
      </c>
      <c r="AF408" s="59"/>
      <c r="AG408" s="58" t="str">
        <f t="shared" ref="AG408:AG424" si="237">+IF($AG$4=WEEKNUM(W408),L408,"")</f>
        <v/>
      </c>
      <c r="AH408" s="59"/>
      <c r="AI408" s="58" t="str">
        <f t="shared" ref="AI408:AI424" si="238">+IF($AI$4=WEEKNUM(W408),L408,"")</f>
        <v/>
      </c>
      <c r="AJ408" s="59"/>
      <c r="AK408" s="58" t="str">
        <f t="shared" ref="AK408:AK424" si="239">+IF($AK$4=WEEKNUM(W408),L408,"")</f>
        <v/>
      </c>
      <c r="AL408" s="59"/>
      <c r="AM408" s="58" t="str">
        <f t="shared" ref="AM408:AM424" si="240">+IF($AM$4=WEEKNUM(W408),L408,"")</f>
        <v/>
      </c>
      <c r="AN408" s="59"/>
      <c r="AO408" s="58" t="str">
        <f t="shared" ref="AO408:AO424" si="241">+IF($AO$4=WEEKNUM(W408),L408,"")</f>
        <v/>
      </c>
      <c r="AP408" s="59"/>
      <c r="AQ408" s="58" t="str">
        <f t="shared" ref="AQ408:AQ424" si="242">+IF($AQ$4=WEEKNUM(W408),L408,"")</f>
        <v/>
      </c>
      <c r="AR408" s="59"/>
      <c r="AS408" s="58" t="str">
        <f t="shared" ref="AS408:AS424" si="243">+IF($AS$4=WEEKNUM(W408),L408,"")</f>
        <v/>
      </c>
      <c r="AT408" s="59"/>
      <c r="AU408" s="58" t="str">
        <f t="shared" ref="AU408:AU424" si="244">+IF($AU$4=WEEKNUM(W408),L408,"")</f>
        <v/>
      </c>
      <c r="AV408" s="59"/>
      <c r="AW408" s="58" t="str">
        <f t="shared" ref="AW408:AW424" si="245">+IF($AW$4=WEEKNUM(W408),L408,"")</f>
        <v/>
      </c>
      <c r="AX408" s="59"/>
      <c r="AY408" s="58" t="str">
        <f t="shared" ref="AY408:AY424" si="246">+IF($AY$4=WEEKNUM(W408),L408,"")</f>
        <v/>
      </c>
      <c r="AZ408" s="59"/>
      <c r="BA408" s="58" t="str">
        <f t="shared" ref="BA408:BA424" si="247">+IF($BA$4=WEEKNUM(W408),L408,"")</f>
        <v/>
      </c>
      <c r="BB408" s="59"/>
      <c r="BC408" s="58" t="str">
        <f t="shared" ref="BC408:BC424" si="248">+IF($BC$4=WEEKNUM(W408),L408,"")</f>
        <v/>
      </c>
      <c r="BD408" s="59"/>
      <c r="BE408" s="58" t="str">
        <f t="shared" ref="BE408:BE424" si="249">+IF($BE$4=WEEKNUM(W408),L408,"")</f>
        <v/>
      </c>
      <c r="BF408" s="59"/>
      <c r="BG408" s="58" t="str">
        <f t="shared" ref="BG408:BG424" si="250">+IF($BG$4=WEEKNUM(W408),L408,"")</f>
        <v/>
      </c>
      <c r="BH408" s="59"/>
      <c r="BI408" s="58">
        <f t="shared" ref="BI408:BI424" si="251">+IF($BI$4=WEEKNUM(W408),L408,"")</f>
        <v>1530</v>
      </c>
      <c r="BJ408" s="59"/>
      <c r="BK408" s="58" t="str">
        <f t="shared" ref="BK408:BK424" si="252">+IF($BK$4=WEEKNUM(W408),L408,"")</f>
        <v/>
      </c>
      <c r="BL408" s="59"/>
      <c r="BM408" s="58" t="str">
        <f t="shared" ref="BM408:BM424" si="253">+IF($BM$4=WEEKNUM(W408),L408,"")</f>
        <v/>
      </c>
      <c r="BN408" s="59"/>
      <c r="BO408" s="58" t="str">
        <f t="shared" ref="BO408:BO424" si="254">+IF($BO$4=WEEKNUM(W408),L408,"")</f>
        <v/>
      </c>
      <c r="BP408" s="59"/>
      <c r="BQ408" s="58" t="str">
        <f t="shared" ref="BQ408:BQ424" si="255">+IF($BQ$4=WEEKNUM(W408),L408,"")</f>
        <v/>
      </c>
      <c r="BR408" s="59"/>
      <c r="BS408" s="58" t="str">
        <f t="shared" ref="BS408:BS424" si="256">+IF($BS$4=WEEKNUM(W408),L408,"")</f>
        <v/>
      </c>
      <c r="BT408" s="59"/>
      <c r="BU408" s="58" t="str">
        <f t="shared" ref="BU408:BU424" si="257">+IF($BU$4=WEEKNUM(W408),L408,"")</f>
        <v/>
      </c>
      <c r="BV408" s="59"/>
      <c r="BW408" s="58" t="str">
        <f t="shared" ref="BW408:BW424" si="258">+IF($BW$4=WEEKNUM(W408),L408,"")</f>
        <v/>
      </c>
      <c r="BX408" s="59"/>
      <c r="BY408" s="58" t="str">
        <f t="shared" ref="BY408:BY424" si="259">+IF($BY$4=WEEKNUM(W408),L408,"")</f>
        <v/>
      </c>
      <c r="BZ408" s="59"/>
    </row>
    <row r="409" spans="1:78" ht="14.5" hidden="1">
      <c r="A409" s="51" t="s">
        <v>446</v>
      </c>
      <c r="B409" s="52" t="s">
        <v>578</v>
      </c>
      <c r="C409" s="52" t="s">
        <v>74</v>
      </c>
      <c r="D409" s="41">
        <f t="shared" si="209"/>
        <v>8</v>
      </c>
      <c r="E409" s="170"/>
      <c r="F409" s="41"/>
      <c r="G409" s="52" t="s">
        <v>415</v>
      </c>
      <c r="H409" s="52" t="s">
        <v>347</v>
      </c>
      <c r="I409" s="52" t="s">
        <v>164</v>
      </c>
      <c r="J409" s="52" t="s">
        <v>572</v>
      </c>
      <c r="K409" s="53">
        <v>45708</v>
      </c>
      <c r="L409" s="108">
        <v>336</v>
      </c>
      <c r="M409" s="101"/>
      <c r="N409" s="101"/>
      <c r="O409" s="101">
        <f t="shared" si="203"/>
        <v>336</v>
      </c>
      <c r="P409" s="54">
        <f t="shared" si="204"/>
        <v>336</v>
      </c>
      <c r="Q409" s="101" t="s">
        <v>178</v>
      </c>
      <c r="R409" s="101"/>
      <c r="S409" s="101"/>
      <c r="T409" s="102">
        <f t="shared" si="210"/>
        <v>0.7</v>
      </c>
      <c r="U409" s="102">
        <v>6</v>
      </c>
      <c r="V409" s="99">
        <v>80</v>
      </c>
      <c r="W409" s="55">
        <f t="shared" si="211"/>
        <v>45676</v>
      </c>
      <c r="X409" s="55"/>
      <c r="Y409" s="56">
        <f t="shared" ca="1" si="207"/>
        <v>-164</v>
      </c>
      <c r="Z409" s="55">
        <f t="shared" si="206"/>
        <v>45692</v>
      </c>
      <c r="AA409" s="55"/>
      <c r="AB409" s="56">
        <f t="shared" ca="1" si="208"/>
        <v>-148</v>
      </c>
      <c r="AC409" s="55"/>
      <c r="AD409" s="57"/>
      <c r="AE409" s="58" t="str">
        <f t="shared" si="236"/>
        <v>-</v>
      </c>
      <c r="AF409" s="59"/>
      <c r="AG409" s="58" t="str">
        <f t="shared" si="237"/>
        <v/>
      </c>
      <c r="AH409" s="59"/>
      <c r="AI409" s="58" t="str">
        <f t="shared" si="238"/>
        <v/>
      </c>
      <c r="AJ409" s="59"/>
      <c r="AK409" s="58" t="str">
        <f t="shared" si="239"/>
        <v/>
      </c>
      <c r="AL409" s="59"/>
      <c r="AM409" s="58" t="str">
        <f t="shared" si="240"/>
        <v/>
      </c>
      <c r="AN409" s="59"/>
      <c r="AO409" s="58" t="str">
        <f t="shared" si="241"/>
        <v/>
      </c>
      <c r="AP409" s="59"/>
      <c r="AQ409" s="58" t="str">
        <f t="shared" si="242"/>
        <v/>
      </c>
      <c r="AR409" s="59"/>
      <c r="AS409" s="58" t="str">
        <f t="shared" si="243"/>
        <v/>
      </c>
      <c r="AT409" s="59"/>
      <c r="AU409" s="58" t="str">
        <f t="shared" si="244"/>
        <v/>
      </c>
      <c r="AV409" s="59"/>
      <c r="AW409" s="58" t="str">
        <f t="shared" si="245"/>
        <v/>
      </c>
      <c r="AX409" s="59"/>
      <c r="AY409" s="58" t="str">
        <f t="shared" si="246"/>
        <v/>
      </c>
      <c r="AZ409" s="59"/>
      <c r="BA409" s="58" t="str">
        <f t="shared" si="247"/>
        <v/>
      </c>
      <c r="BB409" s="59"/>
      <c r="BC409" s="58" t="str">
        <f t="shared" si="248"/>
        <v/>
      </c>
      <c r="BD409" s="59"/>
      <c r="BE409" s="58" t="str">
        <f t="shared" si="249"/>
        <v/>
      </c>
      <c r="BF409" s="59"/>
      <c r="BG409" s="58" t="str">
        <f t="shared" si="250"/>
        <v/>
      </c>
      <c r="BH409" s="59"/>
      <c r="BI409" s="58">
        <f t="shared" si="251"/>
        <v>336</v>
      </c>
      <c r="BJ409" s="59"/>
      <c r="BK409" s="58" t="str">
        <f t="shared" si="252"/>
        <v/>
      </c>
      <c r="BL409" s="59"/>
      <c r="BM409" s="58" t="str">
        <f t="shared" si="253"/>
        <v/>
      </c>
      <c r="BN409" s="59"/>
      <c r="BO409" s="58" t="str">
        <f t="shared" si="254"/>
        <v/>
      </c>
      <c r="BP409" s="59"/>
      <c r="BQ409" s="58" t="str">
        <f t="shared" si="255"/>
        <v/>
      </c>
      <c r="BR409" s="59"/>
      <c r="BS409" s="58" t="str">
        <f t="shared" si="256"/>
        <v/>
      </c>
      <c r="BT409" s="59"/>
      <c r="BU409" s="58" t="str">
        <f t="shared" si="257"/>
        <v/>
      </c>
      <c r="BV409" s="59"/>
      <c r="BW409" s="58" t="str">
        <f t="shared" si="258"/>
        <v/>
      </c>
      <c r="BX409" s="59"/>
      <c r="BY409" s="58" t="str">
        <f t="shared" si="259"/>
        <v/>
      </c>
      <c r="BZ409" s="59"/>
    </row>
    <row r="410" spans="1:78" ht="14.5" hidden="1">
      <c r="A410" s="51" t="s">
        <v>446</v>
      </c>
      <c r="B410" s="52" t="s">
        <v>578</v>
      </c>
      <c r="C410" s="52" t="s">
        <v>74</v>
      </c>
      <c r="D410" s="41">
        <f t="shared" si="209"/>
        <v>8</v>
      </c>
      <c r="E410" s="170"/>
      <c r="F410" s="41"/>
      <c r="G410" s="52" t="s">
        <v>204</v>
      </c>
      <c r="H410" s="52" t="s">
        <v>308</v>
      </c>
      <c r="I410" s="52" t="s">
        <v>162</v>
      </c>
      <c r="J410" s="52" t="s">
        <v>509</v>
      </c>
      <c r="K410" s="53">
        <v>45708</v>
      </c>
      <c r="L410" s="108">
        <v>1000</v>
      </c>
      <c r="M410" s="101"/>
      <c r="N410" s="101"/>
      <c r="O410" s="101">
        <f t="shared" si="203"/>
        <v>1000</v>
      </c>
      <c r="P410" s="54">
        <f t="shared" si="204"/>
        <v>1000</v>
      </c>
      <c r="Q410" s="101" t="s">
        <v>443</v>
      </c>
      <c r="R410" s="101"/>
      <c r="S410" s="101"/>
      <c r="T410" s="102">
        <f t="shared" si="210"/>
        <v>2.0833333333333335</v>
      </c>
      <c r="U410" s="102">
        <v>6</v>
      </c>
      <c r="V410" s="99">
        <v>80</v>
      </c>
      <c r="W410" s="55">
        <f t="shared" si="211"/>
        <v>45676</v>
      </c>
      <c r="X410" s="55"/>
      <c r="Y410" s="56">
        <f t="shared" ca="1" si="207"/>
        <v>-164</v>
      </c>
      <c r="Z410" s="55">
        <f t="shared" si="206"/>
        <v>45692</v>
      </c>
      <c r="AA410" s="55"/>
      <c r="AB410" s="56">
        <f t="shared" ca="1" si="208"/>
        <v>-148</v>
      </c>
      <c r="AC410" s="55"/>
      <c r="AD410" s="57"/>
      <c r="AE410" s="58" t="str">
        <f t="shared" si="236"/>
        <v>-</v>
      </c>
      <c r="AF410" s="59"/>
      <c r="AG410" s="58" t="str">
        <f t="shared" si="237"/>
        <v/>
      </c>
      <c r="AH410" s="59"/>
      <c r="AI410" s="58" t="str">
        <f t="shared" si="238"/>
        <v/>
      </c>
      <c r="AJ410" s="59"/>
      <c r="AK410" s="58" t="str">
        <f t="shared" si="239"/>
        <v/>
      </c>
      <c r="AL410" s="59"/>
      <c r="AM410" s="58" t="str">
        <f t="shared" si="240"/>
        <v/>
      </c>
      <c r="AN410" s="59"/>
      <c r="AO410" s="58" t="str">
        <f t="shared" si="241"/>
        <v/>
      </c>
      <c r="AP410" s="59"/>
      <c r="AQ410" s="58" t="str">
        <f t="shared" si="242"/>
        <v/>
      </c>
      <c r="AR410" s="59"/>
      <c r="AS410" s="58" t="str">
        <f t="shared" si="243"/>
        <v/>
      </c>
      <c r="AT410" s="59"/>
      <c r="AU410" s="58" t="str">
        <f t="shared" si="244"/>
        <v/>
      </c>
      <c r="AV410" s="59"/>
      <c r="AW410" s="58" t="str">
        <f t="shared" si="245"/>
        <v/>
      </c>
      <c r="AX410" s="59"/>
      <c r="AY410" s="58" t="str">
        <f t="shared" si="246"/>
        <v/>
      </c>
      <c r="AZ410" s="59"/>
      <c r="BA410" s="58" t="str">
        <f t="shared" si="247"/>
        <v/>
      </c>
      <c r="BB410" s="59"/>
      <c r="BC410" s="58" t="str">
        <f t="shared" si="248"/>
        <v/>
      </c>
      <c r="BD410" s="59"/>
      <c r="BE410" s="58" t="str">
        <f t="shared" si="249"/>
        <v/>
      </c>
      <c r="BF410" s="59"/>
      <c r="BG410" s="58" t="str">
        <f t="shared" si="250"/>
        <v/>
      </c>
      <c r="BH410" s="59"/>
      <c r="BI410" s="58">
        <f t="shared" si="251"/>
        <v>1000</v>
      </c>
      <c r="BJ410" s="59"/>
      <c r="BK410" s="58" t="str">
        <f t="shared" si="252"/>
        <v/>
      </c>
      <c r="BL410" s="59"/>
      <c r="BM410" s="58" t="str">
        <f t="shared" si="253"/>
        <v/>
      </c>
      <c r="BN410" s="59"/>
      <c r="BO410" s="58" t="str">
        <f t="shared" si="254"/>
        <v/>
      </c>
      <c r="BP410" s="59"/>
      <c r="BQ410" s="58" t="str">
        <f t="shared" si="255"/>
        <v/>
      </c>
      <c r="BR410" s="59"/>
      <c r="BS410" s="58" t="str">
        <f t="shared" si="256"/>
        <v/>
      </c>
      <c r="BT410" s="59"/>
      <c r="BU410" s="58" t="str">
        <f t="shared" si="257"/>
        <v/>
      </c>
      <c r="BV410" s="59"/>
      <c r="BW410" s="58" t="str">
        <f t="shared" si="258"/>
        <v/>
      </c>
      <c r="BX410" s="59"/>
      <c r="BY410" s="58" t="str">
        <f t="shared" si="259"/>
        <v/>
      </c>
      <c r="BZ410" s="59"/>
    </row>
    <row r="411" spans="1:78" ht="14.5" hidden="1">
      <c r="A411" s="51" t="s">
        <v>446</v>
      </c>
      <c r="B411" s="52" t="s">
        <v>578</v>
      </c>
      <c r="C411" s="52" t="s">
        <v>74</v>
      </c>
      <c r="D411" s="41">
        <f t="shared" si="209"/>
        <v>8</v>
      </c>
      <c r="E411" s="170"/>
      <c r="F411" s="41"/>
      <c r="G411" s="52" t="s">
        <v>204</v>
      </c>
      <c r="H411" s="52" t="s">
        <v>347</v>
      </c>
      <c r="I411" s="52" t="s">
        <v>162</v>
      </c>
      <c r="J411" s="52" t="s">
        <v>572</v>
      </c>
      <c r="K411" s="53">
        <v>45708</v>
      </c>
      <c r="L411" s="108">
        <v>408</v>
      </c>
      <c r="M411" s="101"/>
      <c r="N411" s="101"/>
      <c r="O411" s="101">
        <f t="shared" si="203"/>
        <v>408</v>
      </c>
      <c r="P411" s="54">
        <f t="shared" si="204"/>
        <v>408</v>
      </c>
      <c r="Q411" s="101" t="s">
        <v>178</v>
      </c>
      <c r="R411" s="101"/>
      <c r="S411" s="101"/>
      <c r="T411" s="102">
        <f t="shared" si="210"/>
        <v>0.85</v>
      </c>
      <c r="U411" s="102">
        <v>6</v>
      </c>
      <c r="V411" s="99">
        <v>80</v>
      </c>
      <c r="W411" s="55">
        <f t="shared" si="211"/>
        <v>45676</v>
      </c>
      <c r="X411" s="55"/>
      <c r="Y411" s="56">
        <f t="shared" ca="1" si="207"/>
        <v>-164</v>
      </c>
      <c r="Z411" s="55">
        <f t="shared" si="206"/>
        <v>45692</v>
      </c>
      <c r="AA411" s="55"/>
      <c r="AB411" s="56">
        <f t="shared" ca="1" si="208"/>
        <v>-148</v>
      </c>
      <c r="AC411" s="55"/>
      <c r="AD411" s="57"/>
      <c r="AE411" s="58" t="str">
        <f t="shared" si="236"/>
        <v>-</v>
      </c>
      <c r="AF411" s="59"/>
      <c r="AG411" s="58" t="str">
        <f t="shared" si="237"/>
        <v/>
      </c>
      <c r="AH411" s="59"/>
      <c r="AI411" s="58" t="str">
        <f t="shared" si="238"/>
        <v/>
      </c>
      <c r="AJ411" s="59"/>
      <c r="AK411" s="58" t="str">
        <f t="shared" si="239"/>
        <v/>
      </c>
      <c r="AL411" s="59"/>
      <c r="AM411" s="58" t="str">
        <f t="shared" si="240"/>
        <v/>
      </c>
      <c r="AN411" s="59"/>
      <c r="AO411" s="58" t="str">
        <f t="shared" si="241"/>
        <v/>
      </c>
      <c r="AP411" s="59"/>
      <c r="AQ411" s="58" t="str">
        <f t="shared" si="242"/>
        <v/>
      </c>
      <c r="AR411" s="59"/>
      <c r="AS411" s="58" t="str">
        <f t="shared" si="243"/>
        <v/>
      </c>
      <c r="AT411" s="59"/>
      <c r="AU411" s="58" t="str">
        <f t="shared" si="244"/>
        <v/>
      </c>
      <c r="AV411" s="59"/>
      <c r="AW411" s="58" t="str">
        <f t="shared" si="245"/>
        <v/>
      </c>
      <c r="AX411" s="59"/>
      <c r="AY411" s="58" t="str">
        <f t="shared" si="246"/>
        <v/>
      </c>
      <c r="AZ411" s="59"/>
      <c r="BA411" s="58" t="str">
        <f t="shared" si="247"/>
        <v/>
      </c>
      <c r="BB411" s="59"/>
      <c r="BC411" s="58" t="str">
        <f t="shared" si="248"/>
        <v/>
      </c>
      <c r="BD411" s="59"/>
      <c r="BE411" s="58" t="str">
        <f t="shared" si="249"/>
        <v/>
      </c>
      <c r="BF411" s="59"/>
      <c r="BG411" s="58" t="str">
        <f t="shared" si="250"/>
        <v/>
      </c>
      <c r="BH411" s="59"/>
      <c r="BI411" s="58">
        <f t="shared" si="251"/>
        <v>408</v>
      </c>
      <c r="BJ411" s="59"/>
      <c r="BK411" s="58" t="str">
        <f t="shared" si="252"/>
        <v/>
      </c>
      <c r="BL411" s="59"/>
      <c r="BM411" s="58" t="str">
        <f t="shared" si="253"/>
        <v/>
      </c>
      <c r="BN411" s="59"/>
      <c r="BO411" s="58" t="str">
        <f t="shared" si="254"/>
        <v/>
      </c>
      <c r="BP411" s="59"/>
      <c r="BQ411" s="58" t="str">
        <f t="shared" si="255"/>
        <v/>
      </c>
      <c r="BR411" s="59"/>
      <c r="BS411" s="58" t="str">
        <f t="shared" si="256"/>
        <v/>
      </c>
      <c r="BT411" s="59"/>
      <c r="BU411" s="58" t="str">
        <f t="shared" si="257"/>
        <v/>
      </c>
      <c r="BV411" s="59"/>
      <c r="BW411" s="58" t="str">
        <f t="shared" si="258"/>
        <v/>
      </c>
      <c r="BX411" s="59"/>
      <c r="BY411" s="58" t="str">
        <f t="shared" si="259"/>
        <v/>
      </c>
      <c r="BZ411" s="59"/>
    </row>
    <row r="412" spans="1:78" ht="14.5" hidden="1">
      <c r="A412" s="51" t="s">
        <v>446</v>
      </c>
      <c r="B412" s="52" t="s">
        <v>578</v>
      </c>
      <c r="C412" s="52" t="s">
        <v>74</v>
      </c>
      <c r="D412" s="41">
        <f t="shared" si="209"/>
        <v>8</v>
      </c>
      <c r="E412" s="170"/>
      <c r="F412" s="41"/>
      <c r="G412" s="52" t="s">
        <v>199</v>
      </c>
      <c r="H412" s="52" t="s">
        <v>309</v>
      </c>
      <c r="I412" s="52" t="s">
        <v>155</v>
      </c>
      <c r="J412" s="52" t="s">
        <v>570</v>
      </c>
      <c r="K412" s="53">
        <v>45708</v>
      </c>
      <c r="L412" s="108">
        <v>816</v>
      </c>
      <c r="M412" s="101"/>
      <c r="N412" s="101"/>
      <c r="O412" s="101">
        <f t="shared" si="203"/>
        <v>816</v>
      </c>
      <c r="P412" s="54">
        <f t="shared" si="204"/>
        <v>816</v>
      </c>
      <c r="Q412" s="101" t="s">
        <v>443</v>
      </c>
      <c r="R412" s="101"/>
      <c r="S412" s="101"/>
      <c r="T412" s="102">
        <f t="shared" si="210"/>
        <v>1.7</v>
      </c>
      <c r="U412" s="102">
        <v>6</v>
      </c>
      <c r="V412" s="99">
        <v>80</v>
      </c>
      <c r="W412" s="55">
        <f t="shared" si="211"/>
        <v>45676</v>
      </c>
      <c r="X412" s="55"/>
      <c r="Y412" s="56">
        <f t="shared" ca="1" si="207"/>
        <v>-164</v>
      </c>
      <c r="Z412" s="55">
        <f t="shared" si="206"/>
        <v>45692</v>
      </c>
      <c r="AA412" s="55"/>
      <c r="AB412" s="56">
        <f t="shared" ca="1" si="208"/>
        <v>-148</v>
      </c>
      <c r="AC412" s="55"/>
      <c r="AD412" s="57"/>
      <c r="AE412" s="58" t="str">
        <f t="shared" si="236"/>
        <v>-</v>
      </c>
      <c r="AF412" s="59"/>
      <c r="AG412" s="58" t="str">
        <f t="shared" si="237"/>
        <v/>
      </c>
      <c r="AH412" s="59"/>
      <c r="AI412" s="58" t="str">
        <f t="shared" si="238"/>
        <v/>
      </c>
      <c r="AJ412" s="59"/>
      <c r="AK412" s="58" t="str">
        <f t="shared" si="239"/>
        <v/>
      </c>
      <c r="AL412" s="59"/>
      <c r="AM412" s="58" t="str">
        <f t="shared" si="240"/>
        <v/>
      </c>
      <c r="AN412" s="59"/>
      <c r="AO412" s="58" t="str">
        <f t="shared" si="241"/>
        <v/>
      </c>
      <c r="AP412" s="59"/>
      <c r="AQ412" s="58" t="str">
        <f t="shared" si="242"/>
        <v/>
      </c>
      <c r="AR412" s="59"/>
      <c r="AS412" s="58" t="str">
        <f t="shared" si="243"/>
        <v/>
      </c>
      <c r="AT412" s="59"/>
      <c r="AU412" s="58" t="str">
        <f t="shared" si="244"/>
        <v/>
      </c>
      <c r="AV412" s="59"/>
      <c r="AW412" s="58" t="str">
        <f t="shared" si="245"/>
        <v/>
      </c>
      <c r="AX412" s="59"/>
      <c r="AY412" s="58" t="str">
        <f t="shared" si="246"/>
        <v/>
      </c>
      <c r="AZ412" s="59"/>
      <c r="BA412" s="58" t="str">
        <f t="shared" si="247"/>
        <v/>
      </c>
      <c r="BB412" s="59"/>
      <c r="BC412" s="58" t="str">
        <f t="shared" si="248"/>
        <v/>
      </c>
      <c r="BD412" s="59"/>
      <c r="BE412" s="58" t="str">
        <f t="shared" si="249"/>
        <v/>
      </c>
      <c r="BF412" s="59"/>
      <c r="BG412" s="58" t="str">
        <f t="shared" si="250"/>
        <v/>
      </c>
      <c r="BH412" s="59"/>
      <c r="BI412" s="58">
        <f t="shared" si="251"/>
        <v>816</v>
      </c>
      <c r="BJ412" s="59"/>
      <c r="BK412" s="58" t="str">
        <f t="shared" si="252"/>
        <v/>
      </c>
      <c r="BL412" s="59"/>
      <c r="BM412" s="58" t="str">
        <f t="shared" si="253"/>
        <v/>
      </c>
      <c r="BN412" s="59"/>
      <c r="BO412" s="58" t="str">
        <f t="shared" si="254"/>
        <v/>
      </c>
      <c r="BP412" s="59"/>
      <c r="BQ412" s="58" t="str">
        <f t="shared" si="255"/>
        <v/>
      </c>
      <c r="BR412" s="59"/>
      <c r="BS412" s="58" t="str">
        <f t="shared" si="256"/>
        <v/>
      </c>
      <c r="BT412" s="59"/>
      <c r="BU412" s="58" t="str">
        <f t="shared" si="257"/>
        <v/>
      </c>
      <c r="BV412" s="59"/>
      <c r="BW412" s="58" t="str">
        <f t="shared" si="258"/>
        <v/>
      </c>
      <c r="BX412" s="59"/>
      <c r="BY412" s="58" t="str">
        <f t="shared" si="259"/>
        <v/>
      </c>
      <c r="BZ412" s="59"/>
    </row>
    <row r="413" spans="1:78" ht="14.5" hidden="1">
      <c r="A413" s="51" t="s">
        <v>446</v>
      </c>
      <c r="B413" s="52" t="s">
        <v>578</v>
      </c>
      <c r="C413" s="52" t="s">
        <v>74</v>
      </c>
      <c r="D413" s="41">
        <f t="shared" si="209"/>
        <v>8</v>
      </c>
      <c r="E413" s="170"/>
      <c r="F413" s="41"/>
      <c r="G413" s="52" t="s">
        <v>207</v>
      </c>
      <c r="H413" s="52" t="s">
        <v>309</v>
      </c>
      <c r="I413" s="52" t="s">
        <v>155</v>
      </c>
      <c r="J413" s="52" t="s">
        <v>570</v>
      </c>
      <c r="K413" s="53">
        <v>45708</v>
      </c>
      <c r="L413" s="108">
        <v>330</v>
      </c>
      <c r="M413" s="101"/>
      <c r="N413" s="101"/>
      <c r="O413" s="101">
        <f t="shared" si="203"/>
        <v>330</v>
      </c>
      <c r="P413" s="54">
        <f t="shared" si="204"/>
        <v>330</v>
      </c>
      <c r="Q413" s="101" t="s">
        <v>443</v>
      </c>
      <c r="R413" s="101"/>
      <c r="S413" s="101"/>
      <c r="T413" s="102">
        <f t="shared" si="210"/>
        <v>0.6875</v>
      </c>
      <c r="U413" s="102">
        <v>6</v>
      </c>
      <c r="V413" s="99">
        <v>80</v>
      </c>
      <c r="W413" s="55">
        <f t="shared" si="211"/>
        <v>45676</v>
      </c>
      <c r="X413" s="55"/>
      <c r="Y413" s="56">
        <f t="shared" ca="1" si="207"/>
        <v>-164</v>
      </c>
      <c r="Z413" s="55">
        <f t="shared" si="206"/>
        <v>45692</v>
      </c>
      <c r="AA413" s="55"/>
      <c r="AB413" s="56">
        <f t="shared" ca="1" si="208"/>
        <v>-148</v>
      </c>
      <c r="AC413" s="55"/>
      <c r="AD413" s="57"/>
      <c r="AE413" s="58" t="str">
        <f t="shared" si="236"/>
        <v>-</v>
      </c>
      <c r="AF413" s="59"/>
      <c r="AG413" s="58" t="str">
        <f t="shared" si="237"/>
        <v/>
      </c>
      <c r="AH413" s="59"/>
      <c r="AI413" s="58" t="str">
        <f t="shared" si="238"/>
        <v/>
      </c>
      <c r="AJ413" s="59"/>
      <c r="AK413" s="58" t="str">
        <f t="shared" si="239"/>
        <v/>
      </c>
      <c r="AL413" s="59"/>
      <c r="AM413" s="58" t="str">
        <f t="shared" si="240"/>
        <v/>
      </c>
      <c r="AN413" s="59"/>
      <c r="AO413" s="58" t="str">
        <f t="shared" si="241"/>
        <v/>
      </c>
      <c r="AP413" s="59"/>
      <c r="AQ413" s="58" t="str">
        <f t="shared" si="242"/>
        <v/>
      </c>
      <c r="AR413" s="59"/>
      <c r="AS413" s="58" t="str">
        <f t="shared" si="243"/>
        <v/>
      </c>
      <c r="AT413" s="59"/>
      <c r="AU413" s="58" t="str">
        <f t="shared" si="244"/>
        <v/>
      </c>
      <c r="AV413" s="59"/>
      <c r="AW413" s="58" t="str">
        <f t="shared" si="245"/>
        <v/>
      </c>
      <c r="AX413" s="59"/>
      <c r="AY413" s="58" t="str">
        <f t="shared" si="246"/>
        <v/>
      </c>
      <c r="AZ413" s="59"/>
      <c r="BA413" s="58" t="str">
        <f t="shared" si="247"/>
        <v/>
      </c>
      <c r="BB413" s="59"/>
      <c r="BC413" s="58" t="str">
        <f t="shared" si="248"/>
        <v/>
      </c>
      <c r="BD413" s="59"/>
      <c r="BE413" s="58" t="str">
        <f t="shared" si="249"/>
        <v/>
      </c>
      <c r="BF413" s="59"/>
      <c r="BG413" s="58" t="str">
        <f t="shared" si="250"/>
        <v/>
      </c>
      <c r="BH413" s="59"/>
      <c r="BI413" s="58">
        <f t="shared" si="251"/>
        <v>330</v>
      </c>
      <c r="BJ413" s="59"/>
      <c r="BK413" s="58" t="str">
        <f t="shared" si="252"/>
        <v/>
      </c>
      <c r="BL413" s="59"/>
      <c r="BM413" s="58" t="str">
        <f t="shared" si="253"/>
        <v/>
      </c>
      <c r="BN413" s="59"/>
      <c r="BO413" s="58" t="str">
        <f t="shared" si="254"/>
        <v/>
      </c>
      <c r="BP413" s="59"/>
      <c r="BQ413" s="58" t="str">
        <f t="shared" si="255"/>
        <v/>
      </c>
      <c r="BR413" s="59"/>
      <c r="BS413" s="58" t="str">
        <f t="shared" si="256"/>
        <v/>
      </c>
      <c r="BT413" s="59"/>
      <c r="BU413" s="58" t="str">
        <f t="shared" si="257"/>
        <v/>
      </c>
      <c r="BV413" s="59"/>
      <c r="BW413" s="58" t="str">
        <f t="shared" si="258"/>
        <v/>
      </c>
      <c r="BX413" s="59"/>
      <c r="BY413" s="58" t="str">
        <f t="shared" si="259"/>
        <v/>
      </c>
      <c r="BZ413" s="59"/>
    </row>
    <row r="414" spans="1:78" ht="14.5" hidden="1">
      <c r="A414" s="51" t="s">
        <v>446</v>
      </c>
      <c r="B414" s="52" t="s">
        <v>578</v>
      </c>
      <c r="C414" s="52" t="s">
        <v>74</v>
      </c>
      <c r="D414" s="41">
        <f t="shared" si="209"/>
        <v>8</v>
      </c>
      <c r="E414" s="170"/>
      <c r="F414" s="41"/>
      <c r="G414" s="52" t="s">
        <v>192</v>
      </c>
      <c r="H414" s="52" t="s">
        <v>309</v>
      </c>
      <c r="I414" s="52" t="s">
        <v>574</v>
      </c>
      <c r="J414" s="52" t="s">
        <v>570</v>
      </c>
      <c r="K414" s="53">
        <v>45708</v>
      </c>
      <c r="L414" s="108">
        <v>300</v>
      </c>
      <c r="M414" s="101"/>
      <c r="N414" s="101"/>
      <c r="O414" s="101">
        <f t="shared" si="203"/>
        <v>300</v>
      </c>
      <c r="P414" s="54">
        <f t="shared" si="204"/>
        <v>300</v>
      </c>
      <c r="Q414" s="101" t="s">
        <v>443</v>
      </c>
      <c r="R414" s="101"/>
      <c r="S414" s="101"/>
      <c r="T414" s="102">
        <f t="shared" si="210"/>
        <v>0.625</v>
      </c>
      <c r="U414" s="102">
        <v>6</v>
      </c>
      <c r="V414" s="99">
        <v>80</v>
      </c>
      <c r="W414" s="55">
        <f t="shared" si="211"/>
        <v>45676</v>
      </c>
      <c r="X414" s="55"/>
      <c r="Y414" s="56">
        <f t="shared" ca="1" si="207"/>
        <v>-164</v>
      </c>
      <c r="Z414" s="55">
        <f t="shared" si="206"/>
        <v>45692</v>
      </c>
      <c r="AA414" s="55"/>
      <c r="AB414" s="56">
        <f t="shared" ca="1" si="208"/>
        <v>-148</v>
      </c>
      <c r="AC414" s="55"/>
      <c r="AD414" s="57"/>
      <c r="AE414" s="58" t="str">
        <f t="shared" si="236"/>
        <v>-</v>
      </c>
      <c r="AF414" s="59"/>
      <c r="AG414" s="58" t="str">
        <f t="shared" si="237"/>
        <v/>
      </c>
      <c r="AH414" s="59"/>
      <c r="AI414" s="58" t="str">
        <f t="shared" si="238"/>
        <v/>
      </c>
      <c r="AJ414" s="59"/>
      <c r="AK414" s="58" t="str">
        <f t="shared" si="239"/>
        <v/>
      </c>
      <c r="AL414" s="59"/>
      <c r="AM414" s="58" t="str">
        <f t="shared" si="240"/>
        <v/>
      </c>
      <c r="AN414" s="59"/>
      <c r="AO414" s="58" t="str">
        <f t="shared" si="241"/>
        <v/>
      </c>
      <c r="AP414" s="59"/>
      <c r="AQ414" s="58" t="str">
        <f t="shared" si="242"/>
        <v/>
      </c>
      <c r="AR414" s="59"/>
      <c r="AS414" s="58" t="str">
        <f t="shared" si="243"/>
        <v/>
      </c>
      <c r="AT414" s="59"/>
      <c r="AU414" s="58" t="str">
        <f t="shared" si="244"/>
        <v/>
      </c>
      <c r="AV414" s="59"/>
      <c r="AW414" s="58" t="str">
        <f t="shared" si="245"/>
        <v/>
      </c>
      <c r="AX414" s="59"/>
      <c r="AY414" s="58" t="str">
        <f t="shared" si="246"/>
        <v/>
      </c>
      <c r="AZ414" s="59"/>
      <c r="BA414" s="58" t="str">
        <f t="shared" si="247"/>
        <v/>
      </c>
      <c r="BB414" s="59"/>
      <c r="BC414" s="58" t="str">
        <f t="shared" si="248"/>
        <v/>
      </c>
      <c r="BD414" s="59"/>
      <c r="BE414" s="58" t="str">
        <f t="shared" si="249"/>
        <v/>
      </c>
      <c r="BF414" s="59"/>
      <c r="BG414" s="58" t="str">
        <f t="shared" si="250"/>
        <v/>
      </c>
      <c r="BH414" s="59"/>
      <c r="BI414" s="58">
        <f t="shared" si="251"/>
        <v>300</v>
      </c>
      <c r="BJ414" s="59"/>
      <c r="BK414" s="58" t="str">
        <f t="shared" si="252"/>
        <v/>
      </c>
      <c r="BL414" s="59"/>
      <c r="BM414" s="58" t="str">
        <f t="shared" si="253"/>
        <v/>
      </c>
      <c r="BN414" s="59"/>
      <c r="BO414" s="58" t="str">
        <f t="shared" si="254"/>
        <v/>
      </c>
      <c r="BP414" s="59"/>
      <c r="BQ414" s="58" t="str">
        <f t="shared" si="255"/>
        <v/>
      </c>
      <c r="BR414" s="59"/>
      <c r="BS414" s="58" t="str">
        <f t="shared" si="256"/>
        <v/>
      </c>
      <c r="BT414" s="59"/>
      <c r="BU414" s="58" t="str">
        <f t="shared" si="257"/>
        <v/>
      </c>
      <c r="BV414" s="59"/>
      <c r="BW414" s="58" t="str">
        <f t="shared" si="258"/>
        <v/>
      </c>
      <c r="BX414" s="59"/>
      <c r="BY414" s="58" t="str">
        <f t="shared" si="259"/>
        <v/>
      </c>
      <c r="BZ414" s="59"/>
    </row>
    <row r="415" spans="1:78" ht="14.5" hidden="1">
      <c r="A415" s="51" t="s">
        <v>446</v>
      </c>
      <c r="B415" s="52" t="s">
        <v>578</v>
      </c>
      <c r="C415" s="52" t="s">
        <v>74</v>
      </c>
      <c r="D415" s="41">
        <f t="shared" si="209"/>
        <v>8</v>
      </c>
      <c r="E415" s="170"/>
      <c r="F415" s="41"/>
      <c r="G415" s="52" t="s">
        <v>204</v>
      </c>
      <c r="H415" s="52" t="s">
        <v>347</v>
      </c>
      <c r="I415" s="52" t="s">
        <v>163</v>
      </c>
      <c r="J415" s="52" t="s">
        <v>572</v>
      </c>
      <c r="K415" s="53">
        <v>45708</v>
      </c>
      <c r="L415" s="108">
        <v>240</v>
      </c>
      <c r="M415" s="101"/>
      <c r="N415" s="101"/>
      <c r="O415" s="101">
        <f t="shared" si="203"/>
        <v>240</v>
      </c>
      <c r="P415" s="54">
        <f t="shared" si="204"/>
        <v>240</v>
      </c>
      <c r="Q415" s="101" t="s">
        <v>178</v>
      </c>
      <c r="R415" s="101"/>
      <c r="S415" s="101"/>
      <c r="T415" s="102">
        <f t="shared" si="210"/>
        <v>0.5</v>
      </c>
      <c r="U415" s="102">
        <v>6</v>
      </c>
      <c r="V415" s="99">
        <v>80</v>
      </c>
      <c r="W415" s="55">
        <f t="shared" si="211"/>
        <v>45676</v>
      </c>
      <c r="X415" s="55"/>
      <c r="Y415" s="56">
        <f t="shared" ca="1" si="207"/>
        <v>-164</v>
      </c>
      <c r="Z415" s="55">
        <f t="shared" si="206"/>
        <v>45692</v>
      </c>
      <c r="AA415" s="55"/>
      <c r="AB415" s="56">
        <f t="shared" ca="1" si="208"/>
        <v>-148</v>
      </c>
      <c r="AC415" s="55"/>
      <c r="AD415" s="57"/>
      <c r="AE415" s="58" t="str">
        <f t="shared" si="236"/>
        <v>-</v>
      </c>
      <c r="AF415" s="59"/>
      <c r="AG415" s="58" t="str">
        <f t="shared" si="237"/>
        <v/>
      </c>
      <c r="AH415" s="59"/>
      <c r="AI415" s="58" t="str">
        <f t="shared" si="238"/>
        <v/>
      </c>
      <c r="AJ415" s="59"/>
      <c r="AK415" s="58" t="str">
        <f t="shared" si="239"/>
        <v/>
      </c>
      <c r="AL415" s="59"/>
      <c r="AM415" s="58" t="str">
        <f t="shared" si="240"/>
        <v/>
      </c>
      <c r="AN415" s="59"/>
      <c r="AO415" s="58" t="str">
        <f t="shared" si="241"/>
        <v/>
      </c>
      <c r="AP415" s="59"/>
      <c r="AQ415" s="58" t="str">
        <f t="shared" si="242"/>
        <v/>
      </c>
      <c r="AR415" s="59"/>
      <c r="AS415" s="58" t="str">
        <f t="shared" si="243"/>
        <v/>
      </c>
      <c r="AT415" s="59"/>
      <c r="AU415" s="58" t="str">
        <f t="shared" si="244"/>
        <v/>
      </c>
      <c r="AV415" s="59"/>
      <c r="AW415" s="58" t="str">
        <f t="shared" si="245"/>
        <v/>
      </c>
      <c r="AX415" s="59"/>
      <c r="AY415" s="58" t="str">
        <f t="shared" si="246"/>
        <v/>
      </c>
      <c r="AZ415" s="59"/>
      <c r="BA415" s="58" t="str">
        <f t="shared" si="247"/>
        <v/>
      </c>
      <c r="BB415" s="59"/>
      <c r="BC415" s="58" t="str">
        <f t="shared" si="248"/>
        <v/>
      </c>
      <c r="BD415" s="59"/>
      <c r="BE415" s="58" t="str">
        <f t="shared" si="249"/>
        <v/>
      </c>
      <c r="BF415" s="59"/>
      <c r="BG415" s="58" t="str">
        <f t="shared" si="250"/>
        <v/>
      </c>
      <c r="BH415" s="59"/>
      <c r="BI415" s="58">
        <f t="shared" si="251"/>
        <v>240</v>
      </c>
      <c r="BJ415" s="59"/>
      <c r="BK415" s="58" t="str">
        <f t="shared" si="252"/>
        <v/>
      </c>
      <c r="BL415" s="59"/>
      <c r="BM415" s="58" t="str">
        <f t="shared" si="253"/>
        <v/>
      </c>
      <c r="BN415" s="59"/>
      <c r="BO415" s="58" t="str">
        <f t="shared" si="254"/>
        <v/>
      </c>
      <c r="BP415" s="59"/>
      <c r="BQ415" s="58" t="str">
        <f t="shared" si="255"/>
        <v/>
      </c>
      <c r="BR415" s="59"/>
      <c r="BS415" s="58" t="str">
        <f t="shared" si="256"/>
        <v/>
      </c>
      <c r="BT415" s="59"/>
      <c r="BU415" s="58" t="str">
        <f t="shared" si="257"/>
        <v/>
      </c>
      <c r="BV415" s="59"/>
      <c r="BW415" s="58" t="str">
        <f t="shared" si="258"/>
        <v/>
      </c>
      <c r="BX415" s="59"/>
      <c r="BY415" s="58" t="str">
        <f t="shared" si="259"/>
        <v/>
      </c>
      <c r="BZ415" s="59"/>
    </row>
    <row r="416" spans="1:78" ht="14.5" hidden="1">
      <c r="A416" s="51" t="s">
        <v>446</v>
      </c>
      <c r="B416" s="52" t="s">
        <v>578</v>
      </c>
      <c r="C416" s="52" t="s">
        <v>74</v>
      </c>
      <c r="D416" s="41">
        <f t="shared" si="209"/>
        <v>8</v>
      </c>
      <c r="E416" s="170"/>
      <c r="F416" s="41"/>
      <c r="G416" s="52" t="s">
        <v>199</v>
      </c>
      <c r="H416" s="52" t="s">
        <v>575</v>
      </c>
      <c r="I416" s="52" t="s">
        <v>155</v>
      </c>
      <c r="J416" s="52" t="s">
        <v>576</v>
      </c>
      <c r="K416" s="53">
        <v>45708</v>
      </c>
      <c r="L416" s="108">
        <v>200</v>
      </c>
      <c r="M416" s="101"/>
      <c r="N416" s="101"/>
      <c r="O416" s="101">
        <f t="shared" si="203"/>
        <v>200</v>
      </c>
      <c r="P416" s="54">
        <f t="shared" si="204"/>
        <v>200</v>
      </c>
      <c r="Q416" s="101" t="s">
        <v>443</v>
      </c>
      <c r="R416" s="101"/>
      <c r="S416" s="101"/>
      <c r="T416" s="102">
        <f t="shared" si="210"/>
        <v>0.41666666666666669</v>
      </c>
      <c r="U416" s="102">
        <v>6</v>
      </c>
      <c r="V416" s="99">
        <v>80</v>
      </c>
      <c r="W416" s="55">
        <f t="shared" si="211"/>
        <v>45676</v>
      </c>
      <c r="X416" s="55"/>
      <c r="Y416" s="56">
        <f t="shared" ca="1" si="207"/>
        <v>-164</v>
      </c>
      <c r="Z416" s="55">
        <f t="shared" si="206"/>
        <v>45692</v>
      </c>
      <c r="AA416" s="55"/>
      <c r="AB416" s="56">
        <f t="shared" ca="1" si="208"/>
        <v>-148</v>
      </c>
      <c r="AC416" s="55"/>
      <c r="AD416" s="57"/>
      <c r="AE416" s="58" t="str">
        <f t="shared" si="236"/>
        <v>-</v>
      </c>
      <c r="AF416" s="59"/>
      <c r="AG416" s="58" t="str">
        <f t="shared" si="237"/>
        <v/>
      </c>
      <c r="AH416" s="59"/>
      <c r="AI416" s="58" t="str">
        <f t="shared" si="238"/>
        <v/>
      </c>
      <c r="AJ416" s="59"/>
      <c r="AK416" s="58" t="str">
        <f t="shared" si="239"/>
        <v/>
      </c>
      <c r="AL416" s="59"/>
      <c r="AM416" s="58" t="str">
        <f t="shared" si="240"/>
        <v/>
      </c>
      <c r="AN416" s="59"/>
      <c r="AO416" s="58" t="str">
        <f t="shared" si="241"/>
        <v/>
      </c>
      <c r="AP416" s="59"/>
      <c r="AQ416" s="58" t="str">
        <f t="shared" si="242"/>
        <v/>
      </c>
      <c r="AR416" s="59"/>
      <c r="AS416" s="58" t="str">
        <f t="shared" si="243"/>
        <v/>
      </c>
      <c r="AT416" s="59"/>
      <c r="AU416" s="58" t="str">
        <f t="shared" si="244"/>
        <v/>
      </c>
      <c r="AV416" s="59"/>
      <c r="AW416" s="58" t="str">
        <f t="shared" si="245"/>
        <v/>
      </c>
      <c r="AX416" s="59"/>
      <c r="AY416" s="58" t="str">
        <f t="shared" si="246"/>
        <v/>
      </c>
      <c r="AZ416" s="59"/>
      <c r="BA416" s="58" t="str">
        <f t="shared" si="247"/>
        <v/>
      </c>
      <c r="BB416" s="59"/>
      <c r="BC416" s="58" t="str">
        <f t="shared" si="248"/>
        <v/>
      </c>
      <c r="BD416" s="59"/>
      <c r="BE416" s="58" t="str">
        <f t="shared" si="249"/>
        <v/>
      </c>
      <c r="BF416" s="59"/>
      <c r="BG416" s="58" t="str">
        <f t="shared" si="250"/>
        <v/>
      </c>
      <c r="BH416" s="59"/>
      <c r="BI416" s="58">
        <f t="shared" si="251"/>
        <v>200</v>
      </c>
      <c r="BJ416" s="59"/>
      <c r="BK416" s="58" t="str">
        <f t="shared" si="252"/>
        <v/>
      </c>
      <c r="BL416" s="59"/>
      <c r="BM416" s="58" t="str">
        <f t="shared" si="253"/>
        <v/>
      </c>
      <c r="BN416" s="59"/>
      <c r="BO416" s="58" t="str">
        <f t="shared" si="254"/>
        <v/>
      </c>
      <c r="BP416" s="59"/>
      <c r="BQ416" s="58" t="str">
        <f t="shared" si="255"/>
        <v/>
      </c>
      <c r="BR416" s="59"/>
      <c r="BS416" s="58" t="str">
        <f t="shared" si="256"/>
        <v/>
      </c>
      <c r="BT416" s="59"/>
      <c r="BU416" s="58" t="str">
        <f t="shared" si="257"/>
        <v/>
      </c>
      <c r="BV416" s="59"/>
      <c r="BW416" s="58" t="str">
        <f t="shared" si="258"/>
        <v/>
      </c>
      <c r="BX416" s="59"/>
      <c r="BY416" s="58" t="str">
        <f t="shared" si="259"/>
        <v/>
      </c>
      <c r="BZ416" s="59"/>
    </row>
    <row r="417" spans="1:78" ht="14.5" hidden="1">
      <c r="A417" s="51" t="s">
        <v>446</v>
      </c>
      <c r="B417" s="52" t="s">
        <v>578</v>
      </c>
      <c r="C417" s="52" t="s">
        <v>74</v>
      </c>
      <c r="D417" s="41">
        <f t="shared" si="209"/>
        <v>8</v>
      </c>
      <c r="E417" s="170"/>
      <c r="F417" s="41"/>
      <c r="G417" s="52" t="s">
        <v>204</v>
      </c>
      <c r="H417" s="52" t="s">
        <v>309</v>
      </c>
      <c r="I417" s="52" t="s">
        <v>163</v>
      </c>
      <c r="J417" s="52" t="s">
        <v>570</v>
      </c>
      <c r="K417" s="53">
        <v>45708</v>
      </c>
      <c r="L417" s="108">
        <v>360</v>
      </c>
      <c r="M417" s="101"/>
      <c r="N417" s="101"/>
      <c r="O417" s="101">
        <f t="shared" si="203"/>
        <v>360</v>
      </c>
      <c r="P417" s="54">
        <f t="shared" si="204"/>
        <v>360</v>
      </c>
      <c r="Q417" s="101" t="s">
        <v>443</v>
      </c>
      <c r="R417" s="101"/>
      <c r="S417" s="101"/>
      <c r="T417" s="102">
        <f t="shared" si="210"/>
        <v>0.75</v>
      </c>
      <c r="U417" s="102">
        <v>6</v>
      </c>
      <c r="V417" s="99">
        <v>80</v>
      </c>
      <c r="W417" s="55">
        <f t="shared" si="211"/>
        <v>45676</v>
      </c>
      <c r="X417" s="55"/>
      <c r="Y417" s="56">
        <f t="shared" ca="1" si="207"/>
        <v>-164</v>
      </c>
      <c r="Z417" s="55">
        <f t="shared" si="206"/>
        <v>45692</v>
      </c>
      <c r="AA417" s="55"/>
      <c r="AB417" s="56">
        <f t="shared" ca="1" si="208"/>
        <v>-148</v>
      </c>
      <c r="AC417" s="55"/>
      <c r="AD417" s="57"/>
      <c r="AE417" s="58" t="str">
        <f t="shared" si="236"/>
        <v>-</v>
      </c>
      <c r="AF417" s="59"/>
      <c r="AG417" s="58" t="str">
        <f t="shared" si="237"/>
        <v/>
      </c>
      <c r="AH417" s="59"/>
      <c r="AI417" s="58" t="str">
        <f t="shared" si="238"/>
        <v/>
      </c>
      <c r="AJ417" s="59"/>
      <c r="AK417" s="58" t="str">
        <f t="shared" si="239"/>
        <v/>
      </c>
      <c r="AL417" s="59"/>
      <c r="AM417" s="58" t="str">
        <f t="shared" si="240"/>
        <v/>
      </c>
      <c r="AN417" s="59"/>
      <c r="AO417" s="58" t="str">
        <f t="shared" si="241"/>
        <v/>
      </c>
      <c r="AP417" s="59"/>
      <c r="AQ417" s="58" t="str">
        <f t="shared" si="242"/>
        <v/>
      </c>
      <c r="AR417" s="59"/>
      <c r="AS417" s="58" t="str">
        <f t="shared" si="243"/>
        <v/>
      </c>
      <c r="AT417" s="59"/>
      <c r="AU417" s="58" t="str">
        <f t="shared" si="244"/>
        <v/>
      </c>
      <c r="AV417" s="59"/>
      <c r="AW417" s="58" t="str">
        <f t="shared" si="245"/>
        <v/>
      </c>
      <c r="AX417" s="59"/>
      <c r="AY417" s="58" t="str">
        <f t="shared" si="246"/>
        <v/>
      </c>
      <c r="AZ417" s="59"/>
      <c r="BA417" s="58" t="str">
        <f t="shared" si="247"/>
        <v/>
      </c>
      <c r="BB417" s="59"/>
      <c r="BC417" s="58" t="str">
        <f t="shared" si="248"/>
        <v/>
      </c>
      <c r="BD417" s="59"/>
      <c r="BE417" s="58" t="str">
        <f t="shared" si="249"/>
        <v/>
      </c>
      <c r="BF417" s="59"/>
      <c r="BG417" s="58" t="str">
        <f t="shared" si="250"/>
        <v/>
      </c>
      <c r="BH417" s="59"/>
      <c r="BI417" s="58">
        <f t="shared" si="251"/>
        <v>360</v>
      </c>
      <c r="BJ417" s="59"/>
      <c r="BK417" s="58" t="str">
        <f t="shared" si="252"/>
        <v/>
      </c>
      <c r="BL417" s="59"/>
      <c r="BM417" s="58" t="str">
        <f t="shared" si="253"/>
        <v/>
      </c>
      <c r="BN417" s="59"/>
      <c r="BO417" s="58" t="str">
        <f t="shared" si="254"/>
        <v/>
      </c>
      <c r="BP417" s="59"/>
      <c r="BQ417" s="58" t="str">
        <f t="shared" si="255"/>
        <v/>
      </c>
      <c r="BR417" s="59"/>
      <c r="BS417" s="58" t="str">
        <f t="shared" si="256"/>
        <v/>
      </c>
      <c r="BT417" s="59"/>
      <c r="BU417" s="58" t="str">
        <f t="shared" si="257"/>
        <v/>
      </c>
      <c r="BV417" s="59"/>
      <c r="BW417" s="58" t="str">
        <f t="shared" si="258"/>
        <v/>
      </c>
      <c r="BX417" s="59"/>
      <c r="BY417" s="58" t="str">
        <f t="shared" si="259"/>
        <v/>
      </c>
      <c r="BZ417" s="59"/>
    </row>
    <row r="418" spans="1:78" ht="14.5" hidden="1">
      <c r="A418" s="51" t="s">
        <v>446</v>
      </c>
      <c r="B418" s="52" t="s">
        <v>578</v>
      </c>
      <c r="C418" s="52" t="s">
        <v>74</v>
      </c>
      <c r="D418" s="41">
        <f t="shared" si="209"/>
        <v>8</v>
      </c>
      <c r="E418" s="170"/>
      <c r="F418" s="41"/>
      <c r="G418" s="52" t="s">
        <v>199</v>
      </c>
      <c r="H418" s="52" t="s">
        <v>308</v>
      </c>
      <c r="I418" s="52" t="s">
        <v>155</v>
      </c>
      <c r="J418" s="52" t="s">
        <v>570</v>
      </c>
      <c r="K418" s="53">
        <v>45708</v>
      </c>
      <c r="L418" s="108">
        <v>480</v>
      </c>
      <c r="M418" s="101"/>
      <c r="N418" s="101"/>
      <c r="O418" s="101">
        <f t="shared" si="203"/>
        <v>480</v>
      </c>
      <c r="P418" s="54">
        <f t="shared" si="204"/>
        <v>480</v>
      </c>
      <c r="Q418" s="101" t="s">
        <v>443</v>
      </c>
      <c r="R418" s="101"/>
      <c r="S418" s="101"/>
      <c r="T418" s="102">
        <f t="shared" si="210"/>
        <v>1</v>
      </c>
      <c r="U418" s="102">
        <v>6</v>
      </c>
      <c r="V418" s="99">
        <v>80</v>
      </c>
      <c r="W418" s="55">
        <f t="shared" si="211"/>
        <v>45676</v>
      </c>
      <c r="X418" s="55"/>
      <c r="Y418" s="56">
        <f t="shared" ca="1" si="207"/>
        <v>-164</v>
      </c>
      <c r="Z418" s="55">
        <f t="shared" si="206"/>
        <v>45692</v>
      </c>
      <c r="AA418" s="55"/>
      <c r="AB418" s="56">
        <f t="shared" ca="1" si="208"/>
        <v>-148</v>
      </c>
      <c r="AC418" s="55"/>
      <c r="AD418" s="57"/>
      <c r="AE418" s="58" t="str">
        <f t="shared" si="236"/>
        <v>-</v>
      </c>
      <c r="AF418" s="59"/>
      <c r="AG418" s="58" t="str">
        <f t="shared" si="237"/>
        <v/>
      </c>
      <c r="AH418" s="59"/>
      <c r="AI418" s="58" t="str">
        <f t="shared" si="238"/>
        <v/>
      </c>
      <c r="AJ418" s="59"/>
      <c r="AK418" s="58" t="str">
        <f t="shared" si="239"/>
        <v/>
      </c>
      <c r="AL418" s="59"/>
      <c r="AM418" s="58" t="str">
        <f t="shared" si="240"/>
        <v/>
      </c>
      <c r="AN418" s="59"/>
      <c r="AO418" s="58" t="str">
        <f t="shared" si="241"/>
        <v/>
      </c>
      <c r="AP418" s="59"/>
      <c r="AQ418" s="58" t="str">
        <f t="shared" si="242"/>
        <v/>
      </c>
      <c r="AR418" s="59"/>
      <c r="AS418" s="58" t="str">
        <f t="shared" si="243"/>
        <v/>
      </c>
      <c r="AT418" s="59"/>
      <c r="AU418" s="58" t="str">
        <f t="shared" si="244"/>
        <v/>
      </c>
      <c r="AV418" s="59"/>
      <c r="AW418" s="58" t="str">
        <f t="shared" si="245"/>
        <v/>
      </c>
      <c r="AX418" s="59"/>
      <c r="AY418" s="58" t="str">
        <f t="shared" si="246"/>
        <v/>
      </c>
      <c r="AZ418" s="59"/>
      <c r="BA418" s="58" t="str">
        <f t="shared" si="247"/>
        <v/>
      </c>
      <c r="BB418" s="59"/>
      <c r="BC418" s="58" t="str">
        <f t="shared" si="248"/>
        <v/>
      </c>
      <c r="BD418" s="59"/>
      <c r="BE418" s="58" t="str">
        <f t="shared" si="249"/>
        <v/>
      </c>
      <c r="BF418" s="59"/>
      <c r="BG418" s="58" t="str">
        <f t="shared" si="250"/>
        <v/>
      </c>
      <c r="BH418" s="59"/>
      <c r="BI418" s="58">
        <f t="shared" si="251"/>
        <v>480</v>
      </c>
      <c r="BJ418" s="59"/>
      <c r="BK418" s="58" t="str">
        <f t="shared" si="252"/>
        <v/>
      </c>
      <c r="BL418" s="59"/>
      <c r="BM418" s="58" t="str">
        <f t="shared" si="253"/>
        <v/>
      </c>
      <c r="BN418" s="59"/>
      <c r="BO418" s="58" t="str">
        <f t="shared" si="254"/>
        <v/>
      </c>
      <c r="BP418" s="59"/>
      <c r="BQ418" s="58" t="str">
        <f t="shared" si="255"/>
        <v/>
      </c>
      <c r="BR418" s="59"/>
      <c r="BS418" s="58" t="str">
        <f t="shared" si="256"/>
        <v/>
      </c>
      <c r="BT418" s="59"/>
      <c r="BU418" s="58" t="str">
        <f t="shared" si="257"/>
        <v/>
      </c>
      <c r="BV418" s="59"/>
      <c r="BW418" s="58" t="str">
        <f t="shared" si="258"/>
        <v/>
      </c>
      <c r="BX418" s="59"/>
      <c r="BY418" s="58" t="str">
        <f t="shared" si="259"/>
        <v/>
      </c>
      <c r="BZ418" s="59"/>
    </row>
    <row r="419" spans="1:78" ht="14.5" hidden="1">
      <c r="A419" s="51" t="s">
        <v>446</v>
      </c>
      <c r="B419" s="52" t="s">
        <v>578</v>
      </c>
      <c r="C419" s="52" t="s">
        <v>74</v>
      </c>
      <c r="D419" s="41">
        <f t="shared" si="209"/>
        <v>8</v>
      </c>
      <c r="E419" s="170"/>
      <c r="F419" s="41"/>
      <c r="G419" s="52" t="s">
        <v>207</v>
      </c>
      <c r="H419" s="52" t="s">
        <v>308</v>
      </c>
      <c r="I419" s="52" t="s">
        <v>162</v>
      </c>
      <c r="J419" s="52" t="s">
        <v>570</v>
      </c>
      <c r="K419" s="53">
        <v>45708</v>
      </c>
      <c r="L419" s="108">
        <v>420</v>
      </c>
      <c r="M419" s="101"/>
      <c r="N419" s="101"/>
      <c r="O419" s="101">
        <f t="shared" si="203"/>
        <v>420</v>
      </c>
      <c r="P419" s="54">
        <f t="shared" si="204"/>
        <v>420</v>
      </c>
      <c r="Q419" s="101" t="s">
        <v>443</v>
      </c>
      <c r="R419" s="101"/>
      <c r="S419" s="101"/>
      <c r="T419" s="102">
        <f t="shared" si="210"/>
        <v>0.875</v>
      </c>
      <c r="U419" s="102">
        <v>6</v>
      </c>
      <c r="V419" s="99">
        <v>80</v>
      </c>
      <c r="W419" s="55">
        <f t="shared" si="211"/>
        <v>45676</v>
      </c>
      <c r="X419" s="55"/>
      <c r="Y419" s="56">
        <f t="shared" ca="1" si="207"/>
        <v>-164</v>
      </c>
      <c r="Z419" s="55">
        <f t="shared" si="206"/>
        <v>45692</v>
      </c>
      <c r="AA419" s="55"/>
      <c r="AB419" s="56">
        <f t="shared" ca="1" si="208"/>
        <v>-148</v>
      </c>
      <c r="AC419" s="55"/>
      <c r="AD419" s="57"/>
      <c r="AE419" s="58" t="str">
        <f t="shared" si="236"/>
        <v>-</v>
      </c>
      <c r="AF419" s="59"/>
      <c r="AG419" s="58" t="str">
        <f t="shared" si="237"/>
        <v/>
      </c>
      <c r="AH419" s="59"/>
      <c r="AI419" s="58" t="str">
        <f t="shared" si="238"/>
        <v/>
      </c>
      <c r="AJ419" s="59"/>
      <c r="AK419" s="58" t="str">
        <f t="shared" si="239"/>
        <v/>
      </c>
      <c r="AL419" s="59"/>
      <c r="AM419" s="58" t="str">
        <f t="shared" si="240"/>
        <v/>
      </c>
      <c r="AN419" s="59"/>
      <c r="AO419" s="58" t="str">
        <f t="shared" si="241"/>
        <v/>
      </c>
      <c r="AP419" s="59"/>
      <c r="AQ419" s="58" t="str">
        <f t="shared" si="242"/>
        <v/>
      </c>
      <c r="AR419" s="59"/>
      <c r="AS419" s="58" t="str">
        <f t="shared" si="243"/>
        <v/>
      </c>
      <c r="AT419" s="59"/>
      <c r="AU419" s="58" t="str">
        <f t="shared" si="244"/>
        <v/>
      </c>
      <c r="AV419" s="59"/>
      <c r="AW419" s="58" t="str">
        <f t="shared" si="245"/>
        <v/>
      </c>
      <c r="AX419" s="59"/>
      <c r="AY419" s="58" t="str">
        <f t="shared" si="246"/>
        <v/>
      </c>
      <c r="AZ419" s="59"/>
      <c r="BA419" s="58" t="str">
        <f t="shared" si="247"/>
        <v/>
      </c>
      <c r="BB419" s="59"/>
      <c r="BC419" s="58" t="str">
        <f t="shared" si="248"/>
        <v/>
      </c>
      <c r="BD419" s="59"/>
      <c r="BE419" s="58" t="str">
        <f t="shared" si="249"/>
        <v/>
      </c>
      <c r="BF419" s="59"/>
      <c r="BG419" s="58" t="str">
        <f t="shared" si="250"/>
        <v/>
      </c>
      <c r="BH419" s="59"/>
      <c r="BI419" s="58">
        <f t="shared" si="251"/>
        <v>420</v>
      </c>
      <c r="BJ419" s="59"/>
      <c r="BK419" s="58" t="str">
        <f t="shared" si="252"/>
        <v/>
      </c>
      <c r="BL419" s="59"/>
      <c r="BM419" s="58" t="str">
        <f t="shared" si="253"/>
        <v/>
      </c>
      <c r="BN419" s="59"/>
      <c r="BO419" s="58" t="str">
        <f t="shared" si="254"/>
        <v/>
      </c>
      <c r="BP419" s="59"/>
      <c r="BQ419" s="58" t="str">
        <f t="shared" si="255"/>
        <v/>
      </c>
      <c r="BR419" s="59"/>
      <c r="BS419" s="58" t="str">
        <f t="shared" si="256"/>
        <v/>
      </c>
      <c r="BT419" s="59"/>
      <c r="BU419" s="58" t="str">
        <f t="shared" si="257"/>
        <v/>
      </c>
      <c r="BV419" s="59"/>
      <c r="BW419" s="58" t="str">
        <f t="shared" si="258"/>
        <v/>
      </c>
      <c r="BX419" s="59"/>
      <c r="BY419" s="58" t="str">
        <f t="shared" si="259"/>
        <v/>
      </c>
      <c r="BZ419" s="59"/>
    </row>
    <row r="420" spans="1:78" ht="14.5" hidden="1">
      <c r="A420" s="51" t="s">
        <v>446</v>
      </c>
      <c r="B420" s="52" t="s">
        <v>578</v>
      </c>
      <c r="C420" s="52" t="s">
        <v>74</v>
      </c>
      <c r="D420" s="41">
        <f t="shared" si="209"/>
        <v>8</v>
      </c>
      <c r="E420" s="170"/>
      <c r="F420" s="41"/>
      <c r="G420" s="52" t="s">
        <v>192</v>
      </c>
      <c r="H420" s="52" t="s">
        <v>347</v>
      </c>
      <c r="I420" s="52" t="s">
        <v>155</v>
      </c>
      <c r="J420" s="52" t="s">
        <v>572</v>
      </c>
      <c r="K420" s="53">
        <v>45708</v>
      </c>
      <c r="L420" s="108">
        <v>168</v>
      </c>
      <c r="M420" s="101"/>
      <c r="N420" s="101"/>
      <c r="O420" s="101">
        <f t="shared" si="203"/>
        <v>168</v>
      </c>
      <c r="P420" s="54">
        <f t="shared" si="204"/>
        <v>168</v>
      </c>
      <c r="Q420" s="101" t="s">
        <v>178</v>
      </c>
      <c r="R420" s="101"/>
      <c r="S420" s="101"/>
      <c r="T420" s="102">
        <f t="shared" si="210"/>
        <v>0.35</v>
      </c>
      <c r="U420" s="102">
        <v>6</v>
      </c>
      <c r="V420" s="99">
        <v>80</v>
      </c>
      <c r="W420" s="55">
        <f t="shared" si="211"/>
        <v>45676</v>
      </c>
      <c r="X420" s="55"/>
      <c r="Y420" s="56">
        <f t="shared" ca="1" si="207"/>
        <v>-164</v>
      </c>
      <c r="Z420" s="55">
        <f t="shared" si="206"/>
        <v>45692</v>
      </c>
      <c r="AA420" s="55"/>
      <c r="AB420" s="56">
        <f t="shared" ca="1" si="208"/>
        <v>-148</v>
      </c>
      <c r="AC420" s="55"/>
      <c r="AD420" s="57"/>
      <c r="AE420" s="58" t="str">
        <f t="shared" si="236"/>
        <v>-</v>
      </c>
      <c r="AF420" s="59"/>
      <c r="AG420" s="58" t="str">
        <f t="shared" si="237"/>
        <v/>
      </c>
      <c r="AH420" s="59"/>
      <c r="AI420" s="58" t="str">
        <f t="shared" si="238"/>
        <v/>
      </c>
      <c r="AJ420" s="59"/>
      <c r="AK420" s="58" t="str">
        <f t="shared" si="239"/>
        <v/>
      </c>
      <c r="AL420" s="59"/>
      <c r="AM420" s="58" t="str">
        <f t="shared" si="240"/>
        <v/>
      </c>
      <c r="AN420" s="59"/>
      <c r="AO420" s="58" t="str">
        <f t="shared" si="241"/>
        <v/>
      </c>
      <c r="AP420" s="59"/>
      <c r="AQ420" s="58" t="str">
        <f t="shared" si="242"/>
        <v/>
      </c>
      <c r="AR420" s="59"/>
      <c r="AS420" s="58" t="str">
        <f t="shared" si="243"/>
        <v/>
      </c>
      <c r="AT420" s="59"/>
      <c r="AU420" s="58" t="str">
        <f t="shared" si="244"/>
        <v/>
      </c>
      <c r="AV420" s="59"/>
      <c r="AW420" s="58" t="str">
        <f t="shared" si="245"/>
        <v/>
      </c>
      <c r="AX420" s="59"/>
      <c r="AY420" s="58" t="str">
        <f t="shared" si="246"/>
        <v/>
      </c>
      <c r="AZ420" s="59"/>
      <c r="BA420" s="58" t="str">
        <f t="shared" si="247"/>
        <v/>
      </c>
      <c r="BB420" s="59"/>
      <c r="BC420" s="58" t="str">
        <f t="shared" si="248"/>
        <v/>
      </c>
      <c r="BD420" s="59"/>
      <c r="BE420" s="58" t="str">
        <f t="shared" si="249"/>
        <v/>
      </c>
      <c r="BF420" s="59"/>
      <c r="BG420" s="58" t="str">
        <f t="shared" si="250"/>
        <v/>
      </c>
      <c r="BH420" s="59"/>
      <c r="BI420" s="58">
        <f t="shared" si="251"/>
        <v>168</v>
      </c>
      <c r="BJ420" s="59"/>
      <c r="BK420" s="58" t="str">
        <f t="shared" si="252"/>
        <v/>
      </c>
      <c r="BL420" s="59"/>
      <c r="BM420" s="58" t="str">
        <f t="shared" si="253"/>
        <v/>
      </c>
      <c r="BN420" s="59"/>
      <c r="BO420" s="58" t="str">
        <f t="shared" si="254"/>
        <v/>
      </c>
      <c r="BP420" s="59"/>
      <c r="BQ420" s="58" t="str">
        <f t="shared" si="255"/>
        <v/>
      </c>
      <c r="BR420" s="59"/>
      <c r="BS420" s="58" t="str">
        <f t="shared" si="256"/>
        <v/>
      </c>
      <c r="BT420" s="59"/>
      <c r="BU420" s="58" t="str">
        <f t="shared" si="257"/>
        <v/>
      </c>
      <c r="BV420" s="59"/>
      <c r="BW420" s="58" t="str">
        <f t="shared" si="258"/>
        <v/>
      </c>
      <c r="BX420" s="59"/>
      <c r="BY420" s="58" t="str">
        <f t="shared" si="259"/>
        <v/>
      </c>
      <c r="BZ420" s="59"/>
    </row>
    <row r="421" spans="1:78" ht="14.5" hidden="1">
      <c r="A421" s="51" t="s">
        <v>446</v>
      </c>
      <c r="B421" s="52" t="s">
        <v>578</v>
      </c>
      <c r="C421" s="52" t="s">
        <v>74</v>
      </c>
      <c r="D421" s="41">
        <f t="shared" si="209"/>
        <v>8</v>
      </c>
      <c r="E421" s="170"/>
      <c r="F421" s="41"/>
      <c r="G421" s="52" t="s">
        <v>417</v>
      </c>
      <c r="H421" s="52" t="s">
        <v>309</v>
      </c>
      <c r="I421" s="52" t="s">
        <v>164</v>
      </c>
      <c r="J421" s="52" t="s">
        <v>570</v>
      </c>
      <c r="K421" s="53">
        <v>45708</v>
      </c>
      <c r="L421" s="108">
        <v>360</v>
      </c>
      <c r="M421" s="101"/>
      <c r="N421" s="101"/>
      <c r="O421" s="101">
        <f t="shared" si="203"/>
        <v>360</v>
      </c>
      <c r="P421" s="54">
        <f t="shared" si="204"/>
        <v>360</v>
      </c>
      <c r="Q421" s="101" t="s">
        <v>443</v>
      </c>
      <c r="R421" s="101"/>
      <c r="S421" s="101"/>
      <c r="T421" s="102">
        <f t="shared" si="210"/>
        <v>0.75</v>
      </c>
      <c r="U421" s="102">
        <v>6</v>
      </c>
      <c r="V421" s="99">
        <v>80</v>
      </c>
      <c r="W421" s="55">
        <f t="shared" si="211"/>
        <v>45676</v>
      </c>
      <c r="X421" s="55"/>
      <c r="Y421" s="56">
        <f t="shared" ca="1" si="207"/>
        <v>-164</v>
      </c>
      <c r="Z421" s="55">
        <f t="shared" si="206"/>
        <v>45692</v>
      </c>
      <c r="AA421" s="55"/>
      <c r="AB421" s="56">
        <f t="shared" ca="1" si="208"/>
        <v>-148</v>
      </c>
      <c r="AC421" s="55"/>
      <c r="AD421" s="57"/>
      <c r="AE421" s="58" t="str">
        <f t="shared" si="236"/>
        <v>-</v>
      </c>
      <c r="AF421" s="59"/>
      <c r="AG421" s="58" t="str">
        <f t="shared" si="237"/>
        <v/>
      </c>
      <c r="AH421" s="59"/>
      <c r="AI421" s="58" t="str">
        <f t="shared" si="238"/>
        <v/>
      </c>
      <c r="AJ421" s="59"/>
      <c r="AK421" s="58" t="str">
        <f t="shared" si="239"/>
        <v/>
      </c>
      <c r="AL421" s="59"/>
      <c r="AM421" s="58" t="str">
        <f t="shared" si="240"/>
        <v/>
      </c>
      <c r="AN421" s="59"/>
      <c r="AO421" s="58" t="str">
        <f t="shared" si="241"/>
        <v/>
      </c>
      <c r="AP421" s="59"/>
      <c r="AQ421" s="58" t="str">
        <f t="shared" si="242"/>
        <v/>
      </c>
      <c r="AR421" s="59"/>
      <c r="AS421" s="58" t="str">
        <f t="shared" si="243"/>
        <v/>
      </c>
      <c r="AT421" s="59"/>
      <c r="AU421" s="58" t="str">
        <f t="shared" si="244"/>
        <v/>
      </c>
      <c r="AV421" s="59"/>
      <c r="AW421" s="58" t="str">
        <f t="shared" si="245"/>
        <v/>
      </c>
      <c r="AX421" s="59"/>
      <c r="AY421" s="58" t="str">
        <f t="shared" si="246"/>
        <v/>
      </c>
      <c r="AZ421" s="59"/>
      <c r="BA421" s="58" t="str">
        <f t="shared" si="247"/>
        <v/>
      </c>
      <c r="BB421" s="59"/>
      <c r="BC421" s="58" t="str">
        <f t="shared" si="248"/>
        <v/>
      </c>
      <c r="BD421" s="59"/>
      <c r="BE421" s="58" t="str">
        <f t="shared" si="249"/>
        <v/>
      </c>
      <c r="BF421" s="59"/>
      <c r="BG421" s="58" t="str">
        <f t="shared" si="250"/>
        <v/>
      </c>
      <c r="BH421" s="59"/>
      <c r="BI421" s="58">
        <f t="shared" si="251"/>
        <v>360</v>
      </c>
      <c r="BJ421" s="59"/>
      <c r="BK421" s="58" t="str">
        <f t="shared" si="252"/>
        <v/>
      </c>
      <c r="BL421" s="59"/>
      <c r="BM421" s="58" t="str">
        <f t="shared" si="253"/>
        <v/>
      </c>
      <c r="BN421" s="59"/>
      <c r="BO421" s="58" t="str">
        <f t="shared" si="254"/>
        <v/>
      </c>
      <c r="BP421" s="59"/>
      <c r="BQ421" s="58" t="str">
        <f t="shared" si="255"/>
        <v/>
      </c>
      <c r="BR421" s="59"/>
      <c r="BS421" s="58" t="str">
        <f t="shared" si="256"/>
        <v/>
      </c>
      <c r="BT421" s="59"/>
      <c r="BU421" s="58" t="str">
        <f t="shared" si="257"/>
        <v/>
      </c>
      <c r="BV421" s="59"/>
      <c r="BW421" s="58" t="str">
        <f t="shared" si="258"/>
        <v/>
      </c>
      <c r="BX421" s="59"/>
      <c r="BY421" s="58" t="str">
        <f t="shared" si="259"/>
        <v/>
      </c>
      <c r="BZ421" s="59"/>
    </row>
    <row r="422" spans="1:78" ht="14.5" hidden="1">
      <c r="A422" s="51" t="s">
        <v>446</v>
      </c>
      <c r="B422" s="52" t="s">
        <v>578</v>
      </c>
      <c r="C422" s="52" t="s">
        <v>74</v>
      </c>
      <c r="D422" s="41">
        <f t="shared" si="209"/>
        <v>8</v>
      </c>
      <c r="E422" s="170"/>
      <c r="F422" s="41"/>
      <c r="G422" s="52" t="s">
        <v>416</v>
      </c>
      <c r="H422" s="52" t="s">
        <v>308</v>
      </c>
      <c r="I422" s="52" t="s">
        <v>164</v>
      </c>
      <c r="J422" s="52" t="s">
        <v>570</v>
      </c>
      <c r="K422" s="53">
        <v>45708</v>
      </c>
      <c r="L422" s="108">
        <v>280</v>
      </c>
      <c r="M422" s="101"/>
      <c r="N422" s="101"/>
      <c r="O422" s="101">
        <f t="shared" si="203"/>
        <v>280</v>
      </c>
      <c r="P422" s="54">
        <f t="shared" si="204"/>
        <v>280</v>
      </c>
      <c r="Q422" s="101" t="s">
        <v>443</v>
      </c>
      <c r="R422" s="101"/>
      <c r="S422" s="101"/>
      <c r="T422" s="102">
        <f t="shared" si="210"/>
        <v>0.58333333333333337</v>
      </c>
      <c r="U422" s="102">
        <v>6</v>
      </c>
      <c r="V422" s="99">
        <v>80</v>
      </c>
      <c r="W422" s="55">
        <f t="shared" si="211"/>
        <v>45676</v>
      </c>
      <c r="X422" s="55"/>
      <c r="Y422" s="56">
        <f t="shared" ca="1" si="207"/>
        <v>-164</v>
      </c>
      <c r="Z422" s="55">
        <f t="shared" si="206"/>
        <v>45692</v>
      </c>
      <c r="AA422" s="55"/>
      <c r="AB422" s="56">
        <f t="shared" ca="1" si="208"/>
        <v>-148</v>
      </c>
      <c r="AC422" s="55"/>
      <c r="AD422" s="57"/>
      <c r="AE422" s="58" t="str">
        <f t="shared" si="236"/>
        <v>-</v>
      </c>
      <c r="AF422" s="59"/>
      <c r="AG422" s="58" t="str">
        <f t="shared" si="237"/>
        <v/>
      </c>
      <c r="AH422" s="59"/>
      <c r="AI422" s="58" t="str">
        <f t="shared" si="238"/>
        <v/>
      </c>
      <c r="AJ422" s="59"/>
      <c r="AK422" s="58" t="str">
        <f t="shared" si="239"/>
        <v/>
      </c>
      <c r="AL422" s="59"/>
      <c r="AM422" s="58" t="str">
        <f t="shared" si="240"/>
        <v/>
      </c>
      <c r="AN422" s="59"/>
      <c r="AO422" s="58" t="str">
        <f t="shared" si="241"/>
        <v/>
      </c>
      <c r="AP422" s="59"/>
      <c r="AQ422" s="58" t="str">
        <f t="shared" si="242"/>
        <v/>
      </c>
      <c r="AR422" s="59"/>
      <c r="AS422" s="58" t="str">
        <f t="shared" si="243"/>
        <v/>
      </c>
      <c r="AT422" s="59"/>
      <c r="AU422" s="58" t="str">
        <f t="shared" si="244"/>
        <v/>
      </c>
      <c r="AV422" s="59"/>
      <c r="AW422" s="58" t="str">
        <f t="shared" si="245"/>
        <v/>
      </c>
      <c r="AX422" s="59"/>
      <c r="AY422" s="58" t="str">
        <f t="shared" si="246"/>
        <v/>
      </c>
      <c r="AZ422" s="59"/>
      <c r="BA422" s="58" t="str">
        <f t="shared" si="247"/>
        <v/>
      </c>
      <c r="BB422" s="59"/>
      <c r="BC422" s="58" t="str">
        <f t="shared" si="248"/>
        <v/>
      </c>
      <c r="BD422" s="59"/>
      <c r="BE422" s="58" t="str">
        <f t="shared" si="249"/>
        <v/>
      </c>
      <c r="BF422" s="59"/>
      <c r="BG422" s="58" t="str">
        <f t="shared" si="250"/>
        <v/>
      </c>
      <c r="BH422" s="59"/>
      <c r="BI422" s="58">
        <f t="shared" si="251"/>
        <v>280</v>
      </c>
      <c r="BJ422" s="59"/>
      <c r="BK422" s="58" t="str">
        <f t="shared" si="252"/>
        <v/>
      </c>
      <c r="BL422" s="59"/>
      <c r="BM422" s="58" t="str">
        <f t="shared" si="253"/>
        <v/>
      </c>
      <c r="BN422" s="59"/>
      <c r="BO422" s="58" t="str">
        <f t="shared" si="254"/>
        <v/>
      </c>
      <c r="BP422" s="59"/>
      <c r="BQ422" s="58" t="str">
        <f t="shared" si="255"/>
        <v/>
      </c>
      <c r="BR422" s="59"/>
      <c r="BS422" s="58" t="str">
        <f t="shared" si="256"/>
        <v/>
      </c>
      <c r="BT422" s="59"/>
      <c r="BU422" s="58" t="str">
        <f t="shared" si="257"/>
        <v/>
      </c>
      <c r="BV422" s="59"/>
      <c r="BW422" s="58" t="str">
        <f t="shared" si="258"/>
        <v/>
      </c>
      <c r="BX422" s="59"/>
      <c r="BY422" s="58" t="str">
        <f t="shared" si="259"/>
        <v/>
      </c>
      <c r="BZ422" s="59"/>
    </row>
    <row r="423" spans="1:78" ht="14.5" hidden="1">
      <c r="A423" s="51" t="s">
        <v>446</v>
      </c>
      <c r="B423" s="52" t="s">
        <v>578</v>
      </c>
      <c r="C423" s="52" t="s">
        <v>74</v>
      </c>
      <c r="D423" s="41">
        <f t="shared" si="209"/>
        <v>8</v>
      </c>
      <c r="E423" s="170"/>
      <c r="F423" s="41"/>
      <c r="G423" s="52" t="s">
        <v>204</v>
      </c>
      <c r="H423" s="52" t="s">
        <v>308</v>
      </c>
      <c r="I423" s="52" t="s">
        <v>163</v>
      </c>
      <c r="J423" s="52" t="s">
        <v>570</v>
      </c>
      <c r="K423" s="53">
        <v>45708</v>
      </c>
      <c r="L423" s="108">
        <v>300</v>
      </c>
      <c r="M423" s="101"/>
      <c r="N423" s="101"/>
      <c r="O423" s="101">
        <f t="shared" si="203"/>
        <v>300</v>
      </c>
      <c r="P423" s="54">
        <f t="shared" si="204"/>
        <v>300</v>
      </c>
      <c r="Q423" s="101" t="s">
        <v>443</v>
      </c>
      <c r="R423" s="101"/>
      <c r="S423" s="101"/>
      <c r="T423" s="102">
        <f t="shared" si="210"/>
        <v>0.625</v>
      </c>
      <c r="U423" s="102">
        <v>6</v>
      </c>
      <c r="V423" s="99">
        <v>80</v>
      </c>
      <c r="W423" s="55">
        <f t="shared" si="211"/>
        <v>45676</v>
      </c>
      <c r="X423" s="55"/>
      <c r="Y423" s="56">
        <f t="shared" ca="1" si="207"/>
        <v>-164</v>
      </c>
      <c r="Z423" s="55">
        <f t="shared" si="206"/>
        <v>45692</v>
      </c>
      <c r="AA423" s="55"/>
      <c r="AB423" s="56">
        <f t="shared" ca="1" si="208"/>
        <v>-148</v>
      </c>
      <c r="AC423" s="55"/>
      <c r="AD423" s="57"/>
      <c r="AE423" s="58" t="str">
        <f t="shared" si="236"/>
        <v>-</v>
      </c>
      <c r="AF423" s="59"/>
      <c r="AG423" s="58" t="str">
        <f t="shared" si="237"/>
        <v/>
      </c>
      <c r="AH423" s="59"/>
      <c r="AI423" s="58" t="str">
        <f t="shared" si="238"/>
        <v/>
      </c>
      <c r="AJ423" s="59"/>
      <c r="AK423" s="58" t="str">
        <f t="shared" si="239"/>
        <v/>
      </c>
      <c r="AL423" s="59"/>
      <c r="AM423" s="58" t="str">
        <f t="shared" si="240"/>
        <v/>
      </c>
      <c r="AN423" s="59"/>
      <c r="AO423" s="58" t="str">
        <f t="shared" si="241"/>
        <v/>
      </c>
      <c r="AP423" s="59"/>
      <c r="AQ423" s="58" t="str">
        <f t="shared" si="242"/>
        <v/>
      </c>
      <c r="AR423" s="59"/>
      <c r="AS423" s="58" t="str">
        <f t="shared" si="243"/>
        <v/>
      </c>
      <c r="AT423" s="59"/>
      <c r="AU423" s="58" t="str">
        <f t="shared" si="244"/>
        <v/>
      </c>
      <c r="AV423" s="59"/>
      <c r="AW423" s="58" t="str">
        <f t="shared" si="245"/>
        <v/>
      </c>
      <c r="AX423" s="59"/>
      <c r="AY423" s="58" t="str">
        <f t="shared" si="246"/>
        <v/>
      </c>
      <c r="AZ423" s="59"/>
      <c r="BA423" s="58" t="str">
        <f t="shared" si="247"/>
        <v/>
      </c>
      <c r="BB423" s="59"/>
      <c r="BC423" s="58" t="str">
        <f t="shared" si="248"/>
        <v/>
      </c>
      <c r="BD423" s="59"/>
      <c r="BE423" s="58" t="str">
        <f t="shared" si="249"/>
        <v/>
      </c>
      <c r="BF423" s="59"/>
      <c r="BG423" s="58" t="str">
        <f t="shared" si="250"/>
        <v/>
      </c>
      <c r="BH423" s="59"/>
      <c r="BI423" s="58">
        <f t="shared" si="251"/>
        <v>300</v>
      </c>
      <c r="BJ423" s="59"/>
      <c r="BK423" s="58" t="str">
        <f t="shared" si="252"/>
        <v/>
      </c>
      <c r="BL423" s="59"/>
      <c r="BM423" s="58" t="str">
        <f t="shared" si="253"/>
        <v/>
      </c>
      <c r="BN423" s="59"/>
      <c r="BO423" s="58" t="str">
        <f t="shared" si="254"/>
        <v/>
      </c>
      <c r="BP423" s="59"/>
      <c r="BQ423" s="58" t="str">
        <f t="shared" si="255"/>
        <v/>
      </c>
      <c r="BR423" s="59"/>
      <c r="BS423" s="58" t="str">
        <f t="shared" si="256"/>
        <v/>
      </c>
      <c r="BT423" s="59"/>
      <c r="BU423" s="58" t="str">
        <f t="shared" si="257"/>
        <v/>
      </c>
      <c r="BV423" s="59"/>
      <c r="BW423" s="58" t="str">
        <f t="shared" si="258"/>
        <v/>
      </c>
      <c r="BX423" s="59"/>
      <c r="BY423" s="58" t="str">
        <f t="shared" si="259"/>
        <v/>
      </c>
      <c r="BZ423" s="59"/>
    </row>
    <row r="424" spans="1:78" ht="14.5" hidden="1">
      <c r="A424" s="51" t="s">
        <v>446</v>
      </c>
      <c r="B424" s="52" t="s">
        <v>578</v>
      </c>
      <c r="C424" s="52" t="s">
        <v>74</v>
      </c>
      <c r="D424" s="41">
        <f t="shared" si="209"/>
        <v>8</v>
      </c>
      <c r="E424" s="170"/>
      <c r="F424" s="41"/>
      <c r="G424" s="52" t="s">
        <v>199</v>
      </c>
      <c r="H424" s="52" t="s">
        <v>577</v>
      </c>
      <c r="I424" s="52" t="s">
        <v>155</v>
      </c>
      <c r="J424" s="52" t="s">
        <v>514</v>
      </c>
      <c r="K424" s="53">
        <v>45708</v>
      </c>
      <c r="L424" s="108">
        <v>660</v>
      </c>
      <c r="M424" s="101"/>
      <c r="N424" s="101"/>
      <c r="O424" s="101">
        <f t="shared" ref="O424:O433" si="260">+L424-N424</f>
        <v>660</v>
      </c>
      <c r="P424" s="54">
        <f t="shared" ref="P424:P433" si="261">+L424-M424</f>
        <v>660</v>
      </c>
      <c r="Q424" s="101" t="s">
        <v>443</v>
      </c>
      <c r="R424" s="101"/>
      <c r="S424" s="101"/>
      <c r="T424" s="102">
        <f t="shared" si="210"/>
        <v>0.37714285714285717</v>
      </c>
      <c r="U424" s="102">
        <v>5</v>
      </c>
      <c r="V424" s="99">
        <v>350</v>
      </c>
      <c r="W424" s="55">
        <f t="shared" si="211"/>
        <v>45676</v>
      </c>
      <c r="X424" s="55"/>
      <c r="Y424" s="56">
        <f t="shared" ca="1" si="207"/>
        <v>-164</v>
      </c>
      <c r="Z424" s="55">
        <f t="shared" si="206"/>
        <v>45692</v>
      </c>
      <c r="AA424" s="55"/>
      <c r="AB424" s="56">
        <f t="shared" ca="1" si="208"/>
        <v>-148</v>
      </c>
      <c r="AC424" s="55"/>
      <c r="AD424" s="57"/>
      <c r="AE424" s="58" t="str">
        <f t="shared" si="236"/>
        <v>-</v>
      </c>
      <c r="AF424" s="59"/>
      <c r="AG424" s="58" t="str">
        <f t="shared" si="237"/>
        <v/>
      </c>
      <c r="AH424" s="59"/>
      <c r="AI424" s="58" t="str">
        <f t="shared" si="238"/>
        <v/>
      </c>
      <c r="AJ424" s="59"/>
      <c r="AK424" s="58" t="str">
        <f t="shared" si="239"/>
        <v/>
      </c>
      <c r="AL424" s="59"/>
      <c r="AM424" s="58" t="str">
        <f t="shared" si="240"/>
        <v/>
      </c>
      <c r="AN424" s="59"/>
      <c r="AO424" s="58" t="str">
        <f t="shared" si="241"/>
        <v/>
      </c>
      <c r="AP424" s="59"/>
      <c r="AQ424" s="58" t="str">
        <f t="shared" si="242"/>
        <v/>
      </c>
      <c r="AR424" s="59"/>
      <c r="AS424" s="58" t="str">
        <f t="shared" si="243"/>
        <v/>
      </c>
      <c r="AT424" s="59"/>
      <c r="AU424" s="58" t="str">
        <f t="shared" si="244"/>
        <v/>
      </c>
      <c r="AV424" s="59"/>
      <c r="AW424" s="58" t="str">
        <f t="shared" si="245"/>
        <v/>
      </c>
      <c r="AX424" s="59"/>
      <c r="AY424" s="58" t="str">
        <f t="shared" si="246"/>
        <v/>
      </c>
      <c r="AZ424" s="59"/>
      <c r="BA424" s="58" t="str">
        <f t="shared" si="247"/>
        <v/>
      </c>
      <c r="BB424" s="59"/>
      <c r="BC424" s="58" t="str">
        <f t="shared" si="248"/>
        <v/>
      </c>
      <c r="BD424" s="59"/>
      <c r="BE424" s="58" t="str">
        <f t="shared" si="249"/>
        <v/>
      </c>
      <c r="BF424" s="59"/>
      <c r="BG424" s="58" t="str">
        <f t="shared" si="250"/>
        <v/>
      </c>
      <c r="BH424" s="59"/>
      <c r="BI424" s="58">
        <f t="shared" si="251"/>
        <v>660</v>
      </c>
      <c r="BJ424" s="59"/>
      <c r="BK424" s="58" t="str">
        <f t="shared" si="252"/>
        <v/>
      </c>
      <c r="BL424" s="59"/>
      <c r="BM424" s="58" t="str">
        <f t="shared" si="253"/>
        <v/>
      </c>
      <c r="BN424" s="59"/>
      <c r="BO424" s="58" t="str">
        <f t="shared" si="254"/>
        <v/>
      </c>
      <c r="BP424" s="59"/>
      <c r="BQ424" s="58" t="str">
        <f t="shared" si="255"/>
        <v/>
      </c>
      <c r="BR424" s="59"/>
      <c r="BS424" s="58" t="str">
        <f t="shared" si="256"/>
        <v/>
      </c>
      <c r="BT424" s="59"/>
      <c r="BU424" s="58" t="str">
        <f t="shared" si="257"/>
        <v/>
      </c>
      <c r="BV424" s="59"/>
      <c r="BW424" s="58" t="str">
        <f t="shared" si="258"/>
        <v/>
      </c>
      <c r="BX424" s="59"/>
      <c r="BY424" s="58" t="str">
        <f t="shared" si="259"/>
        <v/>
      </c>
      <c r="BZ424" s="59"/>
    </row>
    <row r="425" spans="1:78" ht="14.5" hidden="1">
      <c r="A425" s="51" t="s">
        <v>58</v>
      </c>
      <c r="B425" s="52">
        <v>408</v>
      </c>
      <c r="C425" s="52" t="s">
        <v>188</v>
      </c>
      <c r="D425" s="41">
        <f t="shared" si="209"/>
        <v>8</v>
      </c>
      <c r="E425" s="170"/>
      <c r="F425" s="41"/>
      <c r="G425" s="52" t="s">
        <v>136</v>
      </c>
      <c r="H425" s="52" t="s">
        <v>247</v>
      </c>
      <c r="I425" s="52" t="s">
        <v>162</v>
      </c>
      <c r="J425" s="52" t="s">
        <v>500</v>
      </c>
      <c r="K425" s="53">
        <v>45709</v>
      </c>
      <c r="L425" s="108">
        <v>1512</v>
      </c>
      <c r="M425" s="101"/>
      <c r="N425" s="101"/>
      <c r="O425" s="107">
        <f t="shared" si="260"/>
        <v>1512</v>
      </c>
      <c r="P425" s="54">
        <f t="shared" si="261"/>
        <v>1512</v>
      </c>
      <c r="Q425" s="101" t="s">
        <v>579</v>
      </c>
      <c r="R425" s="101"/>
      <c r="S425" s="101"/>
      <c r="T425" s="102">
        <f t="shared" si="210"/>
        <v>0.86399999999999999</v>
      </c>
      <c r="U425" s="102">
        <v>5</v>
      </c>
      <c r="V425" s="99">
        <v>350</v>
      </c>
      <c r="W425" s="55">
        <f t="shared" ref="W425:W433" si="262">+K425-(20)</f>
        <v>45689</v>
      </c>
      <c r="X425" s="55"/>
      <c r="Y425" s="56">
        <f t="shared" ca="1" si="207"/>
        <v>-151</v>
      </c>
      <c r="Z425" s="55">
        <f t="shared" si="206"/>
        <v>45705</v>
      </c>
      <c r="AA425" s="55"/>
      <c r="AB425" s="56">
        <f t="shared" ca="1" si="208"/>
        <v>-135</v>
      </c>
      <c r="AC425" s="55"/>
      <c r="AD425" s="57"/>
      <c r="AE425" s="58" t="str">
        <f t="shared" ref="AE425:AE450" si="263">+IF($AE$4=WEEKNUM(Z425),L425,"-")</f>
        <v>-</v>
      </c>
      <c r="AF425" s="59"/>
      <c r="AG425" s="58" t="str">
        <f t="shared" ref="AG425:AG450" si="264">+IF($AG$4=WEEKNUM(Z425),L425,"")</f>
        <v/>
      </c>
      <c r="AH425" s="59"/>
      <c r="AI425" s="58" t="str">
        <f t="shared" ref="AI425:AI450" si="265">+IF($AI$4=WEEKNUM(Z425),L425,"")</f>
        <v/>
      </c>
      <c r="AJ425" s="59"/>
      <c r="AK425" s="58" t="str">
        <f t="shared" ref="AK425:AK450" si="266">+IF($AK$4=WEEKNUM(Z425),L425,"")</f>
        <v/>
      </c>
      <c r="AL425" s="59"/>
      <c r="AM425" s="58" t="str">
        <f t="shared" ref="AM425:AM450" si="267">+IF($AM$4=WEEKNUM(Z425),L425,"")</f>
        <v/>
      </c>
      <c r="AN425" s="59"/>
      <c r="AO425" s="58" t="str">
        <f t="shared" ref="AO425:AO450" si="268">+IF($AO$4=WEEKNUM(Z425),L425,"")</f>
        <v/>
      </c>
      <c r="AP425" s="59"/>
      <c r="AQ425" s="58" t="str">
        <f t="shared" ref="AQ425:AQ450" si="269">+IF($AQ$4=WEEKNUM(Z425),L425,"")</f>
        <v/>
      </c>
      <c r="AR425" s="59"/>
      <c r="AS425" s="58" t="str">
        <f t="shared" ref="AS425:AS450" si="270">+IF($AS$4=WEEKNUM(Z425),L425,"")</f>
        <v/>
      </c>
      <c r="AT425" s="59"/>
      <c r="AU425" s="58" t="str">
        <f t="shared" ref="AU425:AU450" si="271">+IF($AU$4=WEEKNUM(Z425),L425,"")</f>
        <v/>
      </c>
      <c r="AV425" s="59"/>
      <c r="AW425" s="58" t="str">
        <f t="shared" ref="AW425:AW450" si="272">+IF($AZ$4=WEEKNUM(Z425),L425,"")</f>
        <v/>
      </c>
      <c r="AX425" s="59"/>
      <c r="AY425" s="58" t="str">
        <f t="shared" ref="AY425:AY450" si="273">+IF($AY$4=WEEKNUM(Z425),L425,"")</f>
        <v/>
      </c>
      <c r="AZ425" s="59"/>
      <c r="BA425" s="58" t="str">
        <f t="shared" ref="BA425:BA450" si="274">+IF($BA$4=WEEKNUM(Z425),L425,"")</f>
        <v/>
      </c>
      <c r="BB425" s="59"/>
      <c r="BC425" s="58" t="str">
        <f t="shared" ref="BC425:BC450" si="275">+IF($BC$4=WEEKNUM(Z425),L425,"")</f>
        <v/>
      </c>
      <c r="BD425" s="59"/>
      <c r="BE425" s="58" t="str">
        <f t="shared" ref="BE425:BE450" si="276">+IF($BE$4=WEEKNUM(Z425),L425,"")</f>
        <v/>
      </c>
      <c r="BF425" s="59"/>
      <c r="BG425" s="58" t="str">
        <f t="shared" ref="BG425:BG450" si="277">+IF($BG$4=WEEKNUM(Z425),L425,"")</f>
        <v/>
      </c>
      <c r="BH425" s="59"/>
      <c r="BI425" s="58" t="str">
        <f t="shared" ref="BI425:BI450" si="278">+IF($BI$4=WEEKNUM(Z425),L425,"")</f>
        <v/>
      </c>
      <c r="BJ425" s="59"/>
      <c r="BK425" s="58" t="str">
        <f t="shared" ref="BK425:BK450" si="279">+IF($BK$4=WEEKNUM(Z425),L425,"")</f>
        <v/>
      </c>
      <c r="BL425" s="59"/>
      <c r="BM425" s="58" t="str">
        <f t="shared" ref="BM425:BM450" si="280">+IF($BM$4=WEEKNUM(Z425),L425,"")</f>
        <v/>
      </c>
      <c r="BN425" s="59"/>
      <c r="BO425" s="58" t="str">
        <f t="shared" ref="BO425:BO450" si="281">+IF($BO$4=WEEKNUM(Z425),L425,"")</f>
        <v/>
      </c>
      <c r="BP425" s="59"/>
      <c r="BQ425" s="58">
        <f t="shared" ref="BQ425:BQ450" si="282">+IF($BQ$4=WEEKNUM(Z425),L425,"")</f>
        <v>1512</v>
      </c>
      <c r="BR425" s="59"/>
      <c r="BS425" s="58" t="str">
        <f t="shared" ref="BS425:BS450" si="283">+IF($BS$4=WEEKNUM(Z425),L425,"")</f>
        <v/>
      </c>
      <c r="BT425" s="59"/>
      <c r="BU425" s="58" t="str">
        <f t="shared" ref="BU425:BU450" si="284">+IF($BU$4=WEEKNUM(Z425),L425,"")</f>
        <v/>
      </c>
      <c r="BV425" s="59"/>
      <c r="BW425" s="58" t="str">
        <f t="shared" ref="BW425:BW450" si="285">+IF($BZ$4=WEEKNUM(Z425),L425,"")</f>
        <v/>
      </c>
      <c r="BX425" s="59"/>
      <c r="BY425" s="58" t="str">
        <f t="shared" ref="BY425:BY450" si="286">+IF($BY$4=WEEKNUM(Z425),L425,"")</f>
        <v/>
      </c>
      <c r="BZ425" s="59"/>
    </row>
    <row r="426" spans="1:78" ht="14.5" hidden="1">
      <c r="A426" s="51" t="s">
        <v>58</v>
      </c>
      <c r="B426" s="52">
        <v>408</v>
      </c>
      <c r="C426" s="52" t="s">
        <v>188</v>
      </c>
      <c r="D426" s="41">
        <f t="shared" si="209"/>
        <v>8</v>
      </c>
      <c r="E426" s="170"/>
      <c r="F426" s="41"/>
      <c r="G426" s="52" t="s">
        <v>136</v>
      </c>
      <c r="H426" s="52" t="s">
        <v>247</v>
      </c>
      <c r="I426" s="52" t="s">
        <v>163</v>
      </c>
      <c r="J426" s="52" t="s">
        <v>500</v>
      </c>
      <c r="K426" s="53">
        <v>45709</v>
      </c>
      <c r="L426" s="108">
        <v>1512</v>
      </c>
      <c r="M426" s="101"/>
      <c r="N426" s="101"/>
      <c r="O426" s="107">
        <f t="shared" si="260"/>
        <v>1512</v>
      </c>
      <c r="P426" s="54">
        <f t="shared" si="261"/>
        <v>1512</v>
      </c>
      <c r="Q426" s="101" t="s">
        <v>579</v>
      </c>
      <c r="R426" s="101"/>
      <c r="S426" s="101"/>
      <c r="T426" s="102">
        <f t="shared" si="210"/>
        <v>0.86399999999999999</v>
      </c>
      <c r="U426" s="102">
        <v>5</v>
      </c>
      <c r="V426" s="99">
        <v>350</v>
      </c>
      <c r="W426" s="55">
        <f t="shared" si="262"/>
        <v>45689</v>
      </c>
      <c r="X426" s="55"/>
      <c r="Y426" s="56">
        <f t="shared" ca="1" si="207"/>
        <v>-151</v>
      </c>
      <c r="Z426" s="55">
        <f t="shared" si="206"/>
        <v>45705</v>
      </c>
      <c r="AA426" s="55"/>
      <c r="AB426" s="56">
        <f t="shared" ca="1" si="208"/>
        <v>-135</v>
      </c>
      <c r="AC426" s="55"/>
      <c r="AD426" s="57"/>
      <c r="AE426" s="58" t="str">
        <f t="shared" si="263"/>
        <v>-</v>
      </c>
      <c r="AF426" s="59"/>
      <c r="AG426" s="58" t="str">
        <f t="shared" si="264"/>
        <v/>
      </c>
      <c r="AH426" s="59"/>
      <c r="AI426" s="58" t="str">
        <f t="shared" si="265"/>
        <v/>
      </c>
      <c r="AJ426" s="59"/>
      <c r="AK426" s="58" t="str">
        <f t="shared" si="266"/>
        <v/>
      </c>
      <c r="AL426" s="59"/>
      <c r="AM426" s="58" t="str">
        <f t="shared" si="267"/>
        <v/>
      </c>
      <c r="AN426" s="59"/>
      <c r="AO426" s="58" t="str">
        <f t="shared" si="268"/>
        <v/>
      </c>
      <c r="AP426" s="59"/>
      <c r="AQ426" s="58" t="str">
        <f t="shared" si="269"/>
        <v/>
      </c>
      <c r="AR426" s="59"/>
      <c r="AS426" s="58" t="str">
        <f t="shared" si="270"/>
        <v/>
      </c>
      <c r="AT426" s="59"/>
      <c r="AU426" s="58" t="str">
        <f t="shared" si="271"/>
        <v/>
      </c>
      <c r="AV426" s="59"/>
      <c r="AW426" s="58" t="str">
        <f t="shared" si="272"/>
        <v/>
      </c>
      <c r="AX426" s="59"/>
      <c r="AY426" s="58" t="str">
        <f t="shared" si="273"/>
        <v/>
      </c>
      <c r="AZ426" s="59"/>
      <c r="BA426" s="58" t="str">
        <f t="shared" si="274"/>
        <v/>
      </c>
      <c r="BB426" s="59"/>
      <c r="BC426" s="58" t="str">
        <f t="shared" si="275"/>
        <v/>
      </c>
      <c r="BD426" s="59"/>
      <c r="BE426" s="58" t="str">
        <f t="shared" si="276"/>
        <v/>
      </c>
      <c r="BF426" s="59"/>
      <c r="BG426" s="58" t="str">
        <f t="shared" si="277"/>
        <v/>
      </c>
      <c r="BH426" s="59"/>
      <c r="BI426" s="58" t="str">
        <f t="shared" si="278"/>
        <v/>
      </c>
      <c r="BJ426" s="59"/>
      <c r="BK426" s="58" t="str">
        <f t="shared" si="279"/>
        <v/>
      </c>
      <c r="BL426" s="59"/>
      <c r="BM426" s="58" t="str">
        <f t="shared" si="280"/>
        <v/>
      </c>
      <c r="BN426" s="59"/>
      <c r="BO426" s="58" t="str">
        <f t="shared" si="281"/>
        <v/>
      </c>
      <c r="BP426" s="59"/>
      <c r="BQ426" s="58">
        <f t="shared" si="282"/>
        <v>1512</v>
      </c>
      <c r="BR426" s="59"/>
      <c r="BS426" s="58" t="str">
        <f t="shared" si="283"/>
        <v/>
      </c>
      <c r="BT426" s="59"/>
      <c r="BU426" s="58" t="str">
        <f t="shared" si="284"/>
        <v/>
      </c>
      <c r="BV426" s="59"/>
      <c r="BW426" s="58" t="str">
        <f t="shared" si="285"/>
        <v/>
      </c>
      <c r="BX426" s="59"/>
      <c r="BY426" s="58" t="str">
        <f t="shared" si="286"/>
        <v/>
      </c>
      <c r="BZ426" s="59"/>
    </row>
    <row r="427" spans="1:78" ht="14.5" hidden="1">
      <c r="A427" s="51" t="s">
        <v>58</v>
      </c>
      <c r="B427" s="52">
        <v>408</v>
      </c>
      <c r="C427" s="52" t="s">
        <v>188</v>
      </c>
      <c r="D427" s="41">
        <f t="shared" si="209"/>
        <v>8</v>
      </c>
      <c r="E427" s="170"/>
      <c r="F427" s="41"/>
      <c r="G427" s="52" t="s">
        <v>136</v>
      </c>
      <c r="H427" s="52" t="s">
        <v>247</v>
      </c>
      <c r="I427" s="52" t="s">
        <v>164</v>
      </c>
      <c r="J427" s="52" t="s">
        <v>500</v>
      </c>
      <c r="K427" s="53">
        <v>45709</v>
      </c>
      <c r="L427" s="108">
        <v>1512</v>
      </c>
      <c r="M427" s="101"/>
      <c r="N427" s="101"/>
      <c r="O427" s="107">
        <f t="shared" si="260"/>
        <v>1512</v>
      </c>
      <c r="P427" s="54">
        <f t="shared" si="261"/>
        <v>1512</v>
      </c>
      <c r="Q427" s="101" t="s">
        <v>579</v>
      </c>
      <c r="R427" s="101"/>
      <c r="S427" s="101"/>
      <c r="T427" s="102">
        <f t="shared" si="210"/>
        <v>0.86399999999999999</v>
      </c>
      <c r="U427" s="102">
        <v>5</v>
      </c>
      <c r="V427" s="99">
        <v>350</v>
      </c>
      <c r="W427" s="55">
        <f t="shared" si="262"/>
        <v>45689</v>
      </c>
      <c r="X427" s="55"/>
      <c r="Y427" s="56">
        <f t="shared" ca="1" si="207"/>
        <v>-151</v>
      </c>
      <c r="Z427" s="55">
        <f t="shared" si="206"/>
        <v>45705</v>
      </c>
      <c r="AA427" s="55"/>
      <c r="AB427" s="56">
        <f t="shared" ca="1" si="208"/>
        <v>-135</v>
      </c>
      <c r="AC427" s="55"/>
      <c r="AD427" s="57"/>
      <c r="AE427" s="58" t="str">
        <f t="shared" si="263"/>
        <v>-</v>
      </c>
      <c r="AF427" s="59"/>
      <c r="AG427" s="58" t="str">
        <f t="shared" si="264"/>
        <v/>
      </c>
      <c r="AH427" s="59"/>
      <c r="AI427" s="58" t="str">
        <f t="shared" si="265"/>
        <v/>
      </c>
      <c r="AJ427" s="59"/>
      <c r="AK427" s="58" t="str">
        <f t="shared" si="266"/>
        <v/>
      </c>
      <c r="AL427" s="59"/>
      <c r="AM427" s="58" t="str">
        <f t="shared" si="267"/>
        <v/>
      </c>
      <c r="AN427" s="59"/>
      <c r="AO427" s="58" t="str">
        <f t="shared" si="268"/>
        <v/>
      </c>
      <c r="AP427" s="59"/>
      <c r="AQ427" s="58" t="str">
        <f t="shared" si="269"/>
        <v/>
      </c>
      <c r="AR427" s="59"/>
      <c r="AS427" s="58" t="str">
        <f t="shared" si="270"/>
        <v/>
      </c>
      <c r="AT427" s="59"/>
      <c r="AU427" s="58" t="str">
        <f t="shared" si="271"/>
        <v/>
      </c>
      <c r="AV427" s="59"/>
      <c r="AW427" s="58" t="str">
        <f t="shared" si="272"/>
        <v/>
      </c>
      <c r="AX427" s="59"/>
      <c r="AY427" s="58" t="str">
        <f t="shared" si="273"/>
        <v/>
      </c>
      <c r="AZ427" s="59"/>
      <c r="BA427" s="58" t="str">
        <f t="shared" si="274"/>
        <v/>
      </c>
      <c r="BB427" s="59"/>
      <c r="BC427" s="58" t="str">
        <f t="shared" si="275"/>
        <v/>
      </c>
      <c r="BD427" s="59"/>
      <c r="BE427" s="58" t="str">
        <f t="shared" si="276"/>
        <v/>
      </c>
      <c r="BF427" s="59"/>
      <c r="BG427" s="58" t="str">
        <f t="shared" si="277"/>
        <v/>
      </c>
      <c r="BH427" s="59"/>
      <c r="BI427" s="58" t="str">
        <f t="shared" si="278"/>
        <v/>
      </c>
      <c r="BJ427" s="59"/>
      <c r="BK427" s="58" t="str">
        <f t="shared" si="279"/>
        <v/>
      </c>
      <c r="BL427" s="59"/>
      <c r="BM427" s="58" t="str">
        <f t="shared" si="280"/>
        <v/>
      </c>
      <c r="BN427" s="59"/>
      <c r="BO427" s="58" t="str">
        <f t="shared" si="281"/>
        <v/>
      </c>
      <c r="BP427" s="59"/>
      <c r="BQ427" s="58">
        <f t="shared" si="282"/>
        <v>1512</v>
      </c>
      <c r="BR427" s="59"/>
      <c r="BS427" s="58" t="str">
        <f t="shared" si="283"/>
        <v/>
      </c>
      <c r="BT427" s="59"/>
      <c r="BU427" s="58" t="str">
        <f t="shared" si="284"/>
        <v/>
      </c>
      <c r="BV427" s="59"/>
      <c r="BW427" s="58" t="str">
        <f t="shared" si="285"/>
        <v/>
      </c>
      <c r="BX427" s="59"/>
      <c r="BY427" s="58" t="str">
        <f t="shared" si="286"/>
        <v/>
      </c>
      <c r="BZ427" s="59"/>
    </row>
    <row r="428" spans="1:78" ht="14.5" hidden="1">
      <c r="A428" s="51" t="s">
        <v>58</v>
      </c>
      <c r="B428" s="52">
        <v>408</v>
      </c>
      <c r="C428" s="52" t="s">
        <v>188</v>
      </c>
      <c r="D428" s="41">
        <f t="shared" si="209"/>
        <v>8</v>
      </c>
      <c r="E428" s="170">
        <v>45664</v>
      </c>
      <c r="F428" s="41"/>
      <c r="G428" s="52" t="s">
        <v>81</v>
      </c>
      <c r="H428" s="52" t="s">
        <v>290</v>
      </c>
      <c r="I428" s="52" t="s">
        <v>291</v>
      </c>
      <c r="J428" s="52" t="s">
        <v>435</v>
      </c>
      <c r="K428" s="53">
        <v>45709</v>
      </c>
      <c r="L428" s="108">
        <v>1584</v>
      </c>
      <c r="M428" s="101"/>
      <c r="N428" s="101"/>
      <c r="O428" s="107">
        <f t="shared" si="260"/>
        <v>1584</v>
      </c>
      <c r="P428" s="54">
        <f t="shared" si="261"/>
        <v>1584</v>
      </c>
      <c r="Q428" s="101" t="s">
        <v>436</v>
      </c>
      <c r="R428" s="101"/>
      <c r="S428" s="101"/>
      <c r="T428" s="102">
        <f t="shared" si="210"/>
        <v>0.16666666666666666</v>
      </c>
      <c r="U428" s="102">
        <v>6</v>
      </c>
      <c r="V428" s="100">
        <v>1584</v>
      </c>
      <c r="W428" s="55">
        <f t="shared" si="262"/>
        <v>45689</v>
      </c>
      <c r="X428" s="55"/>
      <c r="Y428" s="56">
        <f t="shared" ca="1" si="207"/>
        <v>-151</v>
      </c>
      <c r="Z428" s="55">
        <f t="shared" si="206"/>
        <v>45705</v>
      </c>
      <c r="AA428" s="55"/>
      <c r="AB428" s="56">
        <f t="shared" ca="1" si="208"/>
        <v>-135</v>
      </c>
      <c r="AC428" s="55"/>
      <c r="AD428" s="57"/>
      <c r="AE428" s="58" t="str">
        <f t="shared" si="263"/>
        <v>-</v>
      </c>
      <c r="AF428" s="59"/>
      <c r="AG428" s="58" t="str">
        <f t="shared" si="264"/>
        <v/>
      </c>
      <c r="AH428" s="59"/>
      <c r="AI428" s="58" t="str">
        <f t="shared" si="265"/>
        <v/>
      </c>
      <c r="AJ428" s="59"/>
      <c r="AK428" s="58" t="str">
        <f t="shared" si="266"/>
        <v/>
      </c>
      <c r="AL428" s="59"/>
      <c r="AM428" s="58" t="str">
        <f t="shared" si="267"/>
        <v/>
      </c>
      <c r="AN428" s="59"/>
      <c r="AO428" s="58" t="str">
        <f t="shared" si="268"/>
        <v/>
      </c>
      <c r="AP428" s="59"/>
      <c r="AQ428" s="58" t="str">
        <f t="shared" si="269"/>
        <v/>
      </c>
      <c r="AR428" s="59"/>
      <c r="AS428" s="58" t="str">
        <f t="shared" si="270"/>
        <v/>
      </c>
      <c r="AT428" s="59"/>
      <c r="AU428" s="58" t="str">
        <f t="shared" si="271"/>
        <v/>
      </c>
      <c r="AV428" s="59"/>
      <c r="AW428" s="58" t="str">
        <f t="shared" si="272"/>
        <v/>
      </c>
      <c r="AX428" s="59"/>
      <c r="AY428" s="58" t="str">
        <f t="shared" si="273"/>
        <v/>
      </c>
      <c r="AZ428" s="59"/>
      <c r="BA428" s="58" t="str">
        <f t="shared" si="274"/>
        <v/>
      </c>
      <c r="BB428" s="59"/>
      <c r="BC428" s="58" t="str">
        <f t="shared" si="275"/>
        <v/>
      </c>
      <c r="BD428" s="59"/>
      <c r="BE428" s="58" t="str">
        <f t="shared" si="276"/>
        <v/>
      </c>
      <c r="BF428" s="59"/>
      <c r="BG428" s="58" t="str">
        <f t="shared" si="277"/>
        <v/>
      </c>
      <c r="BH428" s="59"/>
      <c r="BI428" s="58" t="str">
        <f t="shared" si="278"/>
        <v/>
      </c>
      <c r="BJ428" s="59"/>
      <c r="BK428" s="58" t="str">
        <f t="shared" si="279"/>
        <v/>
      </c>
      <c r="BL428" s="59"/>
      <c r="BM428" s="58" t="str">
        <f t="shared" si="280"/>
        <v/>
      </c>
      <c r="BN428" s="59"/>
      <c r="BO428" s="58" t="str">
        <f t="shared" si="281"/>
        <v/>
      </c>
      <c r="BP428" s="59"/>
      <c r="BQ428" s="58">
        <f t="shared" si="282"/>
        <v>1584</v>
      </c>
      <c r="BR428" s="59"/>
      <c r="BS428" s="58" t="str">
        <f t="shared" si="283"/>
        <v/>
      </c>
      <c r="BT428" s="59"/>
      <c r="BU428" s="58" t="str">
        <f t="shared" si="284"/>
        <v/>
      </c>
      <c r="BV428" s="59"/>
      <c r="BW428" s="58" t="str">
        <f t="shared" si="285"/>
        <v/>
      </c>
      <c r="BX428" s="59"/>
      <c r="BY428" s="58" t="str">
        <f t="shared" si="286"/>
        <v/>
      </c>
      <c r="BZ428" s="59"/>
    </row>
    <row r="429" spans="1:78" ht="14.5" hidden="1">
      <c r="A429" s="51" t="s">
        <v>58</v>
      </c>
      <c r="B429" s="52">
        <v>408</v>
      </c>
      <c r="C429" s="52" t="s">
        <v>188</v>
      </c>
      <c r="D429" s="41">
        <f t="shared" si="209"/>
        <v>8</v>
      </c>
      <c r="E429" s="170">
        <v>45664</v>
      </c>
      <c r="F429" s="41"/>
      <c r="G429" s="52" t="s">
        <v>81</v>
      </c>
      <c r="H429" s="52" t="s">
        <v>290</v>
      </c>
      <c r="I429" s="52" t="s">
        <v>293</v>
      </c>
      <c r="J429" s="52" t="s">
        <v>435</v>
      </c>
      <c r="K429" s="53">
        <v>45709</v>
      </c>
      <c r="L429" s="108">
        <v>1584</v>
      </c>
      <c r="M429" s="101"/>
      <c r="N429" s="101"/>
      <c r="O429" s="107">
        <f t="shared" si="260"/>
        <v>1584</v>
      </c>
      <c r="P429" s="54">
        <f t="shared" si="261"/>
        <v>1584</v>
      </c>
      <c r="Q429" s="101" t="s">
        <v>436</v>
      </c>
      <c r="R429" s="101"/>
      <c r="S429" s="101"/>
      <c r="T429" s="102">
        <f t="shared" si="210"/>
        <v>0.16666666666666666</v>
      </c>
      <c r="U429" s="102">
        <v>6</v>
      </c>
      <c r="V429" s="100">
        <v>1584</v>
      </c>
      <c r="W429" s="55">
        <f t="shared" si="262"/>
        <v>45689</v>
      </c>
      <c r="X429" s="55"/>
      <c r="Y429" s="56">
        <f t="shared" ca="1" si="207"/>
        <v>-151</v>
      </c>
      <c r="Z429" s="55">
        <f t="shared" si="206"/>
        <v>45705</v>
      </c>
      <c r="AA429" s="55"/>
      <c r="AB429" s="56">
        <f t="shared" ca="1" si="208"/>
        <v>-135</v>
      </c>
      <c r="AC429" s="55"/>
      <c r="AD429" s="57"/>
      <c r="AE429" s="58" t="str">
        <f t="shared" si="263"/>
        <v>-</v>
      </c>
      <c r="AF429" s="59"/>
      <c r="AG429" s="58" t="str">
        <f t="shared" si="264"/>
        <v/>
      </c>
      <c r="AH429" s="59"/>
      <c r="AI429" s="58" t="str">
        <f t="shared" si="265"/>
        <v/>
      </c>
      <c r="AJ429" s="59"/>
      <c r="AK429" s="58" t="str">
        <f t="shared" si="266"/>
        <v/>
      </c>
      <c r="AL429" s="59"/>
      <c r="AM429" s="58" t="str">
        <f t="shared" si="267"/>
        <v/>
      </c>
      <c r="AN429" s="59"/>
      <c r="AO429" s="58" t="str">
        <f t="shared" si="268"/>
        <v/>
      </c>
      <c r="AP429" s="59"/>
      <c r="AQ429" s="58" t="str">
        <f t="shared" si="269"/>
        <v/>
      </c>
      <c r="AR429" s="59"/>
      <c r="AS429" s="58" t="str">
        <f t="shared" si="270"/>
        <v/>
      </c>
      <c r="AT429" s="59"/>
      <c r="AU429" s="58" t="str">
        <f t="shared" si="271"/>
        <v/>
      </c>
      <c r="AV429" s="59"/>
      <c r="AW429" s="58" t="str">
        <f t="shared" si="272"/>
        <v/>
      </c>
      <c r="AX429" s="59"/>
      <c r="AY429" s="58" t="str">
        <f t="shared" si="273"/>
        <v/>
      </c>
      <c r="AZ429" s="59"/>
      <c r="BA429" s="58" t="str">
        <f t="shared" si="274"/>
        <v/>
      </c>
      <c r="BB429" s="59"/>
      <c r="BC429" s="58" t="str">
        <f t="shared" si="275"/>
        <v/>
      </c>
      <c r="BD429" s="59"/>
      <c r="BE429" s="58" t="str">
        <f t="shared" si="276"/>
        <v/>
      </c>
      <c r="BF429" s="59"/>
      <c r="BG429" s="58" t="str">
        <f t="shared" si="277"/>
        <v/>
      </c>
      <c r="BH429" s="59"/>
      <c r="BI429" s="58" t="str">
        <f t="shared" si="278"/>
        <v/>
      </c>
      <c r="BJ429" s="59"/>
      <c r="BK429" s="58" t="str">
        <f t="shared" si="279"/>
        <v/>
      </c>
      <c r="BL429" s="59"/>
      <c r="BM429" s="58" t="str">
        <f t="shared" si="280"/>
        <v/>
      </c>
      <c r="BN429" s="59"/>
      <c r="BO429" s="58" t="str">
        <f t="shared" si="281"/>
        <v/>
      </c>
      <c r="BP429" s="59"/>
      <c r="BQ429" s="58">
        <f t="shared" si="282"/>
        <v>1584</v>
      </c>
      <c r="BR429" s="59"/>
      <c r="BS429" s="58" t="str">
        <f t="shared" si="283"/>
        <v/>
      </c>
      <c r="BT429" s="59"/>
      <c r="BU429" s="58" t="str">
        <f t="shared" si="284"/>
        <v/>
      </c>
      <c r="BV429" s="59"/>
      <c r="BW429" s="58" t="str">
        <f t="shared" si="285"/>
        <v/>
      </c>
      <c r="BX429" s="59"/>
      <c r="BY429" s="58" t="str">
        <f t="shared" si="286"/>
        <v/>
      </c>
      <c r="BZ429" s="59"/>
    </row>
    <row r="430" spans="1:78" ht="14.5" hidden="1">
      <c r="A430" s="51" t="s">
        <v>58</v>
      </c>
      <c r="B430" s="52">
        <v>408</v>
      </c>
      <c r="C430" s="52" t="s">
        <v>188</v>
      </c>
      <c r="D430" s="41">
        <f t="shared" si="209"/>
        <v>8</v>
      </c>
      <c r="E430" s="170">
        <v>45664</v>
      </c>
      <c r="F430" s="41"/>
      <c r="G430" s="52" t="s">
        <v>81</v>
      </c>
      <c r="H430" s="52" t="s">
        <v>290</v>
      </c>
      <c r="I430" s="52" t="s">
        <v>294</v>
      </c>
      <c r="J430" s="52" t="s">
        <v>435</v>
      </c>
      <c r="K430" s="53">
        <v>45709</v>
      </c>
      <c r="L430" s="108">
        <v>1584</v>
      </c>
      <c r="M430" s="101"/>
      <c r="N430" s="101"/>
      <c r="O430" s="107">
        <f t="shared" si="260"/>
        <v>1584</v>
      </c>
      <c r="P430" s="54">
        <f t="shared" si="261"/>
        <v>1584</v>
      </c>
      <c r="Q430" s="101" t="s">
        <v>436</v>
      </c>
      <c r="R430" s="101"/>
      <c r="S430" s="101"/>
      <c r="T430" s="102">
        <f t="shared" si="210"/>
        <v>0.16666666666666666</v>
      </c>
      <c r="U430" s="102">
        <v>6</v>
      </c>
      <c r="V430" s="100">
        <v>1584</v>
      </c>
      <c r="W430" s="55">
        <f t="shared" si="262"/>
        <v>45689</v>
      </c>
      <c r="X430" s="55"/>
      <c r="Y430" s="56">
        <f t="shared" ca="1" si="207"/>
        <v>-151</v>
      </c>
      <c r="Z430" s="55">
        <f t="shared" si="206"/>
        <v>45705</v>
      </c>
      <c r="AA430" s="55"/>
      <c r="AB430" s="56">
        <f t="shared" ca="1" si="208"/>
        <v>-135</v>
      </c>
      <c r="AC430" s="55"/>
      <c r="AD430" s="57"/>
      <c r="AE430" s="58" t="str">
        <f t="shared" si="263"/>
        <v>-</v>
      </c>
      <c r="AF430" s="59"/>
      <c r="AG430" s="58" t="str">
        <f t="shared" si="264"/>
        <v/>
      </c>
      <c r="AH430" s="59"/>
      <c r="AI430" s="58" t="str">
        <f t="shared" si="265"/>
        <v/>
      </c>
      <c r="AJ430" s="59"/>
      <c r="AK430" s="58" t="str">
        <f t="shared" si="266"/>
        <v/>
      </c>
      <c r="AL430" s="59"/>
      <c r="AM430" s="58" t="str">
        <f t="shared" si="267"/>
        <v/>
      </c>
      <c r="AN430" s="59"/>
      <c r="AO430" s="58" t="str">
        <f t="shared" si="268"/>
        <v/>
      </c>
      <c r="AP430" s="59"/>
      <c r="AQ430" s="58" t="str">
        <f t="shared" si="269"/>
        <v/>
      </c>
      <c r="AR430" s="59"/>
      <c r="AS430" s="58" t="str">
        <f t="shared" si="270"/>
        <v/>
      </c>
      <c r="AT430" s="59"/>
      <c r="AU430" s="58" t="str">
        <f t="shared" si="271"/>
        <v/>
      </c>
      <c r="AV430" s="59"/>
      <c r="AW430" s="58" t="str">
        <f t="shared" si="272"/>
        <v/>
      </c>
      <c r="AX430" s="59"/>
      <c r="AY430" s="58" t="str">
        <f t="shared" si="273"/>
        <v/>
      </c>
      <c r="AZ430" s="59"/>
      <c r="BA430" s="58" t="str">
        <f t="shared" si="274"/>
        <v/>
      </c>
      <c r="BB430" s="59"/>
      <c r="BC430" s="58" t="str">
        <f t="shared" si="275"/>
        <v/>
      </c>
      <c r="BD430" s="59"/>
      <c r="BE430" s="58" t="str">
        <f t="shared" si="276"/>
        <v/>
      </c>
      <c r="BF430" s="59"/>
      <c r="BG430" s="58" t="str">
        <f t="shared" si="277"/>
        <v/>
      </c>
      <c r="BH430" s="59"/>
      <c r="BI430" s="58" t="str">
        <f t="shared" si="278"/>
        <v/>
      </c>
      <c r="BJ430" s="59"/>
      <c r="BK430" s="58" t="str">
        <f t="shared" si="279"/>
        <v/>
      </c>
      <c r="BL430" s="59"/>
      <c r="BM430" s="58" t="str">
        <f t="shared" si="280"/>
        <v/>
      </c>
      <c r="BN430" s="59"/>
      <c r="BO430" s="58" t="str">
        <f t="shared" si="281"/>
        <v/>
      </c>
      <c r="BP430" s="59"/>
      <c r="BQ430" s="58">
        <f t="shared" si="282"/>
        <v>1584</v>
      </c>
      <c r="BR430" s="59"/>
      <c r="BS430" s="58" t="str">
        <f t="shared" si="283"/>
        <v/>
      </c>
      <c r="BT430" s="59"/>
      <c r="BU430" s="58" t="str">
        <f t="shared" si="284"/>
        <v/>
      </c>
      <c r="BV430" s="59"/>
      <c r="BW430" s="58" t="str">
        <f t="shared" si="285"/>
        <v/>
      </c>
      <c r="BX430" s="59"/>
      <c r="BY430" s="58" t="str">
        <f t="shared" si="286"/>
        <v/>
      </c>
      <c r="BZ430" s="59"/>
    </row>
    <row r="431" spans="1:78" ht="14.5" hidden="1">
      <c r="A431" s="51" t="s">
        <v>58</v>
      </c>
      <c r="B431" s="52">
        <v>408</v>
      </c>
      <c r="C431" s="52" t="s">
        <v>188</v>
      </c>
      <c r="D431" s="41">
        <f t="shared" si="209"/>
        <v>8</v>
      </c>
      <c r="E431" s="170">
        <v>45664</v>
      </c>
      <c r="F431" s="41"/>
      <c r="G431" s="52" t="s">
        <v>157</v>
      </c>
      <c r="H431" s="52" t="s">
        <v>243</v>
      </c>
      <c r="I431" s="52" t="s">
        <v>162</v>
      </c>
      <c r="J431" s="52" t="s">
        <v>428</v>
      </c>
      <c r="K431" s="53">
        <v>45709</v>
      </c>
      <c r="L431" s="108">
        <v>3462</v>
      </c>
      <c r="M431" s="101"/>
      <c r="N431" s="101"/>
      <c r="O431" s="107">
        <f t="shared" si="260"/>
        <v>3462</v>
      </c>
      <c r="P431" s="54">
        <f t="shared" si="261"/>
        <v>3462</v>
      </c>
      <c r="Q431" s="101" t="s">
        <v>429</v>
      </c>
      <c r="R431" s="101"/>
      <c r="S431" s="101"/>
      <c r="T431" s="102">
        <f t="shared" si="210"/>
        <v>0.57699999999999996</v>
      </c>
      <c r="U431" s="102">
        <v>6</v>
      </c>
      <c r="V431" s="99">
        <v>1000</v>
      </c>
      <c r="W431" s="55">
        <f t="shared" si="262"/>
        <v>45689</v>
      </c>
      <c r="X431" s="55"/>
      <c r="Y431" s="56">
        <f t="shared" ca="1" si="207"/>
        <v>-151</v>
      </c>
      <c r="Z431" s="55">
        <f t="shared" si="206"/>
        <v>45705</v>
      </c>
      <c r="AA431" s="55"/>
      <c r="AB431" s="56">
        <f t="shared" ca="1" si="208"/>
        <v>-135</v>
      </c>
      <c r="AC431" s="55"/>
      <c r="AD431" s="57"/>
      <c r="AE431" s="58" t="str">
        <f t="shared" si="263"/>
        <v>-</v>
      </c>
      <c r="AF431" s="59"/>
      <c r="AG431" s="58" t="str">
        <f t="shared" si="264"/>
        <v/>
      </c>
      <c r="AH431" s="59"/>
      <c r="AI431" s="58" t="str">
        <f t="shared" si="265"/>
        <v/>
      </c>
      <c r="AJ431" s="59"/>
      <c r="AK431" s="58" t="str">
        <f t="shared" si="266"/>
        <v/>
      </c>
      <c r="AL431" s="59"/>
      <c r="AM431" s="58" t="str">
        <f t="shared" si="267"/>
        <v/>
      </c>
      <c r="AN431" s="59"/>
      <c r="AO431" s="58" t="str">
        <f t="shared" si="268"/>
        <v/>
      </c>
      <c r="AP431" s="59"/>
      <c r="AQ431" s="58" t="str">
        <f t="shared" si="269"/>
        <v/>
      </c>
      <c r="AR431" s="59"/>
      <c r="AS431" s="58" t="str">
        <f t="shared" si="270"/>
        <v/>
      </c>
      <c r="AT431" s="59"/>
      <c r="AU431" s="58" t="str">
        <f t="shared" si="271"/>
        <v/>
      </c>
      <c r="AV431" s="59"/>
      <c r="AW431" s="58" t="str">
        <f t="shared" si="272"/>
        <v/>
      </c>
      <c r="AX431" s="59"/>
      <c r="AY431" s="58" t="str">
        <f t="shared" si="273"/>
        <v/>
      </c>
      <c r="AZ431" s="59"/>
      <c r="BA431" s="58" t="str">
        <f t="shared" si="274"/>
        <v/>
      </c>
      <c r="BB431" s="59"/>
      <c r="BC431" s="58" t="str">
        <f t="shared" si="275"/>
        <v/>
      </c>
      <c r="BD431" s="59"/>
      <c r="BE431" s="58" t="str">
        <f t="shared" si="276"/>
        <v/>
      </c>
      <c r="BF431" s="59"/>
      <c r="BG431" s="58" t="str">
        <f t="shared" si="277"/>
        <v/>
      </c>
      <c r="BH431" s="59"/>
      <c r="BI431" s="58" t="str">
        <f t="shared" si="278"/>
        <v/>
      </c>
      <c r="BJ431" s="59"/>
      <c r="BK431" s="58" t="str">
        <f t="shared" si="279"/>
        <v/>
      </c>
      <c r="BL431" s="59"/>
      <c r="BM431" s="58" t="str">
        <f t="shared" si="280"/>
        <v/>
      </c>
      <c r="BN431" s="59"/>
      <c r="BO431" s="58" t="str">
        <f t="shared" si="281"/>
        <v/>
      </c>
      <c r="BP431" s="59"/>
      <c r="BQ431" s="58">
        <f t="shared" si="282"/>
        <v>3462</v>
      </c>
      <c r="BR431" s="59"/>
      <c r="BS431" s="58" t="str">
        <f t="shared" si="283"/>
        <v/>
      </c>
      <c r="BT431" s="59"/>
      <c r="BU431" s="58" t="str">
        <f t="shared" si="284"/>
        <v/>
      </c>
      <c r="BV431" s="59"/>
      <c r="BW431" s="58" t="str">
        <f t="shared" si="285"/>
        <v/>
      </c>
      <c r="BX431" s="59"/>
      <c r="BY431" s="58" t="str">
        <f t="shared" si="286"/>
        <v/>
      </c>
      <c r="BZ431" s="59"/>
    </row>
    <row r="432" spans="1:78" ht="14.5" hidden="1">
      <c r="A432" s="51" t="s">
        <v>58</v>
      </c>
      <c r="B432" s="52">
        <v>408</v>
      </c>
      <c r="C432" s="52" t="s">
        <v>188</v>
      </c>
      <c r="D432" s="41">
        <f t="shared" si="209"/>
        <v>8</v>
      </c>
      <c r="E432" s="170">
        <v>45679</v>
      </c>
      <c r="F432" s="41"/>
      <c r="G432" s="52" t="s">
        <v>157</v>
      </c>
      <c r="H432" s="52" t="s">
        <v>243</v>
      </c>
      <c r="I432" s="52" t="s">
        <v>155</v>
      </c>
      <c r="J432" s="52" t="s">
        <v>428</v>
      </c>
      <c r="K432" s="53">
        <v>45709</v>
      </c>
      <c r="L432" s="108">
        <v>2226</v>
      </c>
      <c r="M432" s="101"/>
      <c r="N432" s="101"/>
      <c r="O432" s="107">
        <f t="shared" si="260"/>
        <v>2226</v>
      </c>
      <c r="P432" s="54">
        <f t="shared" si="261"/>
        <v>2226</v>
      </c>
      <c r="Q432" s="101" t="s">
        <v>429</v>
      </c>
      <c r="R432" s="101"/>
      <c r="S432" s="101"/>
      <c r="T432" s="102">
        <f t="shared" si="210"/>
        <v>0.371</v>
      </c>
      <c r="U432" s="102">
        <v>6</v>
      </c>
      <c r="V432" s="99">
        <v>1000</v>
      </c>
      <c r="W432" s="55">
        <f t="shared" si="262"/>
        <v>45689</v>
      </c>
      <c r="X432" s="55"/>
      <c r="Y432" s="56">
        <f t="shared" ca="1" si="207"/>
        <v>-151</v>
      </c>
      <c r="Z432" s="55">
        <f t="shared" si="206"/>
        <v>45705</v>
      </c>
      <c r="AA432" s="55"/>
      <c r="AB432" s="56">
        <f t="shared" ca="1" si="208"/>
        <v>-135</v>
      </c>
      <c r="AC432" s="55"/>
      <c r="AD432" s="57"/>
      <c r="AE432" s="58" t="str">
        <f t="shared" si="263"/>
        <v>-</v>
      </c>
      <c r="AF432" s="59"/>
      <c r="AG432" s="58" t="str">
        <f t="shared" si="264"/>
        <v/>
      </c>
      <c r="AH432" s="59"/>
      <c r="AI432" s="58" t="str">
        <f t="shared" si="265"/>
        <v/>
      </c>
      <c r="AJ432" s="59"/>
      <c r="AK432" s="58" t="str">
        <f t="shared" si="266"/>
        <v/>
      </c>
      <c r="AL432" s="59"/>
      <c r="AM432" s="58" t="str">
        <f t="shared" si="267"/>
        <v/>
      </c>
      <c r="AN432" s="59"/>
      <c r="AO432" s="58" t="str">
        <f t="shared" si="268"/>
        <v/>
      </c>
      <c r="AP432" s="59"/>
      <c r="AQ432" s="58" t="str">
        <f t="shared" si="269"/>
        <v/>
      </c>
      <c r="AR432" s="59"/>
      <c r="AS432" s="58" t="str">
        <f t="shared" si="270"/>
        <v/>
      </c>
      <c r="AT432" s="59"/>
      <c r="AU432" s="58" t="str">
        <f t="shared" si="271"/>
        <v/>
      </c>
      <c r="AV432" s="59"/>
      <c r="AW432" s="58" t="str">
        <f t="shared" si="272"/>
        <v/>
      </c>
      <c r="AX432" s="59"/>
      <c r="AY432" s="58" t="str">
        <f t="shared" si="273"/>
        <v/>
      </c>
      <c r="AZ432" s="59"/>
      <c r="BA432" s="58" t="str">
        <f t="shared" si="274"/>
        <v/>
      </c>
      <c r="BB432" s="59"/>
      <c r="BC432" s="58" t="str">
        <f t="shared" si="275"/>
        <v/>
      </c>
      <c r="BD432" s="59"/>
      <c r="BE432" s="58" t="str">
        <f t="shared" si="276"/>
        <v/>
      </c>
      <c r="BF432" s="59"/>
      <c r="BG432" s="58" t="str">
        <f t="shared" si="277"/>
        <v/>
      </c>
      <c r="BH432" s="59"/>
      <c r="BI432" s="58" t="str">
        <f t="shared" si="278"/>
        <v/>
      </c>
      <c r="BJ432" s="59"/>
      <c r="BK432" s="58" t="str">
        <f t="shared" si="279"/>
        <v/>
      </c>
      <c r="BL432" s="59"/>
      <c r="BM432" s="58" t="str">
        <f t="shared" si="280"/>
        <v/>
      </c>
      <c r="BN432" s="59"/>
      <c r="BO432" s="58" t="str">
        <f t="shared" si="281"/>
        <v/>
      </c>
      <c r="BP432" s="59"/>
      <c r="BQ432" s="58">
        <f t="shared" si="282"/>
        <v>2226</v>
      </c>
      <c r="BR432" s="59"/>
      <c r="BS432" s="58" t="str">
        <f t="shared" si="283"/>
        <v/>
      </c>
      <c r="BT432" s="59"/>
      <c r="BU432" s="58" t="str">
        <f t="shared" si="284"/>
        <v/>
      </c>
      <c r="BV432" s="59"/>
      <c r="BW432" s="58" t="str">
        <f t="shared" si="285"/>
        <v/>
      </c>
      <c r="BX432" s="59"/>
      <c r="BY432" s="58" t="str">
        <f t="shared" si="286"/>
        <v/>
      </c>
      <c r="BZ432" s="59"/>
    </row>
    <row r="433" spans="1:78" ht="14.5" hidden="1">
      <c r="A433" s="51" t="s">
        <v>58</v>
      </c>
      <c r="B433" s="52">
        <v>408</v>
      </c>
      <c r="C433" s="52" t="s">
        <v>188</v>
      </c>
      <c r="D433" s="41">
        <f t="shared" si="209"/>
        <v>8</v>
      </c>
      <c r="E433" s="170"/>
      <c r="F433" s="41"/>
      <c r="G433" s="52" t="s">
        <v>158</v>
      </c>
      <c r="H433" s="52" t="s">
        <v>242</v>
      </c>
      <c r="I433" s="52" t="s">
        <v>255</v>
      </c>
      <c r="J433" s="52" t="s">
        <v>445</v>
      </c>
      <c r="K433" s="53">
        <v>45709</v>
      </c>
      <c r="L433" s="108">
        <v>1432</v>
      </c>
      <c r="M433" s="101"/>
      <c r="N433" s="101"/>
      <c r="O433" s="107">
        <f t="shared" si="260"/>
        <v>1432</v>
      </c>
      <c r="P433" s="54">
        <f t="shared" si="261"/>
        <v>1432</v>
      </c>
      <c r="Q433" s="101" t="s">
        <v>439</v>
      </c>
      <c r="R433" s="101"/>
      <c r="S433" s="101"/>
      <c r="T433" s="102">
        <f t="shared" si="210"/>
        <v>1.9888888888888889</v>
      </c>
      <c r="U433" s="102">
        <v>6</v>
      </c>
      <c r="V433" s="99">
        <v>120</v>
      </c>
      <c r="W433" s="55">
        <f t="shared" si="262"/>
        <v>45689</v>
      </c>
      <c r="X433" s="55"/>
      <c r="Y433" s="56">
        <f t="shared" ca="1" si="207"/>
        <v>-151</v>
      </c>
      <c r="Z433" s="55">
        <f t="shared" si="206"/>
        <v>45705</v>
      </c>
      <c r="AA433" s="55"/>
      <c r="AB433" s="56">
        <f t="shared" ca="1" si="208"/>
        <v>-135</v>
      </c>
      <c r="AC433" s="55"/>
      <c r="AD433" s="57"/>
      <c r="AE433" s="58" t="str">
        <f t="shared" si="263"/>
        <v>-</v>
      </c>
      <c r="AF433" s="59"/>
      <c r="AG433" s="58" t="str">
        <f t="shared" si="264"/>
        <v/>
      </c>
      <c r="AH433" s="59"/>
      <c r="AI433" s="58" t="str">
        <f t="shared" si="265"/>
        <v/>
      </c>
      <c r="AJ433" s="59"/>
      <c r="AK433" s="58" t="str">
        <f t="shared" si="266"/>
        <v/>
      </c>
      <c r="AL433" s="59"/>
      <c r="AM433" s="58" t="str">
        <f t="shared" si="267"/>
        <v/>
      </c>
      <c r="AN433" s="59"/>
      <c r="AO433" s="58" t="str">
        <f t="shared" si="268"/>
        <v/>
      </c>
      <c r="AP433" s="59"/>
      <c r="AQ433" s="58" t="str">
        <f t="shared" si="269"/>
        <v/>
      </c>
      <c r="AR433" s="59"/>
      <c r="AS433" s="58" t="str">
        <f t="shared" si="270"/>
        <v/>
      </c>
      <c r="AT433" s="59"/>
      <c r="AU433" s="58" t="str">
        <f t="shared" si="271"/>
        <v/>
      </c>
      <c r="AV433" s="59"/>
      <c r="AW433" s="58" t="str">
        <f t="shared" si="272"/>
        <v/>
      </c>
      <c r="AX433" s="59"/>
      <c r="AY433" s="58" t="str">
        <f t="shared" si="273"/>
        <v/>
      </c>
      <c r="AZ433" s="59"/>
      <c r="BA433" s="58" t="str">
        <f t="shared" si="274"/>
        <v/>
      </c>
      <c r="BB433" s="59"/>
      <c r="BC433" s="58" t="str">
        <f t="shared" si="275"/>
        <v/>
      </c>
      <c r="BD433" s="59"/>
      <c r="BE433" s="58" t="str">
        <f t="shared" si="276"/>
        <v/>
      </c>
      <c r="BF433" s="59"/>
      <c r="BG433" s="58" t="str">
        <f t="shared" si="277"/>
        <v/>
      </c>
      <c r="BH433" s="59"/>
      <c r="BI433" s="58" t="str">
        <f t="shared" si="278"/>
        <v/>
      </c>
      <c r="BJ433" s="59"/>
      <c r="BK433" s="58" t="str">
        <f t="shared" si="279"/>
        <v/>
      </c>
      <c r="BL433" s="59"/>
      <c r="BM433" s="58" t="str">
        <f t="shared" si="280"/>
        <v/>
      </c>
      <c r="BN433" s="59"/>
      <c r="BO433" s="58" t="str">
        <f t="shared" si="281"/>
        <v/>
      </c>
      <c r="BP433" s="59"/>
      <c r="BQ433" s="58">
        <f t="shared" si="282"/>
        <v>1432</v>
      </c>
      <c r="BR433" s="59"/>
      <c r="BS433" s="58" t="str">
        <f t="shared" si="283"/>
        <v/>
      </c>
      <c r="BT433" s="59"/>
      <c r="BU433" s="58" t="str">
        <f t="shared" si="284"/>
        <v/>
      </c>
      <c r="BV433" s="59"/>
      <c r="BW433" s="58" t="str">
        <f t="shared" si="285"/>
        <v/>
      </c>
      <c r="BX433" s="59"/>
      <c r="BY433" s="58" t="str">
        <f t="shared" si="286"/>
        <v/>
      </c>
      <c r="BZ433" s="59"/>
    </row>
    <row r="434" spans="1:78" ht="14.5" hidden="1">
      <c r="A434" s="51" t="s">
        <v>446</v>
      </c>
      <c r="B434" s="52" t="s">
        <v>580</v>
      </c>
      <c r="C434" s="52" t="s">
        <v>60</v>
      </c>
      <c r="D434" s="41">
        <f t="shared" si="209"/>
        <v>9</v>
      </c>
      <c r="E434" s="170"/>
      <c r="F434" s="41"/>
      <c r="G434" s="52" t="s">
        <v>187</v>
      </c>
      <c r="H434" s="52" t="s">
        <v>448</v>
      </c>
      <c r="I434" s="52" t="s">
        <v>164</v>
      </c>
      <c r="J434" s="52" t="s">
        <v>449</v>
      </c>
      <c r="K434" s="53">
        <v>45716</v>
      </c>
      <c r="L434" s="108">
        <v>9000</v>
      </c>
      <c r="M434" s="101"/>
      <c r="N434" s="101"/>
      <c r="O434" s="101">
        <f>+L434-N434</f>
        <v>9000</v>
      </c>
      <c r="P434" s="54">
        <f>+L434-M434</f>
        <v>9000</v>
      </c>
      <c r="Q434" s="101" t="s">
        <v>429</v>
      </c>
      <c r="R434" s="101"/>
      <c r="S434" s="101"/>
      <c r="T434" s="102">
        <f t="shared" si="210"/>
        <v>1.3636363636363635</v>
      </c>
      <c r="U434" s="102">
        <v>6</v>
      </c>
      <c r="V434" s="99">
        <v>1100</v>
      </c>
      <c r="W434" s="55">
        <f>+K434-(28)</f>
        <v>45688</v>
      </c>
      <c r="X434" s="55"/>
      <c r="Y434" s="56">
        <f t="shared" ca="1" si="207"/>
        <v>-152</v>
      </c>
      <c r="Z434" s="55">
        <f t="shared" si="206"/>
        <v>45704</v>
      </c>
      <c r="AA434" s="55"/>
      <c r="AB434" s="56">
        <f t="shared" ca="1" si="208"/>
        <v>-136</v>
      </c>
      <c r="AC434" s="55"/>
      <c r="AD434" s="57"/>
      <c r="AE434" s="58" t="str">
        <f t="shared" si="263"/>
        <v>-</v>
      </c>
      <c r="AF434" s="59"/>
      <c r="AG434" s="58" t="str">
        <f t="shared" si="264"/>
        <v/>
      </c>
      <c r="AH434" s="59"/>
      <c r="AI434" s="58" t="str">
        <f t="shared" si="265"/>
        <v/>
      </c>
      <c r="AJ434" s="59"/>
      <c r="AK434" s="58" t="str">
        <f t="shared" si="266"/>
        <v/>
      </c>
      <c r="AL434" s="59"/>
      <c r="AM434" s="58" t="str">
        <f t="shared" si="267"/>
        <v/>
      </c>
      <c r="AN434" s="59"/>
      <c r="AO434" s="58" t="str">
        <f t="shared" si="268"/>
        <v/>
      </c>
      <c r="AP434" s="59"/>
      <c r="AQ434" s="58" t="str">
        <f t="shared" si="269"/>
        <v/>
      </c>
      <c r="AR434" s="59"/>
      <c r="AS434" s="58" t="str">
        <f t="shared" si="270"/>
        <v/>
      </c>
      <c r="AT434" s="59"/>
      <c r="AU434" s="58" t="str">
        <f t="shared" si="271"/>
        <v/>
      </c>
      <c r="AV434" s="59"/>
      <c r="AW434" s="58" t="str">
        <f t="shared" si="272"/>
        <v/>
      </c>
      <c r="AX434" s="59"/>
      <c r="AY434" s="58" t="str">
        <f t="shared" si="273"/>
        <v/>
      </c>
      <c r="AZ434" s="59"/>
      <c r="BA434" s="58" t="str">
        <f t="shared" si="274"/>
        <v/>
      </c>
      <c r="BB434" s="59"/>
      <c r="BC434" s="58" t="str">
        <f t="shared" si="275"/>
        <v/>
      </c>
      <c r="BD434" s="59"/>
      <c r="BE434" s="58" t="str">
        <f t="shared" si="276"/>
        <v/>
      </c>
      <c r="BF434" s="59"/>
      <c r="BG434" s="58" t="str">
        <f t="shared" si="277"/>
        <v/>
      </c>
      <c r="BH434" s="59"/>
      <c r="BI434" s="58" t="str">
        <f t="shared" si="278"/>
        <v/>
      </c>
      <c r="BJ434" s="59"/>
      <c r="BK434" s="58" t="str">
        <f t="shared" si="279"/>
        <v/>
      </c>
      <c r="BL434" s="59"/>
      <c r="BM434" s="58" t="str">
        <f t="shared" si="280"/>
        <v/>
      </c>
      <c r="BN434" s="59"/>
      <c r="BO434" s="58" t="str">
        <f t="shared" si="281"/>
        <v/>
      </c>
      <c r="BP434" s="59"/>
      <c r="BQ434" s="58">
        <f t="shared" si="282"/>
        <v>9000</v>
      </c>
      <c r="BR434" s="59"/>
      <c r="BS434" s="58" t="str">
        <f t="shared" si="283"/>
        <v/>
      </c>
      <c r="BT434" s="59"/>
      <c r="BU434" s="58" t="str">
        <f t="shared" si="284"/>
        <v/>
      </c>
      <c r="BV434" s="59"/>
      <c r="BW434" s="58" t="str">
        <f t="shared" si="285"/>
        <v/>
      </c>
      <c r="BX434" s="59"/>
      <c r="BY434" s="58" t="str">
        <f t="shared" si="286"/>
        <v/>
      </c>
      <c r="BZ434" s="59"/>
    </row>
    <row r="435" spans="1:78" ht="14.5" hidden="1">
      <c r="A435" s="51" t="s">
        <v>446</v>
      </c>
      <c r="B435" s="52" t="s">
        <v>580</v>
      </c>
      <c r="C435" s="52" t="s">
        <v>60</v>
      </c>
      <c r="D435" s="41">
        <f t="shared" si="209"/>
        <v>9</v>
      </c>
      <c r="E435" s="170"/>
      <c r="F435" s="41"/>
      <c r="G435" s="52" t="s">
        <v>187</v>
      </c>
      <c r="H435" s="52" t="s">
        <v>448</v>
      </c>
      <c r="I435" s="52" t="s">
        <v>155</v>
      </c>
      <c r="J435" s="52" t="s">
        <v>449</v>
      </c>
      <c r="K435" s="53">
        <v>45716</v>
      </c>
      <c r="L435" s="108">
        <v>9000</v>
      </c>
      <c r="M435" s="101"/>
      <c r="N435" s="101"/>
      <c r="O435" s="101">
        <f>+L435-N435</f>
        <v>9000</v>
      </c>
      <c r="P435" s="54">
        <f>+L435-M435</f>
        <v>9000</v>
      </c>
      <c r="Q435" s="101" t="s">
        <v>429</v>
      </c>
      <c r="R435" s="101"/>
      <c r="S435" s="101"/>
      <c r="T435" s="102">
        <f t="shared" si="210"/>
        <v>1.3636363636363635</v>
      </c>
      <c r="U435" s="102">
        <v>6</v>
      </c>
      <c r="V435" s="99">
        <v>1100</v>
      </c>
      <c r="W435" s="55">
        <f>+K435-(28)</f>
        <v>45688</v>
      </c>
      <c r="X435" s="55"/>
      <c r="Y435" s="56">
        <f t="shared" ca="1" si="207"/>
        <v>-152</v>
      </c>
      <c r="Z435" s="55">
        <f t="shared" si="206"/>
        <v>45704</v>
      </c>
      <c r="AA435" s="55"/>
      <c r="AB435" s="56">
        <f t="shared" ca="1" si="208"/>
        <v>-136</v>
      </c>
      <c r="AC435" s="55"/>
      <c r="AD435" s="57"/>
      <c r="AE435" s="58" t="str">
        <f t="shared" si="263"/>
        <v>-</v>
      </c>
      <c r="AF435" s="59"/>
      <c r="AG435" s="58" t="str">
        <f t="shared" si="264"/>
        <v/>
      </c>
      <c r="AH435" s="59"/>
      <c r="AI435" s="58" t="str">
        <f t="shared" si="265"/>
        <v/>
      </c>
      <c r="AJ435" s="59"/>
      <c r="AK435" s="58" t="str">
        <f t="shared" si="266"/>
        <v/>
      </c>
      <c r="AL435" s="59"/>
      <c r="AM435" s="58" t="str">
        <f t="shared" si="267"/>
        <v/>
      </c>
      <c r="AN435" s="59"/>
      <c r="AO435" s="58" t="str">
        <f t="shared" si="268"/>
        <v/>
      </c>
      <c r="AP435" s="59"/>
      <c r="AQ435" s="58" t="str">
        <f t="shared" si="269"/>
        <v/>
      </c>
      <c r="AR435" s="59"/>
      <c r="AS435" s="58" t="str">
        <f t="shared" si="270"/>
        <v/>
      </c>
      <c r="AT435" s="59"/>
      <c r="AU435" s="58" t="str">
        <f t="shared" si="271"/>
        <v/>
      </c>
      <c r="AV435" s="59"/>
      <c r="AW435" s="58" t="str">
        <f t="shared" si="272"/>
        <v/>
      </c>
      <c r="AX435" s="59"/>
      <c r="AY435" s="58" t="str">
        <f t="shared" si="273"/>
        <v/>
      </c>
      <c r="AZ435" s="59"/>
      <c r="BA435" s="58" t="str">
        <f t="shared" si="274"/>
        <v/>
      </c>
      <c r="BB435" s="59"/>
      <c r="BC435" s="58" t="str">
        <f t="shared" si="275"/>
        <v/>
      </c>
      <c r="BD435" s="59"/>
      <c r="BE435" s="58" t="str">
        <f t="shared" si="276"/>
        <v/>
      </c>
      <c r="BF435" s="59"/>
      <c r="BG435" s="58" t="str">
        <f t="shared" si="277"/>
        <v/>
      </c>
      <c r="BH435" s="59"/>
      <c r="BI435" s="58" t="str">
        <f t="shared" si="278"/>
        <v/>
      </c>
      <c r="BJ435" s="59"/>
      <c r="BK435" s="58" t="str">
        <f t="shared" si="279"/>
        <v/>
      </c>
      <c r="BL435" s="59"/>
      <c r="BM435" s="58" t="str">
        <f t="shared" si="280"/>
        <v/>
      </c>
      <c r="BN435" s="59"/>
      <c r="BO435" s="58" t="str">
        <f t="shared" si="281"/>
        <v/>
      </c>
      <c r="BP435" s="59"/>
      <c r="BQ435" s="58">
        <f t="shared" si="282"/>
        <v>9000</v>
      </c>
      <c r="BR435" s="59"/>
      <c r="BS435" s="58" t="str">
        <f t="shared" si="283"/>
        <v/>
      </c>
      <c r="BT435" s="59"/>
      <c r="BU435" s="58" t="str">
        <f t="shared" si="284"/>
        <v/>
      </c>
      <c r="BV435" s="59"/>
      <c r="BW435" s="58" t="str">
        <f t="shared" si="285"/>
        <v/>
      </c>
      <c r="BX435" s="59"/>
      <c r="BY435" s="58" t="str">
        <f t="shared" si="286"/>
        <v/>
      </c>
      <c r="BZ435" s="59"/>
    </row>
    <row r="436" spans="1:78" ht="14.5" hidden="1">
      <c r="A436" s="51" t="s">
        <v>446</v>
      </c>
      <c r="B436" s="52" t="s">
        <v>580</v>
      </c>
      <c r="C436" s="52" t="s">
        <v>60</v>
      </c>
      <c r="D436" s="41">
        <f t="shared" si="209"/>
        <v>9</v>
      </c>
      <c r="E436" s="170"/>
      <c r="F436" s="41"/>
      <c r="G436" s="52" t="s">
        <v>187</v>
      </c>
      <c r="H436" s="52" t="s">
        <v>448</v>
      </c>
      <c r="I436" s="52" t="s">
        <v>450</v>
      </c>
      <c r="J436" s="52" t="s">
        <v>449</v>
      </c>
      <c r="K436" s="53">
        <v>45716</v>
      </c>
      <c r="L436" s="108">
        <v>6000</v>
      </c>
      <c r="M436" s="101"/>
      <c r="N436" s="101"/>
      <c r="O436" s="101">
        <f>+L436-N436</f>
        <v>6000</v>
      </c>
      <c r="P436" s="54">
        <f>+L436-M436</f>
        <v>6000</v>
      </c>
      <c r="Q436" s="101" t="s">
        <v>429</v>
      </c>
      <c r="R436" s="101"/>
      <c r="S436" s="101"/>
      <c r="T436" s="102">
        <f t="shared" si="210"/>
        <v>0.90909090909090906</v>
      </c>
      <c r="U436" s="102">
        <v>6</v>
      </c>
      <c r="V436" s="99">
        <v>1100</v>
      </c>
      <c r="W436" s="55">
        <f>+K436-(28)</f>
        <v>45688</v>
      </c>
      <c r="X436" s="55"/>
      <c r="Y436" s="56">
        <f t="shared" ca="1" si="207"/>
        <v>-152</v>
      </c>
      <c r="Z436" s="55">
        <f t="shared" si="206"/>
        <v>45704</v>
      </c>
      <c r="AA436" s="55"/>
      <c r="AB436" s="56">
        <f t="shared" ca="1" si="208"/>
        <v>-136</v>
      </c>
      <c r="AC436" s="55"/>
      <c r="AD436" s="57"/>
      <c r="AE436" s="58" t="str">
        <f t="shared" si="263"/>
        <v>-</v>
      </c>
      <c r="AF436" s="59"/>
      <c r="AG436" s="58" t="str">
        <f t="shared" si="264"/>
        <v/>
      </c>
      <c r="AH436" s="59"/>
      <c r="AI436" s="58" t="str">
        <f t="shared" si="265"/>
        <v/>
      </c>
      <c r="AJ436" s="59"/>
      <c r="AK436" s="58" t="str">
        <f t="shared" si="266"/>
        <v/>
      </c>
      <c r="AL436" s="59"/>
      <c r="AM436" s="58" t="str">
        <f t="shared" si="267"/>
        <v/>
      </c>
      <c r="AN436" s="59"/>
      <c r="AO436" s="58" t="str">
        <f t="shared" si="268"/>
        <v/>
      </c>
      <c r="AP436" s="59"/>
      <c r="AQ436" s="58" t="str">
        <f t="shared" si="269"/>
        <v/>
      </c>
      <c r="AR436" s="59"/>
      <c r="AS436" s="58" t="str">
        <f t="shared" si="270"/>
        <v/>
      </c>
      <c r="AT436" s="59"/>
      <c r="AU436" s="58" t="str">
        <f t="shared" si="271"/>
        <v/>
      </c>
      <c r="AV436" s="59"/>
      <c r="AW436" s="58" t="str">
        <f t="shared" si="272"/>
        <v/>
      </c>
      <c r="AX436" s="59"/>
      <c r="AY436" s="58" t="str">
        <f t="shared" si="273"/>
        <v/>
      </c>
      <c r="AZ436" s="59"/>
      <c r="BA436" s="58" t="str">
        <f t="shared" si="274"/>
        <v/>
      </c>
      <c r="BB436" s="59"/>
      <c r="BC436" s="58" t="str">
        <f t="shared" si="275"/>
        <v/>
      </c>
      <c r="BD436" s="59"/>
      <c r="BE436" s="58" t="str">
        <f t="shared" si="276"/>
        <v/>
      </c>
      <c r="BF436" s="59"/>
      <c r="BG436" s="58" t="str">
        <f t="shared" si="277"/>
        <v/>
      </c>
      <c r="BH436" s="59"/>
      <c r="BI436" s="58" t="str">
        <f t="shared" si="278"/>
        <v/>
      </c>
      <c r="BJ436" s="59"/>
      <c r="BK436" s="58" t="str">
        <f t="shared" si="279"/>
        <v/>
      </c>
      <c r="BL436" s="59"/>
      <c r="BM436" s="58" t="str">
        <f t="shared" si="280"/>
        <v/>
      </c>
      <c r="BN436" s="59"/>
      <c r="BO436" s="58" t="str">
        <f t="shared" si="281"/>
        <v/>
      </c>
      <c r="BP436" s="59"/>
      <c r="BQ436" s="58">
        <f t="shared" si="282"/>
        <v>6000</v>
      </c>
      <c r="BR436" s="59"/>
      <c r="BS436" s="58" t="str">
        <f t="shared" si="283"/>
        <v/>
      </c>
      <c r="BT436" s="59"/>
      <c r="BU436" s="58" t="str">
        <f t="shared" si="284"/>
        <v/>
      </c>
      <c r="BV436" s="59"/>
      <c r="BW436" s="58" t="str">
        <f t="shared" si="285"/>
        <v/>
      </c>
      <c r="BX436" s="59"/>
      <c r="BY436" s="58" t="str">
        <f t="shared" si="286"/>
        <v/>
      </c>
      <c r="BZ436" s="59"/>
    </row>
    <row r="437" spans="1:78" ht="14.5" hidden="1">
      <c r="A437" s="51" t="s">
        <v>58</v>
      </c>
      <c r="B437" s="52">
        <v>409</v>
      </c>
      <c r="C437" s="52" t="s">
        <v>188</v>
      </c>
      <c r="D437" s="41">
        <f t="shared" si="209"/>
        <v>9</v>
      </c>
      <c r="E437" s="170"/>
      <c r="F437" s="41"/>
      <c r="G437" s="52" t="s">
        <v>136</v>
      </c>
      <c r="H437" s="52" t="s">
        <v>247</v>
      </c>
      <c r="I437" s="52" t="s">
        <v>162</v>
      </c>
      <c r="J437" s="52" t="s">
        <v>500</v>
      </c>
      <c r="K437" s="53">
        <v>45716</v>
      </c>
      <c r="L437" s="108">
        <v>3752</v>
      </c>
      <c r="M437" s="101"/>
      <c r="N437" s="101"/>
      <c r="O437" s="107">
        <f t="shared" ref="O437:O457" si="287">+L437-N437</f>
        <v>3752</v>
      </c>
      <c r="P437" s="54">
        <f t="shared" ref="P437:P457" si="288">+L437-M437</f>
        <v>3752</v>
      </c>
      <c r="Q437" s="101" t="s">
        <v>579</v>
      </c>
      <c r="R437" s="101"/>
      <c r="S437" s="101"/>
      <c r="T437" s="102">
        <f t="shared" si="210"/>
        <v>2.1440000000000001</v>
      </c>
      <c r="U437" s="102">
        <v>5</v>
      </c>
      <c r="V437" s="99">
        <v>350</v>
      </c>
      <c r="W437" s="55">
        <f t="shared" ref="W437:W457" si="289">+K437-(20)</f>
        <v>45696</v>
      </c>
      <c r="X437" s="55"/>
      <c r="Y437" s="56">
        <f t="shared" ca="1" si="207"/>
        <v>-144</v>
      </c>
      <c r="Z437" s="55">
        <f t="shared" si="206"/>
        <v>45712</v>
      </c>
      <c r="AA437" s="55"/>
      <c r="AB437" s="56">
        <f t="shared" ca="1" si="208"/>
        <v>-128</v>
      </c>
      <c r="AC437" s="55"/>
      <c r="AD437" s="57"/>
      <c r="AE437" s="58" t="str">
        <f t="shared" si="263"/>
        <v>-</v>
      </c>
      <c r="AF437" s="59"/>
      <c r="AG437" s="58" t="str">
        <f t="shared" si="264"/>
        <v/>
      </c>
      <c r="AH437" s="59"/>
      <c r="AI437" s="58" t="str">
        <f t="shared" si="265"/>
        <v/>
      </c>
      <c r="AJ437" s="59"/>
      <c r="AK437" s="58" t="str">
        <f t="shared" si="266"/>
        <v/>
      </c>
      <c r="AL437" s="59"/>
      <c r="AM437" s="58" t="str">
        <f t="shared" si="267"/>
        <v/>
      </c>
      <c r="AN437" s="59"/>
      <c r="AO437" s="58" t="str">
        <f t="shared" si="268"/>
        <v/>
      </c>
      <c r="AP437" s="59"/>
      <c r="AQ437" s="58" t="str">
        <f t="shared" si="269"/>
        <v/>
      </c>
      <c r="AR437" s="59"/>
      <c r="AS437" s="58" t="str">
        <f t="shared" si="270"/>
        <v/>
      </c>
      <c r="AT437" s="59"/>
      <c r="AU437" s="58" t="str">
        <f t="shared" si="271"/>
        <v/>
      </c>
      <c r="AV437" s="59"/>
      <c r="AW437" s="58" t="str">
        <f t="shared" si="272"/>
        <v/>
      </c>
      <c r="AX437" s="59"/>
      <c r="AY437" s="58" t="str">
        <f t="shared" si="273"/>
        <v/>
      </c>
      <c r="AZ437" s="59"/>
      <c r="BA437" s="58" t="str">
        <f t="shared" si="274"/>
        <v/>
      </c>
      <c r="BB437" s="59"/>
      <c r="BC437" s="58" t="str">
        <f t="shared" si="275"/>
        <v/>
      </c>
      <c r="BD437" s="59"/>
      <c r="BE437" s="58" t="str">
        <f t="shared" si="276"/>
        <v/>
      </c>
      <c r="BF437" s="59"/>
      <c r="BG437" s="58" t="str">
        <f t="shared" si="277"/>
        <v/>
      </c>
      <c r="BH437" s="59"/>
      <c r="BI437" s="58" t="str">
        <f t="shared" si="278"/>
        <v/>
      </c>
      <c r="BJ437" s="59"/>
      <c r="BK437" s="58" t="str">
        <f t="shared" si="279"/>
        <v/>
      </c>
      <c r="BL437" s="59"/>
      <c r="BM437" s="58" t="str">
        <f t="shared" si="280"/>
        <v/>
      </c>
      <c r="BN437" s="59"/>
      <c r="BO437" s="58" t="str">
        <f t="shared" si="281"/>
        <v/>
      </c>
      <c r="BP437" s="59"/>
      <c r="BQ437" s="58" t="str">
        <f t="shared" si="282"/>
        <v/>
      </c>
      <c r="BR437" s="59"/>
      <c r="BS437" s="58">
        <f t="shared" si="283"/>
        <v>3752</v>
      </c>
      <c r="BT437" s="59"/>
      <c r="BU437" s="58" t="str">
        <f t="shared" si="284"/>
        <v/>
      </c>
      <c r="BV437" s="59"/>
      <c r="BW437" s="58" t="str">
        <f t="shared" si="285"/>
        <v/>
      </c>
      <c r="BX437" s="59"/>
      <c r="BY437" s="58" t="str">
        <f t="shared" si="286"/>
        <v/>
      </c>
      <c r="BZ437" s="59"/>
    </row>
    <row r="438" spans="1:78" ht="14.5" hidden="1">
      <c r="A438" s="51" t="s">
        <v>58</v>
      </c>
      <c r="B438" s="52">
        <v>409</v>
      </c>
      <c r="C438" s="52" t="s">
        <v>188</v>
      </c>
      <c r="D438" s="41">
        <f t="shared" si="209"/>
        <v>9</v>
      </c>
      <c r="E438" s="170"/>
      <c r="F438" s="41"/>
      <c r="G438" s="52" t="s">
        <v>136</v>
      </c>
      <c r="H438" s="52" t="s">
        <v>247</v>
      </c>
      <c r="I438" s="52" t="s">
        <v>163</v>
      </c>
      <c r="J438" s="52" t="s">
        <v>500</v>
      </c>
      <c r="K438" s="53">
        <v>45716</v>
      </c>
      <c r="L438" s="108">
        <v>3752</v>
      </c>
      <c r="M438" s="101"/>
      <c r="N438" s="101"/>
      <c r="O438" s="107">
        <f t="shared" si="287"/>
        <v>3752</v>
      </c>
      <c r="P438" s="54">
        <f t="shared" si="288"/>
        <v>3752</v>
      </c>
      <c r="Q438" s="101" t="s">
        <v>579</v>
      </c>
      <c r="R438" s="101"/>
      <c r="S438" s="101"/>
      <c r="T438" s="102">
        <f t="shared" si="210"/>
        <v>2.1440000000000001</v>
      </c>
      <c r="U438" s="102">
        <v>5</v>
      </c>
      <c r="V438" s="99">
        <v>350</v>
      </c>
      <c r="W438" s="55">
        <f t="shared" si="289"/>
        <v>45696</v>
      </c>
      <c r="X438" s="55"/>
      <c r="Y438" s="56">
        <f t="shared" ca="1" si="207"/>
        <v>-144</v>
      </c>
      <c r="Z438" s="55">
        <f t="shared" ref="Z438:Z501" si="290">+W438+16</f>
        <v>45712</v>
      </c>
      <c r="AA438" s="55"/>
      <c r="AB438" s="56">
        <f t="shared" ca="1" si="208"/>
        <v>-128</v>
      </c>
      <c r="AC438" s="55"/>
      <c r="AD438" s="57"/>
      <c r="AE438" s="58" t="str">
        <f t="shared" si="263"/>
        <v>-</v>
      </c>
      <c r="AF438" s="59"/>
      <c r="AG438" s="58" t="str">
        <f t="shared" si="264"/>
        <v/>
      </c>
      <c r="AH438" s="59"/>
      <c r="AI438" s="58" t="str">
        <f t="shared" si="265"/>
        <v/>
      </c>
      <c r="AJ438" s="59"/>
      <c r="AK438" s="58" t="str">
        <f t="shared" si="266"/>
        <v/>
      </c>
      <c r="AL438" s="59"/>
      <c r="AM438" s="58" t="str">
        <f t="shared" si="267"/>
        <v/>
      </c>
      <c r="AN438" s="59"/>
      <c r="AO438" s="58" t="str">
        <f t="shared" si="268"/>
        <v/>
      </c>
      <c r="AP438" s="59"/>
      <c r="AQ438" s="58" t="str">
        <f t="shared" si="269"/>
        <v/>
      </c>
      <c r="AR438" s="59"/>
      <c r="AS438" s="58" t="str">
        <f t="shared" si="270"/>
        <v/>
      </c>
      <c r="AT438" s="59"/>
      <c r="AU438" s="58" t="str">
        <f t="shared" si="271"/>
        <v/>
      </c>
      <c r="AV438" s="59"/>
      <c r="AW438" s="58" t="str">
        <f t="shared" si="272"/>
        <v/>
      </c>
      <c r="AX438" s="59"/>
      <c r="AY438" s="58" t="str">
        <f t="shared" si="273"/>
        <v/>
      </c>
      <c r="AZ438" s="59"/>
      <c r="BA438" s="58" t="str">
        <f t="shared" si="274"/>
        <v/>
      </c>
      <c r="BB438" s="59"/>
      <c r="BC438" s="58" t="str">
        <f t="shared" si="275"/>
        <v/>
      </c>
      <c r="BD438" s="59"/>
      <c r="BE438" s="58" t="str">
        <f t="shared" si="276"/>
        <v/>
      </c>
      <c r="BF438" s="59"/>
      <c r="BG438" s="58" t="str">
        <f t="shared" si="277"/>
        <v/>
      </c>
      <c r="BH438" s="59"/>
      <c r="BI438" s="58" t="str">
        <f t="shared" si="278"/>
        <v/>
      </c>
      <c r="BJ438" s="59"/>
      <c r="BK438" s="58" t="str">
        <f t="shared" si="279"/>
        <v/>
      </c>
      <c r="BL438" s="59"/>
      <c r="BM438" s="58" t="str">
        <f t="shared" si="280"/>
        <v/>
      </c>
      <c r="BN438" s="59"/>
      <c r="BO438" s="58" t="str">
        <f t="shared" si="281"/>
        <v/>
      </c>
      <c r="BP438" s="59"/>
      <c r="BQ438" s="58" t="str">
        <f t="shared" si="282"/>
        <v/>
      </c>
      <c r="BR438" s="59"/>
      <c r="BS438" s="58">
        <f t="shared" si="283"/>
        <v>3752</v>
      </c>
      <c r="BT438" s="59"/>
      <c r="BU438" s="58" t="str">
        <f t="shared" si="284"/>
        <v/>
      </c>
      <c r="BV438" s="59"/>
      <c r="BW438" s="58" t="str">
        <f t="shared" si="285"/>
        <v/>
      </c>
      <c r="BX438" s="59"/>
      <c r="BY438" s="58" t="str">
        <f t="shared" si="286"/>
        <v/>
      </c>
      <c r="BZ438" s="59"/>
    </row>
    <row r="439" spans="1:78" ht="14.5" hidden="1">
      <c r="A439" s="51" t="s">
        <v>58</v>
      </c>
      <c r="B439" s="52">
        <v>409</v>
      </c>
      <c r="C439" s="52" t="s">
        <v>188</v>
      </c>
      <c r="D439" s="41">
        <f t="shared" si="209"/>
        <v>9</v>
      </c>
      <c r="E439" s="170"/>
      <c r="F439" s="41"/>
      <c r="G439" s="52" t="s">
        <v>136</v>
      </c>
      <c r="H439" s="52" t="s">
        <v>247</v>
      </c>
      <c r="I439" s="52" t="s">
        <v>164</v>
      </c>
      <c r="J439" s="52" t="s">
        <v>500</v>
      </c>
      <c r="K439" s="53">
        <v>45716</v>
      </c>
      <c r="L439" s="108">
        <v>3752</v>
      </c>
      <c r="M439" s="101"/>
      <c r="N439" s="101"/>
      <c r="O439" s="107">
        <f t="shared" si="287"/>
        <v>3752</v>
      </c>
      <c r="P439" s="54">
        <f t="shared" si="288"/>
        <v>3752</v>
      </c>
      <c r="Q439" s="101" t="s">
        <v>579</v>
      </c>
      <c r="R439" s="101"/>
      <c r="S439" s="101"/>
      <c r="T439" s="102">
        <f t="shared" si="210"/>
        <v>2.1440000000000001</v>
      </c>
      <c r="U439" s="102">
        <v>5</v>
      </c>
      <c r="V439" s="99">
        <v>350</v>
      </c>
      <c r="W439" s="55">
        <f t="shared" si="289"/>
        <v>45696</v>
      </c>
      <c r="X439" s="55"/>
      <c r="Y439" s="56">
        <f t="shared" ca="1" si="207"/>
        <v>-144</v>
      </c>
      <c r="Z439" s="55">
        <f t="shared" si="290"/>
        <v>45712</v>
      </c>
      <c r="AA439" s="55"/>
      <c r="AB439" s="56">
        <f t="shared" ca="1" si="208"/>
        <v>-128</v>
      </c>
      <c r="AC439" s="55"/>
      <c r="AD439" s="57"/>
      <c r="AE439" s="58" t="str">
        <f t="shared" si="263"/>
        <v>-</v>
      </c>
      <c r="AF439" s="59"/>
      <c r="AG439" s="58" t="str">
        <f t="shared" si="264"/>
        <v/>
      </c>
      <c r="AH439" s="59"/>
      <c r="AI439" s="58" t="str">
        <f t="shared" si="265"/>
        <v/>
      </c>
      <c r="AJ439" s="59"/>
      <c r="AK439" s="58" t="str">
        <f t="shared" si="266"/>
        <v/>
      </c>
      <c r="AL439" s="59"/>
      <c r="AM439" s="58" t="str">
        <f t="shared" si="267"/>
        <v/>
      </c>
      <c r="AN439" s="59"/>
      <c r="AO439" s="58" t="str">
        <f t="shared" si="268"/>
        <v/>
      </c>
      <c r="AP439" s="59"/>
      <c r="AQ439" s="58" t="str">
        <f t="shared" si="269"/>
        <v/>
      </c>
      <c r="AR439" s="59"/>
      <c r="AS439" s="58" t="str">
        <f t="shared" si="270"/>
        <v/>
      </c>
      <c r="AT439" s="59"/>
      <c r="AU439" s="58" t="str">
        <f t="shared" si="271"/>
        <v/>
      </c>
      <c r="AV439" s="59"/>
      <c r="AW439" s="58" t="str">
        <f t="shared" si="272"/>
        <v/>
      </c>
      <c r="AX439" s="59"/>
      <c r="AY439" s="58" t="str">
        <f t="shared" si="273"/>
        <v/>
      </c>
      <c r="AZ439" s="59"/>
      <c r="BA439" s="58" t="str">
        <f t="shared" si="274"/>
        <v/>
      </c>
      <c r="BB439" s="59"/>
      <c r="BC439" s="58" t="str">
        <f t="shared" si="275"/>
        <v/>
      </c>
      <c r="BD439" s="59"/>
      <c r="BE439" s="58" t="str">
        <f t="shared" si="276"/>
        <v/>
      </c>
      <c r="BF439" s="59"/>
      <c r="BG439" s="58" t="str">
        <f t="shared" si="277"/>
        <v/>
      </c>
      <c r="BH439" s="59"/>
      <c r="BI439" s="58" t="str">
        <f t="shared" si="278"/>
        <v/>
      </c>
      <c r="BJ439" s="59"/>
      <c r="BK439" s="58" t="str">
        <f t="shared" si="279"/>
        <v/>
      </c>
      <c r="BL439" s="59"/>
      <c r="BM439" s="58" t="str">
        <f t="shared" si="280"/>
        <v/>
      </c>
      <c r="BN439" s="59"/>
      <c r="BO439" s="58" t="str">
        <f t="shared" si="281"/>
        <v/>
      </c>
      <c r="BP439" s="59"/>
      <c r="BQ439" s="58" t="str">
        <f t="shared" si="282"/>
        <v/>
      </c>
      <c r="BR439" s="59"/>
      <c r="BS439" s="58">
        <f t="shared" si="283"/>
        <v>3752</v>
      </c>
      <c r="BT439" s="59"/>
      <c r="BU439" s="58" t="str">
        <f t="shared" si="284"/>
        <v/>
      </c>
      <c r="BV439" s="59"/>
      <c r="BW439" s="58" t="str">
        <f t="shared" si="285"/>
        <v/>
      </c>
      <c r="BX439" s="59"/>
      <c r="BY439" s="58" t="str">
        <f t="shared" si="286"/>
        <v/>
      </c>
      <c r="BZ439" s="59"/>
    </row>
    <row r="440" spans="1:78" ht="14.5" hidden="1">
      <c r="A440" s="51" t="s">
        <v>58</v>
      </c>
      <c r="B440" s="52">
        <v>409</v>
      </c>
      <c r="C440" s="52" t="s">
        <v>188</v>
      </c>
      <c r="D440" s="41">
        <f t="shared" si="209"/>
        <v>9</v>
      </c>
      <c r="E440" s="170"/>
      <c r="F440" s="41"/>
      <c r="G440" s="52" t="s">
        <v>81</v>
      </c>
      <c r="H440" s="52" t="s">
        <v>290</v>
      </c>
      <c r="I440" s="52" t="s">
        <v>291</v>
      </c>
      <c r="J440" s="52" t="s">
        <v>435</v>
      </c>
      <c r="K440" s="53">
        <v>45716</v>
      </c>
      <c r="L440" s="108">
        <v>1560</v>
      </c>
      <c r="M440" s="101"/>
      <c r="N440" s="101"/>
      <c r="O440" s="107">
        <f t="shared" si="287"/>
        <v>1560</v>
      </c>
      <c r="P440" s="54">
        <f t="shared" si="288"/>
        <v>1560</v>
      </c>
      <c r="Q440" s="101" t="s">
        <v>436</v>
      </c>
      <c r="R440" s="101"/>
      <c r="S440" s="101"/>
      <c r="T440" s="102">
        <f t="shared" si="210"/>
        <v>0.16666666666666666</v>
      </c>
      <c r="U440" s="102">
        <v>6</v>
      </c>
      <c r="V440" s="100">
        <v>1560</v>
      </c>
      <c r="W440" s="55">
        <f t="shared" si="289"/>
        <v>45696</v>
      </c>
      <c r="X440" s="55"/>
      <c r="Y440" s="56">
        <f t="shared" ca="1" si="207"/>
        <v>-144</v>
      </c>
      <c r="Z440" s="55">
        <f t="shared" si="290"/>
        <v>45712</v>
      </c>
      <c r="AA440" s="55"/>
      <c r="AB440" s="56">
        <f t="shared" ca="1" si="208"/>
        <v>-128</v>
      </c>
      <c r="AC440" s="55"/>
      <c r="AD440" s="57"/>
      <c r="AE440" s="58" t="str">
        <f t="shared" si="263"/>
        <v>-</v>
      </c>
      <c r="AF440" s="59"/>
      <c r="AG440" s="58" t="str">
        <f t="shared" si="264"/>
        <v/>
      </c>
      <c r="AH440" s="59"/>
      <c r="AI440" s="58" t="str">
        <f t="shared" si="265"/>
        <v/>
      </c>
      <c r="AJ440" s="59"/>
      <c r="AK440" s="58" t="str">
        <f t="shared" si="266"/>
        <v/>
      </c>
      <c r="AL440" s="59"/>
      <c r="AM440" s="58" t="str">
        <f t="shared" si="267"/>
        <v/>
      </c>
      <c r="AN440" s="59"/>
      <c r="AO440" s="58" t="str">
        <f t="shared" si="268"/>
        <v/>
      </c>
      <c r="AP440" s="59"/>
      <c r="AQ440" s="58" t="str">
        <f t="shared" si="269"/>
        <v/>
      </c>
      <c r="AR440" s="59"/>
      <c r="AS440" s="58" t="str">
        <f t="shared" si="270"/>
        <v/>
      </c>
      <c r="AT440" s="59"/>
      <c r="AU440" s="58" t="str">
        <f t="shared" si="271"/>
        <v/>
      </c>
      <c r="AV440" s="59"/>
      <c r="AW440" s="58" t="str">
        <f t="shared" si="272"/>
        <v/>
      </c>
      <c r="AX440" s="59"/>
      <c r="AY440" s="58" t="str">
        <f t="shared" si="273"/>
        <v/>
      </c>
      <c r="AZ440" s="59"/>
      <c r="BA440" s="58" t="str">
        <f t="shared" si="274"/>
        <v/>
      </c>
      <c r="BB440" s="59"/>
      <c r="BC440" s="58" t="str">
        <f t="shared" si="275"/>
        <v/>
      </c>
      <c r="BD440" s="59"/>
      <c r="BE440" s="58" t="str">
        <f t="shared" si="276"/>
        <v/>
      </c>
      <c r="BF440" s="59"/>
      <c r="BG440" s="58" t="str">
        <f t="shared" si="277"/>
        <v/>
      </c>
      <c r="BH440" s="59"/>
      <c r="BI440" s="58" t="str">
        <f t="shared" si="278"/>
        <v/>
      </c>
      <c r="BJ440" s="59"/>
      <c r="BK440" s="58" t="str">
        <f t="shared" si="279"/>
        <v/>
      </c>
      <c r="BL440" s="59"/>
      <c r="BM440" s="58" t="str">
        <f t="shared" si="280"/>
        <v/>
      </c>
      <c r="BN440" s="59"/>
      <c r="BO440" s="58" t="str">
        <f t="shared" si="281"/>
        <v/>
      </c>
      <c r="BP440" s="59"/>
      <c r="BQ440" s="58" t="str">
        <f t="shared" si="282"/>
        <v/>
      </c>
      <c r="BR440" s="59"/>
      <c r="BS440" s="58">
        <f t="shared" si="283"/>
        <v>1560</v>
      </c>
      <c r="BT440" s="59"/>
      <c r="BU440" s="58" t="str">
        <f t="shared" si="284"/>
        <v/>
      </c>
      <c r="BV440" s="59"/>
      <c r="BW440" s="58" t="str">
        <f t="shared" si="285"/>
        <v/>
      </c>
      <c r="BX440" s="59"/>
      <c r="BY440" s="58" t="str">
        <f t="shared" si="286"/>
        <v/>
      </c>
      <c r="BZ440" s="59"/>
    </row>
    <row r="441" spans="1:78" ht="14.5" hidden="1">
      <c r="A441" s="51" t="s">
        <v>58</v>
      </c>
      <c r="B441" s="52">
        <v>409</v>
      </c>
      <c r="C441" s="52" t="s">
        <v>188</v>
      </c>
      <c r="D441" s="41">
        <f t="shared" si="209"/>
        <v>9</v>
      </c>
      <c r="E441" s="170"/>
      <c r="F441" s="41"/>
      <c r="G441" s="52" t="s">
        <v>81</v>
      </c>
      <c r="H441" s="52" t="s">
        <v>290</v>
      </c>
      <c r="I441" s="52" t="s">
        <v>293</v>
      </c>
      <c r="J441" s="52" t="s">
        <v>435</v>
      </c>
      <c r="K441" s="53">
        <v>45716</v>
      </c>
      <c r="L441" s="108">
        <v>1560</v>
      </c>
      <c r="M441" s="101"/>
      <c r="N441" s="101"/>
      <c r="O441" s="107">
        <f t="shared" si="287"/>
        <v>1560</v>
      </c>
      <c r="P441" s="54">
        <f t="shared" si="288"/>
        <v>1560</v>
      </c>
      <c r="Q441" s="101" t="s">
        <v>436</v>
      </c>
      <c r="R441" s="101"/>
      <c r="S441" s="101"/>
      <c r="T441" s="102">
        <f t="shared" si="210"/>
        <v>0.16666666666666666</v>
      </c>
      <c r="U441" s="102">
        <v>6</v>
      </c>
      <c r="V441" s="100">
        <v>1560</v>
      </c>
      <c r="W441" s="55">
        <f t="shared" si="289"/>
        <v>45696</v>
      </c>
      <c r="X441" s="55"/>
      <c r="Y441" s="56">
        <f t="shared" ref="Y441:Y504" ca="1" si="291">+IF(X441="",W441-TODAY(),W441-X441)</f>
        <v>-144</v>
      </c>
      <c r="Z441" s="55">
        <f t="shared" si="290"/>
        <v>45712</v>
      </c>
      <c r="AA441" s="55"/>
      <c r="AB441" s="56">
        <f t="shared" ref="AB441:AB504" ca="1" si="292">+IF(AA441="",Z441-TODAY(),Z441-AA441)</f>
        <v>-128</v>
      </c>
      <c r="AC441" s="55"/>
      <c r="AD441" s="57"/>
      <c r="AE441" s="58" t="str">
        <f t="shared" si="263"/>
        <v>-</v>
      </c>
      <c r="AF441" s="59"/>
      <c r="AG441" s="58" t="str">
        <f t="shared" si="264"/>
        <v/>
      </c>
      <c r="AH441" s="59"/>
      <c r="AI441" s="58" t="str">
        <f t="shared" si="265"/>
        <v/>
      </c>
      <c r="AJ441" s="59"/>
      <c r="AK441" s="58" t="str">
        <f t="shared" si="266"/>
        <v/>
      </c>
      <c r="AL441" s="59"/>
      <c r="AM441" s="58" t="str">
        <f t="shared" si="267"/>
        <v/>
      </c>
      <c r="AN441" s="59"/>
      <c r="AO441" s="58" t="str">
        <f t="shared" si="268"/>
        <v/>
      </c>
      <c r="AP441" s="59"/>
      <c r="AQ441" s="58" t="str">
        <f t="shared" si="269"/>
        <v/>
      </c>
      <c r="AR441" s="59"/>
      <c r="AS441" s="58" t="str">
        <f t="shared" si="270"/>
        <v/>
      </c>
      <c r="AT441" s="59"/>
      <c r="AU441" s="58" t="str">
        <f t="shared" si="271"/>
        <v/>
      </c>
      <c r="AV441" s="59"/>
      <c r="AW441" s="58" t="str">
        <f t="shared" si="272"/>
        <v/>
      </c>
      <c r="AX441" s="59"/>
      <c r="AY441" s="58" t="str">
        <f t="shared" si="273"/>
        <v/>
      </c>
      <c r="AZ441" s="59"/>
      <c r="BA441" s="58" t="str">
        <f t="shared" si="274"/>
        <v/>
      </c>
      <c r="BB441" s="59"/>
      <c r="BC441" s="58" t="str">
        <f t="shared" si="275"/>
        <v/>
      </c>
      <c r="BD441" s="59"/>
      <c r="BE441" s="58" t="str">
        <f t="shared" si="276"/>
        <v/>
      </c>
      <c r="BF441" s="59"/>
      <c r="BG441" s="58" t="str">
        <f t="shared" si="277"/>
        <v/>
      </c>
      <c r="BH441" s="59"/>
      <c r="BI441" s="58" t="str">
        <f t="shared" si="278"/>
        <v/>
      </c>
      <c r="BJ441" s="59"/>
      <c r="BK441" s="58" t="str">
        <f t="shared" si="279"/>
        <v/>
      </c>
      <c r="BL441" s="59"/>
      <c r="BM441" s="58" t="str">
        <f t="shared" si="280"/>
        <v/>
      </c>
      <c r="BN441" s="59"/>
      <c r="BO441" s="58" t="str">
        <f t="shared" si="281"/>
        <v/>
      </c>
      <c r="BP441" s="59"/>
      <c r="BQ441" s="58" t="str">
        <f t="shared" si="282"/>
        <v/>
      </c>
      <c r="BR441" s="59"/>
      <c r="BS441" s="58">
        <f t="shared" si="283"/>
        <v>1560</v>
      </c>
      <c r="BT441" s="59"/>
      <c r="BU441" s="58" t="str">
        <f t="shared" si="284"/>
        <v/>
      </c>
      <c r="BV441" s="59"/>
      <c r="BW441" s="58" t="str">
        <f t="shared" si="285"/>
        <v/>
      </c>
      <c r="BX441" s="59"/>
      <c r="BY441" s="58" t="str">
        <f t="shared" si="286"/>
        <v/>
      </c>
      <c r="BZ441" s="59"/>
    </row>
    <row r="442" spans="1:78" ht="14.5" hidden="1">
      <c r="A442" s="51" t="s">
        <v>58</v>
      </c>
      <c r="B442" s="52">
        <v>409</v>
      </c>
      <c r="C442" s="52" t="s">
        <v>188</v>
      </c>
      <c r="D442" s="41">
        <f t="shared" si="209"/>
        <v>9</v>
      </c>
      <c r="E442" s="170"/>
      <c r="F442" s="41"/>
      <c r="G442" s="52" t="s">
        <v>81</v>
      </c>
      <c r="H442" s="52" t="s">
        <v>290</v>
      </c>
      <c r="I442" s="52" t="s">
        <v>294</v>
      </c>
      <c r="J442" s="52" t="s">
        <v>435</v>
      </c>
      <c r="K442" s="53">
        <v>45716</v>
      </c>
      <c r="L442" s="108">
        <v>1560</v>
      </c>
      <c r="M442" s="101"/>
      <c r="N442" s="101"/>
      <c r="O442" s="107">
        <f t="shared" si="287"/>
        <v>1560</v>
      </c>
      <c r="P442" s="54">
        <f t="shared" si="288"/>
        <v>1560</v>
      </c>
      <c r="Q442" s="101" t="s">
        <v>436</v>
      </c>
      <c r="R442" s="101"/>
      <c r="S442" s="101"/>
      <c r="T442" s="102">
        <f t="shared" si="210"/>
        <v>0.16666666666666666</v>
      </c>
      <c r="U442" s="102">
        <v>6</v>
      </c>
      <c r="V442" s="100">
        <v>1560</v>
      </c>
      <c r="W442" s="55">
        <f t="shared" si="289"/>
        <v>45696</v>
      </c>
      <c r="X442" s="55"/>
      <c r="Y442" s="56">
        <f t="shared" ca="1" si="291"/>
        <v>-144</v>
      </c>
      <c r="Z442" s="55">
        <f t="shared" si="290"/>
        <v>45712</v>
      </c>
      <c r="AA442" s="55"/>
      <c r="AB442" s="56">
        <f t="shared" ca="1" si="292"/>
        <v>-128</v>
      </c>
      <c r="AC442" s="55"/>
      <c r="AD442" s="57"/>
      <c r="AE442" s="58" t="str">
        <f t="shared" si="263"/>
        <v>-</v>
      </c>
      <c r="AF442" s="59"/>
      <c r="AG442" s="58" t="str">
        <f t="shared" si="264"/>
        <v/>
      </c>
      <c r="AH442" s="59"/>
      <c r="AI442" s="58" t="str">
        <f t="shared" si="265"/>
        <v/>
      </c>
      <c r="AJ442" s="59"/>
      <c r="AK442" s="58" t="str">
        <f t="shared" si="266"/>
        <v/>
      </c>
      <c r="AL442" s="59"/>
      <c r="AM442" s="58" t="str">
        <f t="shared" si="267"/>
        <v/>
      </c>
      <c r="AN442" s="59"/>
      <c r="AO442" s="58" t="str">
        <f t="shared" si="268"/>
        <v/>
      </c>
      <c r="AP442" s="59"/>
      <c r="AQ442" s="58" t="str">
        <f t="shared" si="269"/>
        <v/>
      </c>
      <c r="AR442" s="59"/>
      <c r="AS442" s="58" t="str">
        <f t="shared" si="270"/>
        <v/>
      </c>
      <c r="AT442" s="59"/>
      <c r="AU442" s="58" t="str">
        <f t="shared" si="271"/>
        <v/>
      </c>
      <c r="AV442" s="59"/>
      <c r="AW442" s="58" t="str">
        <f t="shared" si="272"/>
        <v/>
      </c>
      <c r="AX442" s="59"/>
      <c r="AY442" s="58" t="str">
        <f t="shared" si="273"/>
        <v/>
      </c>
      <c r="AZ442" s="59"/>
      <c r="BA442" s="58" t="str">
        <f t="shared" si="274"/>
        <v/>
      </c>
      <c r="BB442" s="59"/>
      <c r="BC442" s="58" t="str">
        <f t="shared" si="275"/>
        <v/>
      </c>
      <c r="BD442" s="59"/>
      <c r="BE442" s="58" t="str">
        <f t="shared" si="276"/>
        <v/>
      </c>
      <c r="BF442" s="59"/>
      <c r="BG442" s="58" t="str">
        <f t="shared" si="277"/>
        <v/>
      </c>
      <c r="BH442" s="59"/>
      <c r="BI442" s="58" t="str">
        <f t="shared" si="278"/>
        <v/>
      </c>
      <c r="BJ442" s="59"/>
      <c r="BK442" s="58" t="str">
        <f t="shared" si="279"/>
        <v/>
      </c>
      <c r="BL442" s="59"/>
      <c r="BM442" s="58" t="str">
        <f t="shared" si="280"/>
        <v/>
      </c>
      <c r="BN442" s="59"/>
      <c r="BO442" s="58" t="str">
        <f t="shared" si="281"/>
        <v/>
      </c>
      <c r="BP442" s="59"/>
      <c r="BQ442" s="58" t="str">
        <f t="shared" si="282"/>
        <v/>
      </c>
      <c r="BR442" s="59"/>
      <c r="BS442" s="58">
        <f t="shared" si="283"/>
        <v>1560</v>
      </c>
      <c r="BT442" s="59"/>
      <c r="BU442" s="58" t="str">
        <f t="shared" si="284"/>
        <v/>
      </c>
      <c r="BV442" s="59"/>
      <c r="BW442" s="58" t="str">
        <f t="shared" si="285"/>
        <v/>
      </c>
      <c r="BX442" s="59"/>
      <c r="BY442" s="58" t="str">
        <f t="shared" si="286"/>
        <v/>
      </c>
      <c r="BZ442" s="59"/>
    </row>
    <row r="443" spans="1:78" ht="14.5" hidden="1">
      <c r="A443" s="51" t="s">
        <v>58</v>
      </c>
      <c r="B443" s="52">
        <v>409</v>
      </c>
      <c r="C443" s="52" t="s">
        <v>188</v>
      </c>
      <c r="D443" s="41">
        <f t="shared" si="209"/>
        <v>9</v>
      </c>
      <c r="E443" s="170">
        <v>45664</v>
      </c>
      <c r="F443" s="41"/>
      <c r="G443" s="52" t="s">
        <v>157</v>
      </c>
      <c r="H443" s="52" t="s">
        <v>243</v>
      </c>
      <c r="I443" s="52" t="s">
        <v>162</v>
      </c>
      <c r="J443" s="52" t="s">
        <v>428</v>
      </c>
      <c r="K443" s="53">
        <v>45716</v>
      </c>
      <c r="L443" s="108">
        <v>2472</v>
      </c>
      <c r="M443" s="101"/>
      <c r="N443" s="101"/>
      <c r="O443" s="107">
        <f t="shared" si="287"/>
        <v>2472</v>
      </c>
      <c r="P443" s="54">
        <f t="shared" si="288"/>
        <v>2472</v>
      </c>
      <c r="Q443" s="101" t="s">
        <v>429</v>
      </c>
      <c r="R443" s="101"/>
      <c r="S443" s="101"/>
      <c r="T443" s="102">
        <f t="shared" si="210"/>
        <v>0.41199999999999998</v>
      </c>
      <c r="U443" s="102">
        <v>6</v>
      </c>
      <c r="V443" s="99">
        <v>1000</v>
      </c>
      <c r="W443" s="55">
        <f t="shared" si="289"/>
        <v>45696</v>
      </c>
      <c r="X443" s="55"/>
      <c r="Y443" s="56">
        <f t="shared" ca="1" si="291"/>
        <v>-144</v>
      </c>
      <c r="Z443" s="55">
        <f t="shared" si="290"/>
        <v>45712</v>
      </c>
      <c r="AA443" s="55"/>
      <c r="AB443" s="56">
        <f t="shared" ca="1" si="292"/>
        <v>-128</v>
      </c>
      <c r="AC443" s="55"/>
      <c r="AD443" s="57"/>
      <c r="AE443" s="58" t="str">
        <f t="shared" si="263"/>
        <v>-</v>
      </c>
      <c r="AF443" s="59"/>
      <c r="AG443" s="58" t="str">
        <f t="shared" si="264"/>
        <v/>
      </c>
      <c r="AH443" s="59"/>
      <c r="AI443" s="58" t="str">
        <f t="shared" si="265"/>
        <v/>
      </c>
      <c r="AJ443" s="59"/>
      <c r="AK443" s="58" t="str">
        <f t="shared" si="266"/>
        <v/>
      </c>
      <c r="AL443" s="59"/>
      <c r="AM443" s="58" t="str">
        <f t="shared" si="267"/>
        <v/>
      </c>
      <c r="AN443" s="59"/>
      <c r="AO443" s="58" t="str">
        <f t="shared" si="268"/>
        <v/>
      </c>
      <c r="AP443" s="59"/>
      <c r="AQ443" s="58" t="str">
        <f t="shared" si="269"/>
        <v/>
      </c>
      <c r="AR443" s="59"/>
      <c r="AS443" s="58" t="str">
        <f t="shared" si="270"/>
        <v/>
      </c>
      <c r="AT443" s="59"/>
      <c r="AU443" s="58" t="str">
        <f t="shared" si="271"/>
        <v/>
      </c>
      <c r="AV443" s="59"/>
      <c r="AW443" s="58" t="str">
        <f t="shared" si="272"/>
        <v/>
      </c>
      <c r="AX443" s="59"/>
      <c r="AY443" s="58" t="str">
        <f t="shared" si="273"/>
        <v/>
      </c>
      <c r="AZ443" s="59"/>
      <c r="BA443" s="58" t="str">
        <f t="shared" si="274"/>
        <v/>
      </c>
      <c r="BB443" s="59"/>
      <c r="BC443" s="58" t="str">
        <f t="shared" si="275"/>
        <v/>
      </c>
      <c r="BD443" s="59"/>
      <c r="BE443" s="58" t="str">
        <f t="shared" si="276"/>
        <v/>
      </c>
      <c r="BF443" s="59"/>
      <c r="BG443" s="58" t="str">
        <f t="shared" si="277"/>
        <v/>
      </c>
      <c r="BH443" s="59"/>
      <c r="BI443" s="58" t="str">
        <f t="shared" si="278"/>
        <v/>
      </c>
      <c r="BJ443" s="59"/>
      <c r="BK443" s="58" t="str">
        <f t="shared" si="279"/>
        <v/>
      </c>
      <c r="BL443" s="59"/>
      <c r="BM443" s="58" t="str">
        <f t="shared" si="280"/>
        <v/>
      </c>
      <c r="BN443" s="59"/>
      <c r="BO443" s="58" t="str">
        <f t="shared" si="281"/>
        <v/>
      </c>
      <c r="BP443" s="59"/>
      <c r="BQ443" s="58" t="str">
        <f t="shared" si="282"/>
        <v/>
      </c>
      <c r="BR443" s="59"/>
      <c r="BS443" s="58">
        <f t="shared" si="283"/>
        <v>2472</v>
      </c>
      <c r="BT443" s="59"/>
      <c r="BU443" s="58" t="str">
        <f t="shared" si="284"/>
        <v/>
      </c>
      <c r="BV443" s="59"/>
      <c r="BW443" s="58" t="str">
        <f t="shared" si="285"/>
        <v/>
      </c>
      <c r="BX443" s="59"/>
      <c r="BY443" s="58" t="str">
        <f t="shared" si="286"/>
        <v/>
      </c>
      <c r="BZ443" s="59"/>
    </row>
    <row r="444" spans="1:78" ht="14.5" hidden="1">
      <c r="A444" s="51" t="s">
        <v>58</v>
      </c>
      <c r="B444" s="52">
        <v>409</v>
      </c>
      <c r="C444" s="52" t="s">
        <v>188</v>
      </c>
      <c r="D444" s="41">
        <f t="shared" si="209"/>
        <v>9</v>
      </c>
      <c r="E444" s="170" t="s">
        <v>631</v>
      </c>
      <c r="F444" s="41"/>
      <c r="G444" s="52" t="s">
        <v>390</v>
      </c>
      <c r="H444" s="52" t="s">
        <v>242</v>
      </c>
      <c r="I444" s="52" t="s">
        <v>162</v>
      </c>
      <c r="J444" s="52" t="s">
        <v>430</v>
      </c>
      <c r="K444" s="53">
        <v>45716</v>
      </c>
      <c r="L444" s="108">
        <v>3372</v>
      </c>
      <c r="M444" s="101"/>
      <c r="N444" s="101"/>
      <c r="O444" s="107">
        <f t="shared" si="287"/>
        <v>3372</v>
      </c>
      <c r="P444" s="54">
        <f t="shared" si="288"/>
        <v>3372</v>
      </c>
      <c r="Q444" s="101" t="s">
        <v>431</v>
      </c>
      <c r="R444" s="101"/>
      <c r="S444" s="101"/>
      <c r="T444" s="102">
        <f t="shared" si="210"/>
        <v>4.6833333333333336</v>
      </c>
      <c r="U444" s="102">
        <v>6</v>
      </c>
      <c r="V444" s="99">
        <v>120</v>
      </c>
      <c r="W444" s="55">
        <f t="shared" si="289"/>
        <v>45696</v>
      </c>
      <c r="X444" s="55"/>
      <c r="Y444" s="56">
        <f t="shared" ca="1" si="291"/>
        <v>-144</v>
      </c>
      <c r="Z444" s="55">
        <f t="shared" si="290"/>
        <v>45712</v>
      </c>
      <c r="AA444" s="55"/>
      <c r="AB444" s="56">
        <f t="shared" ca="1" si="292"/>
        <v>-128</v>
      </c>
      <c r="AC444" s="55"/>
      <c r="AD444" s="57"/>
      <c r="AE444" s="58" t="str">
        <f t="shared" si="263"/>
        <v>-</v>
      </c>
      <c r="AF444" s="59"/>
      <c r="AG444" s="58" t="str">
        <f t="shared" si="264"/>
        <v/>
      </c>
      <c r="AH444" s="59"/>
      <c r="AI444" s="58" t="str">
        <f t="shared" si="265"/>
        <v/>
      </c>
      <c r="AJ444" s="59"/>
      <c r="AK444" s="58" t="str">
        <f t="shared" si="266"/>
        <v/>
      </c>
      <c r="AL444" s="59"/>
      <c r="AM444" s="58" t="str">
        <f t="shared" si="267"/>
        <v/>
      </c>
      <c r="AN444" s="59"/>
      <c r="AO444" s="58" t="str">
        <f t="shared" si="268"/>
        <v/>
      </c>
      <c r="AP444" s="59"/>
      <c r="AQ444" s="58" t="str">
        <f t="shared" si="269"/>
        <v/>
      </c>
      <c r="AR444" s="59"/>
      <c r="AS444" s="58" t="str">
        <f t="shared" si="270"/>
        <v/>
      </c>
      <c r="AT444" s="59"/>
      <c r="AU444" s="58" t="str">
        <f t="shared" si="271"/>
        <v/>
      </c>
      <c r="AV444" s="59"/>
      <c r="AW444" s="58" t="str">
        <f t="shared" si="272"/>
        <v/>
      </c>
      <c r="AX444" s="59"/>
      <c r="AY444" s="58" t="str">
        <f t="shared" si="273"/>
        <v/>
      </c>
      <c r="AZ444" s="59"/>
      <c r="BA444" s="58" t="str">
        <f t="shared" si="274"/>
        <v/>
      </c>
      <c r="BB444" s="59"/>
      <c r="BC444" s="58" t="str">
        <f t="shared" si="275"/>
        <v/>
      </c>
      <c r="BD444" s="59"/>
      <c r="BE444" s="58" t="str">
        <f t="shared" si="276"/>
        <v/>
      </c>
      <c r="BF444" s="59"/>
      <c r="BG444" s="58" t="str">
        <f t="shared" si="277"/>
        <v/>
      </c>
      <c r="BH444" s="59"/>
      <c r="BI444" s="58" t="str">
        <f t="shared" si="278"/>
        <v/>
      </c>
      <c r="BJ444" s="59"/>
      <c r="BK444" s="58" t="str">
        <f t="shared" si="279"/>
        <v/>
      </c>
      <c r="BL444" s="59"/>
      <c r="BM444" s="58" t="str">
        <f t="shared" si="280"/>
        <v/>
      </c>
      <c r="BN444" s="59"/>
      <c r="BO444" s="58" t="str">
        <f t="shared" si="281"/>
        <v/>
      </c>
      <c r="BP444" s="59"/>
      <c r="BQ444" s="58" t="str">
        <f t="shared" si="282"/>
        <v/>
      </c>
      <c r="BR444" s="59"/>
      <c r="BS444" s="58">
        <f t="shared" si="283"/>
        <v>3372</v>
      </c>
      <c r="BT444" s="59"/>
      <c r="BU444" s="58" t="str">
        <f t="shared" si="284"/>
        <v/>
      </c>
      <c r="BV444" s="59"/>
      <c r="BW444" s="58" t="str">
        <f t="shared" si="285"/>
        <v/>
      </c>
      <c r="BX444" s="59"/>
      <c r="BY444" s="58" t="str">
        <f t="shared" si="286"/>
        <v/>
      </c>
      <c r="BZ444" s="59"/>
    </row>
    <row r="445" spans="1:78" ht="14.5" hidden="1">
      <c r="A445" s="51" t="s">
        <v>58</v>
      </c>
      <c r="B445" s="52">
        <v>412</v>
      </c>
      <c r="C445" s="52" t="s">
        <v>188</v>
      </c>
      <c r="D445" s="41">
        <f t="shared" si="209"/>
        <v>9</v>
      </c>
      <c r="E445" s="170">
        <v>45664</v>
      </c>
      <c r="F445" s="41"/>
      <c r="G445" s="52" t="s">
        <v>157</v>
      </c>
      <c r="H445" s="52" t="s">
        <v>243</v>
      </c>
      <c r="I445" s="52" t="s">
        <v>162</v>
      </c>
      <c r="J445" s="52" t="s">
        <v>428</v>
      </c>
      <c r="K445" s="53">
        <v>45716</v>
      </c>
      <c r="L445" s="108">
        <v>2754</v>
      </c>
      <c r="M445" s="101"/>
      <c r="N445" s="101"/>
      <c r="O445" s="107">
        <f t="shared" si="287"/>
        <v>2754</v>
      </c>
      <c r="P445" s="54">
        <f t="shared" si="288"/>
        <v>2754</v>
      </c>
      <c r="Q445" s="101" t="s">
        <v>429</v>
      </c>
      <c r="R445" s="101"/>
      <c r="S445" s="101"/>
      <c r="T445" s="102">
        <f t="shared" si="210"/>
        <v>0.45900000000000002</v>
      </c>
      <c r="U445" s="102">
        <v>6</v>
      </c>
      <c r="V445" s="99">
        <v>1000</v>
      </c>
      <c r="W445" s="55">
        <f t="shared" si="289"/>
        <v>45696</v>
      </c>
      <c r="X445" s="55"/>
      <c r="Y445" s="56">
        <f t="shared" ca="1" si="291"/>
        <v>-144</v>
      </c>
      <c r="Z445" s="55">
        <f t="shared" si="290"/>
        <v>45712</v>
      </c>
      <c r="AA445" s="55"/>
      <c r="AB445" s="56">
        <f t="shared" ca="1" si="292"/>
        <v>-128</v>
      </c>
      <c r="AC445" s="55"/>
      <c r="AD445" s="57"/>
      <c r="AE445" s="58" t="str">
        <f t="shared" si="263"/>
        <v>-</v>
      </c>
      <c r="AF445" s="59"/>
      <c r="AG445" s="58" t="str">
        <f t="shared" si="264"/>
        <v/>
      </c>
      <c r="AH445" s="59"/>
      <c r="AI445" s="58" t="str">
        <f t="shared" si="265"/>
        <v/>
      </c>
      <c r="AJ445" s="59"/>
      <c r="AK445" s="58" t="str">
        <f t="shared" si="266"/>
        <v/>
      </c>
      <c r="AL445" s="59"/>
      <c r="AM445" s="58" t="str">
        <f t="shared" si="267"/>
        <v/>
      </c>
      <c r="AN445" s="59"/>
      <c r="AO445" s="58" t="str">
        <f t="shared" si="268"/>
        <v/>
      </c>
      <c r="AP445" s="59"/>
      <c r="AQ445" s="58" t="str">
        <f t="shared" si="269"/>
        <v/>
      </c>
      <c r="AR445" s="59"/>
      <c r="AS445" s="58" t="str">
        <f t="shared" si="270"/>
        <v/>
      </c>
      <c r="AT445" s="59"/>
      <c r="AU445" s="58" t="str">
        <f t="shared" si="271"/>
        <v/>
      </c>
      <c r="AV445" s="59"/>
      <c r="AW445" s="58" t="str">
        <f t="shared" si="272"/>
        <v/>
      </c>
      <c r="AX445" s="59"/>
      <c r="AY445" s="58" t="str">
        <f t="shared" si="273"/>
        <v/>
      </c>
      <c r="AZ445" s="59"/>
      <c r="BA445" s="58" t="str">
        <f t="shared" si="274"/>
        <v/>
      </c>
      <c r="BB445" s="59"/>
      <c r="BC445" s="58" t="str">
        <f t="shared" si="275"/>
        <v/>
      </c>
      <c r="BD445" s="59"/>
      <c r="BE445" s="58" t="str">
        <f t="shared" si="276"/>
        <v/>
      </c>
      <c r="BF445" s="59"/>
      <c r="BG445" s="58" t="str">
        <f t="shared" si="277"/>
        <v/>
      </c>
      <c r="BH445" s="59"/>
      <c r="BI445" s="58" t="str">
        <f t="shared" si="278"/>
        <v/>
      </c>
      <c r="BJ445" s="59"/>
      <c r="BK445" s="58" t="str">
        <f t="shared" si="279"/>
        <v/>
      </c>
      <c r="BL445" s="59"/>
      <c r="BM445" s="58" t="str">
        <f t="shared" si="280"/>
        <v/>
      </c>
      <c r="BN445" s="59"/>
      <c r="BO445" s="58" t="str">
        <f t="shared" si="281"/>
        <v/>
      </c>
      <c r="BP445" s="59"/>
      <c r="BQ445" s="58" t="str">
        <f t="shared" si="282"/>
        <v/>
      </c>
      <c r="BR445" s="59"/>
      <c r="BS445" s="58">
        <f t="shared" si="283"/>
        <v>2754</v>
      </c>
      <c r="BT445" s="59"/>
      <c r="BU445" s="58" t="str">
        <f t="shared" si="284"/>
        <v/>
      </c>
      <c r="BV445" s="59"/>
      <c r="BW445" s="58" t="str">
        <f t="shared" si="285"/>
        <v/>
      </c>
      <c r="BX445" s="59"/>
      <c r="BY445" s="58" t="str">
        <f t="shared" si="286"/>
        <v/>
      </c>
      <c r="BZ445" s="59"/>
    </row>
    <row r="446" spans="1:78" ht="14.5" hidden="1">
      <c r="A446" s="51" t="s">
        <v>58</v>
      </c>
      <c r="B446" s="52">
        <v>412</v>
      </c>
      <c r="C446" s="52" t="s">
        <v>188</v>
      </c>
      <c r="D446" s="41">
        <f t="shared" si="209"/>
        <v>9</v>
      </c>
      <c r="E446" s="170"/>
      <c r="F446" s="41"/>
      <c r="G446" s="52" t="s">
        <v>158</v>
      </c>
      <c r="H446" s="52" t="s">
        <v>242</v>
      </c>
      <c r="I446" s="52" t="s">
        <v>156</v>
      </c>
      <c r="J446" s="52" t="s">
        <v>432</v>
      </c>
      <c r="K446" s="53">
        <v>45716</v>
      </c>
      <c r="L446" s="108">
        <v>1368</v>
      </c>
      <c r="M446" s="101"/>
      <c r="N446" s="101"/>
      <c r="O446" s="107">
        <f t="shared" si="287"/>
        <v>1368</v>
      </c>
      <c r="P446" s="54">
        <f t="shared" si="288"/>
        <v>1368</v>
      </c>
      <c r="Q446" s="101" t="s">
        <v>439</v>
      </c>
      <c r="R446" s="101"/>
      <c r="S446" s="101"/>
      <c r="T446" s="102">
        <f t="shared" si="210"/>
        <v>1.9</v>
      </c>
      <c r="U446" s="102">
        <v>6</v>
      </c>
      <c r="V446" s="99">
        <v>120</v>
      </c>
      <c r="W446" s="55">
        <f t="shared" si="289"/>
        <v>45696</v>
      </c>
      <c r="X446" s="55"/>
      <c r="Y446" s="56">
        <f t="shared" ca="1" si="291"/>
        <v>-144</v>
      </c>
      <c r="Z446" s="55">
        <f t="shared" si="290"/>
        <v>45712</v>
      </c>
      <c r="AA446" s="55"/>
      <c r="AB446" s="56">
        <f t="shared" ca="1" si="292"/>
        <v>-128</v>
      </c>
      <c r="AC446" s="55"/>
      <c r="AD446" s="57"/>
      <c r="AE446" s="58" t="str">
        <f t="shared" si="263"/>
        <v>-</v>
      </c>
      <c r="AF446" s="59"/>
      <c r="AG446" s="58" t="str">
        <f t="shared" si="264"/>
        <v/>
      </c>
      <c r="AH446" s="59"/>
      <c r="AI446" s="58" t="str">
        <f t="shared" si="265"/>
        <v/>
      </c>
      <c r="AJ446" s="59"/>
      <c r="AK446" s="58" t="str">
        <f t="shared" si="266"/>
        <v/>
      </c>
      <c r="AL446" s="59"/>
      <c r="AM446" s="58" t="str">
        <f t="shared" si="267"/>
        <v/>
      </c>
      <c r="AN446" s="59"/>
      <c r="AO446" s="58" t="str">
        <f t="shared" si="268"/>
        <v/>
      </c>
      <c r="AP446" s="59"/>
      <c r="AQ446" s="58" t="str">
        <f t="shared" si="269"/>
        <v/>
      </c>
      <c r="AR446" s="59"/>
      <c r="AS446" s="58" t="str">
        <f t="shared" si="270"/>
        <v/>
      </c>
      <c r="AT446" s="59"/>
      <c r="AU446" s="58" t="str">
        <f t="shared" si="271"/>
        <v/>
      </c>
      <c r="AV446" s="59"/>
      <c r="AW446" s="58" t="str">
        <f t="shared" si="272"/>
        <v/>
      </c>
      <c r="AX446" s="59"/>
      <c r="AY446" s="58" t="str">
        <f t="shared" si="273"/>
        <v/>
      </c>
      <c r="AZ446" s="59"/>
      <c r="BA446" s="58" t="str">
        <f t="shared" si="274"/>
        <v/>
      </c>
      <c r="BB446" s="59"/>
      <c r="BC446" s="58" t="str">
        <f t="shared" si="275"/>
        <v/>
      </c>
      <c r="BD446" s="59"/>
      <c r="BE446" s="58" t="str">
        <f t="shared" si="276"/>
        <v/>
      </c>
      <c r="BF446" s="59"/>
      <c r="BG446" s="58" t="str">
        <f t="shared" si="277"/>
        <v/>
      </c>
      <c r="BH446" s="59"/>
      <c r="BI446" s="58" t="str">
        <f t="shared" si="278"/>
        <v/>
      </c>
      <c r="BJ446" s="59"/>
      <c r="BK446" s="58" t="str">
        <f t="shared" si="279"/>
        <v/>
      </c>
      <c r="BL446" s="59"/>
      <c r="BM446" s="58" t="str">
        <f t="shared" si="280"/>
        <v/>
      </c>
      <c r="BN446" s="59"/>
      <c r="BO446" s="58" t="str">
        <f t="shared" si="281"/>
        <v/>
      </c>
      <c r="BP446" s="59"/>
      <c r="BQ446" s="58" t="str">
        <f t="shared" si="282"/>
        <v/>
      </c>
      <c r="BR446" s="59"/>
      <c r="BS446" s="58">
        <f t="shared" si="283"/>
        <v>1368</v>
      </c>
      <c r="BT446" s="59"/>
      <c r="BU446" s="58" t="str">
        <f t="shared" si="284"/>
        <v/>
      </c>
      <c r="BV446" s="59"/>
      <c r="BW446" s="58" t="str">
        <f t="shared" si="285"/>
        <v/>
      </c>
      <c r="BX446" s="59"/>
      <c r="BY446" s="58" t="str">
        <f t="shared" si="286"/>
        <v/>
      </c>
      <c r="BZ446" s="59"/>
    </row>
    <row r="447" spans="1:78" ht="14.5" hidden="1">
      <c r="A447" s="51" t="s">
        <v>58</v>
      </c>
      <c r="B447" s="52">
        <v>412</v>
      </c>
      <c r="C447" s="52" t="s">
        <v>188</v>
      </c>
      <c r="D447" s="41">
        <f t="shared" si="209"/>
        <v>9</v>
      </c>
      <c r="E447" s="170"/>
      <c r="F447" s="41"/>
      <c r="G447" s="52" t="s">
        <v>190</v>
      </c>
      <c r="H447" s="52" t="s">
        <v>242</v>
      </c>
      <c r="I447" s="52" t="s">
        <v>244</v>
      </c>
      <c r="J447" s="52" t="s">
        <v>438</v>
      </c>
      <c r="K447" s="53">
        <v>45716</v>
      </c>
      <c r="L447" s="108">
        <v>1452</v>
      </c>
      <c r="M447" s="101"/>
      <c r="N447" s="101"/>
      <c r="O447" s="107">
        <f t="shared" si="287"/>
        <v>1452</v>
      </c>
      <c r="P447" s="54">
        <f t="shared" si="288"/>
        <v>1452</v>
      </c>
      <c r="Q447" s="101" t="s">
        <v>439</v>
      </c>
      <c r="R447" s="101"/>
      <c r="S447" s="101"/>
      <c r="T447" s="102">
        <f t="shared" si="210"/>
        <v>2.0166666666666666</v>
      </c>
      <c r="U447" s="102">
        <v>6</v>
      </c>
      <c r="V447" s="99">
        <v>120</v>
      </c>
      <c r="W447" s="55">
        <f t="shared" si="289"/>
        <v>45696</v>
      </c>
      <c r="X447" s="55"/>
      <c r="Y447" s="56">
        <f t="shared" ca="1" si="291"/>
        <v>-144</v>
      </c>
      <c r="Z447" s="55">
        <f t="shared" si="290"/>
        <v>45712</v>
      </c>
      <c r="AA447" s="55"/>
      <c r="AB447" s="56">
        <f t="shared" ca="1" si="292"/>
        <v>-128</v>
      </c>
      <c r="AC447" s="55"/>
      <c r="AD447" s="57"/>
      <c r="AE447" s="58" t="str">
        <f t="shared" si="263"/>
        <v>-</v>
      </c>
      <c r="AF447" s="59"/>
      <c r="AG447" s="58" t="str">
        <f t="shared" si="264"/>
        <v/>
      </c>
      <c r="AH447" s="59"/>
      <c r="AI447" s="58" t="str">
        <f t="shared" si="265"/>
        <v/>
      </c>
      <c r="AJ447" s="59"/>
      <c r="AK447" s="58" t="str">
        <f t="shared" si="266"/>
        <v/>
      </c>
      <c r="AL447" s="59"/>
      <c r="AM447" s="58" t="str">
        <f t="shared" si="267"/>
        <v/>
      </c>
      <c r="AN447" s="59"/>
      <c r="AO447" s="58" t="str">
        <f t="shared" si="268"/>
        <v/>
      </c>
      <c r="AP447" s="59"/>
      <c r="AQ447" s="58" t="str">
        <f t="shared" si="269"/>
        <v/>
      </c>
      <c r="AR447" s="59"/>
      <c r="AS447" s="58" t="str">
        <f t="shared" si="270"/>
        <v/>
      </c>
      <c r="AT447" s="59"/>
      <c r="AU447" s="58" t="str">
        <f t="shared" si="271"/>
        <v/>
      </c>
      <c r="AV447" s="59"/>
      <c r="AW447" s="58" t="str">
        <f t="shared" si="272"/>
        <v/>
      </c>
      <c r="AX447" s="59"/>
      <c r="AY447" s="58" t="str">
        <f t="shared" si="273"/>
        <v/>
      </c>
      <c r="AZ447" s="59"/>
      <c r="BA447" s="58" t="str">
        <f t="shared" si="274"/>
        <v/>
      </c>
      <c r="BB447" s="59"/>
      <c r="BC447" s="58" t="str">
        <f t="shared" si="275"/>
        <v/>
      </c>
      <c r="BD447" s="59"/>
      <c r="BE447" s="58" t="str">
        <f t="shared" si="276"/>
        <v/>
      </c>
      <c r="BF447" s="59"/>
      <c r="BG447" s="58" t="str">
        <f t="shared" si="277"/>
        <v/>
      </c>
      <c r="BH447" s="59"/>
      <c r="BI447" s="58" t="str">
        <f t="shared" si="278"/>
        <v/>
      </c>
      <c r="BJ447" s="59"/>
      <c r="BK447" s="58" t="str">
        <f t="shared" si="279"/>
        <v/>
      </c>
      <c r="BL447" s="59"/>
      <c r="BM447" s="58" t="str">
        <f t="shared" si="280"/>
        <v/>
      </c>
      <c r="BN447" s="59"/>
      <c r="BO447" s="58" t="str">
        <f t="shared" si="281"/>
        <v/>
      </c>
      <c r="BP447" s="59"/>
      <c r="BQ447" s="58" t="str">
        <f t="shared" si="282"/>
        <v/>
      </c>
      <c r="BR447" s="59"/>
      <c r="BS447" s="58">
        <f t="shared" si="283"/>
        <v>1452</v>
      </c>
      <c r="BT447" s="59"/>
      <c r="BU447" s="58" t="str">
        <f t="shared" si="284"/>
        <v/>
      </c>
      <c r="BV447" s="59"/>
      <c r="BW447" s="58" t="str">
        <f t="shared" si="285"/>
        <v/>
      </c>
      <c r="BX447" s="59"/>
      <c r="BY447" s="58" t="str">
        <f t="shared" si="286"/>
        <v/>
      </c>
      <c r="BZ447" s="59"/>
    </row>
    <row r="448" spans="1:78" ht="14.5" hidden="1">
      <c r="A448" s="51" t="s">
        <v>58</v>
      </c>
      <c r="B448" s="52">
        <v>415</v>
      </c>
      <c r="C448" s="52" t="s">
        <v>188</v>
      </c>
      <c r="D448" s="41">
        <f t="shared" si="209"/>
        <v>9</v>
      </c>
      <c r="E448" s="170">
        <v>45679</v>
      </c>
      <c r="F448" s="41"/>
      <c r="G448" s="52" t="s">
        <v>157</v>
      </c>
      <c r="H448" s="52" t="s">
        <v>243</v>
      </c>
      <c r="I448" s="52" t="s">
        <v>155</v>
      </c>
      <c r="J448" s="52" t="s">
        <v>428</v>
      </c>
      <c r="K448" s="53">
        <v>45716</v>
      </c>
      <c r="L448" s="108">
        <v>3708</v>
      </c>
      <c r="M448" s="101"/>
      <c r="N448" s="101"/>
      <c r="O448" s="107">
        <f t="shared" si="287"/>
        <v>3708</v>
      </c>
      <c r="P448" s="54">
        <f t="shared" si="288"/>
        <v>3708</v>
      </c>
      <c r="Q448" s="101" t="s">
        <v>429</v>
      </c>
      <c r="R448" s="101"/>
      <c r="S448" s="101"/>
      <c r="T448" s="102">
        <f t="shared" si="210"/>
        <v>0.61799999999999999</v>
      </c>
      <c r="U448" s="102">
        <v>6</v>
      </c>
      <c r="V448" s="99">
        <v>1000</v>
      </c>
      <c r="W448" s="55">
        <f t="shared" si="289"/>
        <v>45696</v>
      </c>
      <c r="X448" s="55"/>
      <c r="Y448" s="56">
        <f t="shared" ca="1" si="291"/>
        <v>-144</v>
      </c>
      <c r="Z448" s="55">
        <f t="shared" si="290"/>
        <v>45712</v>
      </c>
      <c r="AA448" s="55"/>
      <c r="AB448" s="56">
        <f t="shared" ca="1" si="292"/>
        <v>-128</v>
      </c>
      <c r="AC448" s="55"/>
      <c r="AD448" s="57"/>
      <c r="AE448" s="58" t="str">
        <f t="shared" si="263"/>
        <v>-</v>
      </c>
      <c r="AF448" s="59"/>
      <c r="AG448" s="58" t="str">
        <f t="shared" si="264"/>
        <v/>
      </c>
      <c r="AH448" s="59"/>
      <c r="AI448" s="58" t="str">
        <f t="shared" si="265"/>
        <v/>
      </c>
      <c r="AJ448" s="59"/>
      <c r="AK448" s="58" t="str">
        <f t="shared" si="266"/>
        <v/>
      </c>
      <c r="AL448" s="59"/>
      <c r="AM448" s="58" t="str">
        <f t="shared" si="267"/>
        <v/>
      </c>
      <c r="AN448" s="59"/>
      <c r="AO448" s="58" t="str">
        <f t="shared" si="268"/>
        <v/>
      </c>
      <c r="AP448" s="59"/>
      <c r="AQ448" s="58" t="str">
        <f t="shared" si="269"/>
        <v/>
      </c>
      <c r="AR448" s="59"/>
      <c r="AS448" s="58" t="str">
        <f t="shared" si="270"/>
        <v/>
      </c>
      <c r="AT448" s="59"/>
      <c r="AU448" s="58" t="str">
        <f t="shared" si="271"/>
        <v/>
      </c>
      <c r="AV448" s="59"/>
      <c r="AW448" s="58" t="str">
        <f t="shared" si="272"/>
        <v/>
      </c>
      <c r="AX448" s="59"/>
      <c r="AY448" s="58" t="str">
        <f t="shared" si="273"/>
        <v/>
      </c>
      <c r="AZ448" s="59"/>
      <c r="BA448" s="58" t="str">
        <f t="shared" si="274"/>
        <v/>
      </c>
      <c r="BB448" s="59"/>
      <c r="BC448" s="58" t="str">
        <f t="shared" si="275"/>
        <v/>
      </c>
      <c r="BD448" s="59"/>
      <c r="BE448" s="58" t="str">
        <f t="shared" si="276"/>
        <v/>
      </c>
      <c r="BF448" s="59"/>
      <c r="BG448" s="58" t="str">
        <f t="shared" si="277"/>
        <v/>
      </c>
      <c r="BH448" s="59"/>
      <c r="BI448" s="58" t="str">
        <f t="shared" si="278"/>
        <v/>
      </c>
      <c r="BJ448" s="59"/>
      <c r="BK448" s="58" t="str">
        <f t="shared" si="279"/>
        <v/>
      </c>
      <c r="BL448" s="59"/>
      <c r="BM448" s="58" t="str">
        <f t="shared" si="280"/>
        <v/>
      </c>
      <c r="BN448" s="59"/>
      <c r="BO448" s="58" t="str">
        <f t="shared" si="281"/>
        <v/>
      </c>
      <c r="BP448" s="59"/>
      <c r="BQ448" s="58" t="str">
        <f t="shared" si="282"/>
        <v/>
      </c>
      <c r="BR448" s="59"/>
      <c r="BS448" s="58">
        <f t="shared" si="283"/>
        <v>3708</v>
      </c>
      <c r="BT448" s="59"/>
      <c r="BU448" s="58" t="str">
        <f t="shared" si="284"/>
        <v/>
      </c>
      <c r="BV448" s="59"/>
      <c r="BW448" s="58" t="str">
        <f t="shared" si="285"/>
        <v/>
      </c>
      <c r="BX448" s="59"/>
      <c r="BY448" s="58" t="str">
        <f t="shared" si="286"/>
        <v/>
      </c>
      <c r="BZ448" s="59"/>
    </row>
    <row r="449" spans="1:78" ht="14.5" hidden="1">
      <c r="A449" s="51" t="s">
        <v>58</v>
      </c>
      <c r="B449" s="52">
        <v>415</v>
      </c>
      <c r="C449" s="52" t="s">
        <v>188</v>
      </c>
      <c r="D449" s="41">
        <f t="shared" si="209"/>
        <v>9</v>
      </c>
      <c r="E449" s="170"/>
      <c r="F449" s="41"/>
      <c r="G449" s="52" t="s">
        <v>158</v>
      </c>
      <c r="H449" s="52" t="s">
        <v>242</v>
      </c>
      <c r="I449" s="52" t="s">
        <v>156</v>
      </c>
      <c r="J449" s="52" t="s">
        <v>432</v>
      </c>
      <c r="K449" s="53">
        <v>45716</v>
      </c>
      <c r="L449" s="108">
        <v>1040</v>
      </c>
      <c r="M449" s="101"/>
      <c r="N449" s="101"/>
      <c r="O449" s="107">
        <f t="shared" si="287"/>
        <v>1040</v>
      </c>
      <c r="P449" s="54">
        <f t="shared" si="288"/>
        <v>1040</v>
      </c>
      <c r="Q449" s="101" t="s">
        <v>439</v>
      </c>
      <c r="R449" s="101"/>
      <c r="S449" s="101"/>
      <c r="T449" s="102">
        <f t="shared" si="210"/>
        <v>1.4444444444444444</v>
      </c>
      <c r="U449" s="102">
        <v>6</v>
      </c>
      <c r="V449" s="99">
        <v>120</v>
      </c>
      <c r="W449" s="55">
        <f t="shared" si="289"/>
        <v>45696</v>
      </c>
      <c r="X449" s="55"/>
      <c r="Y449" s="56">
        <f t="shared" ca="1" si="291"/>
        <v>-144</v>
      </c>
      <c r="Z449" s="55">
        <f t="shared" si="290"/>
        <v>45712</v>
      </c>
      <c r="AA449" s="55"/>
      <c r="AB449" s="56">
        <f t="shared" ca="1" si="292"/>
        <v>-128</v>
      </c>
      <c r="AC449" s="55"/>
      <c r="AD449" s="57"/>
      <c r="AE449" s="58" t="str">
        <f t="shared" si="263"/>
        <v>-</v>
      </c>
      <c r="AF449" s="59"/>
      <c r="AG449" s="58" t="str">
        <f t="shared" si="264"/>
        <v/>
      </c>
      <c r="AH449" s="59"/>
      <c r="AI449" s="58" t="str">
        <f t="shared" si="265"/>
        <v/>
      </c>
      <c r="AJ449" s="59"/>
      <c r="AK449" s="58" t="str">
        <f t="shared" si="266"/>
        <v/>
      </c>
      <c r="AL449" s="59"/>
      <c r="AM449" s="58" t="str">
        <f t="shared" si="267"/>
        <v/>
      </c>
      <c r="AN449" s="59"/>
      <c r="AO449" s="58" t="str">
        <f t="shared" si="268"/>
        <v/>
      </c>
      <c r="AP449" s="59"/>
      <c r="AQ449" s="58" t="str">
        <f t="shared" si="269"/>
        <v/>
      </c>
      <c r="AR449" s="59"/>
      <c r="AS449" s="58" t="str">
        <f t="shared" si="270"/>
        <v/>
      </c>
      <c r="AT449" s="59"/>
      <c r="AU449" s="58" t="str">
        <f t="shared" si="271"/>
        <v/>
      </c>
      <c r="AV449" s="59"/>
      <c r="AW449" s="58" t="str">
        <f t="shared" si="272"/>
        <v/>
      </c>
      <c r="AX449" s="59"/>
      <c r="AY449" s="58" t="str">
        <f t="shared" si="273"/>
        <v/>
      </c>
      <c r="AZ449" s="59"/>
      <c r="BA449" s="58" t="str">
        <f t="shared" si="274"/>
        <v/>
      </c>
      <c r="BB449" s="59"/>
      <c r="BC449" s="58" t="str">
        <f t="shared" si="275"/>
        <v/>
      </c>
      <c r="BD449" s="59"/>
      <c r="BE449" s="58" t="str">
        <f t="shared" si="276"/>
        <v/>
      </c>
      <c r="BF449" s="59"/>
      <c r="BG449" s="58" t="str">
        <f t="shared" si="277"/>
        <v/>
      </c>
      <c r="BH449" s="59"/>
      <c r="BI449" s="58" t="str">
        <f t="shared" si="278"/>
        <v/>
      </c>
      <c r="BJ449" s="59"/>
      <c r="BK449" s="58" t="str">
        <f t="shared" si="279"/>
        <v/>
      </c>
      <c r="BL449" s="59"/>
      <c r="BM449" s="58" t="str">
        <f t="shared" si="280"/>
        <v/>
      </c>
      <c r="BN449" s="59"/>
      <c r="BO449" s="58" t="str">
        <f t="shared" si="281"/>
        <v/>
      </c>
      <c r="BP449" s="59"/>
      <c r="BQ449" s="58" t="str">
        <f t="shared" si="282"/>
        <v/>
      </c>
      <c r="BR449" s="59"/>
      <c r="BS449" s="58">
        <f t="shared" si="283"/>
        <v>1040</v>
      </c>
      <c r="BT449" s="59"/>
      <c r="BU449" s="58" t="str">
        <f t="shared" si="284"/>
        <v/>
      </c>
      <c r="BV449" s="59"/>
      <c r="BW449" s="58" t="str">
        <f t="shared" si="285"/>
        <v/>
      </c>
      <c r="BX449" s="59"/>
      <c r="BY449" s="58" t="str">
        <f t="shared" si="286"/>
        <v/>
      </c>
      <c r="BZ449" s="59"/>
    </row>
    <row r="450" spans="1:78" ht="14.5" hidden="1">
      <c r="A450" s="51" t="s">
        <v>58</v>
      </c>
      <c r="B450" s="52">
        <v>415</v>
      </c>
      <c r="C450" s="52" t="s">
        <v>188</v>
      </c>
      <c r="D450" s="41">
        <f t="shared" si="209"/>
        <v>9</v>
      </c>
      <c r="E450" s="170"/>
      <c r="F450" s="41"/>
      <c r="G450" s="52" t="s">
        <v>190</v>
      </c>
      <c r="H450" s="52" t="s">
        <v>242</v>
      </c>
      <c r="I450" s="52" t="s">
        <v>244</v>
      </c>
      <c r="J450" s="52" t="s">
        <v>438</v>
      </c>
      <c r="K450" s="53">
        <v>45716</v>
      </c>
      <c r="L450" s="108">
        <v>1400</v>
      </c>
      <c r="M450" s="101"/>
      <c r="N450" s="101"/>
      <c r="O450" s="107">
        <f t="shared" si="287"/>
        <v>1400</v>
      </c>
      <c r="P450" s="54">
        <f t="shared" si="288"/>
        <v>1400</v>
      </c>
      <c r="Q450" s="101" t="s">
        <v>439</v>
      </c>
      <c r="R450" s="101"/>
      <c r="S450" s="101"/>
      <c r="T450" s="102">
        <f t="shared" si="210"/>
        <v>1.9444444444444444</v>
      </c>
      <c r="U450" s="102">
        <v>6</v>
      </c>
      <c r="V450" s="99">
        <v>120</v>
      </c>
      <c r="W450" s="55">
        <f t="shared" si="289"/>
        <v>45696</v>
      </c>
      <c r="X450" s="55"/>
      <c r="Y450" s="56">
        <f t="shared" ca="1" si="291"/>
        <v>-144</v>
      </c>
      <c r="Z450" s="55">
        <f t="shared" si="290"/>
        <v>45712</v>
      </c>
      <c r="AA450" s="55"/>
      <c r="AB450" s="56">
        <f t="shared" ca="1" si="292"/>
        <v>-128</v>
      </c>
      <c r="AC450" s="55"/>
      <c r="AD450" s="57"/>
      <c r="AE450" s="58" t="str">
        <f t="shared" si="263"/>
        <v>-</v>
      </c>
      <c r="AF450" s="59"/>
      <c r="AG450" s="58" t="str">
        <f t="shared" si="264"/>
        <v/>
      </c>
      <c r="AH450" s="59"/>
      <c r="AI450" s="58" t="str">
        <f t="shared" si="265"/>
        <v/>
      </c>
      <c r="AJ450" s="59"/>
      <c r="AK450" s="58" t="str">
        <f t="shared" si="266"/>
        <v/>
      </c>
      <c r="AL450" s="59"/>
      <c r="AM450" s="58" t="str">
        <f t="shared" si="267"/>
        <v/>
      </c>
      <c r="AN450" s="59"/>
      <c r="AO450" s="58" t="str">
        <f t="shared" si="268"/>
        <v/>
      </c>
      <c r="AP450" s="59"/>
      <c r="AQ450" s="58" t="str">
        <f t="shared" si="269"/>
        <v/>
      </c>
      <c r="AR450" s="59"/>
      <c r="AS450" s="58" t="str">
        <f t="shared" si="270"/>
        <v/>
      </c>
      <c r="AT450" s="59"/>
      <c r="AU450" s="58" t="str">
        <f t="shared" si="271"/>
        <v/>
      </c>
      <c r="AV450" s="59"/>
      <c r="AW450" s="58" t="str">
        <f t="shared" si="272"/>
        <v/>
      </c>
      <c r="AX450" s="59"/>
      <c r="AY450" s="58" t="str">
        <f t="shared" si="273"/>
        <v/>
      </c>
      <c r="AZ450" s="59"/>
      <c r="BA450" s="58" t="str">
        <f t="shared" si="274"/>
        <v/>
      </c>
      <c r="BB450" s="59"/>
      <c r="BC450" s="58" t="str">
        <f t="shared" si="275"/>
        <v/>
      </c>
      <c r="BD450" s="59"/>
      <c r="BE450" s="58" t="str">
        <f t="shared" si="276"/>
        <v/>
      </c>
      <c r="BF450" s="59"/>
      <c r="BG450" s="58" t="str">
        <f t="shared" si="277"/>
        <v/>
      </c>
      <c r="BH450" s="59"/>
      <c r="BI450" s="58" t="str">
        <f t="shared" si="278"/>
        <v/>
      </c>
      <c r="BJ450" s="59"/>
      <c r="BK450" s="58" t="str">
        <f t="shared" si="279"/>
        <v/>
      </c>
      <c r="BL450" s="59"/>
      <c r="BM450" s="58" t="str">
        <f t="shared" si="280"/>
        <v/>
      </c>
      <c r="BN450" s="59"/>
      <c r="BO450" s="58" t="str">
        <f t="shared" si="281"/>
        <v/>
      </c>
      <c r="BP450" s="59"/>
      <c r="BQ450" s="58" t="str">
        <f t="shared" si="282"/>
        <v/>
      </c>
      <c r="BR450" s="59"/>
      <c r="BS450" s="58">
        <f t="shared" si="283"/>
        <v>1400</v>
      </c>
      <c r="BT450" s="59"/>
      <c r="BU450" s="58" t="str">
        <f t="shared" si="284"/>
        <v/>
      </c>
      <c r="BV450" s="59"/>
      <c r="BW450" s="58" t="str">
        <f t="shared" si="285"/>
        <v/>
      </c>
      <c r="BX450" s="59"/>
      <c r="BY450" s="58" t="str">
        <f t="shared" si="286"/>
        <v/>
      </c>
      <c r="BZ450" s="59"/>
    </row>
    <row r="451" spans="1:78" ht="14.5" hidden="1">
      <c r="A451" s="51" t="s">
        <v>58</v>
      </c>
      <c r="B451" s="52">
        <v>432</v>
      </c>
      <c r="C451" s="52" t="s">
        <v>188</v>
      </c>
      <c r="D451" s="41">
        <f t="shared" si="209"/>
        <v>9</v>
      </c>
      <c r="E451" s="170"/>
      <c r="F451" s="41"/>
      <c r="G451" s="52" t="s">
        <v>193</v>
      </c>
      <c r="H451" s="52" t="s">
        <v>246</v>
      </c>
      <c r="I451" s="52" t="s">
        <v>162</v>
      </c>
      <c r="J451" s="52" t="s">
        <v>434</v>
      </c>
      <c r="K451" s="53">
        <v>45716</v>
      </c>
      <c r="L451" s="108">
        <f>3000*2</f>
        <v>6000</v>
      </c>
      <c r="M451" s="101"/>
      <c r="N451" s="101"/>
      <c r="O451" s="107">
        <f t="shared" si="287"/>
        <v>6000</v>
      </c>
      <c r="P451" s="54">
        <f t="shared" si="288"/>
        <v>6000</v>
      </c>
      <c r="Q451" s="101" t="s">
        <v>431</v>
      </c>
      <c r="R451" s="101"/>
      <c r="S451" s="101"/>
      <c r="T451" s="102">
        <f t="shared" si="210"/>
        <v>2.8571428571428572</v>
      </c>
      <c r="U451" s="102">
        <v>6</v>
      </c>
      <c r="V451" s="99">
        <v>350</v>
      </c>
      <c r="W451" s="55">
        <f t="shared" si="289"/>
        <v>45696</v>
      </c>
      <c r="X451" s="55"/>
      <c r="Y451" s="56">
        <f t="shared" ca="1" si="291"/>
        <v>-144</v>
      </c>
      <c r="Z451" s="55">
        <f t="shared" si="290"/>
        <v>45712</v>
      </c>
      <c r="AA451" s="55"/>
      <c r="AB451" s="56">
        <f t="shared" ca="1" si="292"/>
        <v>-128</v>
      </c>
      <c r="AC451" s="55"/>
      <c r="AD451" s="57"/>
      <c r="AE451" s="58" t="str">
        <f t="shared" ref="AE451:AE514" si="293">+IF($AE$4=WEEKNUM(W451),L451,"-")</f>
        <v>-</v>
      </c>
      <c r="AF451" s="59"/>
      <c r="AG451" s="58" t="str">
        <f t="shared" ref="AG451:AG514" si="294">+IF($AG$4=WEEKNUM(W451),L451,"")</f>
        <v/>
      </c>
      <c r="AH451" s="59"/>
      <c r="AI451" s="58" t="str">
        <f t="shared" ref="AI451:AI514" si="295">+IF($AI$4=WEEKNUM(W451),L451,"")</f>
        <v/>
      </c>
      <c r="AJ451" s="59"/>
      <c r="AK451" s="58" t="str">
        <f t="shared" ref="AK451:AK514" si="296">+IF($AK$4=WEEKNUM(W451),L451,"")</f>
        <v/>
      </c>
      <c r="AL451" s="59"/>
      <c r="AM451" s="58" t="str">
        <f t="shared" ref="AM451:AM514" si="297">+IF($AM$4=WEEKNUM(W451),L451,"")</f>
        <v/>
      </c>
      <c r="AN451" s="59"/>
      <c r="AO451" s="58" t="str">
        <f t="shared" ref="AO451:AO514" si="298">+IF($AO$4=WEEKNUM(W451),L451,"")</f>
        <v/>
      </c>
      <c r="AP451" s="59"/>
      <c r="AQ451" s="58" t="str">
        <f t="shared" ref="AQ451:AQ514" si="299">+IF($AQ$4=WEEKNUM(W451),L451,"")</f>
        <v/>
      </c>
      <c r="AR451" s="59"/>
      <c r="AS451" s="58" t="str">
        <f t="shared" ref="AS451:AS514" si="300">+IF($AS$4=WEEKNUM(W451),L451,"")</f>
        <v/>
      </c>
      <c r="AT451" s="59"/>
      <c r="AU451" s="58" t="str">
        <f t="shared" ref="AU451:AU514" si="301">+IF($AU$4=WEEKNUM(W451),L451,"")</f>
        <v/>
      </c>
      <c r="AV451" s="59"/>
      <c r="AW451" s="58" t="str">
        <f t="shared" ref="AW451:AW514" si="302">+IF($AW$4=WEEKNUM(W451),L451,"")</f>
        <v/>
      </c>
      <c r="AX451" s="59"/>
      <c r="AY451" s="58" t="str">
        <f t="shared" ref="AY451:AY514" si="303">+IF($AY$4=WEEKNUM(W451),L451,"")</f>
        <v/>
      </c>
      <c r="AZ451" s="59"/>
      <c r="BA451" s="58" t="str">
        <f t="shared" ref="BA451:BA514" si="304">+IF($BA$4=WEEKNUM(W451),L451,"")</f>
        <v/>
      </c>
      <c r="BB451" s="59"/>
      <c r="BC451" s="58" t="str">
        <f t="shared" ref="BC451:BC514" si="305">+IF($BC$4=WEEKNUM(W451),L451,"")</f>
        <v/>
      </c>
      <c r="BD451" s="59"/>
      <c r="BE451" s="58" t="str">
        <f t="shared" ref="BE451:BE514" si="306">+IF($BE$4=WEEKNUM(W451),L451,"")</f>
        <v/>
      </c>
      <c r="BF451" s="59"/>
      <c r="BG451" s="58" t="str">
        <f t="shared" ref="BG451:BG514" si="307">+IF($BG$4=WEEKNUM(W451),L451,"")</f>
        <v/>
      </c>
      <c r="BH451" s="59"/>
      <c r="BI451" s="58" t="str">
        <f t="shared" ref="BI451:BI514" si="308">+IF($BI$4=WEEKNUM(W451),L451,"")</f>
        <v/>
      </c>
      <c r="BJ451" s="59"/>
      <c r="BK451" s="58" t="str">
        <f t="shared" ref="BK451:BK514" si="309">+IF($BK$4=WEEKNUM(W451),L451,"")</f>
        <v/>
      </c>
      <c r="BL451" s="59"/>
      <c r="BM451" s="58">
        <f t="shared" ref="BM451:BM514" si="310">+IF($BM$4=WEEKNUM(W451),L451,"")</f>
        <v>6000</v>
      </c>
      <c r="BN451" s="59"/>
      <c r="BO451" s="58" t="str">
        <f t="shared" ref="BO451:BO514" si="311">+IF($BO$4=WEEKNUM(W451),L451,"")</f>
        <v/>
      </c>
      <c r="BP451" s="59"/>
      <c r="BQ451" s="58" t="str">
        <f t="shared" ref="BQ451:BQ514" si="312">+IF($BQ$4=WEEKNUM(W451),L451,"")</f>
        <v/>
      </c>
      <c r="BR451" s="59"/>
      <c r="BS451" s="58" t="str">
        <f t="shared" ref="BS451:BS514" si="313">+IF($BS$4=WEEKNUM(W451),L451,"")</f>
        <v/>
      </c>
      <c r="BT451" s="59"/>
      <c r="BU451" s="58" t="str">
        <f t="shared" ref="BU451:BU514" si="314">+IF($BU$4=WEEKNUM(W451),L451,"")</f>
        <v/>
      </c>
      <c r="BV451" s="59"/>
      <c r="BW451" s="58" t="str">
        <f t="shared" ref="BW451:BW514" si="315">+IF($BW$4=WEEKNUM(W451),L451,"")</f>
        <v/>
      </c>
      <c r="BX451" s="59"/>
      <c r="BY451" s="58" t="str">
        <f t="shared" ref="BY451:BY514" si="316">+IF($BY$4=WEEKNUM(W451),L451,"")</f>
        <v/>
      </c>
      <c r="BZ451" s="59"/>
    </row>
    <row r="452" spans="1:78" ht="14.5" hidden="1">
      <c r="A452" s="51" t="s">
        <v>58</v>
      </c>
      <c r="B452" s="52">
        <v>432</v>
      </c>
      <c r="C452" s="52" t="s">
        <v>188</v>
      </c>
      <c r="D452" s="41">
        <f t="shared" si="209"/>
        <v>9</v>
      </c>
      <c r="E452" s="170"/>
      <c r="F452" s="41"/>
      <c r="G452" s="52" t="s">
        <v>158</v>
      </c>
      <c r="H452" s="52" t="s">
        <v>242</v>
      </c>
      <c r="I452" s="52" t="s">
        <v>154</v>
      </c>
      <c r="J452" s="52" t="s">
        <v>432</v>
      </c>
      <c r="K452" s="53">
        <v>45716</v>
      </c>
      <c r="L452" s="108">
        <v>1780</v>
      </c>
      <c r="M452" s="101"/>
      <c r="N452" s="101"/>
      <c r="O452" s="107">
        <f t="shared" si="287"/>
        <v>1780</v>
      </c>
      <c r="P452" s="54">
        <f t="shared" si="288"/>
        <v>1780</v>
      </c>
      <c r="Q452" s="101" t="s">
        <v>431</v>
      </c>
      <c r="R452" s="101"/>
      <c r="S452" s="101"/>
      <c r="T452" s="102">
        <f t="shared" si="210"/>
        <v>2.4722222222222223</v>
      </c>
      <c r="U452" s="102">
        <v>6</v>
      </c>
      <c r="V452" s="99">
        <v>120</v>
      </c>
      <c r="W452" s="55">
        <f t="shared" si="289"/>
        <v>45696</v>
      </c>
      <c r="X452" s="55"/>
      <c r="Y452" s="56">
        <f t="shared" ca="1" si="291"/>
        <v>-144</v>
      </c>
      <c r="Z452" s="55">
        <f t="shared" si="290"/>
        <v>45712</v>
      </c>
      <c r="AA452" s="55"/>
      <c r="AB452" s="56">
        <f t="shared" ca="1" si="292"/>
        <v>-128</v>
      </c>
      <c r="AC452" s="55"/>
      <c r="AD452" s="57"/>
      <c r="AE452" s="58" t="str">
        <f t="shared" si="293"/>
        <v>-</v>
      </c>
      <c r="AF452" s="59"/>
      <c r="AG452" s="58" t="str">
        <f t="shared" si="294"/>
        <v/>
      </c>
      <c r="AH452" s="59"/>
      <c r="AI452" s="58" t="str">
        <f t="shared" si="295"/>
        <v/>
      </c>
      <c r="AJ452" s="59"/>
      <c r="AK452" s="58" t="str">
        <f t="shared" si="296"/>
        <v/>
      </c>
      <c r="AL452" s="59"/>
      <c r="AM452" s="58" t="str">
        <f t="shared" si="297"/>
        <v/>
      </c>
      <c r="AN452" s="59"/>
      <c r="AO452" s="58" t="str">
        <f t="shared" si="298"/>
        <v/>
      </c>
      <c r="AP452" s="59"/>
      <c r="AQ452" s="58" t="str">
        <f t="shared" si="299"/>
        <v/>
      </c>
      <c r="AR452" s="59"/>
      <c r="AS452" s="58" t="str">
        <f t="shared" si="300"/>
        <v/>
      </c>
      <c r="AT452" s="59"/>
      <c r="AU452" s="58" t="str">
        <f t="shared" si="301"/>
        <v/>
      </c>
      <c r="AV452" s="59"/>
      <c r="AW452" s="58" t="str">
        <f t="shared" si="302"/>
        <v/>
      </c>
      <c r="AX452" s="59"/>
      <c r="AY452" s="58" t="str">
        <f t="shared" si="303"/>
        <v/>
      </c>
      <c r="AZ452" s="59"/>
      <c r="BA452" s="58" t="str">
        <f t="shared" si="304"/>
        <v/>
      </c>
      <c r="BB452" s="59"/>
      <c r="BC452" s="58" t="str">
        <f t="shared" si="305"/>
        <v/>
      </c>
      <c r="BD452" s="59"/>
      <c r="BE452" s="58" t="str">
        <f t="shared" si="306"/>
        <v/>
      </c>
      <c r="BF452" s="59"/>
      <c r="BG452" s="58" t="str">
        <f t="shared" si="307"/>
        <v/>
      </c>
      <c r="BH452" s="59"/>
      <c r="BI452" s="58" t="str">
        <f t="shared" si="308"/>
        <v/>
      </c>
      <c r="BJ452" s="59"/>
      <c r="BK452" s="58" t="str">
        <f t="shared" si="309"/>
        <v/>
      </c>
      <c r="BL452" s="59"/>
      <c r="BM452" s="58">
        <f t="shared" si="310"/>
        <v>1780</v>
      </c>
      <c r="BN452" s="59"/>
      <c r="BO452" s="58" t="str">
        <f t="shared" si="311"/>
        <v/>
      </c>
      <c r="BP452" s="59"/>
      <c r="BQ452" s="58" t="str">
        <f t="shared" si="312"/>
        <v/>
      </c>
      <c r="BR452" s="59"/>
      <c r="BS452" s="58" t="str">
        <f t="shared" si="313"/>
        <v/>
      </c>
      <c r="BT452" s="59"/>
      <c r="BU452" s="58" t="str">
        <f t="shared" si="314"/>
        <v/>
      </c>
      <c r="BV452" s="59"/>
      <c r="BW452" s="58" t="str">
        <f t="shared" si="315"/>
        <v/>
      </c>
      <c r="BX452" s="59"/>
      <c r="BY452" s="58" t="str">
        <f t="shared" si="316"/>
        <v/>
      </c>
      <c r="BZ452" s="59"/>
    </row>
    <row r="453" spans="1:78" ht="14.5" hidden="1">
      <c r="A453" s="51" t="s">
        <v>58</v>
      </c>
      <c r="B453" s="52">
        <v>432</v>
      </c>
      <c r="C453" s="52" t="s">
        <v>188</v>
      </c>
      <c r="D453" s="41">
        <f t="shared" si="209"/>
        <v>9</v>
      </c>
      <c r="E453" s="170"/>
      <c r="F453" s="41"/>
      <c r="G453" s="52" t="s">
        <v>158</v>
      </c>
      <c r="H453" s="52" t="s">
        <v>242</v>
      </c>
      <c r="I453" s="52" t="s">
        <v>156</v>
      </c>
      <c r="J453" s="52" t="s">
        <v>432</v>
      </c>
      <c r="K453" s="53">
        <v>45716</v>
      </c>
      <c r="L453" s="108">
        <v>180</v>
      </c>
      <c r="M453" s="101"/>
      <c r="N453" s="101"/>
      <c r="O453" s="107">
        <f t="shared" si="287"/>
        <v>180</v>
      </c>
      <c r="P453" s="54">
        <f t="shared" si="288"/>
        <v>180</v>
      </c>
      <c r="Q453" s="101" t="s">
        <v>431</v>
      </c>
      <c r="R453" s="101"/>
      <c r="S453" s="101"/>
      <c r="T453" s="102">
        <f t="shared" si="210"/>
        <v>0.25</v>
      </c>
      <c r="U453" s="102">
        <v>6</v>
      </c>
      <c r="V453" s="99">
        <v>120</v>
      </c>
      <c r="W453" s="55">
        <f t="shared" si="289"/>
        <v>45696</v>
      </c>
      <c r="X453" s="55"/>
      <c r="Y453" s="56">
        <f t="shared" ca="1" si="291"/>
        <v>-144</v>
      </c>
      <c r="Z453" s="55">
        <f t="shared" si="290"/>
        <v>45712</v>
      </c>
      <c r="AA453" s="55"/>
      <c r="AB453" s="56">
        <f t="shared" ca="1" si="292"/>
        <v>-128</v>
      </c>
      <c r="AC453" s="55"/>
      <c r="AD453" s="57"/>
      <c r="AE453" s="58" t="str">
        <f t="shared" si="293"/>
        <v>-</v>
      </c>
      <c r="AF453" s="59"/>
      <c r="AG453" s="58" t="str">
        <f t="shared" si="294"/>
        <v/>
      </c>
      <c r="AH453" s="59"/>
      <c r="AI453" s="58" t="str">
        <f t="shared" si="295"/>
        <v/>
      </c>
      <c r="AJ453" s="59"/>
      <c r="AK453" s="58" t="str">
        <f t="shared" si="296"/>
        <v/>
      </c>
      <c r="AL453" s="59"/>
      <c r="AM453" s="58" t="str">
        <f t="shared" si="297"/>
        <v/>
      </c>
      <c r="AN453" s="59"/>
      <c r="AO453" s="58" t="str">
        <f t="shared" si="298"/>
        <v/>
      </c>
      <c r="AP453" s="59"/>
      <c r="AQ453" s="58" t="str">
        <f t="shared" si="299"/>
        <v/>
      </c>
      <c r="AR453" s="59"/>
      <c r="AS453" s="58" t="str">
        <f t="shared" si="300"/>
        <v/>
      </c>
      <c r="AT453" s="59"/>
      <c r="AU453" s="58" t="str">
        <f t="shared" si="301"/>
        <v/>
      </c>
      <c r="AV453" s="59"/>
      <c r="AW453" s="58" t="str">
        <f t="shared" si="302"/>
        <v/>
      </c>
      <c r="AX453" s="59"/>
      <c r="AY453" s="58" t="str">
        <f t="shared" si="303"/>
        <v/>
      </c>
      <c r="AZ453" s="59"/>
      <c r="BA453" s="58" t="str">
        <f t="shared" si="304"/>
        <v/>
      </c>
      <c r="BB453" s="59"/>
      <c r="BC453" s="58" t="str">
        <f t="shared" si="305"/>
        <v/>
      </c>
      <c r="BD453" s="59"/>
      <c r="BE453" s="58" t="str">
        <f t="shared" si="306"/>
        <v/>
      </c>
      <c r="BF453" s="59"/>
      <c r="BG453" s="58" t="str">
        <f t="shared" si="307"/>
        <v/>
      </c>
      <c r="BH453" s="59"/>
      <c r="BI453" s="58" t="str">
        <f t="shared" si="308"/>
        <v/>
      </c>
      <c r="BJ453" s="59"/>
      <c r="BK453" s="58" t="str">
        <f t="shared" si="309"/>
        <v/>
      </c>
      <c r="BL453" s="59"/>
      <c r="BM453" s="58">
        <f t="shared" si="310"/>
        <v>180</v>
      </c>
      <c r="BN453" s="59"/>
      <c r="BO453" s="58" t="str">
        <f t="shared" si="311"/>
        <v/>
      </c>
      <c r="BP453" s="59"/>
      <c r="BQ453" s="58" t="str">
        <f t="shared" si="312"/>
        <v/>
      </c>
      <c r="BR453" s="59"/>
      <c r="BS453" s="58" t="str">
        <f t="shared" si="313"/>
        <v/>
      </c>
      <c r="BT453" s="59"/>
      <c r="BU453" s="58" t="str">
        <f t="shared" si="314"/>
        <v/>
      </c>
      <c r="BV453" s="59"/>
      <c r="BW453" s="58" t="str">
        <f t="shared" si="315"/>
        <v/>
      </c>
      <c r="BX453" s="59"/>
      <c r="BY453" s="58" t="str">
        <f t="shared" si="316"/>
        <v/>
      </c>
      <c r="BZ453" s="59"/>
    </row>
    <row r="454" spans="1:78" ht="14.5" hidden="1">
      <c r="A454" s="51" t="s">
        <v>58</v>
      </c>
      <c r="B454" s="52">
        <v>432</v>
      </c>
      <c r="C454" s="52" t="s">
        <v>188</v>
      </c>
      <c r="D454" s="41">
        <f t="shared" si="209"/>
        <v>9</v>
      </c>
      <c r="E454" s="170"/>
      <c r="F454" s="41"/>
      <c r="G454" s="52" t="s">
        <v>190</v>
      </c>
      <c r="H454" s="52" t="s">
        <v>242</v>
      </c>
      <c r="I454" s="52" t="s">
        <v>244</v>
      </c>
      <c r="J454" s="52" t="s">
        <v>438</v>
      </c>
      <c r="K454" s="53">
        <v>45716</v>
      </c>
      <c r="L454" s="108">
        <v>1856</v>
      </c>
      <c r="M454" s="101"/>
      <c r="N454" s="101"/>
      <c r="O454" s="107">
        <f t="shared" si="287"/>
        <v>1856</v>
      </c>
      <c r="P454" s="54">
        <f t="shared" si="288"/>
        <v>1856</v>
      </c>
      <c r="Q454" s="101" t="s">
        <v>431</v>
      </c>
      <c r="R454" s="101"/>
      <c r="S454" s="101"/>
      <c r="T454" s="102">
        <f t="shared" si="210"/>
        <v>2.5777777777777779</v>
      </c>
      <c r="U454" s="102">
        <v>6</v>
      </c>
      <c r="V454" s="99">
        <v>120</v>
      </c>
      <c r="W454" s="55">
        <f t="shared" si="289"/>
        <v>45696</v>
      </c>
      <c r="X454" s="55"/>
      <c r="Y454" s="56">
        <f t="shared" ca="1" si="291"/>
        <v>-144</v>
      </c>
      <c r="Z454" s="55">
        <f t="shared" si="290"/>
        <v>45712</v>
      </c>
      <c r="AA454" s="55"/>
      <c r="AB454" s="56">
        <f t="shared" ca="1" si="292"/>
        <v>-128</v>
      </c>
      <c r="AC454" s="55"/>
      <c r="AD454" s="57"/>
      <c r="AE454" s="58" t="str">
        <f t="shared" si="293"/>
        <v>-</v>
      </c>
      <c r="AF454" s="59"/>
      <c r="AG454" s="58" t="str">
        <f t="shared" si="294"/>
        <v/>
      </c>
      <c r="AH454" s="59"/>
      <c r="AI454" s="58" t="str">
        <f t="shared" si="295"/>
        <v/>
      </c>
      <c r="AJ454" s="59"/>
      <c r="AK454" s="58" t="str">
        <f t="shared" si="296"/>
        <v/>
      </c>
      <c r="AL454" s="59"/>
      <c r="AM454" s="58" t="str">
        <f t="shared" si="297"/>
        <v/>
      </c>
      <c r="AN454" s="59"/>
      <c r="AO454" s="58" t="str">
        <f t="shared" si="298"/>
        <v/>
      </c>
      <c r="AP454" s="59"/>
      <c r="AQ454" s="58" t="str">
        <f t="shared" si="299"/>
        <v/>
      </c>
      <c r="AR454" s="59"/>
      <c r="AS454" s="58" t="str">
        <f t="shared" si="300"/>
        <v/>
      </c>
      <c r="AT454" s="59"/>
      <c r="AU454" s="58" t="str">
        <f t="shared" si="301"/>
        <v/>
      </c>
      <c r="AV454" s="59"/>
      <c r="AW454" s="58" t="str">
        <f t="shared" si="302"/>
        <v/>
      </c>
      <c r="AX454" s="59"/>
      <c r="AY454" s="58" t="str">
        <f t="shared" si="303"/>
        <v/>
      </c>
      <c r="AZ454" s="59"/>
      <c r="BA454" s="58" t="str">
        <f t="shared" si="304"/>
        <v/>
      </c>
      <c r="BB454" s="59"/>
      <c r="BC454" s="58" t="str">
        <f t="shared" si="305"/>
        <v/>
      </c>
      <c r="BD454" s="59"/>
      <c r="BE454" s="58" t="str">
        <f t="shared" si="306"/>
        <v/>
      </c>
      <c r="BF454" s="59"/>
      <c r="BG454" s="58" t="str">
        <f t="shared" si="307"/>
        <v/>
      </c>
      <c r="BH454" s="59"/>
      <c r="BI454" s="58" t="str">
        <f t="shared" si="308"/>
        <v/>
      </c>
      <c r="BJ454" s="59"/>
      <c r="BK454" s="58" t="str">
        <f t="shared" si="309"/>
        <v/>
      </c>
      <c r="BL454" s="59"/>
      <c r="BM454" s="58">
        <f t="shared" si="310"/>
        <v>1856</v>
      </c>
      <c r="BN454" s="59"/>
      <c r="BO454" s="58" t="str">
        <f t="shared" si="311"/>
        <v/>
      </c>
      <c r="BP454" s="59"/>
      <c r="BQ454" s="58" t="str">
        <f t="shared" si="312"/>
        <v/>
      </c>
      <c r="BR454" s="59"/>
      <c r="BS454" s="58" t="str">
        <f t="shared" si="313"/>
        <v/>
      </c>
      <c r="BT454" s="59"/>
      <c r="BU454" s="58" t="str">
        <f t="shared" si="314"/>
        <v/>
      </c>
      <c r="BV454" s="59"/>
      <c r="BW454" s="58" t="str">
        <f t="shared" si="315"/>
        <v/>
      </c>
      <c r="BX454" s="59"/>
      <c r="BY454" s="58" t="str">
        <f t="shared" si="316"/>
        <v/>
      </c>
      <c r="BZ454" s="59"/>
    </row>
    <row r="455" spans="1:78" ht="14.5" hidden="1">
      <c r="A455" s="51" t="s">
        <v>58</v>
      </c>
      <c r="B455" s="52">
        <v>433</v>
      </c>
      <c r="C455" s="52" t="s">
        <v>188</v>
      </c>
      <c r="D455" s="41">
        <f t="shared" ref="D455:D518" si="317">+WEEKNUM(K455)</f>
        <v>9</v>
      </c>
      <c r="E455" s="170"/>
      <c r="F455" s="41"/>
      <c r="G455" s="52" t="s">
        <v>271</v>
      </c>
      <c r="H455" s="52" t="s">
        <v>242</v>
      </c>
      <c r="I455" s="52" t="s">
        <v>244</v>
      </c>
      <c r="J455" s="52" t="s">
        <v>438</v>
      </c>
      <c r="K455" s="53">
        <v>45716</v>
      </c>
      <c r="L455" s="108">
        <v>448</v>
      </c>
      <c r="M455" s="101"/>
      <c r="N455" s="101"/>
      <c r="O455" s="107">
        <f t="shared" si="287"/>
        <v>448</v>
      </c>
      <c r="P455" s="54">
        <f t="shared" si="288"/>
        <v>448</v>
      </c>
      <c r="Q455" s="101" t="s">
        <v>431</v>
      </c>
      <c r="R455" s="101"/>
      <c r="S455" s="101"/>
      <c r="T455" s="102">
        <f t="shared" ref="T455:T518" si="318">L455/(V455*U455)</f>
        <v>0.62222222222222223</v>
      </c>
      <c r="U455" s="102">
        <v>6</v>
      </c>
      <c r="V455" s="99">
        <v>120</v>
      </c>
      <c r="W455" s="55">
        <f t="shared" si="289"/>
        <v>45696</v>
      </c>
      <c r="X455" s="55"/>
      <c r="Y455" s="56">
        <f t="shared" ca="1" si="291"/>
        <v>-144</v>
      </c>
      <c r="Z455" s="55">
        <f t="shared" si="290"/>
        <v>45712</v>
      </c>
      <c r="AA455" s="55"/>
      <c r="AB455" s="56">
        <f t="shared" ca="1" si="292"/>
        <v>-128</v>
      </c>
      <c r="AC455" s="55"/>
      <c r="AD455" s="57"/>
      <c r="AE455" s="58" t="str">
        <f t="shared" si="293"/>
        <v>-</v>
      </c>
      <c r="AF455" s="59"/>
      <c r="AG455" s="58" t="str">
        <f t="shared" si="294"/>
        <v/>
      </c>
      <c r="AH455" s="59"/>
      <c r="AI455" s="58" t="str">
        <f t="shared" si="295"/>
        <v/>
      </c>
      <c r="AJ455" s="59"/>
      <c r="AK455" s="58" t="str">
        <f t="shared" si="296"/>
        <v/>
      </c>
      <c r="AL455" s="59"/>
      <c r="AM455" s="58" t="str">
        <f t="shared" si="297"/>
        <v/>
      </c>
      <c r="AN455" s="59"/>
      <c r="AO455" s="58" t="str">
        <f t="shared" si="298"/>
        <v/>
      </c>
      <c r="AP455" s="59"/>
      <c r="AQ455" s="58" t="str">
        <f t="shared" si="299"/>
        <v/>
      </c>
      <c r="AR455" s="59"/>
      <c r="AS455" s="58" t="str">
        <f t="shared" si="300"/>
        <v/>
      </c>
      <c r="AT455" s="59"/>
      <c r="AU455" s="58" t="str">
        <f t="shared" si="301"/>
        <v/>
      </c>
      <c r="AV455" s="59"/>
      <c r="AW455" s="58" t="str">
        <f t="shared" si="302"/>
        <v/>
      </c>
      <c r="AX455" s="59"/>
      <c r="AY455" s="58" t="str">
        <f t="shared" si="303"/>
        <v/>
      </c>
      <c r="AZ455" s="59"/>
      <c r="BA455" s="58" t="str">
        <f t="shared" si="304"/>
        <v/>
      </c>
      <c r="BB455" s="59"/>
      <c r="BC455" s="58" t="str">
        <f t="shared" si="305"/>
        <v/>
      </c>
      <c r="BD455" s="59"/>
      <c r="BE455" s="58" t="str">
        <f t="shared" si="306"/>
        <v/>
      </c>
      <c r="BF455" s="59"/>
      <c r="BG455" s="58" t="str">
        <f t="shared" si="307"/>
        <v/>
      </c>
      <c r="BH455" s="59"/>
      <c r="BI455" s="58" t="str">
        <f t="shared" si="308"/>
        <v/>
      </c>
      <c r="BJ455" s="59"/>
      <c r="BK455" s="58" t="str">
        <f t="shared" si="309"/>
        <v/>
      </c>
      <c r="BL455" s="59"/>
      <c r="BM455" s="58">
        <f t="shared" si="310"/>
        <v>448</v>
      </c>
      <c r="BN455" s="59"/>
      <c r="BO455" s="58" t="str">
        <f t="shared" si="311"/>
        <v/>
      </c>
      <c r="BP455" s="59"/>
      <c r="BQ455" s="58" t="str">
        <f t="shared" si="312"/>
        <v/>
      </c>
      <c r="BR455" s="59"/>
      <c r="BS455" s="58" t="str">
        <f t="shared" si="313"/>
        <v/>
      </c>
      <c r="BT455" s="59"/>
      <c r="BU455" s="58" t="str">
        <f t="shared" si="314"/>
        <v/>
      </c>
      <c r="BV455" s="59"/>
      <c r="BW455" s="58" t="str">
        <f t="shared" si="315"/>
        <v/>
      </c>
      <c r="BX455" s="59"/>
      <c r="BY455" s="58" t="str">
        <f t="shared" si="316"/>
        <v/>
      </c>
      <c r="BZ455" s="59"/>
    </row>
    <row r="456" spans="1:78" ht="14.5" hidden="1">
      <c r="A456" s="51" t="s">
        <v>58</v>
      </c>
      <c r="B456" s="52">
        <v>433</v>
      </c>
      <c r="C456" s="52" t="s">
        <v>188</v>
      </c>
      <c r="D456" s="41">
        <f t="shared" si="317"/>
        <v>9</v>
      </c>
      <c r="E456" s="170"/>
      <c r="F456" s="41"/>
      <c r="G456" s="52" t="s">
        <v>190</v>
      </c>
      <c r="H456" s="52" t="s">
        <v>242</v>
      </c>
      <c r="I456" s="52" t="s">
        <v>244</v>
      </c>
      <c r="J456" s="52" t="s">
        <v>438</v>
      </c>
      <c r="K456" s="53">
        <v>45716</v>
      </c>
      <c r="L456" s="108">
        <v>1348</v>
      </c>
      <c r="M456" s="101"/>
      <c r="N456" s="101"/>
      <c r="O456" s="107">
        <f t="shared" si="287"/>
        <v>1348</v>
      </c>
      <c r="P456" s="54">
        <f t="shared" si="288"/>
        <v>1348</v>
      </c>
      <c r="Q456" s="101" t="s">
        <v>431</v>
      </c>
      <c r="R456" s="101"/>
      <c r="S456" s="101"/>
      <c r="T456" s="102">
        <f t="shared" si="318"/>
        <v>1.8722222222222222</v>
      </c>
      <c r="U456" s="102">
        <v>6</v>
      </c>
      <c r="V456" s="99">
        <v>120</v>
      </c>
      <c r="W456" s="55">
        <f t="shared" si="289"/>
        <v>45696</v>
      </c>
      <c r="X456" s="55"/>
      <c r="Y456" s="56">
        <f t="shared" ca="1" si="291"/>
        <v>-144</v>
      </c>
      <c r="Z456" s="55">
        <f t="shared" si="290"/>
        <v>45712</v>
      </c>
      <c r="AA456" s="55"/>
      <c r="AB456" s="56">
        <f t="shared" ca="1" si="292"/>
        <v>-128</v>
      </c>
      <c r="AC456" s="55"/>
      <c r="AD456" s="57"/>
      <c r="AE456" s="58" t="str">
        <f t="shared" si="293"/>
        <v>-</v>
      </c>
      <c r="AF456" s="59"/>
      <c r="AG456" s="58" t="str">
        <f t="shared" si="294"/>
        <v/>
      </c>
      <c r="AH456" s="59"/>
      <c r="AI456" s="58" t="str">
        <f t="shared" si="295"/>
        <v/>
      </c>
      <c r="AJ456" s="59"/>
      <c r="AK456" s="58" t="str">
        <f t="shared" si="296"/>
        <v/>
      </c>
      <c r="AL456" s="59"/>
      <c r="AM456" s="58" t="str">
        <f t="shared" si="297"/>
        <v/>
      </c>
      <c r="AN456" s="59"/>
      <c r="AO456" s="58" t="str">
        <f t="shared" si="298"/>
        <v/>
      </c>
      <c r="AP456" s="59"/>
      <c r="AQ456" s="58" t="str">
        <f t="shared" si="299"/>
        <v/>
      </c>
      <c r="AR456" s="59"/>
      <c r="AS456" s="58" t="str">
        <f t="shared" si="300"/>
        <v/>
      </c>
      <c r="AT456" s="59"/>
      <c r="AU456" s="58" t="str">
        <f t="shared" si="301"/>
        <v/>
      </c>
      <c r="AV456" s="59"/>
      <c r="AW456" s="58" t="str">
        <f t="shared" si="302"/>
        <v/>
      </c>
      <c r="AX456" s="59"/>
      <c r="AY456" s="58" t="str">
        <f t="shared" si="303"/>
        <v/>
      </c>
      <c r="AZ456" s="59"/>
      <c r="BA456" s="58" t="str">
        <f t="shared" si="304"/>
        <v/>
      </c>
      <c r="BB456" s="59"/>
      <c r="BC456" s="58" t="str">
        <f t="shared" si="305"/>
        <v/>
      </c>
      <c r="BD456" s="59"/>
      <c r="BE456" s="58" t="str">
        <f t="shared" si="306"/>
        <v/>
      </c>
      <c r="BF456" s="59"/>
      <c r="BG456" s="58" t="str">
        <f t="shared" si="307"/>
        <v/>
      </c>
      <c r="BH456" s="59"/>
      <c r="BI456" s="58" t="str">
        <f t="shared" si="308"/>
        <v/>
      </c>
      <c r="BJ456" s="59"/>
      <c r="BK456" s="58" t="str">
        <f t="shared" si="309"/>
        <v/>
      </c>
      <c r="BL456" s="59"/>
      <c r="BM456" s="58">
        <f t="shared" si="310"/>
        <v>1348</v>
      </c>
      <c r="BN456" s="59"/>
      <c r="BO456" s="58" t="str">
        <f t="shared" si="311"/>
        <v/>
      </c>
      <c r="BP456" s="59"/>
      <c r="BQ456" s="58" t="str">
        <f t="shared" si="312"/>
        <v/>
      </c>
      <c r="BR456" s="59"/>
      <c r="BS456" s="58" t="str">
        <f t="shared" si="313"/>
        <v/>
      </c>
      <c r="BT456" s="59"/>
      <c r="BU456" s="58" t="str">
        <f t="shared" si="314"/>
        <v/>
      </c>
      <c r="BV456" s="59"/>
      <c r="BW456" s="58" t="str">
        <f t="shared" si="315"/>
        <v/>
      </c>
      <c r="BX456" s="59"/>
      <c r="BY456" s="58" t="str">
        <f t="shared" si="316"/>
        <v/>
      </c>
      <c r="BZ456" s="59"/>
    </row>
    <row r="457" spans="1:78" ht="14.5" hidden="1">
      <c r="A457" s="51" t="s">
        <v>58</v>
      </c>
      <c r="B457" s="52">
        <v>434</v>
      </c>
      <c r="C457" s="52" t="s">
        <v>188</v>
      </c>
      <c r="D457" s="41">
        <f t="shared" si="317"/>
        <v>9</v>
      </c>
      <c r="E457" s="170"/>
      <c r="F457" s="41"/>
      <c r="G457" s="52" t="s">
        <v>190</v>
      </c>
      <c r="H457" s="52" t="s">
        <v>242</v>
      </c>
      <c r="I457" s="52" t="s">
        <v>244</v>
      </c>
      <c r="J457" s="52" t="s">
        <v>438</v>
      </c>
      <c r="K457" s="53">
        <v>45716</v>
      </c>
      <c r="L457" s="108">
        <v>1796</v>
      </c>
      <c r="M457" s="101"/>
      <c r="N457" s="101"/>
      <c r="O457" s="107">
        <f t="shared" si="287"/>
        <v>1796</v>
      </c>
      <c r="P457" s="54">
        <f t="shared" si="288"/>
        <v>1796</v>
      </c>
      <c r="Q457" s="101" t="s">
        <v>431</v>
      </c>
      <c r="R457" s="101"/>
      <c r="S457" s="101"/>
      <c r="T457" s="102">
        <f t="shared" si="318"/>
        <v>2.4944444444444445</v>
      </c>
      <c r="U457" s="102">
        <v>6</v>
      </c>
      <c r="V457" s="99">
        <v>120</v>
      </c>
      <c r="W457" s="55">
        <f t="shared" si="289"/>
        <v>45696</v>
      </c>
      <c r="X457" s="55"/>
      <c r="Y457" s="56">
        <f t="shared" ca="1" si="291"/>
        <v>-144</v>
      </c>
      <c r="Z457" s="55">
        <f t="shared" si="290"/>
        <v>45712</v>
      </c>
      <c r="AA457" s="55"/>
      <c r="AB457" s="56">
        <f t="shared" ca="1" si="292"/>
        <v>-128</v>
      </c>
      <c r="AC457" s="55"/>
      <c r="AD457" s="57"/>
      <c r="AE457" s="58" t="str">
        <f t="shared" si="293"/>
        <v>-</v>
      </c>
      <c r="AF457" s="59"/>
      <c r="AG457" s="58" t="str">
        <f t="shared" si="294"/>
        <v/>
      </c>
      <c r="AH457" s="59"/>
      <c r="AI457" s="58" t="str">
        <f t="shared" si="295"/>
        <v/>
      </c>
      <c r="AJ457" s="59"/>
      <c r="AK457" s="58" t="str">
        <f t="shared" si="296"/>
        <v/>
      </c>
      <c r="AL457" s="59"/>
      <c r="AM457" s="58" t="str">
        <f t="shared" si="297"/>
        <v/>
      </c>
      <c r="AN457" s="59"/>
      <c r="AO457" s="58" t="str">
        <f t="shared" si="298"/>
        <v/>
      </c>
      <c r="AP457" s="59"/>
      <c r="AQ457" s="58" t="str">
        <f t="shared" si="299"/>
        <v/>
      </c>
      <c r="AR457" s="59"/>
      <c r="AS457" s="58" t="str">
        <f t="shared" si="300"/>
        <v/>
      </c>
      <c r="AT457" s="59"/>
      <c r="AU457" s="58" t="str">
        <f t="shared" si="301"/>
        <v/>
      </c>
      <c r="AV457" s="59"/>
      <c r="AW457" s="58" t="str">
        <f t="shared" si="302"/>
        <v/>
      </c>
      <c r="AX457" s="59"/>
      <c r="AY457" s="58" t="str">
        <f t="shared" si="303"/>
        <v/>
      </c>
      <c r="AZ457" s="59"/>
      <c r="BA457" s="58" t="str">
        <f t="shared" si="304"/>
        <v/>
      </c>
      <c r="BB457" s="59"/>
      <c r="BC457" s="58" t="str">
        <f t="shared" si="305"/>
        <v/>
      </c>
      <c r="BD457" s="59"/>
      <c r="BE457" s="58" t="str">
        <f t="shared" si="306"/>
        <v/>
      </c>
      <c r="BF457" s="59"/>
      <c r="BG457" s="58" t="str">
        <f t="shared" si="307"/>
        <v/>
      </c>
      <c r="BH457" s="59"/>
      <c r="BI457" s="58" t="str">
        <f t="shared" si="308"/>
        <v/>
      </c>
      <c r="BJ457" s="59"/>
      <c r="BK457" s="58" t="str">
        <f t="shared" si="309"/>
        <v/>
      </c>
      <c r="BL457" s="59"/>
      <c r="BM457" s="58">
        <f t="shared" si="310"/>
        <v>1796</v>
      </c>
      <c r="BN457" s="59"/>
      <c r="BO457" s="58" t="str">
        <f t="shared" si="311"/>
        <v/>
      </c>
      <c r="BP457" s="59"/>
      <c r="BQ457" s="58" t="str">
        <f t="shared" si="312"/>
        <v/>
      </c>
      <c r="BR457" s="59"/>
      <c r="BS457" s="58" t="str">
        <f t="shared" si="313"/>
        <v/>
      </c>
      <c r="BT457" s="59"/>
      <c r="BU457" s="58" t="str">
        <f t="shared" si="314"/>
        <v/>
      </c>
      <c r="BV457" s="59"/>
      <c r="BW457" s="58" t="str">
        <f t="shared" si="315"/>
        <v/>
      </c>
      <c r="BX457" s="59"/>
      <c r="BY457" s="58" t="str">
        <f t="shared" si="316"/>
        <v/>
      </c>
      <c r="BZ457" s="59"/>
    </row>
    <row r="458" spans="1:78" ht="14.5" hidden="1">
      <c r="A458" s="51" t="s">
        <v>466</v>
      </c>
      <c r="B458" s="52">
        <v>421</v>
      </c>
      <c r="C458" s="52" t="s">
        <v>55</v>
      </c>
      <c r="D458" s="41">
        <f t="shared" si="317"/>
        <v>10</v>
      </c>
      <c r="E458" s="170"/>
      <c r="F458" s="41"/>
      <c r="G458" s="52" t="s">
        <v>539</v>
      </c>
      <c r="H458" s="52" t="s">
        <v>286</v>
      </c>
      <c r="I458" s="52" t="s">
        <v>162</v>
      </c>
      <c r="J458" s="52" t="s">
        <v>581</v>
      </c>
      <c r="K458" s="53">
        <v>45718</v>
      </c>
      <c r="L458" s="108">
        <v>45900</v>
      </c>
      <c r="M458" s="101"/>
      <c r="N458" s="101"/>
      <c r="O458" s="101">
        <f>+L458-N458</f>
        <v>45900</v>
      </c>
      <c r="P458" s="54">
        <f>+L458-M458</f>
        <v>45900</v>
      </c>
      <c r="Q458" s="101" t="s">
        <v>178</v>
      </c>
      <c r="R458" s="101"/>
      <c r="S458" s="101"/>
      <c r="T458" s="102">
        <f t="shared" si="318"/>
        <v>95.625</v>
      </c>
      <c r="U458" s="102">
        <v>6</v>
      </c>
      <c r="V458" s="99">
        <v>80</v>
      </c>
      <c r="W458" s="55">
        <f>+K458-(32)</f>
        <v>45686</v>
      </c>
      <c r="X458" s="55"/>
      <c r="Y458" s="56">
        <f t="shared" ca="1" si="291"/>
        <v>-154</v>
      </c>
      <c r="Z458" s="55">
        <f t="shared" si="290"/>
        <v>45702</v>
      </c>
      <c r="AA458" s="55"/>
      <c r="AB458" s="56">
        <f t="shared" ca="1" si="292"/>
        <v>-138</v>
      </c>
      <c r="AC458" s="55"/>
      <c r="AD458" s="57"/>
      <c r="AE458" s="58" t="str">
        <f t="shared" si="293"/>
        <v>-</v>
      </c>
      <c r="AF458" s="59"/>
      <c r="AG458" s="58" t="str">
        <f t="shared" si="294"/>
        <v/>
      </c>
      <c r="AH458" s="59"/>
      <c r="AI458" s="58" t="str">
        <f t="shared" si="295"/>
        <v/>
      </c>
      <c r="AJ458" s="59"/>
      <c r="AK458" s="58" t="str">
        <f t="shared" si="296"/>
        <v/>
      </c>
      <c r="AL458" s="59"/>
      <c r="AM458" s="58" t="str">
        <f t="shared" si="297"/>
        <v/>
      </c>
      <c r="AN458" s="59"/>
      <c r="AO458" s="58" t="str">
        <f t="shared" si="298"/>
        <v/>
      </c>
      <c r="AP458" s="59"/>
      <c r="AQ458" s="58" t="str">
        <f t="shared" si="299"/>
        <v/>
      </c>
      <c r="AR458" s="59"/>
      <c r="AS458" s="58" t="str">
        <f t="shared" si="300"/>
        <v/>
      </c>
      <c r="AT458" s="59"/>
      <c r="AU458" s="58" t="str">
        <f t="shared" si="301"/>
        <v/>
      </c>
      <c r="AV458" s="59"/>
      <c r="AW458" s="58" t="str">
        <f t="shared" si="302"/>
        <v/>
      </c>
      <c r="AX458" s="59"/>
      <c r="AY458" s="58" t="str">
        <f t="shared" si="303"/>
        <v/>
      </c>
      <c r="AZ458" s="59"/>
      <c r="BA458" s="58" t="str">
        <f t="shared" si="304"/>
        <v/>
      </c>
      <c r="BB458" s="59"/>
      <c r="BC458" s="58" t="str">
        <f t="shared" si="305"/>
        <v/>
      </c>
      <c r="BD458" s="59"/>
      <c r="BE458" s="58" t="str">
        <f t="shared" si="306"/>
        <v/>
      </c>
      <c r="BF458" s="59"/>
      <c r="BG458" s="58" t="str">
        <f t="shared" si="307"/>
        <v/>
      </c>
      <c r="BH458" s="59"/>
      <c r="BI458" s="58" t="str">
        <f t="shared" si="308"/>
        <v/>
      </c>
      <c r="BJ458" s="59"/>
      <c r="BK458" s="58">
        <f t="shared" si="309"/>
        <v>45900</v>
      </c>
      <c r="BL458" s="59"/>
      <c r="BM458" s="58" t="str">
        <f t="shared" si="310"/>
        <v/>
      </c>
      <c r="BN458" s="59"/>
      <c r="BO458" s="58" t="str">
        <f t="shared" si="311"/>
        <v/>
      </c>
      <c r="BP458" s="59"/>
      <c r="BQ458" s="58" t="str">
        <f t="shared" si="312"/>
        <v/>
      </c>
      <c r="BR458" s="59"/>
      <c r="BS458" s="58" t="str">
        <f t="shared" si="313"/>
        <v/>
      </c>
      <c r="BT458" s="59"/>
      <c r="BU458" s="58" t="str">
        <f t="shared" si="314"/>
        <v/>
      </c>
      <c r="BV458" s="59"/>
      <c r="BW458" s="58" t="str">
        <f t="shared" si="315"/>
        <v/>
      </c>
      <c r="BX458" s="59"/>
      <c r="BY458" s="58" t="str">
        <f t="shared" si="316"/>
        <v/>
      </c>
      <c r="BZ458" s="59"/>
    </row>
    <row r="459" spans="1:78" ht="14.5" hidden="1">
      <c r="A459" s="51" t="s">
        <v>466</v>
      </c>
      <c r="B459" s="52">
        <v>421</v>
      </c>
      <c r="C459" s="52" t="s">
        <v>55</v>
      </c>
      <c r="D459" s="41">
        <f t="shared" si="317"/>
        <v>10</v>
      </c>
      <c r="E459" s="170"/>
      <c r="F459" s="41"/>
      <c r="G459" s="52" t="s">
        <v>539</v>
      </c>
      <c r="H459" s="52" t="s">
        <v>286</v>
      </c>
      <c r="I459" s="52" t="s">
        <v>155</v>
      </c>
      <c r="J459" s="52" t="s">
        <v>581</v>
      </c>
      <c r="K459" s="53">
        <v>45718</v>
      </c>
      <c r="L459" s="108">
        <v>46920</v>
      </c>
      <c r="M459" s="101"/>
      <c r="N459" s="101"/>
      <c r="O459" s="101">
        <f>+L459-N459</f>
        <v>46920</v>
      </c>
      <c r="P459" s="54">
        <f>+L459-M459</f>
        <v>46920</v>
      </c>
      <c r="Q459" s="101" t="s">
        <v>178</v>
      </c>
      <c r="R459" s="101"/>
      <c r="S459" s="101"/>
      <c r="T459" s="102">
        <f t="shared" si="318"/>
        <v>97.75</v>
      </c>
      <c r="U459" s="102">
        <v>6</v>
      </c>
      <c r="V459" s="99">
        <v>80</v>
      </c>
      <c r="W459" s="55">
        <f>+K459-(32)</f>
        <v>45686</v>
      </c>
      <c r="X459" s="55"/>
      <c r="Y459" s="56">
        <f t="shared" ca="1" si="291"/>
        <v>-154</v>
      </c>
      <c r="Z459" s="55">
        <f t="shared" si="290"/>
        <v>45702</v>
      </c>
      <c r="AA459" s="55"/>
      <c r="AB459" s="56">
        <f t="shared" ca="1" si="292"/>
        <v>-138</v>
      </c>
      <c r="AC459" s="55"/>
      <c r="AD459" s="57"/>
      <c r="AE459" s="58" t="str">
        <f t="shared" si="293"/>
        <v>-</v>
      </c>
      <c r="AF459" s="59"/>
      <c r="AG459" s="58" t="str">
        <f t="shared" si="294"/>
        <v/>
      </c>
      <c r="AH459" s="59"/>
      <c r="AI459" s="58" t="str">
        <f t="shared" si="295"/>
        <v/>
      </c>
      <c r="AJ459" s="59"/>
      <c r="AK459" s="58" t="str">
        <f t="shared" si="296"/>
        <v/>
      </c>
      <c r="AL459" s="59"/>
      <c r="AM459" s="58" t="str">
        <f t="shared" si="297"/>
        <v/>
      </c>
      <c r="AN459" s="59"/>
      <c r="AO459" s="58" t="str">
        <f t="shared" si="298"/>
        <v/>
      </c>
      <c r="AP459" s="59"/>
      <c r="AQ459" s="58" t="str">
        <f t="shared" si="299"/>
        <v/>
      </c>
      <c r="AR459" s="59"/>
      <c r="AS459" s="58" t="str">
        <f t="shared" si="300"/>
        <v/>
      </c>
      <c r="AT459" s="59"/>
      <c r="AU459" s="58" t="str">
        <f t="shared" si="301"/>
        <v/>
      </c>
      <c r="AV459" s="59"/>
      <c r="AW459" s="58" t="str">
        <f t="shared" si="302"/>
        <v/>
      </c>
      <c r="AX459" s="59"/>
      <c r="AY459" s="58" t="str">
        <f t="shared" si="303"/>
        <v/>
      </c>
      <c r="AZ459" s="59"/>
      <c r="BA459" s="58" t="str">
        <f t="shared" si="304"/>
        <v/>
      </c>
      <c r="BB459" s="59"/>
      <c r="BC459" s="58" t="str">
        <f t="shared" si="305"/>
        <v/>
      </c>
      <c r="BD459" s="59"/>
      <c r="BE459" s="58" t="str">
        <f t="shared" si="306"/>
        <v/>
      </c>
      <c r="BF459" s="59"/>
      <c r="BG459" s="58" t="str">
        <f t="shared" si="307"/>
        <v/>
      </c>
      <c r="BH459" s="59"/>
      <c r="BI459" s="58" t="str">
        <f t="shared" si="308"/>
        <v/>
      </c>
      <c r="BJ459" s="59"/>
      <c r="BK459" s="58">
        <f t="shared" si="309"/>
        <v>46920</v>
      </c>
      <c r="BL459" s="59"/>
      <c r="BM459" s="58" t="str">
        <f t="shared" si="310"/>
        <v/>
      </c>
      <c r="BN459" s="59"/>
      <c r="BO459" s="58" t="str">
        <f t="shared" si="311"/>
        <v/>
      </c>
      <c r="BP459" s="59"/>
      <c r="BQ459" s="58" t="str">
        <f t="shared" si="312"/>
        <v/>
      </c>
      <c r="BR459" s="59"/>
      <c r="BS459" s="58" t="str">
        <f t="shared" si="313"/>
        <v/>
      </c>
      <c r="BT459" s="59"/>
      <c r="BU459" s="58" t="str">
        <f t="shared" si="314"/>
        <v/>
      </c>
      <c r="BV459" s="59"/>
      <c r="BW459" s="58" t="str">
        <f t="shared" si="315"/>
        <v/>
      </c>
      <c r="BX459" s="59"/>
      <c r="BY459" s="58" t="str">
        <f t="shared" si="316"/>
        <v/>
      </c>
      <c r="BZ459" s="59"/>
    </row>
    <row r="460" spans="1:78" ht="14.5" hidden="1">
      <c r="A460" s="51" t="s">
        <v>446</v>
      </c>
      <c r="B460" s="52" t="s">
        <v>582</v>
      </c>
      <c r="C460" s="52" t="s">
        <v>60</v>
      </c>
      <c r="D460" s="41">
        <f t="shared" si="317"/>
        <v>10</v>
      </c>
      <c r="E460" s="170"/>
      <c r="F460" s="41"/>
      <c r="G460" s="52" t="s">
        <v>187</v>
      </c>
      <c r="H460" s="52" t="s">
        <v>448</v>
      </c>
      <c r="I460" s="52" t="s">
        <v>164</v>
      </c>
      <c r="J460" s="52" t="s">
        <v>449</v>
      </c>
      <c r="K460" s="53">
        <v>45721</v>
      </c>
      <c r="L460" s="108">
        <v>9000</v>
      </c>
      <c r="M460" s="101"/>
      <c r="N460" s="101"/>
      <c r="O460" s="101">
        <f>+L460-N460</f>
        <v>9000</v>
      </c>
      <c r="P460" s="54">
        <f>+L460-M460</f>
        <v>9000</v>
      </c>
      <c r="Q460" s="101" t="s">
        <v>429</v>
      </c>
      <c r="R460" s="101"/>
      <c r="S460" s="101"/>
      <c r="T460" s="102">
        <f t="shared" si="318"/>
        <v>1.3636363636363635</v>
      </c>
      <c r="U460" s="102">
        <v>6</v>
      </c>
      <c r="V460" s="99">
        <v>1100</v>
      </c>
      <c r="W460" s="55">
        <f>+K460-(28)</f>
        <v>45693</v>
      </c>
      <c r="X460" s="55"/>
      <c r="Y460" s="56">
        <f t="shared" ca="1" si="291"/>
        <v>-147</v>
      </c>
      <c r="Z460" s="55">
        <f t="shared" si="290"/>
        <v>45709</v>
      </c>
      <c r="AA460" s="55"/>
      <c r="AB460" s="56">
        <f t="shared" ca="1" si="292"/>
        <v>-131</v>
      </c>
      <c r="AC460" s="55"/>
      <c r="AD460" s="57"/>
      <c r="AE460" s="58" t="str">
        <f t="shared" si="293"/>
        <v>-</v>
      </c>
      <c r="AF460" s="59"/>
      <c r="AG460" s="58" t="str">
        <f t="shared" si="294"/>
        <v/>
      </c>
      <c r="AH460" s="59"/>
      <c r="AI460" s="58" t="str">
        <f t="shared" si="295"/>
        <v/>
      </c>
      <c r="AJ460" s="59"/>
      <c r="AK460" s="58" t="str">
        <f t="shared" si="296"/>
        <v/>
      </c>
      <c r="AL460" s="59"/>
      <c r="AM460" s="58" t="str">
        <f t="shared" si="297"/>
        <v/>
      </c>
      <c r="AN460" s="59"/>
      <c r="AO460" s="58" t="str">
        <f t="shared" si="298"/>
        <v/>
      </c>
      <c r="AP460" s="59"/>
      <c r="AQ460" s="58" t="str">
        <f t="shared" si="299"/>
        <v/>
      </c>
      <c r="AR460" s="59"/>
      <c r="AS460" s="58" t="str">
        <f t="shared" si="300"/>
        <v/>
      </c>
      <c r="AT460" s="59"/>
      <c r="AU460" s="58" t="str">
        <f t="shared" si="301"/>
        <v/>
      </c>
      <c r="AV460" s="59"/>
      <c r="AW460" s="58" t="str">
        <f t="shared" si="302"/>
        <v/>
      </c>
      <c r="AX460" s="59"/>
      <c r="AY460" s="58" t="str">
        <f t="shared" si="303"/>
        <v/>
      </c>
      <c r="AZ460" s="59"/>
      <c r="BA460" s="58" t="str">
        <f t="shared" si="304"/>
        <v/>
      </c>
      <c r="BB460" s="59"/>
      <c r="BC460" s="58" t="str">
        <f t="shared" si="305"/>
        <v/>
      </c>
      <c r="BD460" s="59"/>
      <c r="BE460" s="58" t="str">
        <f t="shared" si="306"/>
        <v/>
      </c>
      <c r="BF460" s="59"/>
      <c r="BG460" s="58" t="str">
        <f t="shared" si="307"/>
        <v/>
      </c>
      <c r="BH460" s="59"/>
      <c r="BI460" s="58" t="str">
        <f t="shared" si="308"/>
        <v/>
      </c>
      <c r="BJ460" s="59"/>
      <c r="BK460" s="58" t="str">
        <f t="shared" si="309"/>
        <v/>
      </c>
      <c r="BL460" s="59"/>
      <c r="BM460" s="58">
        <f t="shared" si="310"/>
        <v>9000</v>
      </c>
      <c r="BN460" s="59"/>
      <c r="BO460" s="58" t="str">
        <f t="shared" si="311"/>
        <v/>
      </c>
      <c r="BP460" s="59"/>
      <c r="BQ460" s="58" t="str">
        <f t="shared" si="312"/>
        <v/>
      </c>
      <c r="BR460" s="59"/>
      <c r="BS460" s="58" t="str">
        <f t="shared" si="313"/>
        <v/>
      </c>
      <c r="BT460" s="59"/>
      <c r="BU460" s="58" t="str">
        <f t="shared" si="314"/>
        <v/>
      </c>
      <c r="BV460" s="59"/>
      <c r="BW460" s="58" t="str">
        <f t="shared" si="315"/>
        <v/>
      </c>
      <c r="BX460" s="59"/>
      <c r="BY460" s="58" t="str">
        <f t="shared" si="316"/>
        <v/>
      </c>
      <c r="BZ460" s="59"/>
    </row>
    <row r="461" spans="1:78" ht="14.5" hidden="1">
      <c r="A461" s="51" t="s">
        <v>446</v>
      </c>
      <c r="B461" s="52" t="s">
        <v>582</v>
      </c>
      <c r="C461" s="52" t="s">
        <v>60</v>
      </c>
      <c r="D461" s="41">
        <f t="shared" si="317"/>
        <v>10</v>
      </c>
      <c r="E461" s="170"/>
      <c r="F461" s="41"/>
      <c r="G461" s="52" t="s">
        <v>187</v>
      </c>
      <c r="H461" s="52" t="s">
        <v>448</v>
      </c>
      <c r="I461" s="52" t="s">
        <v>155</v>
      </c>
      <c r="J461" s="52" t="s">
        <v>449</v>
      </c>
      <c r="K461" s="53">
        <v>45721</v>
      </c>
      <c r="L461" s="108">
        <v>9000</v>
      </c>
      <c r="M461" s="101"/>
      <c r="N461" s="101"/>
      <c r="O461" s="101">
        <f>+L461-N461</f>
        <v>9000</v>
      </c>
      <c r="P461" s="54">
        <f>+L461-M461</f>
        <v>9000</v>
      </c>
      <c r="Q461" s="101" t="s">
        <v>429</v>
      </c>
      <c r="R461" s="101"/>
      <c r="S461" s="101"/>
      <c r="T461" s="102">
        <f t="shared" si="318"/>
        <v>1.3636363636363635</v>
      </c>
      <c r="U461" s="102">
        <v>6</v>
      </c>
      <c r="V461" s="99">
        <v>1100</v>
      </c>
      <c r="W461" s="55">
        <f>+K461-(28)</f>
        <v>45693</v>
      </c>
      <c r="X461" s="55"/>
      <c r="Y461" s="56">
        <f t="shared" ca="1" si="291"/>
        <v>-147</v>
      </c>
      <c r="Z461" s="55">
        <f t="shared" si="290"/>
        <v>45709</v>
      </c>
      <c r="AA461" s="55"/>
      <c r="AB461" s="56">
        <f t="shared" ca="1" si="292"/>
        <v>-131</v>
      </c>
      <c r="AC461" s="55"/>
      <c r="AD461" s="57"/>
      <c r="AE461" s="58" t="str">
        <f t="shared" si="293"/>
        <v>-</v>
      </c>
      <c r="AF461" s="59"/>
      <c r="AG461" s="58" t="str">
        <f t="shared" si="294"/>
        <v/>
      </c>
      <c r="AH461" s="59"/>
      <c r="AI461" s="58" t="str">
        <f t="shared" si="295"/>
        <v/>
      </c>
      <c r="AJ461" s="59"/>
      <c r="AK461" s="58" t="str">
        <f t="shared" si="296"/>
        <v/>
      </c>
      <c r="AL461" s="59"/>
      <c r="AM461" s="58" t="str">
        <f t="shared" si="297"/>
        <v/>
      </c>
      <c r="AN461" s="59"/>
      <c r="AO461" s="58" t="str">
        <f t="shared" si="298"/>
        <v/>
      </c>
      <c r="AP461" s="59"/>
      <c r="AQ461" s="58" t="str">
        <f t="shared" si="299"/>
        <v/>
      </c>
      <c r="AR461" s="59"/>
      <c r="AS461" s="58" t="str">
        <f t="shared" si="300"/>
        <v/>
      </c>
      <c r="AT461" s="59"/>
      <c r="AU461" s="58" t="str">
        <f t="shared" si="301"/>
        <v/>
      </c>
      <c r="AV461" s="59"/>
      <c r="AW461" s="58" t="str">
        <f t="shared" si="302"/>
        <v/>
      </c>
      <c r="AX461" s="59"/>
      <c r="AY461" s="58" t="str">
        <f t="shared" si="303"/>
        <v/>
      </c>
      <c r="AZ461" s="59"/>
      <c r="BA461" s="58" t="str">
        <f t="shared" si="304"/>
        <v/>
      </c>
      <c r="BB461" s="59"/>
      <c r="BC461" s="58" t="str">
        <f t="shared" si="305"/>
        <v/>
      </c>
      <c r="BD461" s="59"/>
      <c r="BE461" s="58" t="str">
        <f t="shared" si="306"/>
        <v/>
      </c>
      <c r="BF461" s="59"/>
      <c r="BG461" s="58" t="str">
        <f t="shared" si="307"/>
        <v/>
      </c>
      <c r="BH461" s="59"/>
      <c r="BI461" s="58" t="str">
        <f t="shared" si="308"/>
        <v/>
      </c>
      <c r="BJ461" s="59"/>
      <c r="BK461" s="58" t="str">
        <f t="shared" si="309"/>
        <v/>
      </c>
      <c r="BL461" s="59"/>
      <c r="BM461" s="58">
        <f t="shared" si="310"/>
        <v>9000</v>
      </c>
      <c r="BN461" s="59"/>
      <c r="BO461" s="58" t="str">
        <f t="shared" si="311"/>
        <v/>
      </c>
      <c r="BP461" s="59"/>
      <c r="BQ461" s="58" t="str">
        <f t="shared" si="312"/>
        <v/>
      </c>
      <c r="BR461" s="59"/>
      <c r="BS461" s="58" t="str">
        <f t="shared" si="313"/>
        <v/>
      </c>
      <c r="BT461" s="59"/>
      <c r="BU461" s="58" t="str">
        <f t="shared" si="314"/>
        <v/>
      </c>
      <c r="BV461" s="59"/>
      <c r="BW461" s="58" t="str">
        <f t="shared" si="315"/>
        <v/>
      </c>
      <c r="BX461" s="59"/>
      <c r="BY461" s="58" t="str">
        <f t="shared" si="316"/>
        <v/>
      </c>
      <c r="BZ461" s="59"/>
    </row>
    <row r="462" spans="1:78" ht="14.5" hidden="1">
      <c r="A462" s="51" t="s">
        <v>446</v>
      </c>
      <c r="B462" s="52" t="s">
        <v>582</v>
      </c>
      <c r="C462" s="52" t="s">
        <v>60</v>
      </c>
      <c r="D462" s="41">
        <f t="shared" si="317"/>
        <v>10</v>
      </c>
      <c r="E462" s="170"/>
      <c r="F462" s="41"/>
      <c r="G462" s="52" t="s">
        <v>187</v>
      </c>
      <c r="H462" s="52" t="s">
        <v>448</v>
      </c>
      <c r="I462" s="52" t="s">
        <v>450</v>
      </c>
      <c r="J462" s="52" t="s">
        <v>449</v>
      </c>
      <c r="K462" s="53">
        <v>45721</v>
      </c>
      <c r="L462" s="108">
        <v>6000</v>
      </c>
      <c r="M462" s="101"/>
      <c r="N462" s="101"/>
      <c r="O462" s="101">
        <f>+L462-N462</f>
        <v>6000</v>
      </c>
      <c r="P462" s="54">
        <f>+L462-M462</f>
        <v>6000</v>
      </c>
      <c r="Q462" s="101" t="s">
        <v>429</v>
      </c>
      <c r="R462" s="101"/>
      <c r="S462" s="101"/>
      <c r="T462" s="102">
        <f t="shared" si="318"/>
        <v>0.90909090909090906</v>
      </c>
      <c r="U462" s="102">
        <v>6</v>
      </c>
      <c r="V462" s="99">
        <v>1100</v>
      </c>
      <c r="W462" s="55">
        <f>+K462-(28)</f>
        <v>45693</v>
      </c>
      <c r="X462" s="55"/>
      <c r="Y462" s="56">
        <f t="shared" ca="1" si="291"/>
        <v>-147</v>
      </c>
      <c r="Z462" s="55">
        <f t="shared" si="290"/>
        <v>45709</v>
      </c>
      <c r="AA462" s="55"/>
      <c r="AB462" s="56">
        <f t="shared" ca="1" si="292"/>
        <v>-131</v>
      </c>
      <c r="AC462" s="55"/>
      <c r="AD462" s="57"/>
      <c r="AE462" s="58" t="str">
        <f t="shared" si="293"/>
        <v>-</v>
      </c>
      <c r="AF462" s="59"/>
      <c r="AG462" s="58" t="str">
        <f t="shared" si="294"/>
        <v/>
      </c>
      <c r="AH462" s="59"/>
      <c r="AI462" s="58" t="str">
        <f t="shared" si="295"/>
        <v/>
      </c>
      <c r="AJ462" s="59"/>
      <c r="AK462" s="58" t="str">
        <f t="shared" si="296"/>
        <v/>
      </c>
      <c r="AL462" s="59"/>
      <c r="AM462" s="58" t="str">
        <f t="shared" si="297"/>
        <v/>
      </c>
      <c r="AN462" s="59"/>
      <c r="AO462" s="58" t="str">
        <f t="shared" si="298"/>
        <v/>
      </c>
      <c r="AP462" s="59"/>
      <c r="AQ462" s="58" t="str">
        <f t="shared" si="299"/>
        <v/>
      </c>
      <c r="AR462" s="59"/>
      <c r="AS462" s="58" t="str">
        <f t="shared" si="300"/>
        <v/>
      </c>
      <c r="AT462" s="59"/>
      <c r="AU462" s="58" t="str">
        <f t="shared" si="301"/>
        <v/>
      </c>
      <c r="AV462" s="59"/>
      <c r="AW462" s="58" t="str">
        <f t="shared" si="302"/>
        <v/>
      </c>
      <c r="AX462" s="59"/>
      <c r="AY462" s="58" t="str">
        <f t="shared" si="303"/>
        <v/>
      </c>
      <c r="AZ462" s="59"/>
      <c r="BA462" s="58" t="str">
        <f t="shared" si="304"/>
        <v/>
      </c>
      <c r="BB462" s="59"/>
      <c r="BC462" s="58" t="str">
        <f t="shared" si="305"/>
        <v/>
      </c>
      <c r="BD462" s="59"/>
      <c r="BE462" s="58" t="str">
        <f t="shared" si="306"/>
        <v/>
      </c>
      <c r="BF462" s="59"/>
      <c r="BG462" s="58" t="str">
        <f t="shared" si="307"/>
        <v/>
      </c>
      <c r="BH462" s="59"/>
      <c r="BI462" s="58" t="str">
        <f t="shared" si="308"/>
        <v/>
      </c>
      <c r="BJ462" s="59"/>
      <c r="BK462" s="58" t="str">
        <f t="shared" si="309"/>
        <v/>
      </c>
      <c r="BL462" s="59"/>
      <c r="BM462" s="58">
        <f t="shared" si="310"/>
        <v>6000</v>
      </c>
      <c r="BN462" s="59"/>
      <c r="BO462" s="58" t="str">
        <f t="shared" si="311"/>
        <v/>
      </c>
      <c r="BP462" s="59"/>
      <c r="BQ462" s="58" t="str">
        <f t="shared" si="312"/>
        <v/>
      </c>
      <c r="BR462" s="59"/>
      <c r="BS462" s="58" t="str">
        <f t="shared" si="313"/>
        <v/>
      </c>
      <c r="BT462" s="59"/>
      <c r="BU462" s="58" t="str">
        <f t="shared" si="314"/>
        <v/>
      </c>
      <c r="BV462" s="59"/>
      <c r="BW462" s="58" t="str">
        <f t="shared" si="315"/>
        <v/>
      </c>
      <c r="BX462" s="59"/>
      <c r="BY462" s="58" t="str">
        <f t="shared" si="316"/>
        <v/>
      </c>
      <c r="BZ462" s="59"/>
    </row>
    <row r="463" spans="1:78" ht="14.5" hidden="1">
      <c r="A463" s="51" t="s">
        <v>58</v>
      </c>
      <c r="B463" s="52">
        <v>411</v>
      </c>
      <c r="C463" s="52" t="s">
        <v>188</v>
      </c>
      <c r="D463" s="41">
        <f t="shared" si="317"/>
        <v>10</v>
      </c>
      <c r="E463" s="170"/>
      <c r="F463" s="41"/>
      <c r="G463" s="52" t="s">
        <v>189</v>
      </c>
      <c r="H463" s="52" t="s">
        <v>242</v>
      </c>
      <c r="I463" s="52" t="s">
        <v>162</v>
      </c>
      <c r="J463" s="52" t="s">
        <v>432</v>
      </c>
      <c r="K463" s="53">
        <v>45723</v>
      </c>
      <c r="L463" s="108">
        <v>1668</v>
      </c>
      <c r="M463" s="101"/>
      <c r="N463" s="101"/>
      <c r="O463" s="107">
        <f t="shared" ref="O463:O486" si="319">+L463-N463</f>
        <v>1668</v>
      </c>
      <c r="P463" s="54">
        <f t="shared" ref="P463:P486" si="320">+L463-M463</f>
        <v>1668</v>
      </c>
      <c r="Q463" s="101" t="s">
        <v>178</v>
      </c>
      <c r="R463" s="166">
        <v>45709</v>
      </c>
      <c r="S463" s="101"/>
      <c r="T463" s="102">
        <f t="shared" si="318"/>
        <v>2.3166666666666669</v>
      </c>
      <c r="U463" s="102">
        <v>6</v>
      </c>
      <c r="V463" s="99">
        <v>120</v>
      </c>
      <c r="W463" s="55">
        <f t="shared" ref="W463:W486" si="321">+K463-(20)</f>
        <v>45703</v>
      </c>
      <c r="X463" s="55"/>
      <c r="Y463" s="56">
        <f t="shared" ca="1" si="291"/>
        <v>-137</v>
      </c>
      <c r="Z463" s="55">
        <f t="shared" si="290"/>
        <v>45719</v>
      </c>
      <c r="AA463" s="55"/>
      <c r="AB463" s="56">
        <f t="shared" ca="1" si="292"/>
        <v>-121</v>
      </c>
      <c r="AC463" s="55"/>
      <c r="AD463" s="57"/>
      <c r="AE463" s="58" t="str">
        <f t="shared" si="293"/>
        <v>-</v>
      </c>
      <c r="AF463" s="59"/>
      <c r="AG463" s="58" t="str">
        <f t="shared" si="294"/>
        <v/>
      </c>
      <c r="AH463" s="59"/>
      <c r="AI463" s="58" t="str">
        <f t="shared" si="295"/>
        <v/>
      </c>
      <c r="AJ463" s="59"/>
      <c r="AK463" s="58" t="str">
        <f t="shared" si="296"/>
        <v/>
      </c>
      <c r="AL463" s="59"/>
      <c r="AM463" s="58" t="str">
        <f t="shared" si="297"/>
        <v/>
      </c>
      <c r="AN463" s="59"/>
      <c r="AO463" s="58" t="str">
        <f t="shared" si="298"/>
        <v/>
      </c>
      <c r="AP463" s="59"/>
      <c r="AQ463" s="58" t="str">
        <f t="shared" si="299"/>
        <v/>
      </c>
      <c r="AR463" s="59"/>
      <c r="AS463" s="58" t="str">
        <f t="shared" si="300"/>
        <v/>
      </c>
      <c r="AT463" s="59"/>
      <c r="AU463" s="58" t="str">
        <f t="shared" si="301"/>
        <v/>
      </c>
      <c r="AV463" s="59"/>
      <c r="AW463" s="58" t="str">
        <f t="shared" si="302"/>
        <v/>
      </c>
      <c r="AX463" s="59"/>
      <c r="AY463" s="58" t="str">
        <f t="shared" si="303"/>
        <v/>
      </c>
      <c r="AZ463" s="59"/>
      <c r="BA463" s="58" t="str">
        <f t="shared" si="304"/>
        <v/>
      </c>
      <c r="BB463" s="59"/>
      <c r="BC463" s="58" t="str">
        <f t="shared" si="305"/>
        <v/>
      </c>
      <c r="BD463" s="59"/>
      <c r="BE463" s="58" t="str">
        <f t="shared" si="306"/>
        <v/>
      </c>
      <c r="BF463" s="59"/>
      <c r="BG463" s="58" t="str">
        <f t="shared" si="307"/>
        <v/>
      </c>
      <c r="BH463" s="59"/>
      <c r="BI463" s="58" t="str">
        <f t="shared" si="308"/>
        <v/>
      </c>
      <c r="BJ463" s="59"/>
      <c r="BK463" s="58" t="str">
        <f t="shared" si="309"/>
        <v/>
      </c>
      <c r="BL463" s="59"/>
      <c r="BM463" s="58" t="str">
        <f t="shared" si="310"/>
        <v/>
      </c>
      <c r="BN463" s="59"/>
      <c r="BO463" s="58">
        <f t="shared" si="311"/>
        <v>1668</v>
      </c>
      <c r="BP463" s="59"/>
      <c r="BQ463" s="58" t="str">
        <f t="shared" si="312"/>
        <v/>
      </c>
      <c r="BR463" s="59"/>
      <c r="BS463" s="58" t="str">
        <f t="shared" si="313"/>
        <v/>
      </c>
      <c r="BT463" s="59"/>
      <c r="BU463" s="58" t="str">
        <f t="shared" si="314"/>
        <v/>
      </c>
      <c r="BV463" s="59"/>
      <c r="BW463" s="58" t="str">
        <f t="shared" si="315"/>
        <v/>
      </c>
      <c r="BX463" s="59"/>
      <c r="BY463" s="58" t="str">
        <f t="shared" si="316"/>
        <v/>
      </c>
      <c r="BZ463" s="59"/>
    </row>
    <row r="464" spans="1:78" ht="14.5" hidden="1">
      <c r="A464" s="51" t="s">
        <v>58</v>
      </c>
      <c r="B464" s="52">
        <v>416</v>
      </c>
      <c r="C464" s="52" t="s">
        <v>188</v>
      </c>
      <c r="D464" s="41">
        <f t="shared" si="317"/>
        <v>10</v>
      </c>
      <c r="E464" s="170">
        <v>45679</v>
      </c>
      <c r="F464" s="41"/>
      <c r="G464" s="52" t="s">
        <v>157</v>
      </c>
      <c r="H464" s="52" t="s">
        <v>243</v>
      </c>
      <c r="I464" s="52" t="s">
        <v>155</v>
      </c>
      <c r="J464" s="52" t="s">
        <v>428</v>
      </c>
      <c r="K464" s="53">
        <v>45723</v>
      </c>
      <c r="L464" s="108">
        <v>3756</v>
      </c>
      <c r="M464" s="101"/>
      <c r="N464" s="101"/>
      <c r="O464" s="107">
        <f t="shared" si="319"/>
        <v>3756</v>
      </c>
      <c r="P464" s="54">
        <f t="shared" si="320"/>
        <v>3756</v>
      </c>
      <c r="Q464" s="101" t="s">
        <v>429</v>
      </c>
      <c r="R464" s="101"/>
      <c r="S464" s="101"/>
      <c r="T464" s="102">
        <f t="shared" si="318"/>
        <v>0.626</v>
      </c>
      <c r="U464" s="102">
        <v>6</v>
      </c>
      <c r="V464" s="99">
        <v>1000</v>
      </c>
      <c r="W464" s="55">
        <f t="shared" si="321"/>
        <v>45703</v>
      </c>
      <c r="X464" s="55"/>
      <c r="Y464" s="56">
        <f t="shared" ca="1" si="291"/>
        <v>-137</v>
      </c>
      <c r="Z464" s="55">
        <f t="shared" si="290"/>
        <v>45719</v>
      </c>
      <c r="AA464" s="55"/>
      <c r="AB464" s="56">
        <f t="shared" ca="1" si="292"/>
        <v>-121</v>
      </c>
      <c r="AC464" s="55"/>
      <c r="AD464" s="57"/>
      <c r="AE464" s="58" t="str">
        <f t="shared" si="293"/>
        <v>-</v>
      </c>
      <c r="AF464" s="59"/>
      <c r="AG464" s="58" t="str">
        <f t="shared" si="294"/>
        <v/>
      </c>
      <c r="AH464" s="59"/>
      <c r="AI464" s="58" t="str">
        <f t="shared" si="295"/>
        <v/>
      </c>
      <c r="AJ464" s="59"/>
      <c r="AK464" s="58" t="str">
        <f t="shared" si="296"/>
        <v/>
      </c>
      <c r="AL464" s="59"/>
      <c r="AM464" s="58" t="str">
        <f t="shared" si="297"/>
        <v/>
      </c>
      <c r="AN464" s="59"/>
      <c r="AO464" s="58" t="str">
        <f t="shared" si="298"/>
        <v/>
      </c>
      <c r="AP464" s="59"/>
      <c r="AQ464" s="58" t="str">
        <f t="shared" si="299"/>
        <v/>
      </c>
      <c r="AR464" s="59"/>
      <c r="AS464" s="58" t="str">
        <f t="shared" si="300"/>
        <v/>
      </c>
      <c r="AT464" s="59"/>
      <c r="AU464" s="58" t="str">
        <f t="shared" si="301"/>
        <v/>
      </c>
      <c r="AV464" s="59"/>
      <c r="AW464" s="58" t="str">
        <f t="shared" si="302"/>
        <v/>
      </c>
      <c r="AX464" s="59"/>
      <c r="AY464" s="58" t="str">
        <f t="shared" si="303"/>
        <v/>
      </c>
      <c r="AZ464" s="59"/>
      <c r="BA464" s="58" t="str">
        <f t="shared" si="304"/>
        <v/>
      </c>
      <c r="BB464" s="59"/>
      <c r="BC464" s="58" t="str">
        <f t="shared" si="305"/>
        <v/>
      </c>
      <c r="BD464" s="59"/>
      <c r="BE464" s="58" t="str">
        <f t="shared" si="306"/>
        <v/>
      </c>
      <c r="BF464" s="59"/>
      <c r="BG464" s="58" t="str">
        <f t="shared" si="307"/>
        <v/>
      </c>
      <c r="BH464" s="59"/>
      <c r="BI464" s="58" t="str">
        <f t="shared" si="308"/>
        <v/>
      </c>
      <c r="BJ464" s="59"/>
      <c r="BK464" s="58" t="str">
        <f t="shared" si="309"/>
        <v/>
      </c>
      <c r="BL464" s="59"/>
      <c r="BM464" s="58" t="str">
        <f t="shared" si="310"/>
        <v/>
      </c>
      <c r="BN464" s="59"/>
      <c r="BO464" s="58">
        <f t="shared" si="311"/>
        <v>3756</v>
      </c>
      <c r="BP464" s="59"/>
      <c r="BQ464" s="58" t="str">
        <f t="shared" si="312"/>
        <v/>
      </c>
      <c r="BR464" s="59"/>
      <c r="BS464" s="58" t="str">
        <f t="shared" si="313"/>
        <v/>
      </c>
      <c r="BT464" s="59"/>
      <c r="BU464" s="58" t="str">
        <f t="shared" si="314"/>
        <v/>
      </c>
      <c r="BV464" s="59"/>
      <c r="BW464" s="58" t="str">
        <f t="shared" si="315"/>
        <v/>
      </c>
      <c r="BX464" s="59"/>
      <c r="BY464" s="58" t="str">
        <f t="shared" si="316"/>
        <v/>
      </c>
      <c r="BZ464" s="59"/>
    </row>
    <row r="465" spans="1:78" ht="14.5" hidden="1">
      <c r="A465" s="51" t="s">
        <v>58</v>
      </c>
      <c r="B465" s="52">
        <v>416</v>
      </c>
      <c r="C465" s="52" t="s">
        <v>188</v>
      </c>
      <c r="D465" s="41">
        <f t="shared" si="317"/>
        <v>10</v>
      </c>
      <c r="E465" s="170"/>
      <c r="F465" s="41"/>
      <c r="G465" s="52" t="s">
        <v>158</v>
      </c>
      <c r="H465" s="52" t="s">
        <v>242</v>
      </c>
      <c r="I465" s="52" t="s">
        <v>154</v>
      </c>
      <c r="J465" s="52" t="s">
        <v>432</v>
      </c>
      <c r="K465" s="53">
        <v>45723</v>
      </c>
      <c r="L465" s="108">
        <v>1444</v>
      </c>
      <c r="M465" s="101"/>
      <c r="N465" s="101"/>
      <c r="O465" s="107">
        <f t="shared" si="319"/>
        <v>1444</v>
      </c>
      <c r="P465" s="54">
        <f t="shared" si="320"/>
        <v>1444</v>
      </c>
      <c r="Q465" s="101" t="s">
        <v>439</v>
      </c>
      <c r="R465" s="101"/>
      <c r="S465" s="101"/>
      <c r="T465" s="102">
        <f t="shared" si="318"/>
        <v>2.0055555555555555</v>
      </c>
      <c r="U465" s="102">
        <v>6</v>
      </c>
      <c r="V465" s="99">
        <v>120</v>
      </c>
      <c r="W465" s="55">
        <f t="shared" si="321"/>
        <v>45703</v>
      </c>
      <c r="X465" s="55"/>
      <c r="Y465" s="56">
        <f t="shared" ca="1" si="291"/>
        <v>-137</v>
      </c>
      <c r="Z465" s="55">
        <f t="shared" si="290"/>
        <v>45719</v>
      </c>
      <c r="AA465" s="55"/>
      <c r="AB465" s="56">
        <f t="shared" ca="1" si="292"/>
        <v>-121</v>
      </c>
      <c r="AC465" s="55"/>
      <c r="AD465" s="57"/>
      <c r="AE465" s="58" t="str">
        <f t="shared" si="293"/>
        <v>-</v>
      </c>
      <c r="AF465" s="59"/>
      <c r="AG465" s="58" t="str">
        <f t="shared" si="294"/>
        <v/>
      </c>
      <c r="AH465" s="59"/>
      <c r="AI465" s="58" t="str">
        <f t="shared" si="295"/>
        <v/>
      </c>
      <c r="AJ465" s="59"/>
      <c r="AK465" s="58" t="str">
        <f t="shared" si="296"/>
        <v/>
      </c>
      <c r="AL465" s="59"/>
      <c r="AM465" s="58" t="str">
        <f t="shared" si="297"/>
        <v/>
      </c>
      <c r="AN465" s="59"/>
      <c r="AO465" s="58" t="str">
        <f t="shared" si="298"/>
        <v/>
      </c>
      <c r="AP465" s="59"/>
      <c r="AQ465" s="58" t="str">
        <f t="shared" si="299"/>
        <v/>
      </c>
      <c r="AR465" s="59"/>
      <c r="AS465" s="58" t="str">
        <f t="shared" si="300"/>
        <v/>
      </c>
      <c r="AT465" s="59"/>
      <c r="AU465" s="58" t="str">
        <f t="shared" si="301"/>
        <v/>
      </c>
      <c r="AV465" s="59"/>
      <c r="AW465" s="58" t="str">
        <f t="shared" si="302"/>
        <v/>
      </c>
      <c r="AX465" s="59"/>
      <c r="AY465" s="58" t="str">
        <f t="shared" si="303"/>
        <v/>
      </c>
      <c r="AZ465" s="59"/>
      <c r="BA465" s="58" t="str">
        <f t="shared" si="304"/>
        <v/>
      </c>
      <c r="BB465" s="59"/>
      <c r="BC465" s="58" t="str">
        <f t="shared" si="305"/>
        <v/>
      </c>
      <c r="BD465" s="59"/>
      <c r="BE465" s="58" t="str">
        <f t="shared" si="306"/>
        <v/>
      </c>
      <c r="BF465" s="59"/>
      <c r="BG465" s="58" t="str">
        <f t="shared" si="307"/>
        <v/>
      </c>
      <c r="BH465" s="59"/>
      <c r="BI465" s="58" t="str">
        <f t="shared" si="308"/>
        <v/>
      </c>
      <c r="BJ465" s="59"/>
      <c r="BK465" s="58" t="str">
        <f t="shared" si="309"/>
        <v/>
      </c>
      <c r="BL465" s="59"/>
      <c r="BM465" s="58" t="str">
        <f t="shared" si="310"/>
        <v/>
      </c>
      <c r="BN465" s="59"/>
      <c r="BO465" s="58">
        <f t="shared" si="311"/>
        <v>1444</v>
      </c>
      <c r="BP465" s="59"/>
      <c r="BQ465" s="58" t="str">
        <f t="shared" si="312"/>
        <v/>
      </c>
      <c r="BR465" s="59"/>
      <c r="BS465" s="58" t="str">
        <f t="shared" si="313"/>
        <v/>
      </c>
      <c r="BT465" s="59"/>
      <c r="BU465" s="58" t="str">
        <f t="shared" si="314"/>
        <v/>
      </c>
      <c r="BV465" s="59"/>
      <c r="BW465" s="58" t="str">
        <f t="shared" si="315"/>
        <v/>
      </c>
      <c r="BX465" s="59"/>
      <c r="BY465" s="58" t="str">
        <f t="shared" si="316"/>
        <v/>
      </c>
      <c r="BZ465" s="59"/>
    </row>
    <row r="466" spans="1:78" ht="14.5" hidden="1">
      <c r="A466" s="51" t="s">
        <v>58</v>
      </c>
      <c r="B466" s="52">
        <v>416</v>
      </c>
      <c r="C466" s="52" t="s">
        <v>188</v>
      </c>
      <c r="D466" s="41">
        <f t="shared" si="317"/>
        <v>10</v>
      </c>
      <c r="E466" s="170"/>
      <c r="F466" s="41"/>
      <c r="G466" s="52" t="s">
        <v>189</v>
      </c>
      <c r="H466" s="52" t="s">
        <v>242</v>
      </c>
      <c r="I466" s="52" t="s">
        <v>162</v>
      </c>
      <c r="J466" s="52" t="s">
        <v>432</v>
      </c>
      <c r="K466" s="53">
        <v>45723</v>
      </c>
      <c r="L466" s="108">
        <v>968</v>
      </c>
      <c r="M466" s="101"/>
      <c r="N466" s="101"/>
      <c r="O466" s="107">
        <f t="shared" si="319"/>
        <v>968</v>
      </c>
      <c r="P466" s="54">
        <f t="shared" si="320"/>
        <v>968</v>
      </c>
      <c r="Q466" s="101" t="s">
        <v>178</v>
      </c>
      <c r="R466" s="166">
        <v>45709</v>
      </c>
      <c r="S466" s="101"/>
      <c r="T466" s="102">
        <f t="shared" si="318"/>
        <v>1.3444444444444446</v>
      </c>
      <c r="U466" s="102">
        <v>6</v>
      </c>
      <c r="V466" s="99">
        <v>120</v>
      </c>
      <c r="W466" s="55">
        <f t="shared" si="321"/>
        <v>45703</v>
      </c>
      <c r="X466" s="55"/>
      <c r="Y466" s="56">
        <f t="shared" ca="1" si="291"/>
        <v>-137</v>
      </c>
      <c r="Z466" s="55">
        <f t="shared" si="290"/>
        <v>45719</v>
      </c>
      <c r="AA466" s="55"/>
      <c r="AB466" s="56">
        <f t="shared" ca="1" si="292"/>
        <v>-121</v>
      </c>
      <c r="AC466" s="55"/>
      <c r="AD466" s="57"/>
      <c r="AE466" s="58" t="str">
        <f t="shared" si="293"/>
        <v>-</v>
      </c>
      <c r="AF466" s="59"/>
      <c r="AG466" s="58" t="str">
        <f t="shared" si="294"/>
        <v/>
      </c>
      <c r="AH466" s="59"/>
      <c r="AI466" s="58" t="str">
        <f t="shared" si="295"/>
        <v/>
      </c>
      <c r="AJ466" s="59"/>
      <c r="AK466" s="58" t="str">
        <f t="shared" si="296"/>
        <v/>
      </c>
      <c r="AL466" s="59"/>
      <c r="AM466" s="58" t="str">
        <f t="shared" si="297"/>
        <v/>
      </c>
      <c r="AN466" s="59"/>
      <c r="AO466" s="58" t="str">
        <f t="shared" si="298"/>
        <v/>
      </c>
      <c r="AP466" s="59"/>
      <c r="AQ466" s="58" t="str">
        <f t="shared" si="299"/>
        <v/>
      </c>
      <c r="AR466" s="59"/>
      <c r="AS466" s="58" t="str">
        <f t="shared" si="300"/>
        <v/>
      </c>
      <c r="AT466" s="59"/>
      <c r="AU466" s="58" t="str">
        <f t="shared" si="301"/>
        <v/>
      </c>
      <c r="AV466" s="59"/>
      <c r="AW466" s="58" t="str">
        <f t="shared" si="302"/>
        <v/>
      </c>
      <c r="AX466" s="59"/>
      <c r="AY466" s="58" t="str">
        <f t="shared" si="303"/>
        <v/>
      </c>
      <c r="AZ466" s="59"/>
      <c r="BA466" s="58" t="str">
        <f t="shared" si="304"/>
        <v/>
      </c>
      <c r="BB466" s="59"/>
      <c r="BC466" s="58" t="str">
        <f t="shared" si="305"/>
        <v/>
      </c>
      <c r="BD466" s="59"/>
      <c r="BE466" s="58" t="str">
        <f t="shared" si="306"/>
        <v/>
      </c>
      <c r="BF466" s="59"/>
      <c r="BG466" s="58" t="str">
        <f t="shared" si="307"/>
        <v/>
      </c>
      <c r="BH466" s="59"/>
      <c r="BI466" s="58" t="str">
        <f t="shared" si="308"/>
        <v/>
      </c>
      <c r="BJ466" s="59"/>
      <c r="BK466" s="58" t="str">
        <f t="shared" si="309"/>
        <v/>
      </c>
      <c r="BL466" s="59"/>
      <c r="BM466" s="58" t="str">
        <f t="shared" si="310"/>
        <v/>
      </c>
      <c r="BN466" s="59"/>
      <c r="BO466" s="58">
        <f t="shared" si="311"/>
        <v>968</v>
      </c>
      <c r="BP466" s="59"/>
      <c r="BQ466" s="58" t="str">
        <f t="shared" si="312"/>
        <v/>
      </c>
      <c r="BR466" s="59"/>
      <c r="BS466" s="58" t="str">
        <f t="shared" si="313"/>
        <v/>
      </c>
      <c r="BT466" s="59"/>
      <c r="BU466" s="58" t="str">
        <f t="shared" si="314"/>
        <v/>
      </c>
      <c r="BV466" s="59"/>
      <c r="BW466" s="58" t="str">
        <f t="shared" si="315"/>
        <v/>
      </c>
      <c r="BX466" s="59"/>
      <c r="BY466" s="58" t="str">
        <f t="shared" si="316"/>
        <v/>
      </c>
      <c r="BZ466" s="59"/>
    </row>
    <row r="467" spans="1:78" ht="14.5" hidden="1">
      <c r="A467" s="51" t="s">
        <v>58</v>
      </c>
      <c r="B467" s="52">
        <v>435</v>
      </c>
      <c r="C467" s="52" t="s">
        <v>188</v>
      </c>
      <c r="D467" s="41">
        <f t="shared" si="317"/>
        <v>10</v>
      </c>
      <c r="E467" s="170">
        <v>45677</v>
      </c>
      <c r="F467" s="41"/>
      <c r="G467" s="52" t="s">
        <v>245</v>
      </c>
      <c r="H467" s="52" t="s">
        <v>242</v>
      </c>
      <c r="I467" s="52" t="s">
        <v>244</v>
      </c>
      <c r="J467" s="52" t="s">
        <v>432</v>
      </c>
      <c r="K467" s="53">
        <v>45723</v>
      </c>
      <c r="L467" s="108">
        <v>968</v>
      </c>
      <c r="M467" s="101"/>
      <c r="N467" s="101"/>
      <c r="O467" s="107">
        <f t="shared" si="319"/>
        <v>968</v>
      </c>
      <c r="P467" s="54">
        <f t="shared" si="320"/>
        <v>968</v>
      </c>
      <c r="Q467" s="101" t="s">
        <v>431</v>
      </c>
      <c r="R467" s="101"/>
      <c r="S467" s="101"/>
      <c r="T467" s="102">
        <f t="shared" si="318"/>
        <v>1.3444444444444446</v>
      </c>
      <c r="U467" s="102">
        <v>6</v>
      </c>
      <c r="V467" s="99">
        <v>120</v>
      </c>
      <c r="W467" s="55">
        <f t="shared" si="321"/>
        <v>45703</v>
      </c>
      <c r="X467" s="55"/>
      <c r="Y467" s="56">
        <f t="shared" ca="1" si="291"/>
        <v>-137</v>
      </c>
      <c r="Z467" s="55">
        <f t="shared" si="290"/>
        <v>45719</v>
      </c>
      <c r="AA467" s="55"/>
      <c r="AB467" s="56">
        <f t="shared" ca="1" si="292"/>
        <v>-121</v>
      </c>
      <c r="AC467" s="55"/>
      <c r="AD467" s="57"/>
      <c r="AE467" s="58" t="str">
        <f t="shared" si="293"/>
        <v>-</v>
      </c>
      <c r="AF467" s="59"/>
      <c r="AG467" s="58" t="str">
        <f t="shared" si="294"/>
        <v/>
      </c>
      <c r="AH467" s="59"/>
      <c r="AI467" s="58" t="str">
        <f t="shared" si="295"/>
        <v/>
      </c>
      <c r="AJ467" s="59"/>
      <c r="AK467" s="58" t="str">
        <f t="shared" si="296"/>
        <v/>
      </c>
      <c r="AL467" s="59"/>
      <c r="AM467" s="58" t="str">
        <f t="shared" si="297"/>
        <v/>
      </c>
      <c r="AN467" s="59"/>
      <c r="AO467" s="58" t="str">
        <f t="shared" si="298"/>
        <v/>
      </c>
      <c r="AP467" s="59"/>
      <c r="AQ467" s="58" t="str">
        <f t="shared" si="299"/>
        <v/>
      </c>
      <c r="AR467" s="59"/>
      <c r="AS467" s="58" t="str">
        <f t="shared" si="300"/>
        <v/>
      </c>
      <c r="AT467" s="59"/>
      <c r="AU467" s="58" t="str">
        <f t="shared" si="301"/>
        <v/>
      </c>
      <c r="AV467" s="59"/>
      <c r="AW467" s="58" t="str">
        <f t="shared" si="302"/>
        <v/>
      </c>
      <c r="AX467" s="59"/>
      <c r="AY467" s="58" t="str">
        <f t="shared" si="303"/>
        <v/>
      </c>
      <c r="AZ467" s="59"/>
      <c r="BA467" s="58" t="str">
        <f t="shared" si="304"/>
        <v/>
      </c>
      <c r="BB467" s="59"/>
      <c r="BC467" s="58" t="str">
        <f t="shared" si="305"/>
        <v/>
      </c>
      <c r="BD467" s="59"/>
      <c r="BE467" s="58" t="str">
        <f t="shared" si="306"/>
        <v/>
      </c>
      <c r="BF467" s="59"/>
      <c r="BG467" s="58" t="str">
        <f t="shared" si="307"/>
        <v/>
      </c>
      <c r="BH467" s="59"/>
      <c r="BI467" s="58" t="str">
        <f t="shared" si="308"/>
        <v/>
      </c>
      <c r="BJ467" s="59"/>
      <c r="BK467" s="58" t="str">
        <f t="shared" si="309"/>
        <v/>
      </c>
      <c r="BL467" s="59"/>
      <c r="BM467" s="58" t="str">
        <f t="shared" si="310"/>
        <v/>
      </c>
      <c r="BN467" s="59"/>
      <c r="BO467" s="58">
        <f t="shared" si="311"/>
        <v>968</v>
      </c>
      <c r="BP467" s="59"/>
      <c r="BQ467" s="58" t="str">
        <f t="shared" si="312"/>
        <v/>
      </c>
      <c r="BR467" s="59"/>
      <c r="BS467" s="58" t="str">
        <f t="shared" si="313"/>
        <v/>
      </c>
      <c r="BT467" s="59"/>
      <c r="BU467" s="58" t="str">
        <f t="shared" si="314"/>
        <v/>
      </c>
      <c r="BV467" s="59"/>
      <c r="BW467" s="58" t="str">
        <f t="shared" si="315"/>
        <v/>
      </c>
      <c r="BX467" s="59"/>
      <c r="BY467" s="58" t="str">
        <f t="shared" si="316"/>
        <v/>
      </c>
      <c r="BZ467" s="59"/>
    </row>
    <row r="468" spans="1:78" ht="14.5" hidden="1">
      <c r="A468" s="51" t="s">
        <v>58</v>
      </c>
      <c r="B468" s="52">
        <v>435</v>
      </c>
      <c r="C468" s="52" t="s">
        <v>188</v>
      </c>
      <c r="D468" s="41">
        <f t="shared" si="317"/>
        <v>10</v>
      </c>
      <c r="E468" s="170"/>
      <c r="F468" s="41"/>
      <c r="G468" s="52" t="s">
        <v>158</v>
      </c>
      <c r="H468" s="52" t="s">
        <v>242</v>
      </c>
      <c r="I468" s="52" t="s">
        <v>154</v>
      </c>
      <c r="J468" s="52" t="s">
        <v>432</v>
      </c>
      <c r="K468" s="53">
        <v>45723</v>
      </c>
      <c r="L468" s="108">
        <v>1412</v>
      </c>
      <c r="M468" s="101"/>
      <c r="N468" s="101"/>
      <c r="O468" s="107">
        <f t="shared" si="319"/>
        <v>1412</v>
      </c>
      <c r="P468" s="54">
        <f t="shared" si="320"/>
        <v>1412</v>
      </c>
      <c r="Q468" s="101" t="s">
        <v>431</v>
      </c>
      <c r="R468" s="101"/>
      <c r="S468" s="101"/>
      <c r="T468" s="102">
        <f t="shared" si="318"/>
        <v>1.961111111111111</v>
      </c>
      <c r="U468" s="102">
        <v>6</v>
      </c>
      <c r="V468" s="99">
        <v>120</v>
      </c>
      <c r="W468" s="55">
        <f t="shared" si="321"/>
        <v>45703</v>
      </c>
      <c r="X468" s="55"/>
      <c r="Y468" s="56">
        <f t="shared" ca="1" si="291"/>
        <v>-137</v>
      </c>
      <c r="Z468" s="55">
        <f t="shared" si="290"/>
        <v>45719</v>
      </c>
      <c r="AA468" s="55"/>
      <c r="AB468" s="56">
        <f t="shared" ca="1" si="292"/>
        <v>-121</v>
      </c>
      <c r="AC468" s="55"/>
      <c r="AD468" s="57"/>
      <c r="AE468" s="58" t="str">
        <f t="shared" si="293"/>
        <v>-</v>
      </c>
      <c r="AF468" s="59"/>
      <c r="AG468" s="58" t="str">
        <f t="shared" si="294"/>
        <v/>
      </c>
      <c r="AH468" s="59"/>
      <c r="AI468" s="58" t="str">
        <f t="shared" si="295"/>
        <v/>
      </c>
      <c r="AJ468" s="59"/>
      <c r="AK468" s="58" t="str">
        <f t="shared" si="296"/>
        <v/>
      </c>
      <c r="AL468" s="59"/>
      <c r="AM468" s="58" t="str">
        <f t="shared" si="297"/>
        <v/>
      </c>
      <c r="AN468" s="59"/>
      <c r="AO468" s="58" t="str">
        <f t="shared" si="298"/>
        <v/>
      </c>
      <c r="AP468" s="59"/>
      <c r="AQ468" s="58" t="str">
        <f t="shared" si="299"/>
        <v/>
      </c>
      <c r="AR468" s="59"/>
      <c r="AS468" s="58" t="str">
        <f t="shared" si="300"/>
        <v/>
      </c>
      <c r="AT468" s="59"/>
      <c r="AU468" s="58" t="str">
        <f t="shared" si="301"/>
        <v/>
      </c>
      <c r="AV468" s="59"/>
      <c r="AW468" s="58" t="str">
        <f t="shared" si="302"/>
        <v/>
      </c>
      <c r="AX468" s="59"/>
      <c r="AY468" s="58" t="str">
        <f t="shared" si="303"/>
        <v/>
      </c>
      <c r="AZ468" s="59"/>
      <c r="BA468" s="58" t="str">
        <f t="shared" si="304"/>
        <v/>
      </c>
      <c r="BB468" s="59"/>
      <c r="BC468" s="58" t="str">
        <f t="shared" si="305"/>
        <v/>
      </c>
      <c r="BD468" s="59"/>
      <c r="BE468" s="58" t="str">
        <f t="shared" si="306"/>
        <v/>
      </c>
      <c r="BF468" s="59"/>
      <c r="BG468" s="58" t="str">
        <f t="shared" si="307"/>
        <v/>
      </c>
      <c r="BH468" s="59"/>
      <c r="BI468" s="58" t="str">
        <f t="shared" si="308"/>
        <v/>
      </c>
      <c r="BJ468" s="59"/>
      <c r="BK468" s="58" t="str">
        <f t="shared" si="309"/>
        <v/>
      </c>
      <c r="BL468" s="59"/>
      <c r="BM468" s="58" t="str">
        <f t="shared" si="310"/>
        <v/>
      </c>
      <c r="BN468" s="59"/>
      <c r="BO468" s="58">
        <f t="shared" si="311"/>
        <v>1412</v>
      </c>
      <c r="BP468" s="59"/>
      <c r="BQ468" s="58" t="str">
        <f t="shared" si="312"/>
        <v/>
      </c>
      <c r="BR468" s="59"/>
      <c r="BS468" s="58" t="str">
        <f t="shared" si="313"/>
        <v/>
      </c>
      <c r="BT468" s="59"/>
      <c r="BU468" s="58" t="str">
        <f t="shared" si="314"/>
        <v/>
      </c>
      <c r="BV468" s="59"/>
      <c r="BW468" s="58" t="str">
        <f t="shared" si="315"/>
        <v/>
      </c>
      <c r="BX468" s="59"/>
      <c r="BY468" s="58" t="str">
        <f t="shared" si="316"/>
        <v/>
      </c>
      <c r="BZ468" s="59"/>
    </row>
    <row r="469" spans="1:78" ht="14.5" hidden="1">
      <c r="A469" s="51" t="s">
        <v>58</v>
      </c>
      <c r="B469" s="52">
        <v>435</v>
      </c>
      <c r="C469" s="52" t="s">
        <v>188</v>
      </c>
      <c r="D469" s="41">
        <f t="shared" si="317"/>
        <v>10</v>
      </c>
      <c r="E469" s="170"/>
      <c r="F469" s="41"/>
      <c r="G469" s="52" t="s">
        <v>158</v>
      </c>
      <c r="H469" s="52" t="s">
        <v>242</v>
      </c>
      <c r="I469" s="52" t="s">
        <v>155</v>
      </c>
      <c r="J469" s="52" t="s">
        <v>432</v>
      </c>
      <c r="K469" s="53">
        <v>45723</v>
      </c>
      <c r="L469" s="108">
        <v>1368</v>
      </c>
      <c r="M469" s="101"/>
      <c r="N469" s="101"/>
      <c r="O469" s="107">
        <f t="shared" si="319"/>
        <v>1368</v>
      </c>
      <c r="P469" s="54">
        <f t="shared" si="320"/>
        <v>1368</v>
      </c>
      <c r="Q469" s="101" t="s">
        <v>431</v>
      </c>
      <c r="R469" s="101"/>
      <c r="S469" s="101"/>
      <c r="T469" s="102">
        <f t="shared" si="318"/>
        <v>1.9</v>
      </c>
      <c r="U469" s="102">
        <v>6</v>
      </c>
      <c r="V469" s="99">
        <v>120</v>
      </c>
      <c r="W469" s="55">
        <f t="shared" si="321"/>
        <v>45703</v>
      </c>
      <c r="X469" s="55"/>
      <c r="Y469" s="56">
        <f t="shared" ca="1" si="291"/>
        <v>-137</v>
      </c>
      <c r="Z469" s="55">
        <f t="shared" si="290"/>
        <v>45719</v>
      </c>
      <c r="AA469" s="55"/>
      <c r="AB469" s="56">
        <f t="shared" ca="1" si="292"/>
        <v>-121</v>
      </c>
      <c r="AC469" s="55"/>
      <c r="AD469" s="57"/>
      <c r="AE469" s="58" t="str">
        <f t="shared" si="293"/>
        <v>-</v>
      </c>
      <c r="AF469" s="59"/>
      <c r="AG469" s="58" t="str">
        <f t="shared" si="294"/>
        <v/>
      </c>
      <c r="AH469" s="59"/>
      <c r="AI469" s="58" t="str">
        <f t="shared" si="295"/>
        <v/>
      </c>
      <c r="AJ469" s="59"/>
      <c r="AK469" s="58" t="str">
        <f t="shared" si="296"/>
        <v/>
      </c>
      <c r="AL469" s="59"/>
      <c r="AM469" s="58" t="str">
        <f t="shared" si="297"/>
        <v/>
      </c>
      <c r="AN469" s="59"/>
      <c r="AO469" s="58" t="str">
        <f t="shared" si="298"/>
        <v/>
      </c>
      <c r="AP469" s="59"/>
      <c r="AQ469" s="58" t="str">
        <f t="shared" si="299"/>
        <v/>
      </c>
      <c r="AR469" s="59"/>
      <c r="AS469" s="58" t="str">
        <f t="shared" si="300"/>
        <v/>
      </c>
      <c r="AT469" s="59"/>
      <c r="AU469" s="58" t="str">
        <f t="shared" si="301"/>
        <v/>
      </c>
      <c r="AV469" s="59"/>
      <c r="AW469" s="58" t="str">
        <f t="shared" si="302"/>
        <v/>
      </c>
      <c r="AX469" s="59"/>
      <c r="AY469" s="58" t="str">
        <f t="shared" si="303"/>
        <v/>
      </c>
      <c r="AZ469" s="59"/>
      <c r="BA469" s="58" t="str">
        <f t="shared" si="304"/>
        <v/>
      </c>
      <c r="BB469" s="59"/>
      <c r="BC469" s="58" t="str">
        <f t="shared" si="305"/>
        <v/>
      </c>
      <c r="BD469" s="59"/>
      <c r="BE469" s="58" t="str">
        <f t="shared" si="306"/>
        <v/>
      </c>
      <c r="BF469" s="59"/>
      <c r="BG469" s="58" t="str">
        <f t="shared" si="307"/>
        <v/>
      </c>
      <c r="BH469" s="59"/>
      <c r="BI469" s="58" t="str">
        <f t="shared" si="308"/>
        <v/>
      </c>
      <c r="BJ469" s="59"/>
      <c r="BK469" s="58" t="str">
        <f t="shared" si="309"/>
        <v/>
      </c>
      <c r="BL469" s="59"/>
      <c r="BM469" s="58" t="str">
        <f t="shared" si="310"/>
        <v/>
      </c>
      <c r="BN469" s="59"/>
      <c r="BO469" s="58">
        <f t="shared" si="311"/>
        <v>1368</v>
      </c>
      <c r="BP469" s="59"/>
      <c r="BQ469" s="58" t="str">
        <f t="shared" si="312"/>
        <v/>
      </c>
      <c r="BR469" s="59"/>
      <c r="BS469" s="58" t="str">
        <f t="shared" si="313"/>
        <v/>
      </c>
      <c r="BT469" s="59"/>
      <c r="BU469" s="58" t="str">
        <f t="shared" si="314"/>
        <v/>
      </c>
      <c r="BV469" s="59"/>
      <c r="BW469" s="58" t="str">
        <f t="shared" si="315"/>
        <v/>
      </c>
      <c r="BX469" s="59"/>
      <c r="BY469" s="58" t="str">
        <f t="shared" si="316"/>
        <v/>
      </c>
      <c r="BZ469" s="59"/>
    </row>
    <row r="470" spans="1:78" ht="14.5" hidden="1">
      <c r="A470" s="51" t="s">
        <v>58</v>
      </c>
      <c r="B470" s="52">
        <v>436</v>
      </c>
      <c r="C470" s="52" t="s">
        <v>188</v>
      </c>
      <c r="D470" s="41">
        <f t="shared" si="317"/>
        <v>10</v>
      </c>
      <c r="E470" s="170"/>
      <c r="F470" s="41"/>
      <c r="G470" s="52" t="s">
        <v>193</v>
      </c>
      <c r="H470" s="52" t="s">
        <v>246</v>
      </c>
      <c r="I470" s="52" t="s">
        <v>162</v>
      </c>
      <c r="J470" s="52" t="s">
        <v>434</v>
      </c>
      <c r="K470" s="53">
        <v>45723</v>
      </c>
      <c r="L470" s="108">
        <f>3000*2</f>
        <v>6000</v>
      </c>
      <c r="M470" s="101"/>
      <c r="N470" s="101"/>
      <c r="O470" s="107">
        <f t="shared" si="319"/>
        <v>6000</v>
      </c>
      <c r="P470" s="54">
        <f t="shared" si="320"/>
        <v>6000</v>
      </c>
      <c r="Q470" s="101" t="s">
        <v>431</v>
      </c>
      <c r="R470" s="101"/>
      <c r="S470" s="101"/>
      <c r="T470" s="102">
        <f t="shared" si="318"/>
        <v>2.8571428571428572</v>
      </c>
      <c r="U470" s="102">
        <v>6</v>
      </c>
      <c r="V470" s="99">
        <v>350</v>
      </c>
      <c r="W470" s="55">
        <f t="shared" si="321"/>
        <v>45703</v>
      </c>
      <c r="X470" s="55"/>
      <c r="Y470" s="56">
        <f t="shared" ca="1" si="291"/>
        <v>-137</v>
      </c>
      <c r="Z470" s="55">
        <f t="shared" si="290"/>
        <v>45719</v>
      </c>
      <c r="AA470" s="55"/>
      <c r="AB470" s="56">
        <f t="shared" ca="1" si="292"/>
        <v>-121</v>
      </c>
      <c r="AC470" s="55"/>
      <c r="AD470" s="57"/>
      <c r="AE470" s="58" t="str">
        <f t="shared" si="293"/>
        <v>-</v>
      </c>
      <c r="AF470" s="59"/>
      <c r="AG470" s="58" t="str">
        <f t="shared" si="294"/>
        <v/>
      </c>
      <c r="AH470" s="59"/>
      <c r="AI470" s="58" t="str">
        <f t="shared" si="295"/>
        <v/>
      </c>
      <c r="AJ470" s="59"/>
      <c r="AK470" s="58" t="str">
        <f t="shared" si="296"/>
        <v/>
      </c>
      <c r="AL470" s="59"/>
      <c r="AM470" s="58" t="str">
        <f t="shared" si="297"/>
        <v/>
      </c>
      <c r="AN470" s="59"/>
      <c r="AO470" s="58" t="str">
        <f t="shared" si="298"/>
        <v/>
      </c>
      <c r="AP470" s="59"/>
      <c r="AQ470" s="58" t="str">
        <f t="shared" si="299"/>
        <v/>
      </c>
      <c r="AR470" s="59"/>
      <c r="AS470" s="58" t="str">
        <f t="shared" si="300"/>
        <v/>
      </c>
      <c r="AT470" s="59"/>
      <c r="AU470" s="58" t="str">
        <f t="shared" si="301"/>
        <v/>
      </c>
      <c r="AV470" s="59"/>
      <c r="AW470" s="58" t="str">
        <f t="shared" si="302"/>
        <v/>
      </c>
      <c r="AX470" s="59"/>
      <c r="AY470" s="58" t="str">
        <f t="shared" si="303"/>
        <v/>
      </c>
      <c r="AZ470" s="59"/>
      <c r="BA470" s="58" t="str">
        <f t="shared" si="304"/>
        <v/>
      </c>
      <c r="BB470" s="59"/>
      <c r="BC470" s="58" t="str">
        <f t="shared" si="305"/>
        <v/>
      </c>
      <c r="BD470" s="59"/>
      <c r="BE470" s="58" t="str">
        <f t="shared" si="306"/>
        <v/>
      </c>
      <c r="BF470" s="59"/>
      <c r="BG470" s="58" t="str">
        <f t="shared" si="307"/>
        <v/>
      </c>
      <c r="BH470" s="59"/>
      <c r="BI470" s="58" t="str">
        <f t="shared" si="308"/>
        <v/>
      </c>
      <c r="BJ470" s="59"/>
      <c r="BK470" s="58" t="str">
        <f t="shared" si="309"/>
        <v/>
      </c>
      <c r="BL470" s="59"/>
      <c r="BM470" s="58" t="str">
        <f t="shared" si="310"/>
        <v/>
      </c>
      <c r="BN470" s="59"/>
      <c r="BO470" s="58">
        <f t="shared" si="311"/>
        <v>6000</v>
      </c>
      <c r="BP470" s="59"/>
      <c r="BQ470" s="58" t="str">
        <f t="shared" si="312"/>
        <v/>
      </c>
      <c r="BR470" s="59"/>
      <c r="BS470" s="58" t="str">
        <f t="shared" si="313"/>
        <v/>
      </c>
      <c r="BT470" s="59"/>
      <c r="BU470" s="58" t="str">
        <f t="shared" si="314"/>
        <v/>
      </c>
      <c r="BV470" s="59"/>
      <c r="BW470" s="58" t="str">
        <f t="shared" si="315"/>
        <v/>
      </c>
      <c r="BX470" s="59"/>
      <c r="BY470" s="58" t="str">
        <f t="shared" si="316"/>
        <v/>
      </c>
      <c r="BZ470" s="59"/>
    </row>
    <row r="471" spans="1:78" ht="14.5" hidden="1">
      <c r="A471" s="51" t="s">
        <v>58</v>
      </c>
      <c r="B471" s="52">
        <v>436</v>
      </c>
      <c r="C471" s="52" t="s">
        <v>188</v>
      </c>
      <c r="D471" s="41">
        <f t="shared" si="317"/>
        <v>10</v>
      </c>
      <c r="E471" s="170">
        <v>45681</v>
      </c>
      <c r="F471" s="41"/>
      <c r="G471" s="52" t="s">
        <v>157</v>
      </c>
      <c r="H471" s="52" t="s">
        <v>243</v>
      </c>
      <c r="I471" s="52" t="s">
        <v>155</v>
      </c>
      <c r="J471" s="52" t="s">
        <v>428</v>
      </c>
      <c r="K471" s="53">
        <v>45723</v>
      </c>
      <c r="L471" s="108">
        <v>2514</v>
      </c>
      <c r="M471" s="101"/>
      <c r="N471" s="101"/>
      <c r="O471" s="107">
        <f t="shared" si="319"/>
        <v>2514</v>
      </c>
      <c r="P471" s="54">
        <f t="shared" si="320"/>
        <v>2514</v>
      </c>
      <c r="Q471" s="101" t="s">
        <v>431</v>
      </c>
      <c r="R471" s="101"/>
      <c r="S471" s="101"/>
      <c r="T471" s="102">
        <f t="shared" si="318"/>
        <v>0.41899999999999998</v>
      </c>
      <c r="U471" s="102">
        <v>6</v>
      </c>
      <c r="V471" s="99">
        <v>1000</v>
      </c>
      <c r="W471" s="55">
        <f t="shared" si="321"/>
        <v>45703</v>
      </c>
      <c r="X471" s="55"/>
      <c r="Y471" s="56">
        <f t="shared" ca="1" si="291"/>
        <v>-137</v>
      </c>
      <c r="Z471" s="55">
        <f t="shared" si="290"/>
        <v>45719</v>
      </c>
      <c r="AA471" s="55"/>
      <c r="AB471" s="56">
        <f t="shared" ca="1" si="292"/>
        <v>-121</v>
      </c>
      <c r="AC471" s="55"/>
      <c r="AD471" s="57"/>
      <c r="AE471" s="58" t="str">
        <f t="shared" si="293"/>
        <v>-</v>
      </c>
      <c r="AF471" s="59"/>
      <c r="AG471" s="58" t="str">
        <f t="shared" si="294"/>
        <v/>
      </c>
      <c r="AH471" s="59"/>
      <c r="AI471" s="58" t="str">
        <f t="shared" si="295"/>
        <v/>
      </c>
      <c r="AJ471" s="59"/>
      <c r="AK471" s="58" t="str">
        <f t="shared" si="296"/>
        <v/>
      </c>
      <c r="AL471" s="59"/>
      <c r="AM471" s="58" t="str">
        <f t="shared" si="297"/>
        <v/>
      </c>
      <c r="AN471" s="59"/>
      <c r="AO471" s="58" t="str">
        <f t="shared" si="298"/>
        <v/>
      </c>
      <c r="AP471" s="59"/>
      <c r="AQ471" s="58" t="str">
        <f t="shared" si="299"/>
        <v/>
      </c>
      <c r="AR471" s="59"/>
      <c r="AS471" s="58" t="str">
        <f t="shared" si="300"/>
        <v/>
      </c>
      <c r="AT471" s="59"/>
      <c r="AU471" s="58" t="str">
        <f t="shared" si="301"/>
        <v/>
      </c>
      <c r="AV471" s="59"/>
      <c r="AW471" s="58" t="str">
        <f t="shared" si="302"/>
        <v/>
      </c>
      <c r="AX471" s="59"/>
      <c r="AY471" s="58" t="str">
        <f t="shared" si="303"/>
        <v/>
      </c>
      <c r="AZ471" s="59"/>
      <c r="BA471" s="58" t="str">
        <f t="shared" si="304"/>
        <v/>
      </c>
      <c r="BB471" s="59"/>
      <c r="BC471" s="58" t="str">
        <f t="shared" si="305"/>
        <v/>
      </c>
      <c r="BD471" s="59"/>
      <c r="BE471" s="58" t="str">
        <f t="shared" si="306"/>
        <v/>
      </c>
      <c r="BF471" s="59"/>
      <c r="BG471" s="58" t="str">
        <f t="shared" si="307"/>
        <v/>
      </c>
      <c r="BH471" s="59"/>
      <c r="BI471" s="58" t="str">
        <f t="shared" si="308"/>
        <v/>
      </c>
      <c r="BJ471" s="59"/>
      <c r="BK471" s="58" t="str">
        <f t="shared" si="309"/>
        <v/>
      </c>
      <c r="BL471" s="59"/>
      <c r="BM471" s="58" t="str">
        <f t="shared" si="310"/>
        <v/>
      </c>
      <c r="BN471" s="59"/>
      <c r="BO471" s="58">
        <f t="shared" si="311"/>
        <v>2514</v>
      </c>
      <c r="BP471" s="59"/>
      <c r="BQ471" s="58" t="str">
        <f t="shared" si="312"/>
        <v/>
      </c>
      <c r="BR471" s="59"/>
      <c r="BS471" s="58" t="str">
        <f t="shared" si="313"/>
        <v/>
      </c>
      <c r="BT471" s="59"/>
      <c r="BU471" s="58" t="str">
        <f t="shared" si="314"/>
        <v/>
      </c>
      <c r="BV471" s="59"/>
      <c r="BW471" s="58" t="str">
        <f t="shared" si="315"/>
        <v/>
      </c>
      <c r="BX471" s="59"/>
      <c r="BY471" s="58" t="str">
        <f t="shared" si="316"/>
        <v/>
      </c>
      <c r="BZ471" s="59"/>
    </row>
    <row r="472" spans="1:78" ht="14.5" hidden="1">
      <c r="A472" s="51" t="s">
        <v>58</v>
      </c>
      <c r="B472" s="52">
        <v>436</v>
      </c>
      <c r="C472" s="52" t="s">
        <v>188</v>
      </c>
      <c r="D472" s="41">
        <f t="shared" si="317"/>
        <v>10</v>
      </c>
      <c r="E472" s="170"/>
      <c r="F472" s="41"/>
      <c r="G472" s="52" t="s">
        <v>158</v>
      </c>
      <c r="H472" s="52" t="s">
        <v>242</v>
      </c>
      <c r="I472" s="52" t="s">
        <v>154</v>
      </c>
      <c r="J472" s="52" t="s">
        <v>432</v>
      </c>
      <c r="K472" s="53">
        <v>45723</v>
      </c>
      <c r="L472" s="108">
        <v>1336</v>
      </c>
      <c r="M472" s="101"/>
      <c r="N472" s="101"/>
      <c r="O472" s="107">
        <f t="shared" si="319"/>
        <v>1336</v>
      </c>
      <c r="P472" s="54">
        <f t="shared" si="320"/>
        <v>1336</v>
      </c>
      <c r="Q472" s="101" t="s">
        <v>431</v>
      </c>
      <c r="R472" s="101"/>
      <c r="S472" s="101"/>
      <c r="T472" s="102">
        <f t="shared" si="318"/>
        <v>1.8555555555555556</v>
      </c>
      <c r="U472" s="102">
        <v>6</v>
      </c>
      <c r="V472" s="99">
        <v>120</v>
      </c>
      <c r="W472" s="55">
        <f t="shared" si="321"/>
        <v>45703</v>
      </c>
      <c r="X472" s="55"/>
      <c r="Y472" s="56">
        <f t="shared" ca="1" si="291"/>
        <v>-137</v>
      </c>
      <c r="Z472" s="55">
        <f t="shared" si="290"/>
        <v>45719</v>
      </c>
      <c r="AA472" s="55"/>
      <c r="AB472" s="56">
        <f t="shared" ca="1" si="292"/>
        <v>-121</v>
      </c>
      <c r="AC472" s="55"/>
      <c r="AD472" s="57"/>
      <c r="AE472" s="58" t="str">
        <f t="shared" si="293"/>
        <v>-</v>
      </c>
      <c r="AF472" s="59"/>
      <c r="AG472" s="58" t="str">
        <f t="shared" si="294"/>
        <v/>
      </c>
      <c r="AH472" s="59"/>
      <c r="AI472" s="58" t="str">
        <f t="shared" si="295"/>
        <v/>
      </c>
      <c r="AJ472" s="59"/>
      <c r="AK472" s="58" t="str">
        <f t="shared" si="296"/>
        <v/>
      </c>
      <c r="AL472" s="59"/>
      <c r="AM472" s="58" t="str">
        <f t="shared" si="297"/>
        <v/>
      </c>
      <c r="AN472" s="59"/>
      <c r="AO472" s="58" t="str">
        <f t="shared" si="298"/>
        <v/>
      </c>
      <c r="AP472" s="59"/>
      <c r="AQ472" s="58" t="str">
        <f t="shared" si="299"/>
        <v/>
      </c>
      <c r="AR472" s="59"/>
      <c r="AS472" s="58" t="str">
        <f t="shared" si="300"/>
        <v/>
      </c>
      <c r="AT472" s="59"/>
      <c r="AU472" s="58" t="str">
        <f t="shared" si="301"/>
        <v/>
      </c>
      <c r="AV472" s="59"/>
      <c r="AW472" s="58" t="str">
        <f t="shared" si="302"/>
        <v/>
      </c>
      <c r="AX472" s="59"/>
      <c r="AY472" s="58" t="str">
        <f t="shared" si="303"/>
        <v/>
      </c>
      <c r="AZ472" s="59"/>
      <c r="BA472" s="58" t="str">
        <f t="shared" si="304"/>
        <v/>
      </c>
      <c r="BB472" s="59"/>
      <c r="BC472" s="58" t="str">
        <f t="shared" si="305"/>
        <v/>
      </c>
      <c r="BD472" s="59"/>
      <c r="BE472" s="58" t="str">
        <f t="shared" si="306"/>
        <v/>
      </c>
      <c r="BF472" s="59"/>
      <c r="BG472" s="58" t="str">
        <f t="shared" si="307"/>
        <v/>
      </c>
      <c r="BH472" s="59"/>
      <c r="BI472" s="58" t="str">
        <f t="shared" si="308"/>
        <v/>
      </c>
      <c r="BJ472" s="59"/>
      <c r="BK472" s="58" t="str">
        <f t="shared" si="309"/>
        <v/>
      </c>
      <c r="BL472" s="59"/>
      <c r="BM472" s="58" t="str">
        <f t="shared" si="310"/>
        <v/>
      </c>
      <c r="BN472" s="59"/>
      <c r="BO472" s="58">
        <f t="shared" si="311"/>
        <v>1336</v>
      </c>
      <c r="BP472" s="59"/>
      <c r="BQ472" s="58" t="str">
        <f t="shared" si="312"/>
        <v/>
      </c>
      <c r="BR472" s="59"/>
      <c r="BS472" s="58" t="str">
        <f t="shared" si="313"/>
        <v/>
      </c>
      <c r="BT472" s="59"/>
      <c r="BU472" s="58" t="str">
        <f t="shared" si="314"/>
        <v/>
      </c>
      <c r="BV472" s="59"/>
      <c r="BW472" s="58" t="str">
        <f t="shared" si="315"/>
        <v/>
      </c>
      <c r="BX472" s="59"/>
      <c r="BY472" s="58" t="str">
        <f t="shared" si="316"/>
        <v/>
      </c>
      <c r="BZ472" s="59"/>
    </row>
    <row r="473" spans="1:78" ht="14.5" hidden="1">
      <c r="A473" s="51" t="s">
        <v>58</v>
      </c>
      <c r="B473" s="52">
        <v>436</v>
      </c>
      <c r="C473" s="52" t="s">
        <v>188</v>
      </c>
      <c r="D473" s="41">
        <f t="shared" si="317"/>
        <v>10</v>
      </c>
      <c r="E473" s="170"/>
      <c r="F473" s="41"/>
      <c r="G473" s="52" t="s">
        <v>158</v>
      </c>
      <c r="H473" s="52" t="s">
        <v>242</v>
      </c>
      <c r="I473" s="52" t="s">
        <v>156</v>
      </c>
      <c r="J473" s="52" t="s">
        <v>432</v>
      </c>
      <c r="K473" s="53">
        <v>45723</v>
      </c>
      <c r="L473" s="108">
        <v>172</v>
      </c>
      <c r="M473" s="101"/>
      <c r="N473" s="101"/>
      <c r="O473" s="107">
        <f t="shared" si="319"/>
        <v>172</v>
      </c>
      <c r="P473" s="54">
        <f t="shared" si="320"/>
        <v>172</v>
      </c>
      <c r="Q473" s="101" t="s">
        <v>431</v>
      </c>
      <c r="R473" s="101"/>
      <c r="S473" s="101"/>
      <c r="T473" s="102">
        <f t="shared" si="318"/>
        <v>0.2388888888888889</v>
      </c>
      <c r="U473" s="102">
        <v>6</v>
      </c>
      <c r="V473" s="99">
        <v>120</v>
      </c>
      <c r="W473" s="55">
        <f t="shared" si="321"/>
        <v>45703</v>
      </c>
      <c r="X473" s="55"/>
      <c r="Y473" s="56">
        <f t="shared" ca="1" si="291"/>
        <v>-137</v>
      </c>
      <c r="Z473" s="55">
        <f t="shared" si="290"/>
        <v>45719</v>
      </c>
      <c r="AA473" s="55"/>
      <c r="AB473" s="56">
        <f t="shared" ca="1" si="292"/>
        <v>-121</v>
      </c>
      <c r="AC473" s="55"/>
      <c r="AD473" s="57"/>
      <c r="AE473" s="58" t="str">
        <f t="shared" si="293"/>
        <v>-</v>
      </c>
      <c r="AF473" s="59"/>
      <c r="AG473" s="58" t="str">
        <f t="shared" si="294"/>
        <v/>
      </c>
      <c r="AH473" s="59"/>
      <c r="AI473" s="58" t="str">
        <f t="shared" si="295"/>
        <v/>
      </c>
      <c r="AJ473" s="59"/>
      <c r="AK473" s="58" t="str">
        <f t="shared" si="296"/>
        <v/>
      </c>
      <c r="AL473" s="59"/>
      <c r="AM473" s="58" t="str">
        <f t="shared" si="297"/>
        <v/>
      </c>
      <c r="AN473" s="59"/>
      <c r="AO473" s="58" t="str">
        <f t="shared" si="298"/>
        <v/>
      </c>
      <c r="AP473" s="59"/>
      <c r="AQ473" s="58" t="str">
        <f t="shared" si="299"/>
        <v/>
      </c>
      <c r="AR473" s="59"/>
      <c r="AS473" s="58" t="str">
        <f t="shared" si="300"/>
        <v/>
      </c>
      <c r="AT473" s="59"/>
      <c r="AU473" s="58" t="str">
        <f t="shared" si="301"/>
        <v/>
      </c>
      <c r="AV473" s="59"/>
      <c r="AW473" s="58" t="str">
        <f t="shared" si="302"/>
        <v/>
      </c>
      <c r="AX473" s="59"/>
      <c r="AY473" s="58" t="str">
        <f t="shared" si="303"/>
        <v/>
      </c>
      <c r="AZ473" s="59"/>
      <c r="BA473" s="58" t="str">
        <f t="shared" si="304"/>
        <v/>
      </c>
      <c r="BB473" s="59"/>
      <c r="BC473" s="58" t="str">
        <f t="shared" si="305"/>
        <v/>
      </c>
      <c r="BD473" s="59"/>
      <c r="BE473" s="58" t="str">
        <f t="shared" si="306"/>
        <v/>
      </c>
      <c r="BF473" s="59"/>
      <c r="BG473" s="58" t="str">
        <f t="shared" si="307"/>
        <v/>
      </c>
      <c r="BH473" s="59"/>
      <c r="BI473" s="58" t="str">
        <f t="shared" si="308"/>
        <v/>
      </c>
      <c r="BJ473" s="59"/>
      <c r="BK473" s="58" t="str">
        <f t="shared" si="309"/>
        <v/>
      </c>
      <c r="BL473" s="59"/>
      <c r="BM473" s="58" t="str">
        <f t="shared" si="310"/>
        <v/>
      </c>
      <c r="BN473" s="59"/>
      <c r="BO473" s="58">
        <f t="shared" si="311"/>
        <v>172</v>
      </c>
      <c r="BP473" s="59"/>
      <c r="BQ473" s="58" t="str">
        <f t="shared" si="312"/>
        <v/>
      </c>
      <c r="BR473" s="59"/>
      <c r="BS473" s="58" t="str">
        <f t="shared" si="313"/>
        <v/>
      </c>
      <c r="BT473" s="59"/>
      <c r="BU473" s="58" t="str">
        <f t="shared" si="314"/>
        <v/>
      </c>
      <c r="BV473" s="59"/>
      <c r="BW473" s="58" t="str">
        <f t="shared" si="315"/>
        <v/>
      </c>
      <c r="BX473" s="59"/>
      <c r="BY473" s="58" t="str">
        <f t="shared" si="316"/>
        <v/>
      </c>
      <c r="BZ473" s="59"/>
    </row>
    <row r="474" spans="1:78" ht="14.5" hidden="1">
      <c r="A474" s="51" t="s">
        <v>58</v>
      </c>
      <c r="B474" s="52">
        <v>436</v>
      </c>
      <c r="C474" s="52" t="s">
        <v>188</v>
      </c>
      <c r="D474" s="41">
        <f t="shared" si="317"/>
        <v>10</v>
      </c>
      <c r="E474" s="170"/>
      <c r="F474" s="41"/>
      <c r="G474" s="52" t="s">
        <v>190</v>
      </c>
      <c r="H474" s="52" t="s">
        <v>242</v>
      </c>
      <c r="I474" s="52" t="s">
        <v>244</v>
      </c>
      <c r="J474" s="52" t="s">
        <v>438</v>
      </c>
      <c r="K474" s="53">
        <v>45723</v>
      </c>
      <c r="L474" s="108">
        <v>1336</v>
      </c>
      <c r="M474" s="101"/>
      <c r="N474" s="101"/>
      <c r="O474" s="107">
        <f t="shared" si="319"/>
        <v>1336</v>
      </c>
      <c r="P474" s="54">
        <f t="shared" si="320"/>
        <v>1336</v>
      </c>
      <c r="Q474" s="101" t="s">
        <v>431</v>
      </c>
      <c r="R474" s="101"/>
      <c r="S474" s="101"/>
      <c r="T474" s="102">
        <f t="shared" si="318"/>
        <v>1.8555555555555556</v>
      </c>
      <c r="U474" s="102">
        <v>6</v>
      </c>
      <c r="V474" s="99">
        <v>120</v>
      </c>
      <c r="W474" s="55">
        <f t="shared" si="321"/>
        <v>45703</v>
      </c>
      <c r="X474" s="55"/>
      <c r="Y474" s="56">
        <f t="shared" ca="1" si="291"/>
        <v>-137</v>
      </c>
      <c r="Z474" s="55">
        <f t="shared" si="290"/>
        <v>45719</v>
      </c>
      <c r="AA474" s="55"/>
      <c r="AB474" s="56">
        <f t="shared" ca="1" si="292"/>
        <v>-121</v>
      </c>
      <c r="AC474" s="55"/>
      <c r="AD474" s="57"/>
      <c r="AE474" s="58" t="str">
        <f t="shared" si="293"/>
        <v>-</v>
      </c>
      <c r="AF474" s="59"/>
      <c r="AG474" s="58" t="str">
        <f t="shared" si="294"/>
        <v/>
      </c>
      <c r="AH474" s="59"/>
      <c r="AI474" s="58" t="str">
        <f t="shared" si="295"/>
        <v/>
      </c>
      <c r="AJ474" s="59"/>
      <c r="AK474" s="58" t="str">
        <f t="shared" si="296"/>
        <v/>
      </c>
      <c r="AL474" s="59"/>
      <c r="AM474" s="58" t="str">
        <f t="shared" si="297"/>
        <v/>
      </c>
      <c r="AN474" s="59"/>
      <c r="AO474" s="58" t="str">
        <f t="shared" si="298"/>
        <v/>
      </c>
      <c r="AP474" s="59"/>
      <c r="AQ474" s="58" t="str">
        <f t="shared" si="299"/>
        <v/>
      </c>
      <c r="AR474" s="59"/>
      <c r="AS474" s="58" t="str">
        <f t="shared" si="300"/>
        <v/>
      </c>
      <c r="AT474" s="59"/>
      <c r="AU474" s="58" t="str">
        <f t="shared" si="301"/>
        <v/>
      </c>
      <c r="AV474" s="59"/>
      <c r="AW474" s="58" t="str">
        <f t="shared" si="302"/>
        <v/>
      </c>
      <c r="AX474" s="59"/>
      <c r="AY474" s="58" t="str">
        <f t="shared" si="303"/>
        <v/>
      </c>
      <c r="AZ474" s="59"/>
      <c r="BA474" s="58" t="str">
        <f t="shared" si="304"/>
        <v/>
      </c>
      <c r="BB474" s="59"/>
      <c r="BC474" s="58" t="str">
        <f t="shared" si="305"/>
        <v/>
      </c>
      <c r="BD474" s="59"/>
      <c r="BE474" s="58" t="str">
        <f t="shared" si="306"/>
        <v/>
      </c>
      <c r="BF474" s="59"/>
      <c r="BG474" s="58" t="str">
        <f t="shared" si="307"/>
        <v/>
      </c>
      <c r="BH474" s="59"/>
      <c r="BI474" s="58" t="str">
        <f t="shared" si="308"/>
        <v/>
      </c>
      <c r="BJ474" s="59"/>
      <c r="BK474" s="58" t="str">
        <f t="shared" si="309"/>
        <v/>
      </c>
      <c r="BL474" s="59"/>
      <c r="BM474" s="58" t="str">
        <f t="shared" si="310"/>
        <v/>
      </c>
      <c r="BN474" s="59"/>
      <c r="BO474" s="58">
        <f t="shared" si="311"/>
        <v>1336</v>
      </c>
      <c r="BP474" s="59"/>
      <c r="BQ474" s="58" t="str">
        <f t="shared" si="312"/>
        <v/>
      </c>
      <c r="BR474" s="59"/>
      <c r="BS474" s="58" t="str">
        <f t="shared" si="313"/>
        <v/>
      </c>
      <c r="BT474" s="59"/>
      <c r="BU474" s="58" t="str">
        <f t="shared" si="314"/>
        <v/>
      </c>
      <c r="BV474" s="59"/>
      <c r="BW474" s="58" t="str">
        <f t="shared" si="315"/>
        <v/>
      </c>
      <c r="BX474" s="59"/>
      <c r="BY474" s="58" t="str">
        <f t="shared" si="316"/>
        <v/>
      </c>
      <c r="BZ474" s="59"/>
    </row>
    <row r="475" spans="1:78" ht="14.5" hidden="1">
      <c r="A475" s="51" t="s">
        <v>58</v>
      </c>
      <c r="B475" s="52">
        <v>437</v>
      </c>
      <c r="C475" s="52" t="s">
        <v>188</v>
      </c>
      <c r="D475" s="41">
        <f t="shared" si="317"/>
        <v>10</v>
      </c>
      <c r="E475" s="170"/>
      <c r="F475" s="41"/>
      <c r="G475" s="52" t="s">
        <v>136</v>
      </c>
      <c r="H475" s="52" t="s">
        <v>247</v>
      </c>
      <c r="I475" s="52" t="s">
        <v>162</v>
      </c>
      <c r="J475" s="52" t="s">
        <v>500</v>
      </c>
      <c r="K475" s="53">
        <v>45723</v>
      </c>
      <c r="L475" s="108">
        <v>3712</v>
      </c>
      <c r="M475" s="101"/>
      <c r="N475" s="101"/>
      <c r="O475" s="107">
        <f t="shared" si="319"/>
        <v>3712</v>
      </c>
      <c r="P475" s="54">
        <f t="shared" si="320"/>
        <v>3712</v>
      </c>
      <c r="Q475" s="101" t="s">
        <v>431</v>
      </c>
      <c r="R475" s="101"/>
      <c r="S475" s="101"/>
      <c r="T475" s="102">
        <f t="shared" si="318"/>
        <v>1.7676190476190476</v>
      </c>
      <c r="U475" s="102">
        <v>6</v>
      </c>
      <c r="V475" s="99">
        <v>350</v>
      </c>
      <c r="W475" s="55">
        <f t="shared" si="321"/>
        <v>45703</v>
      </c>
      <c r="X475" s="55"/>
      <c r="Y475" s="56">
        <f t="shared" ca="1" si="291"/>
        <v>-137</v>
      </c>
      <c r="Z475" s="55">
        <f t="shared" si="290"/>
        <v>45719</v>
      </c>
      <c r="AA475" s="55"/>
      <c r="AB475" s="56">
        <f t="shared" ca="1" si="292"/>
        <v>-121</v>
      </c>
      <c r="AC475" s="55"/>
      <c r="AD475" s="57"/>
      <c r="AE475" s="58" t="str">
        <f t="shared" si="293"/>
        <v>-</v>
      </c>
      <c r="AF475" s="59"/>
      <c r="AG475" s="58" t="str">
        <f t="shared" si="294"/>
        <v/>
      </c>
      <c r="AH475" s="59"/>
      <c r="AI475" s="58" t="str">
        <f t="shared" si="295"/>
        <v/>
      </c>
      <c r="AJ475" s="59"/>
      <c r="AK475" s="58" t="str">
        <f t="shared" si="296"/>
        <v/>
      </c>
      <c r="AL475" s="59"/>
      <c r="AM475" s="58" t="str">
        <f t="shared" si="297"/>
        <v/>
      </c>
      <c r="AN475" s="59"/>
      <c r="AO475" s="58" t="str">
        <f t="shared" si="298"/>
        <v/>
      </c>
      <c r="AP475" s="59"/>
      <c r="AQ475" s="58" t="str">
        <f t="shared" si="299"/>
        <v/>
      </c>
      <c r="AR475" s="59"/>
      <c r="AS475" s="58" t="str">
        <f t="shared" si="300"/>
        <v/>
      </c>
      <c r="AT475" s="59"/>
      <c r="AU475" s="58" t="str">
        <f t="shared" si="301"/>
        <v/>
      </c>
      <c r="AV475" s="59"/>
      <c r="AW475" s="58" t="str">
        <f t="shared" si="302"/>
        <v/>
      </c>
      <c r="AX475" s="59"/>
      <c r="AY475" s="58" t="str">
        <f t="shared" si="303"/>
        <v/>
      </c>
      <c r="AZ475" s="59"/>
      <c r="BA475" s="58" t="str">
        <f t="shared" si="304"/>
        <v/>
      </c>
      <c r="BB475" s="59"/>
      <c r="BC475" s="58" t="str">
        <f t="shared" si="305"/>
        <v/>
      </c>
      <c r="BD475" s="59"/>
      <c r="BE475" s="58" t="str">
        <f t="shared" si="306"/>
        <v/>
      </c>
      <c r="BF475" s="59"/>
      <c r="BG475" s="58" t="str">
        <f t="shared" si="307"/>
        <v/>
      </c>
      <c r="BH475" s="59"/>
      <c r="BI475" s="58" t="str">
        <f t="shared" si="308"/>
        <v/>
      </c>
      <c r="BJ475" s="59"/>
      <c r="BK475" s="58" t="str">
        <f t="shared" si="309"/>
        <v/>
      </c>
      <c r="BL475" s="59"/>
      <c r="BM475" s="58" t="str">
        <f t="shared" si="310"/>
        <v/>
      </c>
      <c r="BN475" s="59"/>
      <c r="BO475" s="58">
        <f t="shared" si="311"/>
        <v>3712</v>
      </c>
      <c r="BP475" s="59"/>
      <c r="BQ475" s="58" t="str">
        <f t="shared" si="312"/>
        <v/>
      </c>
      <c r="BR475" s="59"/>
      <c r="BS475" s="58" t="str">
        <f t="shared" si="313"/>
        <v/>
      </c>
      <c r="BT475" s="59"/>
      <c r="BU475" s="58" t="str">
        <f t="shared" si="314"/>
        <v/>
      </c>
      <c r="BV475" s="59"/>
      <c r="BW475" s="58" t="str">
        <f t="shared" si="315"/>
        <v/>
      </c>
      <c r="BX475" s="59"/>
      <c r="BY475" s="58" t="str">
        <f t="shared" si="316"/>
        <v/>
      </c>
      <c r="BZ475" s="59"/>
    </row>
    <row r="476" spans="1:78" ht="14.5" hidden="1">
      <c r="A476" s="51" t="s">
        <v>58</v>
      </c>
      <c r="B476" s="52">
        <v>437</v>
      </c>
      <c r="C476" s="52" t="s">
        <v>188</v>
      </c>
      <c r="D476" s="41">
        <f t="shared" si="317"/>
        <v>10</v>
      </c>
      <c r="E476" s="170"/>
      <c r="F476" s="41"/>
      <c r="G476" s="52" t="s">
        <v>136</v>
      </c>
      <c r="H476" s="52" t="s">
        <v>247</v>
      </c>
      <c r="I476" s="52" t="s">
        <v>163</v>
      </c>
      <c r="J476" s="52" t="s">
        <v>500</v>
      </c>
      <c r="K476" s="53">
        <v>45723</v>
      </c>
      <c r="L476" s="108">
        <v>3712</v>
      </c>
      <c r="M476" s="101"/>
      <c r="N476" s="101"/>
      <c r="O476" s="107">
        <f t="shared" si="319"/>
        <v>3712</v>
      </c>
      <c r="P476" s="54">
        <f t="shared" si="320"/>
        <v>3712</v>
      </c>
      <c r="Q476" s="101" t="s">
        <v>431</v>
      </c>
      <c r="R476" s="101"/>
      <c r="S476" s="101"/>
      <c r="T476" s="102">
        <f t="shared" si="318"/>
        <v>1.7676190476190476</v>
      </c>
      <c r="U476" s="102">
        <v>6</v>
      </c>
      <c r="V476" s="99">
        <v>350</v>
      </c>
      <c r="W476" s="55">
        <f t="shared" si="321"/>
        <v>45703</v>
      </c>
      <c r="X476" s="55"/>
      <c r="Y476" s="56">
        <f t="shared" ca="1" si="291"/>
        <v>-137</v>
      </c>
      <c r="Z476" s="55">
        <f t="shared" si="290"/>
        <v>45719</v>
      </c>
      <c r="AA476" s="55"/>
      <c r="AB476" s="56">
        <f t="shared" ca="1" si="292"/>
        <v>-121</v>
      </c>
      <c r="AC476" s="55"/>
      <c r="AD476" s="57"/>
      <c r="AE476" s="58" t="str">
        <f t="shared" si="293"/>
        <v>-</v>
      </c>
      <c r="AF476" s="59"/>
      <c r="AG476" s="58" t="str">
        <f t="shared" si="294"/>
        <v/>
      </c>
      <c r="AH476" s="59"/>
      <c r="AI476" s="58" t="str">
        <f t="shared" si="295"/>
        <v/>
      </c>
      <c r="AJ476" s="59"/>
      <c r="AK476" s="58" t="str">
        <f t="shared" si="296"/>
        <v/>
      </c>
      <c r="AL476" s="59"/>
      <c r="AM476" s="58" t="str">
        <f t="shared" si="297"/>
        <v/>
      </c>
      <c r="AN476" s="59"/>
      <c r="AO476" s="58" t="str">
        <f t="shared" si="298"/>
        <v/>
      </c>
      <c r="AP476" s="59"/>
      <c r="AQ476" s="58" t="str">
        <f t="shared" si="299"/>
        <v/>
      </c>
      <c r="AR476" s="59"/>
      <c r="AS476" s="58" t="str">
        <f t="shared" si="300"/>
        <v/>
      </c>
      <c r="AT476" s="59"/>
      <c r="AU476" s="58" t="str">
        <f t="shared" si="301"/>
        <v/>
      </c>
      <c r="AV476" s="59"/>
      <c r="AW476" s="58" t="str">
        <f t="shared" si="302"/>
        <v/>
      </c>
      <c r="AX476" s="59"/>
      <c r="AY476" s="58" t="str">
        <f t="shared" si="303"/>
        <v/>
      </c>
      <c r="AZ476" s="59"/>
      <c r="BA476" s="58" t="str">
        <f t="shared" si="304"/>
        <v/>
      </c>
      <c r="BB476" s="59"/>
      <c r="BC476" s="58" t="str">
        <f t="shared" si="305"/>
        <v/>
      </c>
      <c r="BD476" s="59"/>
      <c r="BE476" s="58" t="str">
        <f t="shared" si="306"/>
        <v/>
      </c>
      <c r="BF476" s="59"/>
      <c r="BG476" s="58" t="str">
        <f t="shared" si="307"/>
        <v/>
      </c>
      <c r="BH476" s="59"/>
      <c r="BI476" s="58" t="str">
        <f t="shared" si="308"/>
        <v/>
      </c>
      <c r="BJ476" s="59"/>
      <c r="BK476" s="58" t="str">
        <f t="shared" si="309"/>
        <v/>
      </c>
      <c r="BL476" s="59"/>
      <c r="BM476" s="58" t="str">
        <f t="shared" si="310"/>
        <v/>
      </c>
      <c r="BN476" s="59"/>
      <c r="BO476" s="58">
        <f t="shared" si="311"/>
        <v>3712</v>
      </c>
      <c r="BP476" s="59"/>
      <c r="BQ476" s="58" t="str">
        <f t="shared" si="312"/>
        <v/>
      </c>
      <c r="BR476" s="59"/>
      <c r="BS476" s="58" t="str">
        <f t="shared" si="313"/>
        <v/>
      </c>
      <c r="BT476" s="59"/>
      <c r="BU476" s="58" t="str">
        <f t="shared" si="314"/>
        <v/>
      </c>
      <c r="BV476" s="59"/>
      <c r="BW476" s="58" t="str">
        <f t="shared" si="315"/>
        <v/>
      </c>
      <c r="BX476" s="59"/>
      <c r="BY476" s="58" t="str">
        <f t="shared" si="316"/>
        <v/>
      </c>
      <c r="BZ476" s="59"/>
    </row>
    <row r="477" spans="1:78" ht="14.5" hidden="1">
      <c r="A477" s="51" t="s">
        <v>58</v>
      </c>
      <c r="B477" s="52">
        <v>437</v>
      </c>
      <c r="C477" s="52" t="s">
        <v>188</v>
      </c>
      <c r="D477" s="41">
        <f t="shared" si="317"/>
        <v>10</v>
      </c>
      <c r="E477" s="170"/>
      <c r="F477" s="41"/>
      <c r="G477" s="52" t="s">
        <v>136</v>
      </c>
      <c r="H477" s="52" t="s">
        <v>247</v>
      </c>
      <c r="I477" s="52" t="s">
        <v>501</v>
      </c>
      <c r="J477" s="52" t="s">
        <v>500</v>
      </c>
      <c r="K477" s="53">
        <v>45723</v>
      </c>
      <c r="L477" s="108">
        <v>3712</v>
      </c>
      <c r="M477" s="101"/>
      <c r="N477" s="101"/>
      <c r="O477" s="107">
        <f t="shared" si="319"/>
        <v>3712</v>
      </c>
      <c r="P477" s="54">
        <f t="shared" si="320"/>
        <v>3712</v>
      </c>
      <c r="Q477" s="101" t="s">
        <v>431</v>
      </c>
      <c r="R477" s="101"/>
      <c r="S477" s="101"/>
      <c r="T477" s="102">
        <f t="shared" si="318"/>
        <v>1.7676190476190476</v>
      </c>
      <c r="U477" s="102">
        <v>6</v>
      </c>
      <c r="V477" s="99">
        <v>350</v>
      </c>
      <c r="W477" s="55">
        <f t="shared" si="321"/>
        <v>45703</v>
      </c>
      <c r="X477" s="55"/>
      <c r="Y477" s="56">
        <f t="shared" ca="1" si="291"/>
        <v>-137</v>
      </c>
      <c r="Z477" s="55">
        <f t="shared" si="290"/>
        <v>45719</v>
      </c>
      <c r="AA477" s="55"/>
      <c r="AB477" s="56">
        <f t="shared" ca="1" si="292"/>
        <v>-121</v>
      </c>
      <c r="AC477" s="55"/>
      <c r="AD477" s="57"/>
      <c r="AE477" s="58" t="str">
        <f t="shared" si="293"/>
        <v>-</v>
      </c>
      <c r="AF477" s="59"/>
      <c r="AG477" s="58" t="str">
        <f t="shared" si="294"/>
        <v/>
      </c>
      <c r="AH477" s="59"/>
      <c r="AI477" s="58" t="str">
        <f t="shared" si="295"/>
        <v/>
      </c>
      <c r="AJ477" s="59"/>
      <c r="AK477" s="58" t="str">
        <f t="shared" si="296"/>
        <v/>
      </c>
      <c r="AL477" s="59"/>
      <c r="AM477" s="58" t="str">
        <f t="shared" si="297"/>
        <v/>
      </c>
      <c r="AN477" s="59"/>
      <c r="AO477" s="58" t="str">
        <f t="shared" si="298"/>
        <v/>
      </c>
      <c r="AP477" s="59"/>
      <c r="AQ477" s="58" t="str">
        <f t="shared" si="299"/>
        <v/>
      </c>
      <c r="AR477" s="59"/>
      <c r="AS477" s="58" t="str">
        <f t="shared" si="300"/>
        <v/>
      </c>
      <c r="AT477" s="59"/>
      <c r="AU477" s="58" t="str">
        <f t="shared" si="301"/>
        <v/>
      </c>
      <c r="AV477" s="59"/>
      <c r="AW477" s="58" t="str">
        <f t="shared" si="302"/>
        <v/>
      </c>
      <c r="AX477" s="59"/>
      <c r="AY477" s="58" t="str">
        <f t="shared" si="303"/>
        <v/>
      </c>
      <c r="AZ477" s="59"/>
      <c r="BA477" s="58" t="str">
        <f t="shared" si="304"/>
        <v/>
      </c>
      <c r="BB477" s="59"/>
      <c r="BC477" s="58" t="str">
        <f t="shared" si="305"/>
        <v/>
      </c>
      <c r="BD477" s="59"/>
      <c r="BE477" s="58" t="str">
        <f t="shared" si="306"/>
        <v/>
      </c>
      <c r="BF477" s="59"/>
      <c r="BG477" s="58" t="str">
        <f t="shared" si="307"/>
        <v/>
      </c>
      <c r="BH477" s="59"/>
      <c r="BI477" s="58" t="str">
        <f t="shared" si="308"/>
        <v/>
      </c>
      <c r="BJ477" s="59"/>
      <c r="BK477" s="58" t="str">
        <f t="shared" si="309"/>
        <v/>
      </c>
      <c r="BL477" s="59"/>
      <c r="BM477" s="58" t="str">
        <f t="shared" si="310"/>
        <v/>
      </c>
      <c r="BN477" s="59"/>
      <c r="BO477" s="58">
        <f t="shared" si="311"/>
        <v>3712</v>
      </c>
      <c r="BP477" s="59"/>
      <c r="BQ477" s="58" t="str">
        <f t="shared" si="312"/>
        <v/>
      </c>
      <c r="BR477" s="59"/>
      <c r="BS477" s="58" t="str">
        <f t="shared" si="313"/>
        <v/>
      </c>
      <c r="BT477" s="59"/>
      <c r="BU477" s="58" t="str">
        <f t="shared" si="314"/>
        <v/>
      </c>
      <c r="BV477" s="59"/>
      <c r="BW477" s="58" t="str">
        <f t="shared" si="315"/>
        <v/>
      </c>
      <c r="BX477" s="59"/>
      <c r="BY477" s="58" t="str">
        <f t="shared" si="316"/>
        <v/>
      </c>
      <c r="BZ477" s="59"/>
    </row>
    <row r="478" spans="1:78" ht="14.5" hidden="1">
      <c r="A478" s="51" t="s">
        <v>58</v>
      </c>
      <c r="B478" s="52">
        <v>437</v>
      </c>
      <c r="C478" s="52" t="s">
        <v>188</v>
      </c>
      <c r="D478" s="41">
        <f t="shared" si="317"/>
        <v>10</v>
      </c>
      <c r="E478" s="170" t="s">
        <v>631</v>
      </c>
      <c r="F478" s="41"/>
      <c r="G478" s="52" t="s">
        <v>390</v>
      </c>
      <c r="H478" s="52" t="s">
        <v>242</v>
      </c>
      <c r="I478" s="52" t="s">
        <v>162</v>
      </c>
      <c r="J478" s="52" t="s">
        <v>430</v>
      </c>
      <c r="K478" s="53">
        <v>45723</v>
      </c>
      <c r="L478" s="108">
        <v>1824</v>
      </c>
      <c r="M478" s="101"/>
      <c r="N478" s="101"/>
      <c r="O478" s="107">
        <f t="shared" si="319"/>
        <v>1824</v>
      </c>
      <c r="P478" s="54">
        <f t="shared" si="320"/>
        <v>1824</v>
      </c>
      <c r="Q478" s="101" t="s">
        <v>431</v>
      </c>
      <c r="R478" s="101"/>
      <c r="S478" s="101"/>
      <c r="T478" s="102">
        <f t="shared" si="318"/>
        <v>2.5333333333333332</v>
      </c>
      <c r="U478" s="102">
        <v>6</v>
      </c>
      <c r="V478" s="99">
        <v>120</v>
      </c>
      <c r="W478" s="55">
        <f t="shared" si="321"/>
        <v>45703</v>
      </c>
      <c r="X478" s="55"/>
      <c r="Y478" s="56">
        <f t="shared" ca="1" si="291"/>
        <v>-137</v>
      </c>
      <c r="Z478" s="55">
        <f t="shared" si="290"/>
        <v>45719</v>
      </c>
      <c r="AA478" s="55"/>
      <c r="AB478" s="56">
        <f t="shared" ca="1" si="292"/>
        <v>-121</v>
      </c>
      <c r="AC478" s="55"/>
      <c r="AD478" s="57"/>
      <c r="AE478" s="58" t="str">
        <f t="shared" si="293"/>
        <v>-</v>
      </c>
      <c r="AF478" s="59"/>
      <c r="AG478" s="58" t="str">
        <f t="shared" si="294"/>
        <v/>
      </c>
      <c r="AH478" s="59"/>
      <c r="AI478" s="58" t="str">
        <f t="shared" si="295"/>
        <v/>
      </c>
      <c r="AJ478" s="59"/>
      <c r="AK478" s="58" t="str">
        <f t="shared" si="296"/>
        <v/>
      </c>
      <c r="AL478" s="59"/>
      <c r="AM478" s="58" t="str">
        <f t="shared" si="297"/>
        <v/>
      </c>
      <c r="AN478" s="59"/>
      <c r="AO478" s="58" t="str">
        <f t="shared" si="298"/>
        <v/>
      </c>
      <c r="AP478" s="59"/>
      <c r="AQ478" s="58" t="str">
        <f t="shared" si="299"/>
        <v/>
      </c>
      <c r="AR478" s="59"/>
      <c r="AS478" s="58" t="str">
        <f t="shared" si="300"/>
        <v/>
      </c>
      <c r="AT478" s="59"/>
      <c r="AU478" s="58" t="str">
        <f t="shared" si="301"/>
        <v/>
      </c>
      <c r="AV478" s="59"/>
      <c r="AW478" s="58" t="str">
        <f t="shared" si="302"/>
        <v/>
      </c>
      <c r="AX478" s="59"/>
      <c r="AY478" s="58" t="str">
        <f t="shared" si="303"/>
        <v/>
      </c>
      <c r="AZ478" s="59"/>
      <c r="BA478" s="58" t="str">
        <f t="shared" si="304"/>
        <v/>
      </c>
      <c r="BB478" s="59"/>
      <c r="BC478" s="58" t="str">
        <f t="shared" si="305"/>
        <v/>
      </c>
      <c r="BD478" s="59"/>
      <c r="BE478" s="58" t="str">
        <f t="shared" si="306"/>
        <v/>
      </c>
      <c r="BF478" s="59"/>
      <c r="BG478" s="58" t="str">
        <f t="shared" si="307"/>
        <v/>
      </c>
      <c r="BH478" s="59"/>
      <c r="BI478" s="58" t="str">
        <f t="shared" si="308"/>
        <v/>
      </c>
      <c r="BJ478" s="59"/>
      <c r="BK478" s="58" t="str">
        <f t="shared" si="309"/>
        <v/>
      </c>
      <c r="BL478" s="59"/>
      <c r="BM478" s="58" t="str">
        <f t="shared" si="310"/>
        <v/>
      </c>
      <c r="BN478" s="59"/>
      <c r="BO478" s="58">
        <f t="shared" si="311"/>
        <v>1824</v>
      </c>
      <c r="BP478" s="59"/>
      <c r="BQ478" s="58" t="str">
        <f t="shared" si="312"/>
        <v/>
      </c>
      <c r="BR478" s="59"/>
      <c r="BS478" s="58" t="str">
        <f t="shared" si="313"/>
        <v/>
      </c>
      <c r="BT478" s="59"/>
      <c r="BU478" s="58" t="str">
        <f t="shared" si="314"/>
        <v/>
      </c>
      <c r="BV478" s="59"/>
      <c r="BW478" s="58" t="str">
        <f t="shared" si="315"/>
        <v/>
      </c>
      <c r="BX478" s="59"/>
      <c r="BY478" s="58" t="str">
        <f t="shared" si="316"/>
        <v/>
      </c>
      <c r="BZ478" s="59"/>
    </row>
    <row r="479" spans="1:78" ht="14.5" hidden="1">
      <c r="A479" s="51" t="s">
        <v>58</v>
      </c>
      <c r="B479" s="52">
        <v>437</v>
      </c>
      <c r="C479" s="52" t="s">
        <v>188</v>
      </c>
      <c r="D479" s="41">
        <f t="shared" si="317"/>
        <v>10</v>
      </c>
      <c r="E479" s="41"/>
      <c r="F479" s="41"/>
      <c r="G479" s="52" t="s">
        <v>158</v>
      </c>
      <c r="H479" s="52" t="s">
        <v>242</v>
      </c>
      <c r="I479" s="52" t="s">
        <v>154</v>
      </c>
      <c r="J479" s="52" t="s">
        <v>432</v>
      </c>
      <c r="K479" s="53">
        <v>45723</v>
      </c>
      <c r="L479" s="108">
        <v>920</v>
      </c>
      <c r="M479" s="101"/>
      <c r="N479" s="101"/>
      <c r="O479" s="107">
        <f t="shared" si="319"/>
        <v>920</v>
      </c>
      <c r="P479" s="54">
        <f t="shared" si="320"/>
        <v>920</v>
      </c>
      <c r="Q479" s="101" t="s">
        <v>431</v>
      </c>
      <c r="R479" s="101"/>
      <c r="S479" s="101"/>
      <c r="T479" s="102">
        <f t="shared" si="318"/>
        <v>1.2777777777777777</v>
      </c>
      <c r="U479" s="102">
        <v>6</v>
      </c>
      <c r="V479" s="99">
        <v>120</v>
      </c>
      <c r="W479" s="55">
        <f t="shared" si="321"/>
        <v>45703</v>
      </c>
      <c r="X479" s="55"/>
      <c r="Y479" s="56">
        <f t="shared" ca="1" si="291"/>
        <v>-137</v>
      </c>
      <c r="Z479" s="55">
        <f t="shared" si="290"/>
        <v>45719</v>
      </c>
      <c r="AA479" s="55"/>
      <c r="AB479" s="56">
        <f t="shared" ca="1" si="292"/>
        <v>-121</v>
      </c>
      <c r="AC479" s="55"/>
      <c r="AD479" s="57"/>
      <c r="AE479" s="58" t="str">
        <f t="shared" si="293"/>
        <v>-</v>
      </c>
      <c r="AF479" s="59"/>
      <c r="AG479" s="58" t="str">
        <f t="shared" si="294"/>
        <v/>
      </c>
      <c r="AH479" s="59"/>
      <c r="AI479" s="58" t="str">
        <f t="shared" si="295"/>
        <v/>
      </c>
      <c r="AJ479" s="59"/>
      <c r="AK479" s="58" t="str">
        <f t="shared" si="296"/>
        <v/>
      </c>
      <c r="AL479" s="59"/>
      <c r="AM479" s="58" t="str">
        <f t="shared" si="297"/>
        <v/>
      </c>
      <c r="AN479" s="59"/>
      <c r="AO479" s="58" t="str">
        <f t="shared" si="298"/>
        <v/>
      </c>
      <c r="AP479" s="59"/>
      <c r="AQ479" s="58" t="str">
        <f t="shared" si="299"/>
        <v/>
      </c>
      <c r="AR479" s="59"/>
      <c r="AS479" s="58" t="str">
        <f t="shared" si="300"/>
        <v/>
      </c>
      <c r="AT479" s="59"/>
      <c r="AU479" s="58" t="str">
        <f t="shared" si="301"/>
        <v/>
      </c>
      <c r="AV479" s="59"/>
      <c r="AW479" s="58" t="str">
        <f t="shared" si="302"/>
        <v/>
      </c>
      <c r="AX479" s="59"/>
      <c r="AY479" s="58" t="str">
        <f t="shared" si="303"/>
        <v/>
      </c>
      <c r="AZ479" s="59"/>
      <c r="BA479" s="58" t="str">
        <f t="shared" si="304"/>
        <v/>
      </c>
      <c r="BB479" s="59"/>
      <c r="BC479" s="58" t="str">
        <f t="shared" si="305"/>
        <v/>
      </c>
      <c r="BD479" s="59"/>
      <c r="BE479" s="58" t="str">
        <f t="shared" si="306"/>
        <v/>
      </c>
      <c r="BF479" s="59"/>
      <c r="BG479" s="58" t="str">
        <f t="shared" si="307"/>
        <v/>
      </c>
      <c r="BH479" s="59"/>
      <c r="BI479" s="58" t="str">
        <f t="shared" si="308"/>
        <v/>
      </c>
      <c r="BJ479" s="59"/>
      <c r="BK479" s="58" t="str">
        <f t="shared" si="309"/>
        <v/>
      </c>
      <c r="BL479" s="59"/>
      <c r="BM479" s="58" t="str">
        <f t="shared" si="310"/>
        <v/>
      </c>
      <c r="BN479" s="59"/>
      <c r="BO479" s="58">
        <f t="shared" si="311"/>
        <v>920</v>
      </c>
      <c r="BP479" s="59"/>
      <c r="BQ479" s="58" t="str">
        <f t="shared" si="312"/>
        <v/>
      </c>
      <c r="BR479" s="59"/>
      <c r="BS479" s="58" t="str">
        <f t="shared" si="313"/>
        <v/>
      </c>
      <c r="BT479" s="59"/>
      <c r="BU479" s="58" t="str">
        <f t="shared" si="314"/>
        <v/>
      </c>
      <c r="BV479" s="59"/>
      <c r="BW479" s="58" t="str">
        <f t="shared" si="315"/>
        <v/>
      </c>
      <c r="BX479" s="59"/>
      <c r="BY479" s="58" t="str">
        <f t="shared" si="316"/>
        <v/>
      </c>
      <c r="BZ479" s="59"/>
    </row>
    <row r="480" spans="1:78" ht="14.5" hidden="1">
      <c r="A480" s="51" t="s">
        <v>58</v>
      </c>
      <c r="B480" s="52">
        <v>437</v>
      </c>
      <c r="C480" s="52" t="s">
        <v>188</v>
      </c>
      <c r="D480" s="41">
        <f t="shared" si="317"/>
        <v>10</v>
      </c>
      <c r="E480" s="41"/>
      <c r="F480" s="41"/>
      <c r="G480" s="52" t="s">
        <v>190</v>
      </c>
      <c r="H480" s="52" t="s">
        <v>242</v>
      </c>
      <c r="I480" s="52" t="s">
        <v>244</v>
      </c>
      <c r="J480" s="52" t="s">
        <v>513</v>
      </c>
      <c r="K480" s="53">
        <v>45723</v>
      </c>
      <c r="L480" s="108">
        <v>1336</v>
      </c>
      <c r="M480" s="101"/>
      <c r="N480" s="101"/>
      <c r="O480" s="107">
        <f t="shared" si="319"/>
        <v>1336</v>
      </c>
      <c r="P480" s="54">
        <f t="shared" si="320"/>
        <v>1336</v>
      </c>
      <c r="Q480" s="101" t="s">
        <v>431</v>
      </c>
      <c r="R480" s="101"/>
      <c r="S480" s="101"/>
      <c r="T480" s="102">
        <f t="shared" si="318"/>
        <v>1.8555555555555556</v>
      </c>
      <c r="U480" s="102">
        <v>6</v>
      </c>
      <c r="V480" s="99">
        <v>120</v>
      </c>
      <c r="W480" s="55">
        <f t="shared" si="321"/>
        <v>45703</v>
      </c>
      <c r="X480" s="55"/>
      <c r="Y480" s="56">
        <f t="shared" ca="1" si="291"/>
        <v>-137</v>
      </c>
      <c r="Z480" s="55">
        <f t="shared" si="290"/>
        <v>45719</v>
      </c>
      <c r="AA480" s="55"/>
      <c r="AB480" s="56">
        <f t="shared" ca="1" si="292"/>
        <v>-121</v>
      </c>
      <c r="AC480" s="55"/>
      <c r="AD480" s="57"/>
      <c r="AE480" s="58" t="str">
        <f t="shared" si="293"/>
        <v>-</v>
      </c>
      <c r="AF480" s="59"/>
      <c r="AG480" s="58" t="str">
        <f t="shared" si="294"/>
        <v/>
      </c>
      <c r="AH480" s="59"/>
      <c r="AI480" s="58" t="str">
        <f t="shared" si="295"/>
        <v/>
      </c>
      <c r="AJ480" s="59"/>
      <c r="AK480" s="58" t="str">
        <f t="shared" si="296"/>
        <v/>
      </c>
      <c r="AL480" s="59"/>
      <c r="AM480" s="58" t="str">
        <f t="shared" si="297"/>
        <v/>
      </c>
      <c r="AN480" s="59"/>
      <c r="AO480" s="58" t="str">
        <f t="shared" si="298"/>
        <v/>
      </c>
      <c r="AP480" s="59"/>
      <c r="AQ480" s="58" t="str">
        <f t="shared" si="299"/>
        <v/>
      </c>
      <c r="AR480" s="59"/>
      <c r="AS480" s="58" t="str">
        <f t="shared" si="300"/>
        <v/>
      </c>
      <c r="AT480" s="59"/>
      <c r="AU480" s="58" t="str">
        <f t="shared" si="301"/>
        <v/>
      </c>
      <c r="AV480" s="59"/>
      <c r="AW480" s="58" t="str">
        <f t="shared" si="302"/>
        <v/>
      </c>
      <c r="AX480" s="59"/>
      <c r="AY480" s="58" t="str">
        <f t="shared" si="303"/>
        <v/>
      </c>
      <c r="AZ480" s="59"/>
      <c r="BA480" s="58" t="str">
        <f t="shared" si="304"/>
        <v/>
      </c>
      <c r="BB480" s="59"/>
      <c r="BC480" s="58" t="str">
        <f t="shared" si="305"/>
        <v/>
      </c>
      <c r="BD480" s="59"/>
      <c r="BE480" s="58" t="str">
        <f t="shared" si="306"/>
        <v/>
      </c>
      <c r="BF480" s="59"/>
      <c r="BG480" s="58" t="str">
        <f t="shared" si="307"/>
        <v/>
      </c>
      <c r="BH480" s="59"/>
      <c r="BI480" s="58" t="str">
        <f t="shared" si="308"/>
        <v/>
      </c>
      <c r="BJ480" s="59"/>
      <c r="BK480" s="58" t="str">
        <f t="shared" si="309"/>
        <v/>
      </c>
      <c r="BL480" s="59"/>
      <c r="BM480" s="58" t="str">
        <f t="shared" si="310"/>
        <v/>
      </c>
      <c r="BN480" s="59"/>
      <c r="BO480" s="58">
        <f t="shared" si="311"/>
        <v>1336</v>
      </c>
      <c r="BP480" s="59"/>
      <c r="BQ480" s="58" t="str">
        <f t="shared" si="312"/>
        <v/>
      </c>
      <c r="BR480" s="59"/>
      <c r="BS480" s="58" t="str">
        <f t="shared" si="313"/>
        <v/>
      </c>
      <c r="BT480" s="59"/>
      <c r="BU480" s="58" t="str">
        <f t="shared" si="314"/>
        <v/>
      </c>
      <c r="BV480" s="59"/>
      <c r="BW480" s="58" t="str">
        <f t="shared" si="315"/>
        <v/>
      </c>
      <c r="BX480" s="59"/>
      <c r="BY480" s="58" t="str">
        <f t="shared" si="316"/>
        <v/>
      </c>
      <c r="BZ480" s="59"/>
    </row>
    <row r="481" spans="1:78" ht="14.5" hidden="1">
      <c r="A481" s="51" t="s">
        <v>58</v>
      </c>
      <c r="B481" s="52">
        <v>438</v>
      </c>
      <c r="C481" s="52" t="s">
        <v>188</v>
      </c>
      <c r="D481" s="41">
        <f t="shared" si="317"/>
        <v>10</v>
      </c>
      <c r="E481" s="41"/>
      <c r="F481" s="41"/>
      <c r="G481" s="52" t="s">
        <v>193</v>
      </c>
      <c r="H481" s="52" t="s">
        <v>398</v>
      </c>
      <c r="I481" s="52" t="s">
        <v>162</v>
      </c>
      <c r="J481" s="52" t="s">
        <v>583</v>
      </c>
      <c r="K481" s="53">
        <v>45723</v>
      </c>
      <c r="L481" s="108">
        <v>1812</v>
      </c>
      <c r="M481" s="101"/>
      <c r="N481" s="101"/>
      <c r="O481" s="107">
        <f t="shared" si="319"/>
        <v>1812</v>
      </c>
      <c r="P481" s="54">
        <f t="shared" si="320"/>
        <v>1812</v>
      </c>
      <c r="Q481" s="101" t="s">
        <v>431</v>
      </c>
      <c r="R481" s="101"/>
      <c r="S481" s="101"/>
      <c r="T481" s="102">
        <f t="shared" si="318"/>
        <v>2.5166666666666666</v>
      </c>
      <c r="U481" s="102">
        <v>6</v>
      </c>
      <c r="V481" s="99">
        <v>120</v>
      </c>
      <c r="W481" s="55">
        <f t="shared" si="321"/>
        <v>45703</v>
      </c>
      <c r="X481" s="55"/>
      <c r="Y481" s="56">
        <f t="shared" ca="1" si="291"/>
        <v>-137</v>
      </c>
      <c r="Z481" s="55">
        <f t="shared" si="290"/>
        <v>45719</v>
      </c>
      <c r="AA481" s="55"/>
      <c r="AB481" s="56">
        <f t="shared" ca="1" si="292"/>
        <v>-121</v>
      </c>
      <c r="AC481" s="55"/>
      <c r="AD481" s="57"/>
      <c r="AE481" s="58" t="str">
        <f t="shared" si="293"/>
        <v>-</v>
      </c>
      <c r="AF481" s="59"/>
      <c r="AG481" s="58" t="str">
        <f t="shared" si="294"/>
        <v/>
      </c>
      <c r="AH481" s="59"/>
      <c r="AI481" s="58" t="str">
        <f t="shared" si="295"/>
        <v/>
      </c>
      <c r="AJ481" s="59"/>
      <c r="AK481" s="58" t="str">
        <f t="shared" si="296"/>
        <v/>
      </c>
      <c r="AL481" s="59"/>
      <c r="AM481" s="58" t="str">
        <f t="shared" si="297"/>
        <v/>
      </c>
      <c r="AN481" s="59"/>
      <c r="AO481" s="58" t="str">
        <f t="shared" si="298"/>
        <v/>
      </c>
      <c r="AP481" s="59"/>
      <c r="AQ481" s="58" t="str">
        <f t="shared" si="299"/>
        <v/>
      </c>
      <c r="AR481" s="59"/>
      <c r="AS481" s="58" t="str">
        <f t="shared" si="300"/>
        <v/>
      </c>
      <c r="AT481" s="59"/>
      <c r="AU481" s="58" t="str">
        <f t="shared" si="301"/>
        <v/>
      </c>
      <c r="AV481" s="59"/>
      <c r="AW481" s="58" t="str">
        <f t="shared" si="302"/>
        <v/>
      </c>
      <c r="AX481" s="59"/>
      <c r="AY481" s="58" t="str">
        <f t="shared" si="303"/>
        <v/>
      </c>
      <c r="AZ481" s="59"/>
      <c r="BA481" s="58" t="str">
        <f t="shared" si="304"/>
        <v/>
      </c>
      <c r="BB481" s="59"/>
      <c r="BC481" s="58" t="str">
        <f t="shared" si="305"/>
        <v/>
      </c>
      <c r="BD481" s="59"/>
      <c r="BE481" s="58" t="str">
        <f t="shared" si="306"/>
        <v/>
      </c>
      <c r="BF481" s="59"/>
      <c r="BG481" s="58" t="str">
        <f t="shared" si="307"/>
        <v/>
      </c>
      <c r="BH481" s="59"/>
      <c r="BI481" s="58" t="str">
        <f t="shared" si="308"/>
        <v/>
      </c>
      <c r="BJ481" s="59"/>
      <c r="BK481" s="58" t="str">
        <f t="shared" si="309"/>
        <v/>
      </c>
      <c r="BL481" s="59"/>
      <c r="BM481" s="58" t="str">
        <f t="shared" si="310"/>
        <v/>
      </c>
      <c r="BN481" s="59"/>
      <c r="BO481" s="58">
        <f t="shared" si="311"/>
        <v>1812</v>
      </c>
      <c r="BP481" s="59"/>
      <c r="BQ481" s="58" t="str">
        <f t="shared" si="312"/>
        <v/>
      </c>
      <c r="BR481" s="59"/>
      <c r="BS481" s="58" t="str">
        <f t="shared" si="313"/>
        <v/>
      </c>
      <c r="BT481" s="59"/>
      <c r="BU481" s="58" t="str">
        <f t="shared" si="314"/>
        <v/>
      </c>
      <c r="BV481" s="59"/>
      <c r="BW481" s="58" t="str">
        <f t="shared" si="315"/>
        <v/>
      </c>
      <c r="BX481" s="59"/>
      <c r="BY481" s="58" t="str">
        <f t="shared" si="316"/>
        <v/>
      </c>
      <c r="BZ481" s="59"/>
    </row>
    <row r="482" spans="1:78" ht="14.5" hidden="1">
      <c r="A482" s="51" t="s">
        <v>58</v>
      </c>
      <c r="B482" s="52">
        <v>438</v>
      </c>
      <c r="C482" s="52" t="s">
        <v>188</v>
      </c>
      <c r="D482" s="41">
        <f t="shared" si="317"/>
        <v>10</v>
      </c>
      <c r="E482" s="41"/>
      <c r="F482" s="41"/>
      <c r="G482" s="52" t="s">
        <v>250</v>
      </c>
      <c r="H482" s="52" t="s">
        <v>398</v>
      </c>
      <c r="I482" s="52" t="s">
        <v>162</v>
      </c>
      <c r="J482" s="52" t="s">
        <v>440</v>
      </c>
      <c r="K482" s="53">
        <v>45723</v>
      </c>
      <c r="L482" s="108">
        <v>1725</v>
      </c>
      <c r="M482" s="101"/>
      <c r="N482" s="101"/>
      <c r="O482" s="107">
        <f t="shared" si="319"/>
        <v>1725</v>
      </c>
      <c r="P482" s="54">
        <f t="shared" si="320"/>
        <v>1725</v>
      </c>
      <c r="Q482" s="101" t="s">
        <v>431</v>
      </c>
      <c r="R482" s="101"/>
      <c r="S482" s="101"/>
      <c r="T482" s="102">
        <f t="shared" si="318"/>
        <v>2.3958333333333335</v>
      </c>
      <c r="U482" s="102">
        <v>6</v>
      </c>
      <c r="V482" s="99">
        <v>120</v>
      </c>
      <c r="W482" s="55">
        <f t="shared" si="321"/>
        <v>45703</v>
      </c>
      <c r="X482" s="55"/>
      <c r="Y482" s="56">
        <f t="shared" ca="1" si="291"/>
        <v>-137</v>
      </c>
      <c r="Z482" s="55">
        <f t="shared" si="290"/>
        <v>45719</v>
      </c>
      <c r="AA482" s="55"/>
      <c r="AB482" s="56">
        <f t="shared" ca="1" si="292"/>
        <v>-121</v>
      </c>
      <c r="AC482" s="55"/>
      <c r="AD482" s="57"/>
      <c r="AE482" s="58" t="str">
        <f t="shared" si="293"/>
        <v>-</v>
      </c>
      <c r="AF482" s="59"/>
      <c r="AG482" s="58" t="str">
        <f t="shared" si="294"/>
        <v/>
      </c>
      <c r="AH482" s="59"/>
      <c r="AI482" s="58" t="str">
        <f t="shared" si="295"/>
        <v/>
      </c>
      <c r="AJ482" s="59"/>
      <c r="AK482" s="58" t="str">
        <f t="shared" si="296"/>
        <v/>
      </c>
      <c r="AL482" s="59"/>
      <c r="AM482" s="58" t="str">
        <f t="shared" si="297"/>
        <v/>
      </c>
      <c r="AN482" s="59"/>
      <c r="AO482" s="58" t="str">
        <f t="shared" si="298"/>
        <v/>
      </c>
      <c r="AP482" s="59"/>
      <c r="AQ482" s="58" t="str">
        <f t="shared" si="299"/>
        <v/>
      </c>
      <c r="AR482" s="59"/>
      <c r="AS482" s="58" t="str">
        <f t="shared" si="300"/>
        <v/>
      </c>
      <c r="AT482" s="59"/>
      <c r="AU482" s="58" t="str">
        <f t="shared" si="301"/>
        <v/>
      </c>
      <c r="AV482" s="59"/>
      <c r="AW482" s="58" t="str">
        <f t="shared" si="302"/>
        <v/>
      </c>
      <c r="AX482" s="59"/>
      <c r="AY482" s="58" t="str">
        <f t="shared" si="303"/>
        <v/>
      </c>
      <c r="AZ482" s="59"/>
      <c r="BA482" s="58" t="str">
        <f t="shared" si="304"/>
        <v/>
      </c>
      <c r="BB482" s="59"/>
      <c r="BC482" s="58" t="str">
        <f t="shared" si="305"/>
        <v/>
      </c>
      <c r="BD482" s="59"/>
      <c r="BE482" s="58" t="str">
        <f t="shared" si="306"/>
        <v/>
      </c>
      <c r="BF482" s="59"/>
      <c r="BG482" s="58" t="str">
        <f t="shared" si="307"/>
        <v/>
      </c>
      <c r="BH482" s="59"/>
      <c r="BI482" s="58" t="str">
        <f t="shared" si="308"/>
        <v/>
      </c>
      <c r="BJ482" s="59"/>
      <c r="BK482" s="58" t="str">
        <f t="shared" si="309"/>
        <v/>
      </c>
      <c r="BL482" s="59"/>
      <c r="BM482" s="58" t="str">
        <f t="shared" si="310"/>
        <v/>
      </c>
      <c r="BN482" s="59"/>
      <c r="BO482" s="58">
        <f t="shared" si="311"/>
        <v>1725</v>
      </c>
      <c r="BP482" s="59"/>
      <c r="BQ482" s="58" t="str">
        <f t="shared" si="312"/>
        <v/>
      </c>
      <c r="BR482" s="59"/>
      <c r="BS482" s="58" t="str">
        <f t="shared" si="313"/>
        <v/>
      </c>
      <c r="BT482" s="59"/>
      <c r="BU482" s="58" t="str">
        <f t="shared" si="314"/>
        <v/>
      </c>
      <c r="BV482" s="59"/>
      <c r="BW482" s="58" t="str">
        <f t="shared" si="315"/>
        <v/>
      </c>
      <c r="BX482" s="59"/>
      <c r="BY482" s="58" t="str">
        <f t="shared" si="316"/>
        <v/>
      </c>
      <c r="BZ482" s="59"/>
    </row>
    <row r="483" spans="1:78" ht="14.5">
      <c r="A483" s="51" t="s">
        <v>58</v>
      </c>
      <c r="B483" s="52">
        <v>438</v>
      </c>
      <c r="C483" s="52" t="s">
        <v>188</v>
      </c>
      <c r="D483" s="41">
        <f t="shared" si="317"/>
        <v>10</v>
      </c>
      <c r="E483" s="41"/>
      <c r="F483" s="41"/>
      <c r="G483" s="52" t="s">
        <v>201</v>
      </c>
      <c r="H483" s="52" t="s">
        <v>247</v>
      </c>
      <c r="I483" s="52" t="s">
        <v>155</v>
      </c>
      <c r="J483" s="52" t="s">
        <v>442</v>
      </c>
      <c r="K483" s="53">
        <v>45723</v>
      </c>
      <c r="L483" s="108">
        <v>7560</v>
      </c>
      <c r="M483" s="101"/>
      <c r="N483" s="101"/>
      <c r="O483" s="107">
        <f t="shared" si="319"/>
        <v>7560</v>
      </c>
      <c r="P483" s="54">
        <f t="shared" si="320"/>
        <v>7560</v>
      </c>
      <c r="Q483" s="101" t="s">
        <v>431</v>
      </c>
      <c r="R483" s="101"/>
      <c r="S483" s="101"/>
      <c r="T483" s="102">
        <f t="shared" si="318"/>
        <v>3.6</v>
      </c>
      <c r="U483" s="102">
        <v>6</v>
      </c>
      <c r="V483" s="99">
        <v>350</v>
      </c>
      <c r="W483" s="55">
        <f t="shared" si="321"/>
        <v>45703</v>
      </c>
      <c r="X483" s="55"/>
      <c r="Y483" s="56">
        <f t="shared" ca="1" si="291"/>
        <v>-137</v>
      </c>
      <c r="Z483" s="55">
        <f t="shared" si="290"/>
        <v>45719</v>
      </c>
      <c r="AA483" s="55"/>
      <c r="AB483" s="56">
        <f t="shared" ca="1" si="292"/>
        <v>-121</v>
      </c>
      <c r="AC483" s="55"/>
      <c r="AD483" s="57"/>
      <c r="AE483" s="58" t="str">
        <f t="shared" si="293"/>
        <v>-</v>
      </c>
      <c r="AF483" s="59"/>
      <c r="AG483" s="58" t="str">
        <f t="shared" si="294"/>
        <v/>
      </c>
      <c r="AH483" s="59"/>
      <c r="AI483" s="58" t="str">
        <f t="shared" si="295"/>
        <v/>
      </c>
      <c r="AJ483" s="59"/>
      <c r="AK483" s="58" t="str">
        <f t="shared" si="296"/>
        <v/>
      </c>
      <c r="AL483" s="59"/>
      <c r="AM483" s="58" t="str">
        <f t="shared" si="297"/>
        <v/>
      </c>
      <c r="AN483" s="59"/>
      <c r="AO483" s="58" t="str">
        <f t="shared" si="298"/>
        <v/>
      </c>
      <c r="AP483" s="59"/>
      <c r="AQ483" s="58" t="str">
        <f t="shared" si="299"/>
        <v/>
      </c>
      <c r="AR483" s="59"/>
      <c r="AS483" s="58" t="str">
        <f t="shared" si="300"/>
        <v/>
      </c>
      <c r="AT483" s="59"/>
      <c r="AU483" s="58" t="str">
        <f t="shared" si="301"/>
        <v/>
      </c>
      <c r="AV483" s="59"/>
      <c r="AW483" s="58" t="str">
        <f t="shared" si="302"/>
        <v/>
      </c>
      <c r="AX483" s="59"/>
      <c r="AY483" s="58" t="str">
        <f t="shared" si="303"/>
        <v/>
      </c>
      <c r="AZ483" s="59"/>
      <c r="BA483" s="58" t="str">
        <f t="shared" si="304"/>
        <v/>
      </c>
      <c r="BB483" s="59"/>
      <c r="BC483" s="58" t="str">
        <f t="shared" si="305"/>
        <v/>
      </c>
      <c r="BD483" s="59"/>
      <c r="BE483" s="58" t="str">
        <f t="shared" si="306"/>
        <v/>
      </c>
      <c r="BF483" s="59"/>
      <c r="BG483" s="58" t="str">
        <f t="shared" si="307"/>
        <v/>
      </c>
      <c r="BH483" s="59"/>
      <c r="BI483" s="58" t="str">
        <f t="shared" si="308"/>
        <v/>
      </c>
      <c r="BJ483" s="59"/>
      <c r="BK483" s="58" t="str">
        <f t="shared" si="309"/>
        <v/>
      </c>
      <c r="BL483" s="59"/>
      <c r="BM483" s="58" t="str">
        <f t="shared" si="310"/>
        <v/>
      </c>
      <c r="BN483" s="59"/>
      <c r="BO483" s="58">
        <f t="shared" si="311"/>
        <v>7560</v>
      </c>
      <c r="BP483" s="59"/>
      <c r="BQ483" s="58" t="str">
        <f t="shared" si="312"/>
        <v/>
      </c>
      <c r="BR483" s="59"/>
      <c r="BS483" s="58" t="str">
        <f t="shared" si="313"/>
        <v/>
      </c>
      <c r="BT483" s="59"/>
      <c r="BU483" s="58" t="str">
        <f t="shared" si="314"/>
        <v/>
      </c>
      <c r="BV483" s="59"/>
      <c r="BW483" s="58" t="str">
        <f t="shared" si="315"/>
        <v/>
      </c>
      <c r="BX483" s="59"/>
      <c r="BY483" s="58" t="str">
        <f t="shared" si="316"/>
        <v/>
      </c>
      <c r="BZ483" s="59"/>
    </row>
    <row r="484" spans="1:78" ht="14.5" hidden="1">
      <c r="A484" s="51" t="s">
        <v>58</v>
      </c>
      <c r="B484" s="52">
        <v>438</v>
      </c>
      <c r="C484" s="52" t="s">
        <v>188</v>
      </c>
      <c r="D484" s="41">
        <f t="shared" si="317"/>
        <v>10</v>
      </c>
      <c r="E484" s="41"/>
      <c r="F484" s="41"/>
      <c r="G484" s="52" t="s">
        <v>391</v>
      </c>
      <c r="H484" s="52" t="s">
        <v>392</v>
      </c>
      <c r="I484" s="52" t="s">
        <v>393</v>
      </c>
      <c r="J484" s="52" t="s">
        <v>433</v>
      </c>
      <c r="K484" s="53">
        <v>45723</v>
      </c>
      <c r="L484" s="108">
        <v>1488</v>
      </c>
      <c r="M484" s="101"/>
      <c r="N484" s="101"/>
      <c r="O484" s="107">
        <f t="shared" si="319"/>
        <v>1488</v>
      </c>
      <c r="P484" s="54">
        <f t="shared" si="320"/>
        <v>1488</v>
      </c>
      <c r="Q484" s="101" t="s">
        <v>431</v>
      </c>
      <c r="R484" s="101"/>
      <c r="S484" s="101"/>
      <c r="T484" s="102">
        <f t="shared" si="318"/>
        <v>3.1</v>
      </c>
      <c r="U484" s="102">
        <v>6</v>
      </c>
      <c r="V484" s="99">
        <v>80</v>
      </c>
      <c r="W484" s="55">
        <f t="shared" si="321"/>
        <v>45703</v>
      </c>
      <c r="X484" s="55"/>
      <c r="Y484" s="56">
        <f t="shared" ca="1" si="291"/>
        <v>-137</v>
      </c>
      <c r="Z484" s="55">
        <f t="shared" si="290"/>
        <v>45719</v>
      </c>
      <c r="AA484" s="55"/>
      <c r="AB484" s="56">
        <f t="shared" ca="1" si="292"/>
        <v>-121</v>
      </c>
      <c r="AC484" s="55"/>
      <c r="AD484" s="57"/>
      <c r="AE484" s="58" t="str">
        <f t="shared" si="293"/>
        <v>-</v>
      </c>
      <c r="AF484" s="59"/>
      <c r="AG484" s="58" t="str">
        <f t="shared" si="294"/>
        <v/>
      </c>
      <c r="AH484" s="59"/>
      <c r="AI484" s="58" t="str">
        <f t="shared" si="295"/>
        <v/>
      </c>
      <c r="AJ484" s="59"/>
      <c r="AK484" s="58" t="str">
        <f t="shared" si="296"/>
        <v/>
      </c>
      <c r="AL484" s="59"/>
      <c r="AM484" s="58" t="str">
        <f t="shared" si="297"/>
        <v/>
      </c>
      <c r="AN484" s="59"/>
      <c r="AO484" s="58" t="str">
        <f t="shared" si="298"/>
        <v/>
      </c>
      <c r="AP484" s="59"/>
      <c r="AQ484" s="58" t="str">
        <f t="shared" si="299"/>
        <v/>
      </c>
      <c r="AR484" s="59"/>
      <c r="AS484" s="58" t="str">
        <f t="shared" si="300"/>
        <v/>
      </c>
      <c r="AT484" s="59"/>
      <c r="AU484" s="58" t="str">
        <f t="shared" si="301"/>
        <v/>
      </c>
      <c r="AV484" s="59"/>
      <c r="AW484" s="58" t="str">
        <f t="shared" si="302"/>
        <v/>
      </c>
      <c r="AX484" s="59"/>
      <c r="AY484" s="58" t="str">
        <f t="shared" si="303"/>
        <v/>
      </c>
      <c r="AZ484" s="59"/>
      <c r="BA484" s="58" t="str">
        <f t="shared" si="304"/>
        <v/>
      </c>
      <c r="BB484" s="59"/>
      <c r="BC484" s="58" t="str">
        <f t="shared" si="305"/>
        <v/>
      </c>
      <c r="BD484" s="59"/>
      <c r="BE484" s="58" t="str">
        <f t="shared" si="306"/>
        <v/>
      </c>
      <c r="BF484" s="59"/>
      <c r="BG484" s="58" t="str">
        <f t="shared" si="307"/>
        <v/>
      </c>
      <c r="BH484" s="59"/>
      <c r="BI484" s="58" t="str">
        <f t="shared" si="308"/>
        <v/>
      </c>
      <c r="BJ484" s="59"/>
      <c r="BK484" s="58" t="str">
        <f t="shared" si="309"/>
        <v/>
      </c>
      <c r="BL484" s="59"/>
      <c r="BM484" s="58" t="str">
        <f t="shared" si="310"/>
        <v/>
      </c>
      <c r="BN484" s="59"/>
      <c r="BO484" s="58">
        <f t="shared" si="311"/>
        <v>1488</v>
      </c>
      <c r="BP484" s="59"/>
      <c r="BQ484" s="58" t="str">
        <f t="shared" si="312"/>
        <v/>
      </c>
      <c r="BR484" s="59"/>
      <c r="BS484" s="58" t="str">
        <f t="shared" si="313"/>
        <v/>
      </c>
      <c r="BT484" s="59"/>
      <c r="BU484" s="58" t="str">
        <f t="shared" si="314"/>
        <v/>
      </c>
      <c r="BV484" s="59"/>
      <c r="BW484" s="58" t="str">
        <f t="shared" si="315"/>
        <v/>
      </c>
      <c r="BX484" s="59"/>
      <c r="BY484" s="58" t="str">
        <f t="shared" si="316"/>
        <v/>
      </c>
      <c r="BZ484" s="59"/>
    </row>
    <row r="485" spans="1:78" ht="14.5" hidden="1">
      <c r="A485" s="51" t="s">
        <v>58</v>
      </c>
      <c r="B485" s="52">
        <v>438</v>
      </c>
      <c r="C485" s="52" t="s">
        <v>188</v>
      </c>
      <c r="D485" s="41">
        <f t="shared" si="317"/>
        <v>10</v>
      </c>
      <c r="E485" s="41"/>
      <c r="F485" s="41"/>
      <c r="G485" s="52" t="s">
        <v>158</v>
      </c>
      <c r="H485" s="52" t="s">
        <v>242</v>
      </c>
      <c r="I485" s="52" t="s">
        <v>156</v>
      </c>
      <c r="J485" s="52" t="s">
        <v>432</v>
      </c>
      <c r="K485" s="53">
        <v>45723</v>
      </c>
      <c r="L485" s="108">
        <v>992</v>
      </c>
      <c r="M485" s="101"/>
      <c r="N485" s="101"/>
      <c r="O485" s="107">
        <f t="shared" si="319"/>
        <v>992</v>
      </c>
      <c r="P485" s="54">
        <f t="shared" si="320"/>
        <v>992</v>
      </c>
      <c r="Q485" s="101" t="s">
        <v>431</v>
      </c>
      <c r="R485" s="101"/>
      <c r="S485" s="101"/>
      <c r="T485" s="102">
        <f t="shared" si="318"/>
        <v>1.3777777777777778</v>
      </c>
      <c r="U485" s="102">
        <v>6</v>
      </c>
      <c r="V485" s="99">
        <v>120</v>
      </c>
      <c r="W485" s="55">
        <f t="shared" si="321"/>
        <v>45703</v>
      </c>
      <c r="X485" s="55"/>
      <c r="Y485" s="56">
        <f t="shared" ca="1" si="291"/>
        <v>-137</v>
      </c>
      <c r="Z485" s="55">
        <f t="shared" si="290"/>
        <v>45719</v>
      </c>
      <c r="AA485" s="55"/>
      <c r="AB485" s="56">
        <f t="shared" ca="1" si="292"/>
        <v>-121</v>
      </c>
      <c r="AC485" s="55"/>
      <c r="AD485" s="57"/>
      <c r="AE485" s="58" t="str">
        <f t="shared" si="293"/>
        <v>-</v>
      </c>
      <c r="AF485" s="59"/>
      <c r="AG485" s="58" t="str">
        <f t="shared" si="294"/>
        <v/>
      </c>
      <c r="AH485" s="59"/>
      <c r="AI485" s="58" t="str">
        <f t="shared" si="295"/>
        <v/>
      </c>
      <c r="AJ485" s="59"/>
      <c r="AK485" s="58" t="str">
        <f t="shared" si="296"/>
        <v/>
      </c>
      <c r="AL485" s="59"/>
      <c r="AM485" s="58" t="str">
        <f t="shared" si="297"/>
        <v/>
      </c>
      <c r="AN485" s="59"/>
      <c r="AO485" s="58" t="str">
        <f t="shared" si="298"/>
        <v/>
      </c>
      <c r="AP485" s="59"/>
      <c r="AQ485" s="58" t="str">
        <f t="shared" si="299"/>
        <v/>
      </c>
      <c r="AR485" s="59"/>
      <c r="AS485" s="58" t="str">
        <f t="shared" si="300"/>
        <v/>
      </c>
      <c r="AT485" s="59"/>
      <c r="AU485" s="58" t="str">
        <f t="shared" si="301"/>
        <v/>
      </c>
      <c r="AV485" s="59"/>
      <c r="AW485" s="58" t="str">
        <f t="shared" si="302"/>
        <v/>
      </c>
      <c r="AX485" s="59"/>
      <c r="AY485" s="58" t="str">
        <f t="shared" si="303"/>
        <v/>
      </c>
      <c r="AZ485" s="59"/>
      <c r="BA485" s="58" t="str">
        <f t="shared" si="304"/>
        <v/>
      </c>
      <c r="BB485" s="59"/>
      <c r="BC485" s="58" t="str">
        <f t="shared" si="305"/>
        <v/>
      </c>
      <c r="BD485" s="59"/>
      <c r="BE485" s="58" t="str">
        <f t="shared" si="306"/>
        <v/>
      </c>
      <c r="BF485" s="59"/>
      <c r="BG485" s="58" t="str">
        <f t="shared" si="307"/>
        <v/>
      </c>
      <c r="BH485" s="59"/>
      <c r="BI485" s="58" t="str">
        <f t="shared" si="308"/>
        <v/>
      </c>
      <c r="BJ485" s="59"/>
      <c r="BK485" s="58" t="str">
        <f t="shared" si="309"/>
        <v/>
      </c>
      <c r="BL485" s="59"/>
      <c r="BM485" s="58" t="str">
        <f t="shared" si="310"/>
        <v/>
      </c>
      <c r="BN485" s="59"/>
      <c r="BO485" s="58">
        <f t="shared" si="311"/>
        <v>992</v>
      </c>
      <c r="BP485" s="59"/>
      <c r="BQ485" s="58" t="str">
        <f t="shared" si="312"/>
        <v/>
      </c>
      <c r="BR485" s="59"/>
      <c r="BS485" s="58" t="str">
        <f t="shared" si="313"/>
        <v/>
      </c>
      <c r="BT485" s="59"/>
      <c r="BU485" s="58" t="str">
        <f t="shared" si="314"/>
        <v/>
      </c>
      <c r="BV485" s="59"/>
      <c r="BW485" s="58" t="str">
        <f t="shared" si="315"/>
        <v/>
      </c>
      <c r="BX485" s="59"/>
      <c r="BY485" s="58" t="str">
        <f t="shared" si="316"/>
        <v/>
      </c>
      <c r="BZ485" s="59"/>
    </row>
    <row r="486" spans="1:78" ht="14.5" hidden="1">
      <c r="A486" s="51" t="s">
        <v>58</v>
      </c>
      <c r="B486" s="52">
        <v>438</v>
      </c>
      <c r="C486" s="52" t="s">
        <v>188</v>
      </c>
      <c r="D486" s="41">
        <f t="shared" si="317"/>
        <v>10</v>
      </c>
      <c r="E486" s="41"/>
      <c r="F486" s="41"/>
      <c r="G486" s="52" t="s">
        <v>190</v>
      </c>
      <c r="H486" s="52" t="s">
        <v>242</v>
      </c>
      <c r="I486" s="52" t="s">
        <v>244</v>
      </c>
      <c r="J486" s="52" t="s">
        <v>438</v>
      </c>
      <c r="K486" s="53">
        <v>45723</v>
      </c>
      <c r="L486" s="108">
        <v>1336</v>
      </c>
      <c r="M486" s="101"/>
      <c r="N486" s="101"/>
      <c r="O486" s="107">
        <f t="shared" si="319"/>
        <v>1336</v>
      </c>
      <c r="P486" s="54">
        <f t="shared" si="320"/>
        <v>1336</v>
      </c>
      <c r="Q486" s="101" t="s">
        <v>431</v>
      </c>
      <c r="R486" s="101"/>
      <c r="S486" s="101"/>
      <c r="T486" s="102">
        <f t="shared" si="318"/>
        <v>1.8555555555555556</v>
      </c>
      <c r="U486" s="102">
        <v>6</v>
      </c>
      <c r="V486" s="99">
        <v>120</v>
      </c>
      <c r="W486" s="55">
        <f t="shared" si="321"/>
        <v>45703</v>
      </c>
      <c r="X486" s="55"/>
      <c r="Y486" s="56">
        <f t="shared" ca="1" si="291"/>
        <v>-137</v>
      </c>
      <c r="Z486" s="55">
        <f t="shared" si="290"/>
        <v>45719</v>
      </c>
      <c r="AA486" s="55"/>
      <c r="AB486" s="56">
        <f t="shared" ca="1" si="292"/>
        <v>-121</v>
      </c>
      <c r="AC486" s="55"/>
      <c r="AD486" s="57"/>
      <c r="AE486" s="58" t="str">
        <f t="shared" si="293"/>
        <v>-</v>
      </c>
      <c r="AF486" s="59"/>
      <c r="AG486" s="58" t="str">
        <f t="shared" si="294"/>
        <v/>
      </c>
      <c r="AH486" s="59"/>
      <c r="AI486" s="58" t="str">
        <f t="shared" si="295"/>
        <v/>
      </c>
      <c r="AJ486" s="59"/>
      <c r="AK486" s="58" t="str">
        <f t="shared" si="296"/>
        <v/>
      </c>
      <c r="AL486" s="59"/>
      <c r="AM486" s="58" t="str">
        <f t="shared" si="297"/>
        <v/>
      </c>
      <c r="AN486" s="59"/>
      <c r="AO486" s="58" t="str">
        <f t="shared" si="298"/>
        <v/>
      </c>
      <c r="AP486" s="59"/>
      <c r="AQ486" s="58" t="str">
        <f t="shared" si="299"/>
        <v/>
      </c>
      <c r="AR486" s="59"/>
      <c r="AS486" s="58" t="str">
        <f t="shared" si="300"/>
        <v/>
      </c>
      <c r="AT486" s="59"/>
      <c r="AU486" s="58" t="str">
        <f t="shared" si="301"/>
        <v/>
      </c>
      <c r="AV486" s="59"/>
      <c r="AW486" s="58" t="str">
        <f t="shared" si="302"/>
        <v/>
      </c>
      <c r="AX486" s="59"/>
      <c r="AY486" s="58" t="str">
        <f t="shared" si="303"/>
        <v/>
      </c>
      <c r="AZ486" s="59"/>
      <c r="BA486" s="58" t="str">
        <f t="shared" si="304"/>
        <v/>
      </c>
      <c r="BB486" s="59"/>
      <c r="BC486" s="58" t="str">
        <f t="shared" si="305"/>
        <v/>
      </c>
      <c r="BD486" s="59"/>
      <c r="BE486" s="58" t="str">
        <f t="shared" si="306"/>
        <v/>
      </c>
      <c r="BF486" s="59"/>
      <c r="BG486" s="58" t="str">
        <f t="shared" si="307"/>
        <v/>
      </c>
      <c r="BH486" s="59"/>
      <c r="BI486" s="58" t="str">
        <f t="shared" si="308"/>
        <v/>
      </c>
      <c r="BJ486" s="59"/>
      <c r="BK486" s="58" t="str">
        <f t="shared" si="309"/>
        <v/>
      </c>
      <c r="BL486" s="59"/>
      <c r="BM486" s="58" t="str">
        <f t="shared" si="310"/>
        <v/>
      </c>
      <c r="BN486" s="59"/>
      <c r="BO486" s="58">
        <f t="shared" si="311"/>
        <v>1336</v>
      </c>
      <c r="BP486" s="59"/>
      <c r="BQ486" s="58" t="str">
        <f t="shared" si="312"/>
        <v/>
      </c>
      <c r="BR486" s="59"/>
      <c r="BS486" s="58" t="str">
        <f t="shared" si="313"/>
        <v/>
      </c>
      <c r="BT486" s="59"/>
      <c r="BU486" s="58" t="str">
        <f t="shared" si="314"/>
        <v/>
      </c>
      <c r="BV486" s="59"/>
      <c r="BW486" s="58" t="str">
        <f t="shared" si="315"/>
        <v/>
      </c>
      <c r="BX486" s="59"/>
      <c r="BY486" s="58" t="str">
        <f t="shared" si="316"/>
        <v/>
      </c>
      <c r="BZ486" s="59"/>
    </row>
    <row r="487" spans="1:78" ht="14.5" hidden="1">
      <c r="A487" s="51" t="s">
        <v>446</v>
      </c>
      <c r="B487" s="52" t="s">
        <v>584</v>
      </c>
      <c r="C487" s="52" t="s">
        <v>60</v>
      </c>
      <c r="D487" s="41">
        <f t="shared" si="317"/>
        <v>11</v>
      </c>
      <c r="E487" s="41"/>
      <c r="F487" s="41"/>
      <c r="G487" s="52" t="s">
        <v>187</v>
      </c>
      <c r="H487" s="52" t="s">
        <v>448</v>
      </c>
      <c r="I487" s="52" t="s">
        <v>164</v>
      </c>
      <c r="J487" s="52" t="s">
        <v>449</v>
      </c>
      <c r="K487" s="53">
        <v>45727</v>
      </c>
      <c r="L487" s="108">
        <v>9000</v>
      </c>
      <c r="M487" s="101"/>
      <c r="N487" s="101"/>
      <c r="O487" s="101">
        <f>+L487-N487</f>
        <v>9000</v>
      </c>
      <c r="P487" s="54">
        <f>+L487-M487</f>
        <v>9000</v>
      </c>
      <c r="Q487" s="101" t="s">
        <v>429</v>
      </c>
      <c r="R487" s="101"/>
      <c r="S487" s="101"/>
      <c r="T487" s="102">
        <f t="shared" si="318"/>
        <v>1.3636363636363635</v>
      </c>
      <c r="U487" s="102">
        <v>6</v>
      </c>
      <c r="V487" s="99">
        <v>1100</v>
      </c>
      <c r="W487" s="55">
        <f>+K487-(28)</f>
        <v>45699</v>
      </c>
      <c r="X487" s="55"/>
      <c r="Y487" s="56">
        <f t="shared" ca="1" si="291"/>
        <v>-141</v>
      </c>
      <c r="Z487" s="55">
        <f t="shared" si="290"/>
        <v>45715</v>
      </c>
      <c r="AA487" s="55"/>
      <c r="AB487" s="56">
        <f t="shared" ca="1" si="292"/>
        <v>-125</v>
      </c>
      <c r="AC487" s="55"/>
      <c r="AD487" s="57"/>
      <c r="AE487" s="58" t="str">
        <f t="shared" si="293"/>
        <v>-</v>
      </c>
      <c r="AF487" s="59"/>
      <c r="AG487" s="58" t="str">
        <f t="shared" si="294"/>
        <v/>
      </c>
      <c r="AH487" s="59"/>
      <c r="AI487" s="58" t="str">
        <f t="shared" si="295"/>
        <v/>
      </c>
      <c r="AJ487" s="59"/>
      <c r="AK487" s="58" t="str">
        <f t="shared" si="296"/>
        <v/>
      </c>
      <c r="AL487" s="59"/>
      <c r="AM487" s="58" t="str">
        <f t="shared" si="297"/>
        <v/>
      </c>
      <c r="AN487" s="59"/>
      <c r="AO487" s="58" t="str">
        <f t="shared" si="298"/>
        <v/>
      </c>
      <c r="AP487" s="59"/>
      <c r="AQ487" s="58" t="str">
        <f t="shared" si="299"/>
        <v/>
      </c>
      <c r="AR487" s="59"/>
      <c r="AS487" s="58" t="str">
        <f t="shared" si="300"/>
        <v/>
      </c>
      <c r="AT487" s="59"/>
      <c r="AU487" s="58" t="str">
        <f t="shared" si="301"/>
        <v/>
      </c>
      <c r="AV487" s="59"/>
      <c r="AW487" s="58" t="str">
        <f t="shared" si="302"/>
        <v/>
      </c>
      <c r="AX487" s="59"/>
      <c r="AY487" s="58" t="str">
        <f t="shared" si="303"/>
        <v/>
      </c>
      <c r="AZ487" s="59"/>
      <c r="BA487" s="58" t="str">
        <f t="shared" si="304"/>
        <v/>
      </c>
      <c r="BB487" s="59"/>
      <c r="BC487" s="58" t="str">
        <f t="shared" si="305"/>
        <v/>
      </c>
      <c r="BD487" s="59"/>
      <c r="BE487" s="58" t="str">
        <f t="shared" si="306"/>
        <v/>
      </c>
      <c r="BF487" s="59"/>
      <c r="BG487" s="58" t="str">
        <f t="shared" si="307"/>
        <v/>
      </c>
      <c r="BH487" s="59"/>
      <c r="BI487" s="58" t="str">
        <f t="shared" si="308"/>
        <v/>
      </c>
      <c r="BJ487" s="59"/>
      <c r="BK487" s="58" t="str">
        <f t="shared" si="309"/>
        <v/>
      </c>
      <c r="BL487" s="59"/>
      <c r="BM487" s="58" t="str">
        <f t="shared" si="310"/>
        <v/>
      </c>
      <c r="BN487" s="59"/>
      <c r="BO487" s="58">
        <f t="shared" si="311"/>
        <v>9000</v>
      </c>
      <c r="BP487" s="59"/>
      <c r="BQ487" s="58" t="str">
        <f t="shared" si="312"/>
        <v/>
      </c>
      <c r="BR487" s="59"/>
      <c r="BS487" s="58" t="str">
        <f t="shared" si="313"/>
        <v/>
      </c>
      <c r="BT487" s="59"/>
      <c r="BU487" s="58" t="str">
        <f t="shared" si="314"/>
        <v/>
      </c>
      <c r="BV487" s="59"/>
      <c r="BW487" s="58" t="str">
        <f t="shared" si="315"/>
        <v/>
      </c>
      <c r="BX487" s="59"/>
      <c r="BY487" s="58" t="str">
        <f t="shared" si="316"/>
        <v/>
      </c>
      <c r="BZ487" s="59"/>
    </row>
    <row r="488" spans="1:78" ht="14.5" hidden="1">
      <c r="A488" s="51" t="s">
        <v>446</v>
      </c>
      <c r="B488" s="52" t="s">
        <v>584</v>
      </c>
      <c r="C488" s="52" t="s">
        <v>60</v>
      </c>
      <c r="D488" s="41">
        <f t="shared" si="317"/>
        <v>11</v>
      </c>
      <c r="E488" s="41"/>
      <c r="F488" s="41"/>
      <c r="G488" s="52" t="s">
        <v>187</v>
      </c>
      <c r="H488" s="52" t="s">
        <v>448</v>
      </c>
      <c r="I488" s="52" t="s">
        <v>155</v>
      </c>
      <c r="J488" s="52" t="s">
        <v>449</v>
      </c>
      <c r="K488" s="53">
        <v>45727</v>
      </c>
      <c r="L488" s="108">
        <v>9000</v>
      </c>
      <c r="M488" s="101"/>
      <c r="N488" s="101"/>
      <c r="O488" s="101">
        <f>+L488-N488</f>
        <v>9000</v>
      </c>
      <c r="P488" s="54">
        <f>+L488-M488</f>
        <v>9000</v>
      </c>
      <c r="Q488" s="101" t="s">
        <v>429</v>
      </c>
      <c r="R488" s="101"/>
      <c r="S488" s="101"/>
      <c r="T488" s="102">
        <f t="shared" si="318"/>
        <v>1.3636363636363635</v>
      </c>
      <c r="U488" s="102">
        <v>6</v>
      </c>
      <c r="V488" s="99">
        <v>1100</v>
      </c>
      <c r="W488" s="55">
        <f>+K488-(28)</f>
        <v>45699</v>
      </c>
      <c r="X488" s="55"/>
      <c r="Y488" s="56">
        <f t="shared" ca="1" si="291"/>
        <v>-141</v>
      </c>
      <c r="Z488" s="55">
        <f t="shared" si="290"/>
        <v>45715</v>
      </c>
      <c r="AA488" s="55"/>
      <c r="AB488" s="56">
        <f t="shared" ca="1" si="292"/>
        <v>-125</v>
      </c>
      <c r="AC488" s="55"/>
      <c r="AD488" s="57"/>
      <c r="AE488" s="58" t="str">
        <f t="shared" si="293"/>
        <v>-</v>
      </c>
      <c r="AF488" s="59"/>
      <c r="AG488" s="58" t="str">
        <f t="shared" si="294"/>
        <v/>
      </c>
      <c r="AH488" s="59"/>
      <c r="AI488" s="58" t="str">
        <f t="shared" si="295"/>
        <v/>
      </c>
      <c r="AJ488" s="59"/>
      <c r="AK488" s="58" t="str">
        <f t="shared" si="296"/>
        <v/>
      </c>
      <c r="AL488" s="59"/>
      <c r="AM488" s="58" t="str">
        <f t="shared" si="297"/>
        <v/>
      </c>
      <c r="AN488" s="59"/>
      <c r="AO488" s="58" t="str">
        <f t="shared" si="298"/>
        <v/>
      </c>
      <c r="AP488" s="59"/>
      <c r="AQ488" s="58" t="str">
        <f t="shared" si="299"/>
        <v/>
      </c>
      <c r="AR488" s="59"/>
      <c r="AS488" s="58" t="str">
        <f t="shared" si="300"/>
        <v/>
      </c>
      <c r="AT488" s="59"/>
      <c r="AU488" s="58" t="str">
        <f t="shared" si="301"/>
        <v/>
      </c>
      <c r="AV488" s="59"/>
      <c r="AW488" s="58" t="str">
        <f t="shared" si="302"/>
        <v/>
      </c>
      <c r="AX488" s="59"/>
      <c r="AY488" s="58" t="str">
        <f t="shared" si="303"/>
        <v/>
      </c>
      <c r="AZ488" s="59"/>
      <c r="BA488" s="58" t="str">
        <f t="shared" si="304"/>
        <v/>
      </c>
      <c r="BB488" s="59"/>
      <c r="BC488" s="58" t="str">
        <f t="shared" si="305"/>
        <v/>
      </c>
      <c r="BD488" s="59"/>
      <c r="BE488" s="58" t="str">
        <f t="shared" si="306"/>
        <v/>
      </c>
      <c r="BF488" s="59"/>
      <c r="BG488" s="58" t="str">
        <f t="shared" si="307"/>
        <v/>
      </c>
      <c r="BH488" s="59"/>
      <c r="BI488" s="58" t="str">
        <f t="shared" si="308"/>
        <v/>
      </c>
      <c r="BJ488" s="59"/>
      <c r="BK488" s="58" t="str">
        <f t="shared" si="309"/>
        <v/>
      </c>
      <c r="BL488" s="59"/>
      <c r="BM488" s="58" t="str">
        <f t="shared" si="310"/>
        <v/>
      </c>
      <c r="BN488" s="59"/>
      <c r="BO488" s="58">
        <f t="shared" si="311"/>
        <v>9000</v>
      </c>
      <c r="BP488" s="59"/>
      <c r="BQ488" s="58" t="str">
        <f t="shared" si="312"/>
        <v/>
      </c>
      <c r="BR488" s="59"/>
      <c r="BS488" s="58" t="str">
        <f t="shared" si="313"/>
        <v/>
      </c>
      <c r="BT488" s="59"/>
      <c r="BU488" s="58" t="str">
        <f t="shared" si="314"/>
        <v/>
      </c>
      <c r="BV488" s="59"/>
      <c r="BW488" s="58" t="str">
        <f t="shared" si="315"/>
        <v/>
      </c>
      <c r="BX488" s="59"/>
      <c r="BY488" s="58" t="str">
        <f t="shared" si="316"/>
        <v/>
      </c>
      <c r="BZ488" s="59"/>
    </row>
    <row r="489" spans="1:78" ht="14.5" hidden="1">
      <c r="A489" s="51" t="s">
        <v>446</v>
      </c>
      <c r="B489" s="52" t="s">
        <v>584</v>
      </c>
      <c r="C489" s="52" t="s">
        <v>60</v>
      </c>
      <c r="D489" s="41">
        <f t="shared" si="317"/>
        <v>11</v>
      </c>
      <c r="E489" s="41"/>
      <c r="F489" s="41"/>
      <c r="G489" s="52" t="s">
        <v>187</v>
      </c>
      <c r="H489" s="52" t="s">
        <v>448</v>
      </c>
      <c r="I489" s="52" t="s">
        <v>450</v>
      </c>
      <c r="J489" s="52" t="s">
        <v>449</v>
      </c>
      <c r="K489" s="53">
        <v>45727</v>
      </c>
      <c r="L489" s="108">
        <v>6000</v>
      </c>
      <c r="M489" s="101"/>
      <c r="N489" s="101"/>
      <c r="O489" s="101">
        <f>+L489-N489</f>
        <v>6000</v>
      </c>
      <c r="P489" s="54">
        <f>+L489-M489</f>
        <v>6000</v>
      </c>
      <c r="Q489" s="101" t="s">
        <v>429</v>
      </c>
      <c r="R489" s="101"/>
      <c r="S489" s="101"/>
      <c r="T489" s="102">
        <f t="shared" si="318"/>
        <v>0.90909090909090906</v>
      </c>
      <c r="U489" s="102">
        <v>6</v>
      </c>
      <c r="V489" s="99">
        <v>1100</v>
      </c>
      <c r="W489" s="55">
        <f>+K489-(28)</f>
        <v>45699</v>
      </c>
      <c r="X489" s="55"/>
      <c r="Y489" s="56">
        <f t="shared" ca="1" si="291"/>
        <v>-141</v>
      </c>
      <c r="Z489" s="55">
        <f t="shared" si="290"/>
        <v>45715</v>
      </c>
      <c r="AA489" s="55"/>
      <c r="AB489" s="56">
        <f t="shared" ca="1" si="292"/>
        <v>-125</v>
      </c>
      <c r="AC489" s="55"/>
      <c r="AD489" s="57"/>
      <c r="AE489" s="58" t="str">
        <f t="shared" si="293"/>
        <v>-</v>
      </c>
      <c r="AF489" s="59"/>
      <c r="AG489" s="58" t="str">
        <f t="shared" si="294"/>
        <v/>
      </c>
      <c r="AH489" s="59"/>
      <c r="AI489" s="58" t="str">
        <f t="shared" si="295"/>
        <v/>
      </c>
      <c r="AJ489" s="59"/>
      <c r="AK489" s="58" t="str">
        <f t="shared" si="296"/>
        <v/>
      </c>
      <c r="AL489" s="59"/>
      <c r="AM489" s="58" t="str">
        <f t="shared" si="297"/>
        <v/>
      </c>
      <c r="AN489" s="59"/>
      <c r="AO489" s="58" t="str">
        <f t="shared" si="298"/>
        <v/>
      </c>
      <c r="AP489" s="59"/>
      <c r="AQ489" s="58" t="str">
        <f t="shared" si="299"/>
        <v/>
      </c>
      <c r="AR489" s="59"/>
      <c r="AS489" s="58" t="str">
        <f t="shared" si="300"/>
        <v/>
      </c>
      <c r="AT489" s="59"/>
      <c r="AU489" s="58" t="str">
        <f t="shared" si="301"/>
        <v/>
      </c>
      <c r="AV489" s="59"/>
      <c r="AW489" s="58" t="str">
        <f t="shared" si="302"/>
        <v/>
      </c>
      <c r="AX489" s="59"/>
      <c r="AY489" s="58" t="str">
        <f t="shared" si="303"/>
        <v/>
      </c>
      <c r="AZ489" s="59"/>
      <c r="BA489" s="58" t="str">
        <f t="shared" si="304"/>
        <v/>
      </c>
      <c r="BB489" s="59"/>
      <c r="BC489" s="58" t="str">
        <f t="shared" si="305"/>
        <v/>
      </c>
      <c r="BD489" s="59"/>
      <c r="BE489" s="58" t="str">
        <f t="shared" si="306"/>
        <v/>
      </c>
      <c r="BF489" s="59"/>
      <c r="BG489" s="58" t="str">
        <f t="shared" si="307"/>
        <v/>
      </c>
      <c r="BH489" s="59"/>
      <c r="BI489" s="58" t="str">
        <f t="shared" si="308"/>
        <v/>
      </c>
      <c r="BJ489" s="59"/>
      <c r="BK489" s="58" t="str">
        <f t="shared" si="309"/>
        <v/>
      </c>
      <c r="BL489" s="59"/>
      <c r="BM489" s="58" t="str">
        <f t="shared" si="310"/>
        <v/>
      </c>
      <c r="BN489" s="59"/>
      <c r="BO489" s="58">
        <f t="shared" si="311"/>
        <v>6000</v>
      </c>
      <c r="BP489" s="59"/>
      <c r="BQ489" s="58" t="str">
        <f t="shared" si="312"/>
        <v/>
      </c>
      <c r="BR489" s="59"/>
      <c r="BS489" s="58" t="str">
        <f t="shared" si="313"/>
        <v/>
      </c>
      <c r="BT489" s="59"/>
      <c r="BU489" s="58" t="str">
        <f t="shared" si="314"/>
        <v/>
      </c>
      <c r="BV489" s="59"/>
      <c r="BW489" s="58" t="str">
        <f t="shared" si="315"/>
        <v/>
      </c>
      <c r="BX489" s="59"/>
      <c r="BY489" s="58" t="str">
        <f t="shared" si="316"/>
        <v/>
      </c>
      <c r="BZ489" s="59"/>
    </row>
    <row r="490" spans="1:78" ht="14.5" hidden="1">
      <c r="A490" s="51" t="s">
        <v>58</v>
      </c>
      <c r="B490" s="52">
        <v>413</v>
      </c>
      <c r="C490" s="52" t="s">
        <v>188</v>
      </c>
      <c r="D490" s="41">
        <f t="shared" si="317"/>
        <v>11</v>
      </c>
      <c r="E490" s="41"/>
      <c r="F490" s="41"/>
      <c r="G490" s="52" t="s">
        <v>157</v>
      </c>
      <c r="H490" s="52" t="s">
        <v>243</v>
      </c>
      <c r="I490" s="52" t="s">
        <v>162</v>
      </c>
      <c r="J490" s="52" t="s">
        <v>428</v>
      </c>
      <c r="K490" s="53">
        <v>45730</v>
      </c>
      <c r="L490" s="108">
        <v>990</v>
      </c>
      <c r="M490" s="101"/>
      <c r="N490" s="101"/>
      <c r="O490" s="107">
        <f t="shared" ref="O490:O497" si="322">+L490-N490</f>
        <v>990</v>
      </c>
      <c r="P490" s="54">
        <f t="shared" ref="P490:P497" si="323">+L490-M490</f>
        <v>990</v>
      </c>
      <c r="Q490" s="101" t="s">
        <v>429</v>
      </c>
      <c r="R490" s="101"/>
      <c r="S490" s="101"/>
      <c r="T490" s="102">
        <f t="shared" si="318"/>
        <v>0.16500000000000001</v>
      </c>
      <c r="U490" s="102">
        <v>6</v>
      </c>
      <c r="V490" s="99">
        <v>1000</v>
      </c>
      <c r="W490" s="55">
        <f t="shared" ref="W490:W497" si="324">+K490-(20)</f>
        <v>45710</v>
      </c>
      <c r="X490" s="55"/>
      <c r="Y490" s="56">
        <f t="shared" ca="1" si="291"/>
        <v>-130</v>
      </c>
      <c r="Z490" s="55">
        <f t="shared" si="290"/>
        <v>45726</v>
      </c>
      <c r="AA490" s="55"/>
      <c r="AB490" s="56">
        <f t="shared" ca="1" si="292"/>
        <v>-114</v>
      </c>
      <c r="AC490" s="55"/>
      <c r="AD490" s="57"/>
      <c r="AE490" s="58" t="str">
        <f t="shared" si="293"/>
        <v>-</v>
      </c>
      <c r="AF490" s="59"/>
      <c r="AG490" s="58" t="str">
        <f t="shared" si="294"/>
        <v/>
      </c>
      <c r="AH490" s="59"/>
      <c r="AI490" s="58" t="str">
        <f t="shared" si="295"/>
        <v/>
      </c>
      <c r="AJ490" s="59"/>
      <c r="AK490" s="58" t="str">
        <f t="shared" si="296"/>
        <v/>
      </c>
      <c r="AL490" s="59"/>
      <c r="AM490" s="58" t="str">
        <f t="shared" si="297"/>
        <v/>
      </c>
      <c r="AN490" s="59"/>
      <c r="AO490" s="58" t="str">
        <f t="shared" si="298"/>
        <v/>
      </c>
      <c r="AP490" s="59"/>
      <c r="AQ490" s="58" t="str">
        <f t="shared" si="299"/>
        <v/>
      </c>
      <c r="AR490" s="59"/>
      <c r="AS490" s="58" t="str">
        <f t="shared" si="300"/>
        <v/>
      </c>
      <c r="AT490" s="59"/>
      <c r="AU490" s="58" t="str">
        <f t="shared" si="301"/>
        <v/>
      </c>
      <c r="AV490" s="59"/>
      <c r="AW490" s="58" t="str">
        <f t="shared" si="302"/>
        <v/>
      </c>
      <c r="AX490" s="59"/>
      <c r="AY490" s="58" t="str">
        <f t="shared" si="303"/>
        <v/>
      </c>
      <c r="AZ490" s="59"/>
      <c r="BA490" s="58" t="str">
        <f t="shared" si="304"/>
        <v/>
      </c>
      <c r="BB490" s="59"/>
      <c r="BC490" s="58" t="str">
        <f t="shared" si="305"/>
        <v/>
      </c>
      <c r="BD490" s="59"/>
      <c r="BE490" s="58" t="str">
        <f t="shared" si="306"/>
        <v/>
      </c>
      <c r="BF490" s="59"/>
      <c r="BG490" s="58" t="str">
        <f t="shared" si="307"/>
        <v/>
      </c>
      <c r="BH490" s="59"/>
      <c r="BI490" s="58" t="str">
        <f t="shared" si="308"/>
        <v/>
      </c>
      <c r="BJ490" s="59"/>
      <c r="BK490" s="58" t="str">
        <f t="shared" si="309"/>
        <v/>
      </c>
      <c r="BL490" s="59"/>
      <c r="BM490" s="58" t="str">
        <f t="shared" si="310"/>
        <v/>
      </c>
      <c r="BN490" s="59"/>
      <c r="BO490" s="58" t="str">
        <f t="shared" si="311"/>
        <v/>
      </c>
      <c r="BP490" s="59"/>
      <c r="BQ490" s="58">
        <f t="shared" si="312"/>
        <v>990</v>
      </c>
      <c r="BR490" s="59"/>
      <c r="BS490" s="58" t="str">
        <f t="shared" si="313"/>
        <v/>
      </c>
      <c r="BT490" s="59"/>
      <c r="BU490" s="58" t="str">
        <f t="shared" si="314"/>
        <v/>
      </c>
      <c r="BV490" s="59"/>
      <c r="BW490" s="58" t="str">
        <f t="shared" si="315"/>
        <v/>
      </c>
      <c r="BX490" s="59"/>
      <c r="BY490" s="58" t="str">
        <f t="shared" si="316"/>
        <v/>
      </c>
      <c r="BZ490" s="59"/>
    </row>
    <row r="491" spans="1:78" ht="14.5" hidden="1">
      <c r="A491" s="51" t="s">
        <v>58</v>
      </c>
      <c r="B491" s="52">
        <v>413</v>
      </c>
      <c r="C491" s="52" t="s">
        <v>188</v>
      </c>
      <c r="D491" s="41">
        <f t="shared" si="317"/>
        <v>11</v>
      </c>
      <c r="E491" s="170" t="s">
        <v>631</v>
      </c>
      <c r="F491" s="41"/>
      <c r="G491" s="52" t="s">
        <v>390</v>
      </c>
      <c r="H491" s="52" t="s">
        <v>242</v>
      </c>
      <c r="I491" s="52" t="s">
        <v>162</v>
      </c>
      <c r="J491" s="52" t="s">
        <v>430</v>
      </c>
      <c r="K491" s="53">
        <v>45730</v>
      </c>
      <c r="L491" s="108">
        <v>2634</v>
      </c>
      <c r="M491" s="101"/>
      <c r="N491" s="101"/>
      <c r="O491" s="107">
        <f t="shared" si="322"/>
        <v>2634</v>
      </c>
      <c r="P491" s="54">
        <f t="shared" si="323"/>
        <v>2634</v>
      </c>
      <c r="Q491" s="101" t="s">
        <v>431</v>
      </c>
      <c r="R491" s="101"/>
      <c r="S491" s="101"/>
      <c r="T491" s="102">
        <f t="shared" si="318"/>
        <v>3.6583333333333332</v>
      </c>
      <c r="U491" s="102">
        <v>6</v>
      </c>
      <c r="V491" s="99">
        <v>120</v>
      </c>
      <c r="W491" s="55">
        <f t="shared" si="324"/>
        <v>45710</v>
      </c>
      <c r="X491" s="55"/>
      <c r="Y491" s="56">
        <f t="shared" ca="1" si="291"/>
        <v>-130</v>
      </c>
      <c r="Z491" s="55">
        <f t="shared" si="290"/>
        <v>45726</v>
      </c>
      <c r="AA491" s="55"/>
      <c r="AB491" s="56">
        <f t="shared" ca="1" si="292"/>
        <v>-114</v>
      </c>
      <c r="AC491" s="55"/>
      <c r="AD491" s="57"/>
      <c r="AE491" s="58" t="str">
        <f t="shared" si="293"/>
        <v>-</v>
      </c>
      <c r="AF491" s="59"/>
      <c r="AG491" s="58" t="str">
        <f t="shared" si="294"/>
        <v/>
      </c>
      <c r="AH491" s="59"/>
      <c r="AI491" s="58" t="str">
        <f t="shared" si="295"/>
        <v/>
      </c>
      <c r="AJ491" s="59"/>
      <c r="AK491" s="58" t="str">
        <f t="shared" si="296"/>
        <v/>
      </c>
      <c r="AL491" s="59"/>
      <c r="AM491" s="58" t="str">
        <f t="shared" si="297"/>
        <v/>
      </c>
      <c r="AN491" s="59"/>
      <c r="AO491" s="58" t="str">
        <f t="shared" si="298"/>
        <v/>
      </c>
      <c r="AP491" s="59"/>
      <c r="AQ491" s="58" t="str">
        <f t="shared" si="299"/>
        <v/>
      </c>
      <c r="AR491" s="59"/>
      <c r="AS491" s="58" t="str">
        <f t="shared" si="300"/>
        <v/>
      </c>
      <c r="AT491" s="59"/>
      <c r="AU491" s="58" t="str">
        <f t="shared" si="301"/>
        <v/>
      </c>
      <c r="AV491" s="59"/>
      <c r="AW491" s="58" t="str">
        <f t="shared" si="302"/>
        <v/>
      </c>
      <c r="AX491" s="59"/>
      <c r="AY491" s="58" t="str">
        <f t="shared" si="303"/>
        <v/>
      </c>
      <c r="AZ491" s="59"/>
      <c r="BA491" s="58" t="str">
        <f t="shared" si="304"/>
        <v/>
      </c>
      <c r="BB491" s="59"/>
      <c r="BC491" s="58" t="str">
        <f t="shared" si="305"/>
        <v/>
      </c>
      <c r="BD491" s="59"/>
      <c r="BE491" s="58" t="str">
        <f t="shared" si="306"/>
        <v/>
      </c>
      <c r="BF491" s="59"/>
      <c r="BG491" s="58" t="str">
        <f t="shared" si="307"/>
        <v/>
      </c>
      <c r="BH491" s="59"/>
      <c r="BI491" s="58" t="str">
        <f t="shared" si="308"/>
        <v/>
      </c>
      <c r="BJ491" s="59"/>
      <c r="BK491" s="58" t="str">
        <f t="shared" si="309"/>
        <v/>
      </c>
      <c r="BL491" s="59"/>
      <c r="BM491" s="58" t="str">
        <f t="shared" si="310"/>
        <v/>
      </c>
      <c r="BN491" s="59"/>
      <c r="BO491" s="58" t="str">
        <f t="shared" si="311"/>
        <v/>
      </c>
      <c r="BP491" s="59"/>
      <c r="BQ491" s="58">
        <f t="shared" si="312"/>
        <v>2634</v>
      </c>
      <c r="BR491" s="59"/>
      <c r="BS491" s="58" t="str">
        <f t="shared" si="313"/>
        <v/>
      </c>
      <c r="BT491" s="59"/>
      <c r="BU491" s="58" t="str">
        <f t="shared" si="314"/>
        <v/>
      </c>
      <c r="BV491" s="59"/>
      <c r="BW491" s="58" t="str">
        <f t="shared" si="315"/>
        <v/>
      </c>
      <c r="BX491" s="59"/>
      <c r="BY491" s="58" t="str">
        <f t="shared" si="316"/>
        <v/>
      </c>
      <c r="BZ491" s="59"/>
    </row>
    <row r="492" spans="1:78" ht="14.5" hidden="1">
      <c r="A492" s="51" t="s">
        <v>58</v>
      </c>
      <c r="B492" s="52">
        <v>413</v>
      </c>
      <c r="C492" s="52" t="s">
        <v>188</v>
      </c>
      <c r="D492" s="41">
        <f t="shared" si="317"/>
        <v>11</v>
      </c>
      <c r="E492" s="41"/>
      <c r="F492" s="41"/>
      <c r="G492" s="52" t="s">
        <v>190</v>
      </c>
      <c r="H492" s="52" t="s">
        <v>242</v>
      </c>
      <c r="I492" s="52" t="s">
        <v>244</v>
      </c>
      <c r="J492" s="52" t="s">
        <v>438</v>
      </c>
      <c r="K492" s="53">
        <v>45730</v>
      </c>
      <c r="L492" s="108">
        <v>1560</v>
      </c>
      <c r="M492" s="101"/>
      <c r="N492" s="101"/>
      <c r="O492" s="107">
        <f t="shared" si="322"/>
        <v>1560</v>
      </c>
      <c r="P492" s="54">
        <f t="shared" si="323"/>
        <v>1560</v>
      </c>
      <c r="Q492" s="101" t="s">
        <v>439</v>
      </c>
      <c r="R492" s="101"/>
      <c r="S492" s="101"/>
      <c r="T492" s="102">
        <f t="shared" si="318"/>
        <v>2.1666666666666665</v>
      </c>
      <c r="U492" s="102">
        <v>6</v>
      </c>
      <c r="V492" s="99">
        <v>120</v>
      </c>
      <c r="W492" s="55">
        <f t="shared" si="324"/>
        <v>45710</v>
      </c>
      <c r="X492" s="55"/>
      <c r="Y492" s="56">
        <f t="shared" ca="1" si="291"/>
        <v>-130</v>
      </c>
      <c r="Z492" s="55">
        <f t="shared" si="290"/>
        <v>45726</v>
      </c>
      <c r="AA492" s="55"/>
      <c r="AB492" s="56">
        <f t="shared" ca="1" si="292"/>
        <v>-114</v>
      </c>
      <c r="AC492" s="55"/>
      <c r="AD492" s="57"/>
      <c r="AE492" s="58" t="str">
        <f t="shared" si="293"/>
        <v>-</v>
      </c>
      <c r="AF492" s="59"/>
      <c r="AG492" s="58" t="str">
        <f t="shared" si="294"/>
        <v/>
      </c>
      <c r="AH492" s="59"/>
      <c r="AI492" s="58" t="str">
        <f t="shared" si="295"/>
        <v/>
      </c>
      <c r="AJ492" s="59"/>
      <c r="AK492" s="58" t="str">
        <f t="shared" si="296"/>
        <v/>
      </c>
      <c r="AL492" s="59"/>
      <c r="AM492" s="58" t="str">
        <f t="shared" si="297"/>
        <v/>
      </c>
      <c r="AN492" s="59"/>
      <c r="AO492" s="58" t="str">
        <f t="shared" si="298"/>
        <v/>
      </c>
      <c r="AP492" s="59"/>
      <c r="AQ492" s="58" t="str">
        <f t="shared" si="299"/>
        <v/>
      </c>
      <c r="AR492" s="59"/>
      <c r="AS492" s="58" t="str">
        <f t="shared" si="300"/>
        <v/>
      </c>
      <c r="AT492" s="59"/>
      <c r="AU492" s="58" t="str">
        <f t="shared" si="301"/>
        <v/>
      </c>
      <c r="AV492" s="59"/>
      <c r="AW492" s="58" t="str">
        <f t="shared" si="302"/>
        <v/>
      </c>
      <c r="AX492" s="59"/>
      <c r="AY492" s="58" t="str">
        <f t="shared" si="303"/>
        <v/>
      </c>
      <c r="AZ492" s="59"/>
      <c r="BA492" s="58" t="str">
        <f t="shared" si="304"/>
        <v/>
      </c>
      <c r="BB492" s="59"/>
      <c r="BC492" s="58" t="str">
        <f t="shared" si="305"/>
        <v/>
      </c>
      <c r="BD492" s="59"/>
      <c r="BE492" s="58" t="str">
        <f t="shared" si="306"/>
        <v/>
      </c>
      <c r="BF492" s="59"/>
      <c r="BG492" s="58" t="str">
        <f t="shared" si="307"/>
        <v/>
      </c>
      <c r="BH492" s="59"/>
      <c r="BI492" s="58" t="str">
        <f t="shared" si="308"/>
        <v/>
      </c>
      <c r="BJ492" s="59"/>
      <c r="BK492" s="58" t="str">
        <f t="shared" si="309"/>
        <v/>
      </c>
      <c r="BL492" s="59"/>
      <c r="BM492" s="58" t="str">
        <f t="shared" si="310"/>
        <v/>
      </c>
      <c r="BN492" s="59"/>
      <c r="BO492" s="58" t="str">
        <f t="shared" si="311"/>
        <v/>
      </c>
      <c r="BP492" s="59"/>
      <c r="BQ492" s="58">
        <f t="shared" si="312"/>
        <v>1560</v>
      </c>
      <c r="BR492" s="59"/>
      <c r="BS492" s="58" t="str">
        <f t="shared" si="313"/>
        <v/>
      </c>
      <c r="BT492" s="59"/>
      <c r="BU492" s="58" t="str">
        <f t="shared" si="314"/>
        <v/>
      </c>
      <c r="BV492" s="59"/>
      <c r="BW492" s="58" t="str">
        <f t="shared" si="315"/>
        <v/>
      </c>
      <c r="BX492" s="59"/>
      <c r="BY492" s="58" t="str">
        <f t="shared" si="316"/>
        <v/>
      </c>
      <c r="BZ492" s="59"/>
    </row>
    <row r="493" spans="1:78" ht="14.5" hidden="1">
      <c r="A493" s="51" t="s">
        <v>58</v>
      </c>
      <c r="B493" s="52">
        <v>439</v>
      </c>
      <c r="C493" s="52" t="s">
        <v>188</v>
      </c>
      <c r="D493" s="41">
        <f t="shared" si="317"/>
        <v>11</v>
      </c>
      <c r="E493" s="41"/>
      <c r="F493" s="41"/>
      <c r="G493" s="52" t="s">
        <v>157</v>
      </c>
      <c r="H493" s="52" t="s">
        <v>243</v>
      </c>
      <c r="I493" s="52" t="s">
        <v>162</v>
      </c>
      <c r="J493" s="52" t="s">
        <v>428</v>
      </c>
      <c r="K493" s="53">
        <v>45730</v>
      </c>
      <c r="L493" s="108">
        <v>1770</v>
      </c>
      <c r="M493" s="101"/>
      <c r="N493" s="101"/>
      <c r="O493" s="107">
        <f t="shared" si="322"/>
        <v>1770</v>
      </c>
      <c r="P493" s="54">
        <f t="shared" si="323"/>
        <v>1770</v>
      </c>
      <c r="Q493" s="101" t="s">
        <v>431</v>
      </c>
      <c r="R493" s="101"/>
      <c r="S493" s="101"/>
      <c r="T493" s="102">
        <f t="shared" si="318"/>
        <v>0.29499999999999998</v>
      </c>
      <c r="U493" s="102">
        <v>6</v>
      </c>
      <c r="V493" s="99">
        <v>1000</v>
      </c>
      <c r="W493" s="55">
        <f t="shared" si="324"/>
        <v>45710</v>
      </c>
      <c r="X493" s="55"/>
      <c r="Y493" s="56">
        <f t="shared" ca="1" si="291"/>
        <v>-130</v>
      </c>
      <c r="Z493" s="55">
        <f t="shared" si="290"/>
        <v>45726</v>
      </c>
      <c r="AA493" s="55"/>
      <c r="AB493" s="56">
        <f t="shared" ca="1" si="292"/>
        <v>-114</v>
      </c>
      <c r="AC493" s="55"/>
      <c r="AD493" s="57"/>
      <c r="AE493" s="58" t="str">
        <f t="shared" si="293"/>
        <v>-</v>
      </c>
      <c r="AF493" s="59"/>
      <c r="AG493" s="58" t="str">
        <f t="shared" si="294"/>
        <v/>
      </c>
      <c r="AH493" s="59"/>
      <c r="AI493" s="58" t="str">
        <f t="shared" si="295"/>
        <v/>
      </c>
      <c r="AJ493" s="59"/>
      <c r="AK493" s="58" t="str">
        <f t="shared" si="296"/>
        <v/>
      </c>
      <c r="AL493" s="59"/>
      <c r="AM493" s="58" t="str">
        <f t="shared" si="297"/>
        <v/>
      </c>
      <c r="AN493" s="59"/>
      <c r="AO493" s="58" t="str">
        <f t="shared" si="298"/>
        <v/>
      </c>
      <c r="AP493" s="59"/>
      <c r="AQ493" s="58" t="str">
        <f t="shared" si="299"/>
        <v/>
      </c>
      <c r="AR493" s="59"/>
      <c r="AS493" s="58" t="str">
        <f t="shared" si="300"/>
        <v/>
      </c>
      <c r="AT493" s="59"/>
      <c r="AU493" s="58" t="str">
        <f t="shared" si="301"/>
        <v/>
      </c>
      <c r="AV493" s="59"/>
      <c r="AW493" s="58" t="str">
        <f t="shared" si="302"/>
        <v/>
      </c>
      <c r="AX493" s="59"/>
      <c r="AY493" s="58" t="str">
        <f t="shared" si="303"/>
        <v/>
      </c>
      <c r="AZ493" s="59"/>
      <c r="BA493" s="58" t="str">
        <f t="shared" si="304"/>
        <v/>
      </c>
      <c r="BB493" s="59"/>
      <c r="BC493" s="58" t="str">
        <f t="shared" si="305"/>
        <v/>
      </c>
      <c r="BD493" s="59"/>
      <c r="BE493" s="58" t="str">
        <f t="shared" si="306"/>
        <v/>
      </c>
      <c r="BF493" s="59"/>
      <c r="BG493" s="58" t="str">
        <f t="shared" si="307"/>
        <v/>
      </c>
      <c r="BH493" s="59"/>
      <c r="BI493" s="58" t="str">
        <f t="shared" si="308"/>
        <v/>
      </c>
      <c r="BJ493" s="59"/>
      <c r="BK493" s="58" t="str">
        <f t="shared" si="309"/>
        <v/>
      </c>
      <c r="BL493" s="59"/>
      <c r="BM493" s="58" t="str">
        <f t="shared" si="310"/>
        <v/>
      </c>
      <c r="BN493" s="59"/>
      <c r="BO493" s="58" t="str">
        <f t="shared" si="311"/>
        <v/>
      </c>
      <c r="BP493" s="59"/>
      <c r="BQ493" s="58">
        <f t="shared" si="312"/>
        <v>1770</v>
      </c>
      <c r="BR493" s="59"/>
      <c r="BS493" s="58" t="str">
        <f t="shared" si="313"/>
        <v/>
      </c>
      <c r="BT493" s="59"/>
      <c r="BU493" s="58" t="str">
        <f t="shared" si="314"/>
        <v/>
      </c>
      <c r="BV493" s="59"/>
      <c r="BW493" s="58" t="str">
        <f t="shared" si="315"/>
        <v/>
      </c>
      <c r="BX493" s="59"/>
      <c r="BY493" s="58" t="str">
        <f t="shared" si="316"/>
        <v/>
      </c>
      <c r="BZ493" s="59"/>
    </row>
    <row r="494" spans="1:78" ht="14.5" hidden="1">
      <c r="A494" s="51" t="s">
        <v>58</v>
      </c>
      <c r="B494" s="52">
        <v>439</v>
      </c>
      <c r="C494" s="52" t="s">
        <v>188</v>
      </c>
      <c r="D494" s="41">
        <f t="shared" si="317"/>
        <v>11</v>
      </c>
      <c r="E494" s="170" t="s">
        <v>631</v>
      </c>
      <c r="F494" s="41"/>
      <c r="G494" s="52" t="s">
        <v>390</v>
      </c>
      <c r="H494" s="52" t="s">
        <v>242</v>
      </c>
      <c r="I494" s="52" t="s">
        <v>162</v>
      </c>
      <c r="J494" s="52" t="s">
        <v>430</v>
      </c>
      <c r="K494" s="53">
        <v>45730</v>
      </c>
      <c r="L494" s="108">
        <v>1584</v>
      </c>
      <c r="M494" s="101"/>
      <c r="N494" s="101"/>
      <c r="O494" s="107">
        <f t="shared" si="322"/>
        <v>1584</v>
      </c>
      <c r="P494" s="54">
        <f t="shared" si="323"/>
        <v>1584</v>
      </c>
      <c r="Q494" s="101" t="s">
        <v>431</v>
      </c>
      <c r="R494" s="101"/>
      <c r="S494" s="101"/>
      <c r="T494" s="102">
        <f t="shared" si="318"/>
        <v>2.2000000000000002</v>
      </c>
      <c r="U494" s="102">
        <v>6</v>
      </c>
      <c r="V494" s="99">
        <v>120</v>
      </c>
      <c r="W494" s="55">
        <f t="shared" si="324"/>
        <v>45710</v>
      </c>
      <c r="X494" s="55"/>
      <c r="Y494" s="56">
        <f t="shared" ca="1" si="291"/>
        <v>-130</v>
      </c>
      <c r="Z494" s="55">
        <f t="shared" si="290"/>
        <v>45726</v>
      </c>
      <c r="AA494" s="55"/>
      <c r="AB494" s="56">
        <f t="shared" ca="1" si="292"/>
        <v>-114</v>
      </c>
      <c r="AC494" s="55"/>
      <c r="AD494" s="57"/>
      <c r="AE494" s="58" t="str">
        <f t="shared" si="293"/>
        <v>-</v>
      </c>
      <c r="AF494" s="59"/>
      <c r="AG494" s="58" t="str">
        <f t="shared" si="294"/>
        <v/>
      </c>
      <c r="AH494" s="59"/>
      <c r="AI494" s="58" t="str">
        <f t="shared" si="295"/>
        <v/>
      </c>
      <c r="AJ494" s="59"/>
      <c r="AK494" s="58" t="str">
        <f t="shared" si="296"/>
        <v/>
      </c>
      <c r="AL494" s="59"/>
      <c r="AM494" s="58" t="str">
        <f t="shared" si="297"/>
        <v/>
      </c>
      <c r="AN494" s="59"/>
      <c r="AO494" s="58" t="str">
        <f t="shared" si="298"/>
        <v/>
      </c>
      <c r="AP494" s="59"/>
      <c r="AQ494" s="58" t="str">
        <f t="shared" si="299"/>
        <v/>
      </c>
      <c r="AR494" s="59"/>
      <c r="AS494" s="58" t="str">
        <f t="shared" si="300"/>
        <v/>
      </c>
      <c r="AT494" s="59"/>
      <c r="AU494" s="58" t="str">
        <f t="shared" si="301"/>
        <v/>
      </c>
      <c r="AV494" s="59"/>
      <c r="AW494" s="58" t="str">
        <f t="shared" si="302"/>
        <v/>
      </c>
      <c r="AX494" s="59"/>
      <c r="AY494" s="58" t="str">
        <f t="shared" si="303"/>
        <v/>
      </c>
      <c r="AZ494" s="59"/>
      <c r="BA494" s="58" t="str">
        <f t="shared" si="304"/>
        <v/>
      </c>
      <c r="BB494" s="59"/>
      <c r="BC494" s="58" t="str">
        <f t="shared" si="305"/>
        <v/>
      </c>
      <c r="BD494" s="59"/>
      <c r="BE494" s="58" t="str">
        <f t="shared" si="306"/>
        <v/>
      </c>
      <c r="BF494" s="59"/>
      <c r="BG494" s="58" t="str">
        <f t="shared" si="307"/>
        <v/>
      </c>
      <c r="BH494" s="59"/>
      <c r="BI494" s="58" t="str">
        <f t="shared" si="308"/>
        <v/>
      </c>
      <c r="BJ494" s="59"/>
      <c r="BK494" s="58" t="str">
        <f t="shared" si="309"/>
        <v/>
      </c>
      <c r="BL494" s="59"/>
      <c r="BM494" s="58" t="str">
        <f t="shared" si="310"/>
        <v/>
      </c>
      <c r="BN494" s="59"/>
      <c r="BO494" s="58" t="str">
        <f t="shared" si="311"/>
        <v/>
      </c>
      <c r="BP494" s="59"/>
      <c r="BQ494" s="58">
        <f t="shared" si="312"/>
        <v>1584</v>
      </c>
      <c r="BR494" s="59"/>
      <c r="BS494" s="58" t="str">
        <f t="shared" si="313"/>
        <v/>
      </c>
      <c r="BT494" s="59"/>
      <c r="BU494" s="58" t="str">
        <f t="shared" si="314"/>
        <v/>
      </c>
      <c r="BV494" s="59"/>
      <c r="BW494" s="58" t="str">
        <f t="shared" si="315"/>
        <v/>
      </c>
      <c r="BX494" s="59"/>
      <c r="BY494" s="58" t="str">
        <f t="shared" si="316"/>
        <v/>
      </c>
      <c r="BZ494" s="59"/>
    </row>
    <row r="495" spans="1:78" ht="14.5" hidden="1">
      <c r="A495" s="51" t="s">
        <v>58</v>
      </c>
      <c r="B495" s="52">
        <v>439</v>
      </c>
      <c r="C495" s="52" t="s">
        <v>188</v>
      </c>
      <c r="D495" s="41">
        <f t="shared" si="317"/>
        <v>11</v>
      </c>
      <c r="E495" s="41"/>
      <c r="F495" s="41"/>
      <c r="G495" s="52" t="s">
        <v>158</v>
      </c>
      <c r="H495" s="52" t="s">
        <v>242</v>
      </c>
      <c r="I495" s="52" t="s">
        <v>154</v>
      </c>
      <c r="J495" s="52" t="s">
        <v>432</v>
      </c>
      <c r="K495" s="53">
        <v>45730</v>
      </c>
      <c r="L495" s="108">
        <v>488</v>
      </c>
      <c r="M495" s="101"/>
      <c r="N495" s="101"/>
      <c r="O495" s="107">
        <f t="shared" si="322"/>
        <v>488</v>
      </c>
      <c r="P495" s="54">
        <f t="shared" si="323"/>
        <v>488</v>
      </c>
      <c r="Q495" s="101" t="s">
        <v>431</v>
      </c>
      <c r="R495" s="101"/>
      <c r="S495" s="101"/>
      <c r="T495" s="102">
        <f t="shared" si="318"/>
        <v>0.67777777777777781</v>
      </c>
      <c r="U495" s="102">
        <v>6</v>
      </c>
      <c r="V495" s="99">
        <v>120</v>
      </c>
      <c r="W495" s="55">
        <f t="shared" si="324"/>
        <v>45710</v>
      </c>
      <c r="X495" s="55"/>
      <c r="Y495" s="56">
        <f t="shared" ca="1" si="291"/>
        <v>-130</v>
      </c>
      <c r="Z495" s="55">
        <f t="shared" si="290"/>
        <v>45726</v>
      </c>
      <c r="AA495" s="55"/>
      <c r="AB495" s="56">
        <f t="shared" ca="1" si="292"/>
        <v>-114</v>
      </c>
      <c r="AC495" s="55"/>
      <c r="AD495" s="57"/>
      <c r="AE495" s="58" t="str">
        <f t="shared" si="293"/>
        <v>-</v>
      </c>
      <c r="AF495" s="59"/>
      <c r="AG495" s="58" t="str">
        <f t="shared" si="294"/>
        <v/>
      </c>
      <c r="AH495" s="59"/>
      <c r="AI495" s="58" t="str">
        <f t="shared" si="295"/>
        <v/>
      </c>
      <c r="AJ495" s="59"/>
      <c r="AK495" s="58" t="str">
        <f t="shared" si="296"/>
        <v/>
      </c>
      <c r="AL495" s="59"/>
      <c r="AM495" s="58" t="str">
        <f t="shared" si="297"/>
        <v/>
      </c>
      <c r="AN495" s="59"/>
      <c r="AO495" s="58" t="str">
        <f t="shared" si="298"/>
        <v/>
      </c>
      <c r="AP495" s="59"/>
      <c r="AQ495" s="58" t="str">
        <f t="shared" si="299"/>
        <v/>
      </c>
      <c r="AR495" s="59"/>
      <c r="AS495" s="58" t="str">
        <f t="shared" si="300"/>
        <v/>
      </c>
      <c r="AT495" s="59"/>
      <c r="AU495" s="58" t="str">
        <f t="shared" si="301"/>
        <v/>
      </c>
      <c r="AV495" s="59"/>
      <c r="AW495" s="58" t="str">
        <f t="shared" si="302"/>
        <v/>
      </c>
      <c r="AX495" s="59"/>
      <c r="AY495" s="58" t="str">
        <f t="shared" si="303"/>
        <v/>
      </c>
      <c r="AZ495" s="59"/>
      <c r="BA495" s="58" t="str">
        <f t="shared" si="304"/>
        <v/>
      </c>
      <c r="BB495" s="59"/>
      <c r="BC495" s="58" t="str">
        <f t="shared" si="305"/>
        <v/>
      </c>
      <c r="BD495" s="59"/>
      <c r="BE495" s="58" t="str">
        <f t="shared" si="306"/>
        <v/>
      </c>
      <c r="BF495" s="59"/>
      <c r="BG495" s="58" t="str">
        <f t="shared" si="307"/>
        <v/>
      </c>
      <c r="BH495" s="59"/>
      <c r="BI495" s="58" t="str">
        <f t="shared" si="308"/>
        <v/>
      </c>
      <c r="BJ495" s="59"/>
      <c r="BK495" s="58" t="str">
        <f t="shared" si="309"/>
        <v/>
      </c>
      <c r="BL495" s="59"/>
      <c r="BM495" s="58" t="str">
        <f t="shared" si="310"/>
        <v/>
      </c>
      <c r="BN495" s="59"/>
      <c r="BO495" s="58" t="str">
        <f t="shared" si="311"/>
        <v/>
      </c>
      <c r="BP495" s="59"/>
      <c r="BQ495" s="58">
        <f t="shared" si="312"/>
        <v>488</v>
      </c>
      <c r="BR495" s="59"/>
      <c r="BS495" s="58" t="str">
        <f t="shared" si="313"/>
        <v/>
      </c>
      <c r="BT495" s="59"/>
      <c r="BU495" s="58" t="str">
        <f t="shared" si="314"/>
        <v/>
      </c>
      <c r="BV495" s="59"/>
      <c r="BW495" s="58" t="str">
        <f t="shared" si="315"/>
        <v/>
      </c>
      <c r="BX495" s="59"/>
      <c r="BY495" s="58" t="str">
        <f t="shared" si="316"/>
        <v/>
      </c>
      <c r="BZ495" s="59"/>
    </row>
    <row r="496" spans="1:78" ht="14.5" hidden="1">
      <c r="A496" s="51" t="s">
        <v>58</v>
      </c>
      <c r="B496" s="52">
        <v>439</v>
      </c>
      <c r="C496" s="52" t="s">
        <v>188</v>
      </c>
      <c r="D496" s="41">
        <f t="shared" si="317"/>
        <v>11</v>
      </c>
      <c r="E496" s="41"/>
      <c r="F496" s="41"/>
      <c r="G496" s="52" t="s">
        <v>158</v>
      </c>
      <c r="H496" s="52" t="s">
        <v>242</v>
      </c>
      <c r="I496" s="52" t="s">
        <v>156</v>
      </c>
      <c r="J496" s="52" t="s">
        <v>432</v>
      </c>
      <c r="K496" s="53">
        <v>45730</v>
      </c>
      <c r="L496" s="108">
        <v>1336</v>
      </c>
      <c r="M496" s="101"/>
      <c r="N496" s="101"/>
      <c r="O496" s="107">
        <f t="shared" si="322"/>
        <v>1336</v>
      </c>
      <c r="P496" s="54">
        <f t="shared" si="323"/>
        <v>1336</v>
      </c>
      <c r="Q496" s="101" t="s">
        <v>431</v>
      </c>
      <c r="R496" s="101"/>
      <c r="S496" s="101"/>
      <c r="T496" s="102">
        <f t="shared" si="318"/>
        <v>1.8555555555555556</v>
      </c>
      <c r="U496" s="102">
        <v>6</v>
      </c>
      <c r="V496" s="99">
        <v>120</v>
      </c>
      <c r="W496" s="55">
        <f t="shared" si="324"/>
        <v>45710</v>
      </c>
      <c r="X496" s="55"/>
      <c r="Y496" s="56">
        <f t="shared" ca="1" si="291"/>
        <v>-130</v>
      </c>
      <c r="Z496" s="55">
        <f t="shared" si="290"/>
        <v>45726</v>
      </c>
      <c r="AA496" s="55"/>
      <c r="AB496" s="56">
        <f t="shared" ca="1" si="292"/>
        <v>-114</v>
      </c>
      <c r="AC496" s="55"/>
      <c r="AD496" s="57"/>
      <c r="AE496" s="58" t="str">
        <f t="shared" si="293"/>
        <v>-</v>
      </c>
      <c r="AF496" s="59"/>
      <c r="AG496" s="58" t="str">
        <f t="shared" si="294"/>
        <v/>
      </c>
      <c r="AH496" s="59"/>
      <c r="AI496" s="58" t="str">
        <f t="shared" si="295"/>
        <v/>
      </c>
      <c r="AJ496" s="59"/>
      <c r="AK496" s="58" t="str">
        <f t="shared" si="296"/>
        <v/>
      </c>
      <c r="AL496" s="59"/>
      <c r="AM496" s="58" t="str">
        <f t="shared" si="297"/>
        <v/>
      </c>
      <c r="AN496" s="59"/>
      <c r="AO496" s="58" t="str">
        <f t="shared" si="298"/>
        <v/>
      </c>
      <c r="AP496" s="59"/>
      <c r="AQ496" s="58" t="str">
        <f t="shared" si="299"/>
        <v/>
      </c>
      <c r="AR496" s="59"/>
      <c r="AS496" s="58" t="str">
        <f t="shared" si="300"/>
        <v/>
      </c>
      <c r="AT496" s="59"/>
      <c r="AU496" s="58" t="str">
        <f t="shared" si="301"/>
        <v/>
      </c>
      <c r="AV496" s="59"/>
      <c r="AW496" s="58" t="str">
        <f t="shared" si="302"/>
        <v/>
      </c>
      <c r="AX496" s="59"/>
      <c r="AY496" s="58" t="str">
        <f t="shared" si="303"/>
        <v/>
      </c>
      <c r="AZ496" s="59"/>
      <c r="BA496" s="58" t="str">
        <f t="shared" si="304"/>
        <v/>
      </c>
      <c r="BB496" s="59"/>
      <c r="BC496" s="58" t="str">
        <f t="shared" si="305"/>
        <v/>
      </c>
      <c r="BD496" s="59"/>
      <c r="BE496" s="58" t="str">
        <f t="shared" si="306"/>
        <v/>
      </c>
      <c r="BF496" s="59"/>
      <c r="BG496" s="58" t="str">
        <f t="shared" si="307"/>
        <v/>
      </c>
      <c r="BH496" s="59"/>
      <c r="BI496" s="58" t="str">
        <f t="shared" si="308"/>
        <v/>
      </c>
      <c r="BJ496" s="59"/>
      <c r="BK496" s="58" t="str">
        <f t="shared" si="309"/>
        <v/>
      </c>
      <c r="BL496" s="59"/>
      <c r="BM496" s="58" t="str">
        <f t="shared" si="310"/>
        <v/>
      </c>
      <c r="BN496" s="59"/>
      <c r="BO496" s="58" t="str">
        <f t="shared" si="311"/>
        <v/>
      </c>
      <c r="BP496" s="59"/>
      <c r="BQ496" s="58">
        <f t="shared" si="312"/>
        <v>1336</v>
      </c>
      <c r="BR496" s="59"/>
      <c r="BS496" s="58" t="str">
        <f t="shared" si="313"/>
        <v/>
      </c>
      <c r="BT496" s="59"/>
      <c r="BU496" s="58" t="str">
        <f t="shared" si="314"/>
        <v/>
      </c>
      <c r="BV496" s="59"/>
      <c r="BW496" s="58" t="str">
        <f t="shared" si="315"/>
        <v/>
      </c>
      <c r="BX496" s="59"/>
      <c r="BY496" s="58" t="str">
        <f t="shared" si="316"/>
        <v/>
      </c>
      <c r="BZ496" s="59"/>
    </row>
    <row r="497" spans="1:78" ht="14.5" hidden="1">
      <c r="A497" s="51" t="s">
        <v>58</v>
      </c>
      <c r="B497" s="52">
        <v>439</v>
      </c>
      <c r="C497" s="52" t="s">
        <v>188</v>
      </c>
      <c r="D497" s="41">
        <f t="shared" si="317"/>
        <v>11</v>
      </c>
      <c r="E497" s="41"/>
      <c r="F497" s="41"/>
      <c r="G497" s="52" t="s">
        <v>190</v>
      </c>
      <c r="H497" s="52" t="s">
        <v>242</v>
      </c>
      <c r="I497" s="52" t="s">
        <v>244</v>
      </c>
      <c r="J497" s="52" t="s">
        <v>438</v>
      </c>
      <c r="K497" s="53">
        <v>45730</v>
      </c>
      <c r="L497" s="108">
        <v>232</v>
      </c>
      <c r="M497" s="101"/>
      <c r="N497" s="101"/>
      <c r="O497" s="107">
        <f t="shared" si="322"/>
        <v>232</v>
      </c>
      <c r="P497" s="54">
        <f t="shared" si="323"/>
        <v>232</v>
      </c>
      <c r="Q497" s="101" t="s">
        <v>431</v>
      </c>
      <c r="R497" s="101"/>
      <c r="S497" s="101"/>
      <c r="T497" s="102">
        <f t="shared" si="318"/>
        <v>0.32222222222222224</v>
      </c>
      <c r="U497" s="102">
        <v>6</v>
      </c>
      <c r="V497" s="99">
        <v>120</v>
      </c>
      <c r="W497" s="55">
        <f t="shared" si="324"/>
        <v>45710</v>
      </c>
      <c r="X497" s="55"/>
      <c r="Y497" s="56">
        <f t="shared" ca="1" si="291"/>
        <v>-130</v>
      </c>
      <c r="Z497" s="55">
        <f t="shared" si="290"/>
        <v>45726</v>
      </c>
      <c r="AA497" s="55"/>
      <c r="AB497" s="56">
        <f t="shared" ca="1" si="292"/>
        <v>-114</v>
      </c>
      <c r="AC497" s="55"/>
      <c r="AD497" s="57"/>
      <c r="AE497" s="58" t="str">
        <f t="shared" si="293"/>
        <v>-</v>
      </c>
      <c r="AF497" s="59"/>
      <c r="AG497" s="58" t="str">
        <f t="shared" si="294"/>
        <v/>
      </c>
      <c r="AH497" s="59"/>
      <c r="AI497" s="58" t="str">
        <f t="shared" si="295"/>
        <v/>
      </c>
      <c r="AJ497" s="59"/>
      <c r="AK497" s="58" t="str">
        <f t="shared" si="296"/>
        <v/>
      </c>
      <c r="AL497" s="59"/>
      <c r="AM497" s="58" t="str">
        <f t="shared" si="297"/>
        <v/>
      </c>
      <c r="AN497" s="59"/>
      <c r="AO497" s="58" t="str">
        <f t="shared" si="298"/>
        <v/>
      </c>
      <c r="AP497" s="59"/>
      <c r="AQ497" s="58" t="str">
        <f t="shared" si="299"/>
        <v/>
      </c>
      <c r="AR497" s="59"/>
      <c r="AS497" s="58" t="str">
        <f t="shared" si="300"/>
        <v/>
      </c>
      <c r="AT497" s="59"/>
      <c r="AU497" s="58" t="str">
        <f t="shared" si="301"/>
        <v/>
      </c>
      <c r="AV497" s="59"/>
      <c r="AW497" s="58" t="str">
        <f t="shared" si="302"/>
        <v/>
      </c>
      <c r="AX497" s="59"/>
      <c r="AY497" s="58" t="str">
        <f t="shared" si="303"/>
        <v/>
      </c>
      <c r="AZ497" s="59"/>
      <c r="BA497" s="58" t="str">
        <f t="shared" si="304"/>
        <v/>
      </c>
      <c r="BB497" s="59"/>
      <c r="BC497" s="58" t="str">
        <f t="shared" si="305"/>
        <v/>
      </c>
      <c r="BD497" s="59"/>
      <c r="BE497" s="58" t="str">
        <f t="shared" si="306"/>
        <v/>
      </c>
      <c r="BF497" s="59"/>
      <c r="BG497" s="58" t="str">
        <f t="shared" si="307"/>
        <v/>
      </c>
      <c r="BH497" s="59"/>
      <c r="BI497" s="58" t="str">
        <f t="shared" si="308"/>
        <v/>
      </c>
      <c r="BJ497" s="59"/>
      <c r="BK497" s="58" t="str">
        <f t="shared" si="309"/>
        <v/>
      </c>
      <c r="BL497" s="59"/>
      <c r="BM497" s="58" t="str">
        <f t="shared" si="310"/>
        <v/>
      </c>
      <c r="BN497" s="59"/>
      <c r="BO497" s="58" t="str">
        <f t="shared" si="311"/>
        <v/>
      </c>
      <c r="BP497" s="59"/>
      <c r="BQ497" s="58">
        <f t="shared" si="312"/>
        <v>232</v>
      </c>
      <c r="BR497" s="59"/>
      <c r="BS497" s="58" t="str">
        <f t="shared" si="313"/>
        <v/>
      </c>
      <c r="BT497" s="59"/>
      <c r="BU497" s="58" t="str">
        <f t="shared" si="314"/>
        <v/>
      </c>
      <c r="BV497" s="59"/>
      <c r="BW497" s="58" t="str">
        <f t="shared" si="315"/>
        <v/>
      </c>
      <c r="BX497" s="59"/>
      <c r="BY497" s="58" t="str">
        <f t="shared" si="316"/>
        <v/>
      </c>
      <c r="BZ497" s="59"/>
    </row>
    <row r="498" spans="1:78" ht="14.5" hidden="1">
      <c r="A498" s="51" t="s">
        <v>446</v>
      </c>
      <c r="B498" s="52" t="s">
        <v>585</v>
      </c>
      <c r="C498" s="52" t="s">
        <v>60</v>
      </c>
      <c r="D498" s="41">
        <f t="shared" si="317"/>
        <v>12</v>
      </c>
      <c r="E498" s="41"/>
      <c r="F498" s="41"/>
      <c r="G498" s="52" t="s">
        <v>187</v>
      </c>
      <c r="H498" s="52" t="s">
        <v>448</v>
      </c>
      <c r="I498" s="52" t="s">
        <v>164</v>
      </c>
      <c r="J498" s="52" t="s">
        <v>449</v>
      </c>
      <c r="K498" s="53">
        <v>45736</v>
      </c>
      <c r="L498" s="108">
        <v>9000</v>
      </c>
      <c r="M498" s="101"/>
      <c r="N498" s="101"/>
      <c r="O498" s="101">
        <f>+L498-N498</f>
        <v>9000</v>
      </c>
      <c r="P498" s="54">
        <f>+L498-M498</f>
        <v>9000</v>
      </c>
      <c r="Q498" s="101" t="s">
        <v>429</v>
      </c>
      <c r="R498" s="101"/>
      <c r="S498" s="101"/>
      <c r="T498" s="102">
        <f t="shared" si="318"/>
        <v>1.3636363636363635</v>
      </c>
      <c r="U498" s="102">
        <v>6</v>
      </c>
      <c r="V498" s="99">
        <v>1100</v>
      </c>
      <c r="W498" s="55">
        <f>+K498-(28)</f>
        <v>45708</v>
      </c>
      <c r="X498" s="55"/>
      <c r="Y498" s="56">
        <f t="shared" ca="1" si="291"/>
        <v>-132</v>
      </c>
      <c r="Z498" s="55">
        <f t="shared" si="290"/>
        <v>45724</v>
      </c>
      <c r="AA498" s="55"/>
      <c r="AB498" s="56">
        <f t="shared" ca="1" si="292"/>
        <v>-116</v>
      </c>
      <c r="AC498" s="55"/>
      <c r="AD498" s="57"/>
      <c r="AE498" s="58" t="str">
        <f t="shared" si="293"/>
        <v>-</v>
      </c>
      <c r="AF498" s="59"/>
      <c r="AG498" s="58" t="str">
        <f t="shared" si="294"/>
        <v/>
      </c>
      <c r="AH498" s="59"/>
      <c r="AI498" s="58" t="str">
        <f t="shared" si="295"/>
        <v/>
      </c>
      <c r="AJ498" s="59"/>
      <c r="AK498" s="58" t="str">
        <f t="shared" si="296"/>
        <v/>
      </c>
      <c r="AL498" s="59"/>
      <c r="AM498" s="58" t="str">
        <f t="shared" si="297"/>
        <v/>
      </c>
      <c r="AN498" s="59"/>
      <c r="AO498" s="58" t="str">
        <f t="shared" si="298"/>
        <v/>
      </c>
      <c r="AP498" s="59"/>
      <c r="AQ498" s="58" t="str">
        <f t="shared" si="299"/>
        <v/>
      </c>
      <c r="AR498" s="59"/>
      <c r="AS498" s="58" t="str">
        <f t="shared" si="300"/>
        <v/>
      </c>
      <c r="AT498" s="59"/>
      <c r="AU498" s="58" t="str">
        <f t="shared" si="301"/>
        <v/>
      </c>
      <c r="AV498" s="59"/>
      <c r="AW498" s="58" t="str">
        <f t="shared" si="302"/>
        <v/>
      </c>
      <c r="AX498" s="59"/>
      <c r="AY498" s="58" t="str">
        <f t="shared" si="303"/>
        <v/>
      </c>
      <c r="AZ498" s="59"/>
      <c r="BA498" s="58" t="str">
        <f t="shared" si="304"/>
        <v/>
      </c>
      <c r="BB498" s="59"/>
      <c r="BC498" s="58" t="str">
        <f t="shared" si="305"/>
        <v/>
      </c>
      <c r="BD498" s="59"/>
      <c r="BE498" s="58" t="str">
        <f t="shared" si="306"/>
        <v/>
      </c>
      <c r="BF498" s="59"/>
      <c r="BG498" s="58" t="str">
        <f t="shared" si="307"/>
        <v/>
      </c>
      <c r="BH498" s="59"/>
      <c r="BI498" s="58" t="str">
        <f t="shared" si="308"/>
        <v/>
      </c>
      <c r="BJ498" s="59"/>
      <c r="BK498" s="58" t="str">
        <f t="shared" si="309"/>
        <v/>
      </c>
      <c r="BL498" s="59"/>
      <c r="BM498" s="58" t="str">
        <f t="shared" si="310"/>
        <v/>
      </c>
      <c r="BN498" s="59"/>
      <c r="BO498" s="58" t="str">
        <f t="shared" si="311"/>
        <v/>
      </c>
      <c r="BP498" s="59"/>
      <c r="BQ498" s="58">
        <f t="shared" si="312"/>
        <v>9000</v>
      </c>
      <c r="BR498" s="59"/>
      <c r="BS498" s="58" t="str">
        <f t="shared" si="313"/>
        <v/>
      </c>
      <c r="BT498" s="59"/>
      <c r="BU498" s="58" t="str">
        <f t="shared" si="314"/>
        <v/>
      </c>
      <c r="BV498" s="59"/>
      <c r="BW498" s="58" t="str">
        <f t="shared" si="315"/>
        <v/>
      </c>
      <c r="BX498" s="59"/>
      <c r="BY498" s="58" t="str">
        <f t="shared" si="316"/>
        <v/>
      </c>
      <c r="BZ498" s="59"/>
    </row>
    <row r="499" spans="1:78" ht="14.5" hidden="1">
      <c r="A499" s="51" t="s">
        <v>446</v>
      </c>
      <c r="B499" s="52" t="s">
        <v>585</v>
      </c>
      <c r="C499" s="52" t="s">
        <v>60</v>
      </c>
      <c r="D499" s="41">
        <f t="shared" si="317"/>
        <v>12</v>
      </c>
      <c r="E499" s="41"/>
      <c r="F499" s="41"/>
      <c r="G499" s="52" t="s">
        <v>187</v>
      </c>
      <c r="H499" s="52" t="s">
        <v>448</v>
      </c>
      <c r="I499" s="52" t="s">
        <v>155</v>
      </c>
      <c r="J499" s="52" t="s">
        <v>449</v>
      </c>
      <c r="K499" s="53">
        <v>45736</v>
      </c>
      <c r="L499" s="108">
        <v>9000</v>
      </c>
      <c r="M499" s="101"/>
      <c r="N499" s="101"/>
      <c r="O499" s="101">
        <f>+L499-N499</f>
        <v>9000</v>
      </c>
      <c r="P499" s="54">
        <f>+L499-M499</f>
        <v>9000</v>
      </c>
      <c r="Q499" s="101" t="s">
        <v>429</v>
      </c>
      <c r="R499" s="101"/>
      <c r="S499" s="101"/>
      <c r="T499" s="102">
        <f t="shared" si="318"/>
        <v>1.3636363636363635</v>
      </c>
      <c r="U499" s="102">
        <v>6</v>
      </c>
      <c r="V499" s="99">
        <v>1100</v>
      </c>
      <c r="W499" s="55">
        <f>+K499-(28)</f>
        <v>45708</v>
      </c>
      <c r="X499" s="55"/>
      <c r="Y499" s="56">
        <f t="shared" ca="1" si="291"/>
        <v>-132</v>
      </c>
      <c r="Z499" s="55">
        <f t="shared" si="290"/>
        <v>45724</v>
      </c>
      <c r="AA499" s="55"/>
      <c r="AB499" s="56">
        <f t="shared" ca="1" si="292"/>
        <v>-116</v>
      </c>
      <c r="AC499" s="55"/>
      <c r="AD499" s="57"/>
      <c r="AE499" s="58" t="str">
        <f t="shared" si="293"/>
        <v>-</v>
      </c>
      <c r="AF499" s="59"/>
      <c r="AG499" s="58" t="str">
        <f t="shared" si="294"/>
        <v/>
      </c>
      <c r="AH499" s="59"/>
      <c r="AI499" s="58" t="str">
        <f t="shared" si="295"/>
        <v/>
      </c>
      <c r="AJ499" s="59"/>
      <c r="AK499" s="58" t="str">
        <f t="shared" si="296"/>
        <v/>
      </c>
      <c r="AL499" s="59"/>
      <c r="AM499" s="58" t="str">
        <f t="shared" si="297"/>
        <v/>
      </c>
      <c r="AN499" s="59"/>
      <c r="AO499" s="58" t="str">
        <f t="shared" si="298"/>
        <v/>
      </c>
      <c r="AP499" s="59"/>
      <c r="AQ499" s="58" t="str">
        <f t="shared" si="299"/>
        <v/>
      </c>
      <c r="AR499" s="59"/>
      <c r="AS499" s="58" t="str">
        <f t="shared" si="300"/>
        <v/>
      </c>
      <c r="AT499" s="59"/>
      <c r="AU499" s="58" t="str">
        <f t="shared" si="301"/>
        <v/>
      </c>
      <c r="AV499" s="59"/>
      <c r="AW499" s="58" t="str">
        <f t="shared" si="302"/>
        <v/>
      </c>
      <c r="AX499" s="59"/>
      <c r="AY499" s="58" t="str">
        <f t="shared" si="303"/>
        <v/>
      </c>
      <c r="AZ499" s="59"/>
      <c r="BA499" s="58" t="str">
        <f t="shared" si="304"/>
        <v/>
      </c>
      <c r="BB499" s="59"/>
      <c r="BC499" s="58" t="str">
        <f t="shared" si="305"/>
        <v/>
      </c>
      <c r="BD499" s="59"/>
      <c r="BE499" s="58" t="str">
        <f t="shared" si="306"/>
        <v/>
      </c>
      <c r="BF499" s="59"/>
      <c r="BG499" s="58" t="str">
        <f t="shared" si="307"/>
        <v/>
      </c>
      <c r="BH499" s="59"/>
      <c r="BI499" s="58" t="str">
        <f t="shared" si="308"/>
        <v/>
      </c>
      <c r="BJ499" s="59"/>
      <c r="BK499" s="58" t="str">
        <f t="shared" si="309"/>
        <v/>
      </c>
      <c r="BL499" s="59"/>
      <c r="BM499" s="58" t="str">
        <f t="shared" si="310"/>
        <v/>
      </c>
      <c r="BN499" s="59"/>
      <c r="BO499" s="58" t="str">
        <f t="shared" si="311"/>
        <v/>
      </c>
      <c r="BP499" s="59"/>
      <c r="BQ499" s="58">
        <f t="shared" si="312"/>
        <v>9000</v>
      </c>
      <c r="BR499" s="59"/>
      <c r="BS499" s="58" t="str">
        <f t="shared" si="313"/>
        <v/>
      </c>
      <c r="BT499" s="59"/>
      <c r="BU499" s="58" t="str">
        <f t="shared" si="314"/>
        <v/>
      </c>
      <c r="BV499" s="59"/>
      <c r="BW499" s="58" t="str">
        <f t="shared" si="315"/>
        <v/>
      </c>
      <c r="BX499" s="59"/>
      <c r="BY499" s="58" t="str">
        <f t="shared" si="316"/>
        <v/>
      </c>
      <c r="BZ499" s="59"/>
    </row>
    <row r="500" spans="1:78" ht="14.5" hidden="1">
      <c r="A500" s="51" t="s">
        <v>446</v>
      </c>
      <c r="B500" s="52" t="s">
        <v>585</v>
      </c>
      <c r="C500" s="52" t="s">
        <v>60</v>
      </c>
      <c r="D500" s="41">
        <f t="shared" si="317"/>
        <v>12</v>
      </c>
      <c r="E500" s="41"/>
      <c r="F500" s="41"/>
      <c r="G500" s="52" t="s">
        <v>187</v>
      </c>
      <c r="H500" s="52" t="s">
        <v>448</v>
      </c>
      <c r="I500" s="52" t="s">
        <v>450</v>
      </c>
      <c r="J500" s="52" t="s">
        <v>449</v>
      </c>
      <c r="K500" s="53">
        <v>45736</v>
      </c>
      <c r="L500" s="108">
        <v>6000</v>
      </c>
      <c r="M500" s="101"/>
      <c r="N500" s="101"/>
      <c r="O500" s="101">
        <f>+L500-N500</f>
        <v>6000</v>
      </c>
      <c r="P500" s="54">
        <f>+L500-M500</f>
        <v>6000</v>
      </c>
      <c r="Q500" s="101" t="s">
        <v>429</v>
      </c>
      <c r="R500" s="101"/>
      <c r="S500" s="101"/>
      <c r="T500" s="102">
        <f t="shared" si="318"/>
        <v>0.90909090909090906</v>
      </c>
      <c r="U500" s="102">
        <v>6</v>
      </c>
      <c r="V500" s="99">
        <v>1100</v>
      </c>
      <c r="W500" s="55">
        <f>+K500-(28)</f>
        <v>45708</v>
      </c>
      <c r="X500" s="55"/>
      <c r="Y500" s="56">
        <f t="shared" ca="1" si="291"/>
        <v>-132</v>
      </c>
      <c r="Z500" s="55">
        <f t="shared" si="290"/>
        <v>45724</v>
      </c>
      <c r="AA500" s="55"/>
      <c r="AB500" s="56">
        <f t="shared" ca="1" si="292"/>
        <v>-116</v>
      </c>
      <c r="AC500" s="55"/>
      <c r="AD500" s="57"/>
      <c r="AE500" s="58" t="str">
        <f t="shared" si="293"/>
        <v>-</v>
      </c>
      <c r="AF500" s="59"/>
      <c r="AG500" s="58" t="str">
        <f t="shared" si="294"/>
        <v/>
      </c>
      <c r="AH500" s="59"/>
      <c r="AI500" s="58" t="str">
        <f t="shared" si="295"/>
        <v/>
      </c>
      <c r="AJ500" s="59"/>
      <c r="AK500" s="58" t="str">
        <f t="shared" si="296"/>
        <v/>
      </c>
      <c r="AL500" s="59"/>
      <c r="AM500" s="58" t="str">
        <f t="shared" si="297"/>
        <v/>
      </c>
      <c r="AN500" s="59"/>
      <c r="AO500" s="58" t="str">
        <f t="shared" si="298"/>
        <v/>
      </c>
      <c r="AP500" s="59"/>
      <c r="AQ500" s="58" t="str">
        <f t="shared" si="299"/>
        <v/>
      </c>
      <c r="AR500" s="59"/>
      <c r="AS500" s="58" t="str">
        <f t="shared" si="300"/>
        <v/>
      </c>
      <c r="AT500" s="59"/>
      <c r="AU500" s="58" t="str">
        <f t="shared" si="301"/>
        <v/>
      </c>
      <c r="AV500" s="59"/>
      <c r="AW500" s="58" t="str">
        <f t="shared" si="302"/>
        <v/>
      </c>
      <c r="AX500" s="59"/>
      <c r="AY500" s="58" t="str">
        <f t="shared" si="303"/>
        <v/>
      </c>
      <c r="AZ500" s="59"/>
      <c r="BA500" s="58" t="str">
        <f t="shared" si="304"/>
        <v/>
      </c>
      <c r="BB500" s="59"/>
      <c r="BC500" s="58" t="str">
        <f t="shared" si="305"/>
        <v/>
      </c>
      <c r="BD500" s="59"/>
      <c r="BE500" s="58" t="str">
        <f t="shared" si="306"/>
        <v/>
      </c>
      <c r="BF500" s="59"/>
      <c r="BG500" s="58" t="str">
        <f t="shared" si="307"/>
        <v/>
      </c>
      <c r="BH500" s="59"/>
      <c r="BI500" s="58" t="str">
        <f t="shared" si="308"/>
        <v/>
      </c>
      <c r="BJ500" s="59"/>
      <c r="BK500" s="58" t="str">
        <f t="shared" si="309"/>
        <v/>
      </c>
      <c r="BL500" s="59"/>
      <c r="BM500" s="58" t="str">
        <f t="shared" si="310"/>
        <v/>
      </c>
      <c r="BN500" s="59"/>
      <c r="BO500" s="58" t="str">
        <f t="shared" si="311"/>
        <v/>
      </c>
      <c r="BP500" s="59"/>
      <c r="BQ500" s="58">
        <f t="shared" si="312"/>
        <v>6000</v>
      </c>
      <c r="BR500" s="59"/>
      <c r="BS500" s="58" t="str">
        <f t="shared" si="313"/>
        <v/>
      </c>
      <c r="BT500" s="59"/>
      <c r="BU500" s="58" t="str">
        <f t="shared" si="314"/>
        <v/>
      </c>
      <c r="BV500" s="59"/>
      <c r="BW500" s="58" t="str">
        <f t="shared" si="315"/>
        <v/>
      </c>
      <c r="BX500" s="59"/>
      <c r="BY500" s="58" t="str">
        <f t="shared" si="316"/>
        <v/>
      </c>
      <c r="BZ500" s="59"/>
    </row>
    <row r="501" spans="1:78" ht="14.5" hidden="1">
      <c r="A501" s="51" t="s">
        <v>58</v>
      </c>
      <c r="B501" s="52">
        <v>428</v>
      </c>
      <c r="C501" s="52" t="s">
        <v>188</v>
      </c>
      <c r="D501" s="41">
        <f t="shared" si="317"/>
        <v>12</v>
      </c>
      <c r="E501" s="41"/>
      <c r="F501" s="41"/>
      <c r="G501" s="52" t="s">
        <v>81</v>
      </c>
      <c r="H501" s="52" t="s">
        <v>290</v>
      </c>
      <c r="I501" s="52" t="s">
        <v>291</v>
      </c>
      <c r="J501" s="52" t="s">
        <v>544</v>
      </c>
      <c r="K501" s="53">
        <v>45737</v>
      </c>
      <c r="L501" s="108">
        <v>4608</v>
      </c>
      <c r="M501" s="101"/>
      <c r="N501" s="101"/>
      <c r="O501" s="107">
        <f t="shared" ref="O501:O513" si="325">+L501-N501</f>
        <v>4608</v>
      </c>
      <c r="P501" s="54">
        <f t="shared" ref="P501:P513" si="326">+L501-M501</f>
        <v>4608</v>
      </c>
      <c r="Q501" s="101" t="s">
        <v>436</v>
      </c>
      <c r="R501" s="101"/>
      <c r="S501" s="101"/>
      <c r="T501" s="102">
        <f t="shared" si="318"/>
        <v>0.16666666666666666</v>
      </c>
      <c r="U501" s="102">
        <v>6</v>
      </c>
      <c r="V501" s="100">
        <v>4608</v>
      </c>
      <c r="W501" s="55">
        <f t="shared" ref="W501:W513" si="327">+K501-(20)</f>
        <v>45717</v>
      </c>
      <c r="X501" s="55"/>
      <c r="Y501" s="56">
        <f t="shared" ca="1" si="291"/>
        <v>-123</v>
      </c>
      <c r="Z501" s="55">
        <f t="shared" si="290"/>
        <v>45733</v>
      </c>
      <c r="AA501" s="55"/>
      <c r="AB501" s="56">
        <f t="shared" ca="1" si="292"/>
        <v>-107</v>
      </c>
      <c r="AC501" s="55"/>
      <c r="AD501" s="57"/>
      <c r="AE501" s="58" t="str">
        <f t="shared" si="293"/>
        <v>-</v>
      </c>
      <c r="AF501" s="59"/>
      <c r="AG501" s="58" t="str">
        <f t="shared" si="294"/>
        <v/>
      </c>
      <c r="AH501" s="59"/>
      <c r="AI501" s="58" t="str">
        <f t="shared" si="295"/>
        <v/>
      </c>
      <c r="AJ501" s="59"/>
      <c r="AK501" s="58" t="str">
        <f t="shared" si="296"/>
        <v/>
      </c>
      <c r="AL501" s="59"/>
      <c r="AM501" s="58" t="str">
        <f t="shared" si="297"/>
        <v/>
      </c>
      <c r="AN501" s="59"/>
      <c r="AO501" s="58" t="str">
        <f t="shared" si="298"/>
        <v/>
      </c>
      <c r="AP501" s="59"/>
      <c r="AQ501" s="58" t="str">
        <f t="shared" si="299"/>
        <v/>
      </c>
      <c r="AR501" s="59"/>
      <c r="AS501" s="58" t="str">
        <f t="shared" si="300"/>
        <v/>
      </c>
      <c r="AT501" s="59"/>
      <c r="AU501" s="58" t="str">
        <f t="shared" si="301"/>
        <v/>
      </c>
      <c r="AV501" s="59"/>
      <c r="AW501" s="58" t="str">
        <f t="shared" si="302"/>
        <v/>
      </c>
      <c r="AX501" s="59"/>
      <c r="AY501" s="58" t="str">
        <f t="shared" si="303"/>
        <v/>
      </c>
      <c r="AZ501" s="59"/>
      <c r="BA501" s="58" t="str">
        <f t="shared" si="304"/>
        <v/>
      </c>
      <c r="BB501" s="59"/>
      <c r="BC501" s="58" t="str">
        <f t="shared" si="305"/>
        <v/>
      </c>
      <c r="BD501" s="59"/>
      <c r="BE501" s="58" t="str">
        <f t="shared" si="306"/>
        <v/>
      </c>
      <c r="BF501" s="59"/>
      <c r="BG501" s="58" t="str">
        <f t="shared" si="307"/>
        <v/>
      </c>
      <c r="BH501" s="59"/>
      <c r="BI501" s="58" t="str">
        <f t="shared" si="308"/>
        <v/>
      </c>
      <c r="BJ501" s="59"/>
      <c r="BK501" s="58" t="str">
        <f t="shared" si="309"/>
        <v/>
      </c>
      <c r="BL501" s="59"/>
      <c r="BM501" s="58" t="str">
        <f t="shared" si="310"/>
        <v/>
      </c>
      <c r="BN501" s="59"/>
      <c r="BO501" s="58" t="str">
        <f t="shared" si="311"/>
        <v/>
      </c>
      <c r="BP501" s="59"/>
      <c r="BQ501" s="58" t="str">
        <f t="shared" si="312"/>
        <v/>
      </c>
      <c r="BR501" s="59"/>
      <c r="BS501" s="58">
        <f t="shared" si="313"/>
        <v>4608</v>
      </c>
      <c r="BT501" s="59"/>
      <c r="BU501" s="58" t="str">
        <f t="shared" si="314"/>
        <v/>
      </c>
      <c r="BV501" s="59"/>
      <c r="BW501" s="58" t="str">
        <f t="shared" si="315"/>
        <v/>
      </c>
      <c r="BX501" s="59"/>
      <c r="BY501" s="58" t="str">
        <f t="shared" si="316"/>
        <v/>
      </c>
      <c r="BZ501" s="59"/>
    </row>
    <row r="502" spans="1:78" ht="14.5" hidden="1">
      <c r="A502" s="51" t="s">
        <v>58</v>
      </c>
      <c r="B502" s="52">
        <v>428</v>
      </c>
      <c r="C502" s="52" t="s">
        <v>188</v>
      </c>
      <c r="D502" s="41">
        <f t="shared" si="317"/>
        <v>12</v>
      </c>
      <c r="E502" s="41"/>
      <c r="F502" s="41"/>
      <c r="G502" s="52" t="s">
        <v>81</v>
      </c>
      <c r="H502" s="52" t="s">
        <v>290</v>
      </c>
      <c r="I502" s="52" t="s">
        <v>293</v>
      </c>
      <c r="J502" s="52" t="s">
        <v>544</v>
      </c>
      <c r="K502" s="53">
        <v>45737</v>
      </c>
      <c r="L502" s="108">
        <v>4608</v>
      </c>
      <c r="M502" s="101"/>
      <c r="N502" s="101"/>
      <c r="O502" s="107">
        <f t="shared" si="325"/>
        <v>4608</v>
      </c>
      <c r="P502" s="54">
        <f t="shared" si="326"/>
        <v>4608</v>
      </c>
      <c r="Q502" s="101" t="s">
        <v>436</v>
      </c>
      <c r="R502" s="101"/>
      <c r="S502" s="101"/>
      <c r="T502" s="102">
        <f t="shared" si="318"/>
        <v>0.16666666666666666</v>
      </c>
      <c r="U502" s="102">
        <v>6</v>
      </c>
      <c r="V502" s="100">
        <v>4608</v>
      </c>
      <c r="W502" s="55">
        <f t="shared" si="327"/>
        <v>45717</v>
      </c>
      <c r="X502" s="55"/>
      <c r="Y502" s="56">
        <f t="shared" ca="1" si="291"/>
        <v>-123</v>
      </c>
      <c r="Z502" s="55">
        <f t="shared" ref="Z502:Z531" si="328">+W502+16</f>
        <v>45733</v>
      </c>
      <c r="AA502" s="55"/>
      <c r="AB502" s="56">
        <f t="shared" ca="1" si="292"/>
        <v>-107</v>
      </c>
      <c r="AC502" s="55"/>
      <c r="AD502" s="57"/>
      <c r="AE502" s="58" t="str">
        <f t="shared" si="293"/>
        <v>-</v>
      </c>
      <c r="AF502" s="59"/>
      <c r="AG502" s="58" t="str">
        <f t="shared" si="294"/>
        <v/>
      </c>
      <c r="AH502" s="59"/>
      <c r="AI502" s="58" t="str">
        <f t="shared" si="295"/>
        <v/>
      </c>
      <c r="AJ502" s="59"/>
      <c r="AK502" s="58" t="str">
        <f t="shared" si="296"/>
        <v/>
      </c>
      <c r="AL502" s="59"/>
      <c r="AM502" s="58" t="str">
        <f t="shared" si="297"/>
        <v/>
      </c>
      <c r="AN502" s="59"/>
      <c r="AO502" s="58" t="str">
        <f t="shared" si="298"/>
        <v/>
      </c>
      <c r="AP502" s="59"/>
      <c r="AQ502" s="58" t="str">
        <f t="shared" si="299"/>
        <v/>
      </c>
      <c r="AR502" s="59"/>
      <c r="AS502" s="58" t="str">
        <f t="shared" si="300"/>
        <v/>
      </c>
      <c r="AT502" s="59"/>
      <c r="AU502" s="58" t="str">
        <f t="shared" si="301"/>
        <v/>
      </c>
      <c r="AV502" s="59"/>
      <c r="AW502" s="58" t="str">
        <f t="shared" si="302"/>
        <v/>
      </c>
      <c r="AX502" s="59"/>
      <c r="AY502" s="58" t="str">
        <f t="shared" si="303"/>
        <v/>
      </c>
      <c r="AZ502" s="59"/>
      <c r="BA502" s="58" t="str">
        <f t="shared" si="304"/>
        <v/>
      </c>
      <c r="BB502" s="59"/>
      <c r="BC502" s="58" t="str">
        <f t="shared" si="305"/>
        <v/>
      </c>
      <c r="BD502" s="59"/>
      <c r="BE502" s="58" t="str">
        <f t="shared" si="306"/>
        <v/>
      </c>
      <c r="BF502" s="59"/>
      <c r="BG502" s="58" t="str">
        <f t="shared" si="307"/>
        <v/>
      </c>
      <c r="BH502" s="59"/>
      <c r="BI502" s="58" t="str">
        <f t="shared" si="308"/>
        <v/>
      </c>
      <c r="BJ502" s="59"/>
      <c r="BK502" s="58" t="str">
        <f t="shared" si="309"/>
        <v/>
      </c>
      <c r="BL502" s="59"/>
      <c r="BM502" s="58" t="str">
        <f t="shared" si="310"/>
        <v/>
      </c>
      <c r="BN502" s="59"/>
      <c r="BO502" s="58" t="str">
        <f t="shared" si="311"/>
        <v/>
      </c>
      <c r="BP502" s="59"/>
      <c r="BQ502" s="58" t="str">
        <f t="shared" si="312"/>
        <v/>
      </c>
      <c r="BR502" s="59"/>
      <c r="BS502" s="58">
        <f t="shared" si="313"/>
        <v>4608</v>
      </c>
      <c r="BT502" s="59"/>
      <c r="BU502" s="58" t="str">
        <f t="shared" si="314"/>
        <v/>
      </c>
      <c r="BV502" s="59"/>
      <c r="BW502" s="58" t="str">
        <f t="shared" si="315"/>
        <v/>
      </c>
      <c r="BX502" s="59"/>
      <c r="BY502" s="58" t="str">
        <f t="shared" si="316"/>
        <v/>
      </c>
      <c r="BZ502" s="59"/>
    </row>
    <row r="503" spans="1:78" ht="14.5" hidden="1">
      <c r="A503" s="51" t="s">
        <v>58</v>
      </c>
      <c r="B503" s="52">
        <v>428</v>
      </c>
      <c r="C503" s="52" t="s">
        <v>188</v>
      </c>
      <c r="D503" s="41">
        <f t="shared" si="317"/>
        <v>12</v>
      </c>
      <c r="E503" s="41"/>
      <c r="F503" s="41"/>
      <c r="G503" s="52" t="s">
        <v>81</v>
      </c>
      <c r="H503" s="52" t="s">
        <v>290</v>
      </c>
      <c r="I503" s="52" t="s">
        <v>294</v>
      </c>
      <c r="J503" s="52" t="s">
        <v>544</v>
      </c>
      <c r="K503" s="53">
        <v>45737</v>
      </c>
      <c r="L503" s="108">
        <v>4608</v>
      </c>
      <c r="M503" s="101"/>
      <c r="N503" s="101"/>
      <c r="O503" s="107">
        <f t="shared" si="325"/>
        <v>4608</v>
      </c>
      <c r="P503" s="54">
        <f t="shared" si="326"/>
        <v>4608</v>
      </c>
      <c r="Q503" s="101" t="s">
        <v>436</v>
      </c>
      <c r="R503" s="101"/>
      <c r="S503" s="101"/>
      <c r="T503" s="102">
        <f t="shared" si="318"/>
        <v>0.16666666666666666</v>
      </c>
      <c r="U503" s="102">
        <v>6</v>
      </c>
      <c r="V503" s="100">
        <v>4608</v>
      </c>
      <c r="W503" s="55">
        <f t="shared" si="327"/>
        <v>45717</v>
      </c>
      <c r="X503" s="55"/>
      <c r="Y503" s="56">
        <f t="shared" ca="1" si="291"/>
        <v>-123</v>
      </c>
      <c r="Z503" s="55">
        <f t="shared" si="328"/>
        <v>45733</v>
      </c>
      <c r="AA503" s="55"/>
      <c r="AB503" s="56">
        <f t="shared" ca="1" si="292"/>
        <v>-107</v>
      </c>
      <c r="AC503" s="55"/>
      <c r="AD503" s="57"/>
      <c r="AE503" s="58" t="str">
        <f t="shared" si="293"/>
        <v>-</v>
      </c>
      <c r="AF503" s="59"/>
      <c r="AG503" s="58" t="str">
        <f t="shared" si="294"/>
        <v/>
      </c>
      <c r="AH503" s="59"/>
      <c r="AI503" s="58" t="str">
        <f t="shared" si="295"/>
        <v/>
      </c>
      <c r="AJ503" s="59"/>
      <c r="AK503" s="58" t="str">
        <f t="shared" si="296"/>
        <v/>
      </c>
      <c r="AL503" s="59"/>
      <c r="AM503" s="58" t="str">
        <f t="shared" si="297"/>
        <v/>
      </c>
      <c r="AN503" s="59"/>
      <c r="AO503" s="58" t="str">
        <f t="shared" si="298"/>
        <v/>
      </c>
      <c r="AP503" s="59"/>
      <c r="AQ503" s="58" t="str">
        <f t="shared" si="299"/>
        <v/>
      </c>
      <c r="AR503" s="59"/>
      <c r="AS503" s="58" t="str">
        <f t="shared" si="300"/>
        <v/>
      </c>
      <c r="AT503" s="59"/>
      <c r="AU503" s="58" t="str">
        <f t="shared" si="301"/>
        <v/>
      </c>
      <c r="AV503" s="59"/>
      <c r="AW503" s="58" t="str">
        <f t="shared" si="302"/>
        <v/>
      </c>
      <c r="AX503" s="59"/>
      <c r="AY503" s="58" t="str">
        <f t="shared" si="303"/>
        <v/>
      </c>
      <c r="AZ503" s="59"/>
      <c r="BA503" s="58" t="str">
        <f t="shared" si="304"/>
        <v/>
      </c>
      <c r="BB503" s="59"/>
      <c r="BC503" s="58" t="str">
        <f t="shared" si="305"/>
        <v/>
      </c>
      <c r="BD503" s="59"/>
      <c r="BE503" s="58" t="str">
        <f t="shared" si="306"/>
        <v/>
      </c>
      <c r="BF503" s="59"/>
      <c r="BG503" s="58" t="str">
        <f t="shared" si="307"/>
        <v/>
      </c>
      <c r="BH503" s="59"/>
      <c r="BI503" s="58" t="str">
        <f t="shared" si="308"/>
        <v/>
      </c>
      <c r="BJ503" s="59"/>
      <c r="BK503" s="58" t="str">
        <f t="shared" si="309"/>
        <v/>
      </c>
      <c r="BL503" s="59"/>
      <c r="BM503" s="58" t="str">
        <f t="shared" si="310"/>
        <v/>
      </c>
      <c r="BN503" s="59"/>
      <c r="BO503" s="58" t="str">
        <f t="shared" si="311"/>
        <v/>
      </c>
      <c r="BP503" s="59"/>
      <c r="BQ503" s="58" t="str">
        <f t="shared" si="312"/>
        <v/>
      </c>
      <c r="BR503" s="59"/>
      <c r="BS503" s="58">
        <f t="shared" si="313"/>
        <v>4608</v>
      </c>
      <c r="BT503" s="59"/>
      <c r="BU503" s="58" t="str">
        <f t="shared" si="314"/>
        <v/>
      </c>
      <c r="BV503" s="59"/>
      <c r="BW503" s="58" t="str">
        <f t="shared" si="315"/>
        <v/>
      </c>
      <c r="BX503" s="59"/>
      <c r="BY503" s="58" t="str">
        <f t="shared" si="316"/>
        <v/>
      </c>
      <c r="BZ503" s="59"/>
    </row>
    <row r="504" spans="1:78" ht="14.5" hidden="1">
      <c r="A504" s="51" t="s">
        <v>58</v>
      </c>
      <c r="B504" s="52">
        <v>428</v>
      </c>
      <c r="C504" s="52" t="s">
        <v>188</v>
      </c>
      <c r="D504" s="41">
        <f t="shared" si="317"/>
        <v>12</v>
      </c>
      <c r="E504" s="41"/>
      <c r="F504" s="41"/>
      <c r="G504" s="52" t="s">
        <v>391</v>
      </c>
      <c r="H504" s="52" t="s">
        <v>392</v>
      </c>
      <c r="I504" s="52" t="s">
        <v>393</v>
      </c>
      <c r="J504" s="52" t="s">
        <v>433</v>
      </c>
      <c r="K504" s="53">
        <v>45737</v>
      </c>
      <c r="L504" s="108">
        <v>1740</v>
      </c>
      <c r="M504" s="101"/>
      <c r="N504" s="101"/>
      <c r="O504" s="107">
        <f t="shared" si="325"/>
        <v>1740</v>
      </c>
      <c r="P504" s="54">
        <f t="shared" si="326"/>
        <v>1740</v>
      </c>
      <c r="Q504" s="101" t="s">
        <v>178</v>
      </c>
      <c r="R504" s="101"/>
      <c r="S504" s="101"/>
      <c r="T504" s="102">
        <f t="shared" si="318"/>
        <v>3.625</v>
      </c>
      <c r="U504" s="102">
        <v>6</v>
      </c>
      <c r="V504" s="99">
        <v>80</v>
      </c>
      <c r="W504" s="55">
        <f t="shared" si="327"/>
        <v>45717</v>
      </c>
      <c r="X504" s="55"/>
      <c r="Y504" s="56">
        <f t="shared" ca="1" si="291"/>
        <v>-123</v>
      </c>
      <c r="Z504" s="55">
        <f t="shared" si="328"/>
        <v>45733</v>
      </c>
      <c r="AA504" s="55"/>
      <c r="AB504" s="56">
        <f t="shared" ca="1" si="292"/>
        <v>-107</v>
      </c>
      <c r="AC504" s="55"/>
      <c r="AD504" s="57"/>
      <c r="AE504" s="58" t="str">
        <f t="shared" si="293"/>
        <v>-</v>
      </c>
      <c r="AF504" s="59"/>
      <c r="AG504" s="58" t="str">
        <f t="shared" si="294"/>
        <v/>
      </c>
      <c r="AH504" s="59"/>
      <c r="AI504" s="58" t="str">
        <f t="shared" si="295"/>
        <v/>
      </c>
      <c r="AJ504" s="59"/>
      <c r="AK504" s="58" t="str">
        <f t="shared" si="296"/>
        <v/>
      </c>
      <c r="AL504" s="59"/>
      <c r="AM504" s="58" t="str">
        <f t="shared" si="297"/>
        <v/>
      </c>
      <c r="AN504" s="59"/>
      <c r="AO504" s="58" t="str">
        <f t="shared" si="298"/>
        <v/>
      </c>
      <c r="AP504" s="59"/>
      <c r="AQ504" s="58" t="str">
        <f t="shared" si="299"/>
        <v/>
      </c>
      <c r="AR504" s="59"/>
      <c r="AS504" s="58" t="str">
        <f t="shared" si="300"/>
        <v/>
      </c>
      <c r="AT504" s="59"/>
      <c r="AU504" s="58" t="str">
        <f t="shared" si="301"/>
        <v/>
      </c>
      <c r="AV504" s="59"/>
      <c r="AW504" s="58" t="str">
        <f t="shared" si="302"/>
        <v/>
      </c>
      <c r="AX504" s="59"/>
      <c r="AY504" s="58" t="str">
        <f t="shared" si="303"/>
        <v/>
      </c>
      <c r="AZ504" s="59"/>
      <c r="BA504" s="58" t="str">
        <f t="shared" si="304"/>
        <v/>
      </c>
      <c r="BB504" s="59"/>
      <c r="BC504" s="58" t="str">
        <f t="shared" si="305"/>
        <v/>
      </c>
      <c r="BD504" s="59"/>
      <c r="BE504" s="58" t="str">
        <f t="shared" si="306"/>
        <v/>
      </c>
      <c r="BF504" s="59"/>
      <c r="BG504" s="58" t="str">
        <f t="shared" si="307"/>
        <v/>
      </c>
      <c r="BH504" s="59"/>
      <c r="BI504" s="58" t="str">
        <f t="shared" si="308"/>
        <v/>
      </c>
      <c r="BJ504" s="59"/>
      <c r="BK504" s="58" t="str">
        <f t="shared" si="309"/>
        <v/>
      </c>
      <c r="BL504" s="59"/>
      <c r="BM504" s="58" t="str">
        <f t="shared" si="310"/>
        <v/>
      </c>
      <c r="BN504" s="59"/>
      <c r="BO504" s="58" t="str">
        <f t="shared" si="311"/>
        <v/>
      </c>
      <c r="BP504" s="59"/>
      <c r="BQ504" s="58" t="str">
        <f t="shared" si="312"/>
        <v/>
      </c>
      <c r="BR504" s="59"/>
      <c r="BS504" s="58">
        <f t="shared" si="313"/>
        <v>1740</v>
      </c>
      <c r="BT504" s="59"/>
      <c r="BU504" s="58" t="str">
        <f t="shared" si="314"/>
        <v/>
      </c>
      <c r="BV504" s="59"/>
      <c r="BW504" s="58" t="str">
        <f t="shared" si="315"/>
        <v/>
      </c>
      <c r="BX504" s="59"/>
      <c r="BY504" s="58" t="str">
        <f t="shared" si="316"/>
        <v/>
      </c>
      <c r="BZ504" s="59"/>
    </row>
    <row r="505" spans="1:78" ht="14.5" hidden="1">
      <c r="A505" s="51" t="s">
        <v>58</v>
      </c>
      <c r="B505" s="52">
        <v>428</v>
      </c>
      <c r="C505" s="52" t="s">
        <v>188</v>
      </c>
      <c r="D505" s="41">
        <f t="shared" si="317"/>
        <v>12</v>
      </c>
      <c r="E505" s="41"/>
      <c r="F505" s="41"/>
      <c r="G505" s="52" t="s">
        <v>158</v>
      </c>
      <c r="H505" s="52" t="s">
        <v>242</v>
      </c>
      <c r="I505" s="52" t="s">
        <v>156</v>
      </c>
      <c r="J505" s="52" t="s">
        <v>432</v>
      </c>
      <c r="K505" s="53">
        <v>45737</v>
      </c>
      <c r="L505" s="108">
        <v>1384</v>
      </c>
      <c r="M505" s="101"/>
      <c r="N505" s="101"/>
      <c r="O505" s="107">
        <f t="shared" si="325"/>
        <v>1384</v>
      </c>
      <c r="P505" s="54">
        <f t="shared" si="326"/>
        <v>1384</v>
      </c>
      <c r="Q505" s="101" t="s">
        <v>439</v>
      </c>
      <c r="R505" s="101"/>
      <c r="S505" s="101"/>
      <c r="T505" s="102">
        <f t="shared" si="318"/>
        <v>1.9222222222222223</v>
      </c>
      <c r="U505" s="102">
        <v>6</v>
      </c>
      <c r="V505" s="99">
        <v>120</v>
      </c>
      <c r="W505" s="55">
        <f t="shared" si="327"/>
        <v>45717</v>
      </c>
      <c r="X505" s="55"/>
      <c r="Y505" s="56">
        <f t="shared" ref="Y505:Y531" ca="1" si="329">+IF(X505="",W505-TODAY(),W505-X505)</f>
        <v>-123</v>
      </c>
      <c r="Z505" s="55">
        <f t="shared" si="328"/>
        <v>45733</v>
      </c>
      <c r="AA505" s="55"/>
      <c r="AB505" s="56">
        <f t="shared" ref="AB505:AB531" ca="1" si="330">+IF(AA505="",Z505-TODAY(),Z505-AA505)</f>
        <v>-107</v>
      </c>
      <c r="AC505" s="55"/>
      <c r="AD505" s="57"/>
      <c r="AE505" s="58" t="str">
        <f t="shared" si="293"/>
        <v>-</v>
      </c>
      <c r="AF505" s="59"/>
      <c r="AG505" s="58" t="str">
        <f t="shared" si="294"/>
        <v/>
      </c>
      <c r="AH505" s="59"/>
      <c r="AI505" s="58" t="str">
        <f t="shared" si="295"/>
        <v/>
      </c>
      <c r="AJ505" s="59"/>
      <c r="AK505" s="58" t="str">
        <f t="shared" si="296"/>
        <v/>
      </c>
      <c r="AL505" s="59"/>
      <c r="AM505" s="58" t="str">
        <f t="shared" si="297"/>
        <v/>
      </c>
      <c r="AN505" s="59"/>
      <c r="AO505" s="58" t="str">
        <f t="shared" si="298"/>
        <v/>
      </c>
      <c r="AP505" s="59"/>
      <c r="AQ505" s="58" t="str">
        <f t="shared" si="299"/>
        <v/>
      </c>
      <c r="AR505" s="59"/>
      <c r="AS505" s="58" t="str">
        <f t="shared" si="300"/>
        <v/>
      </c>
      <c r="AT505" s="59"/>
      <c r="AU505" s="58" t="str">
        <f t="shared" si="301"/>
        <v/>
      </c>
      <c r="AV505" s="59"/>
      <c r="AW505" s="58" t="str">
        <f t="shared" si="302"/>
        <v/>
      </c>
      <c r="AX505" s="59"/>
      <c r="AY505" s="58" t="str">
        <f t="shared" si="303"/>
        <v/>
      </c>
      <c r="AZ505" s="59"/>
      <c r="BA505" s="58" t="str">
        <f t="shared" si="304"/>
        <v/>
      </c>
      <c r="BB505" s="59"/>
      <c r="BC505" s="58" t="str">
        <f t="shared" si="305"/>
        <v/>
      </c>
      <c r="BD505" s="59"/>
      <c r="BE505" s="58" t="str">
        <f t="shared" si="306"/>
        <v/>
      </c>
      <c r="BF505" s="59"/>
      <c r="BG505" s="58" t="str">
        <f t="shared" si="307"/>
        <v/>
      </c>
      <c r="BH505" s="59"/>
      <c r="BI505" s="58" t="str">
        <f t="shared" si="308"/>
        <v/>
      </c>
      <c r="BJ505" s="59"/>
      <c r="BK505" s="58" t="str">
        <f t="shared" si="309"/>
        <v/>
      </c>
      <c r="BL505" s="59"/>
      <c r="BM505" s="58" t="str">
        <f t="shared" si="310"/>
        <v/>
      </c>
      <c r="BN505" s="59"/>
      <c r="BO505" s="58" t="str">
        <f t="shared" si="311"/>
        <v/>
      </c>
      <c r="BP505" s="59"/>
      <c r="BQ505" s="58" t="str">
        <f t="shared" si="312"/>
        <v/>
      </c>
      <c r="BR505" s="59"/>
      <c r="BS505" s="58">
        <f t="shared" si="313"/>
        <v>1384</v>
      </c>
      <c r="BT505" s="59"/>
      <c r="BU505" s="58" t="str">
        <f t="shared" si="314"/>
        <v/>
      </c>
      <c r="BV505" s="59"/>
      <c r="BW505" s="58" t="str">
        <f t="shared" si="315"/>
        <v/>
      </c>
      <c r="BX505" s="59"/>
      <c r="BY505" s="58" t="str">
        <f t="shared" si="316"/>
        <v/>
      </c>
      <c r="BZ505" s="59"/>
    </row>
    <row r="506" spans="1:78" ht="14.5" hidden="1">
      <c r="A506" s="51" t="s">
        <v>58</v>
      </c>
      <c r="B506" s="52">
        <v>428</v>
      </c>
      <c r="C506" s="52" t="s">
        <v>188</v>
      </c>
      <c r="D506" s="41">
        <f t="shared" si="317"/>
        <v>12</v>
      </c>
      <c r="E506" s="41"/>
      <c r="F506" s="41"/>
      <c r="G506" s="52" t="s">
        <v>190</v>
      </c>
      <c r="H506" s="52" t="s">
        <v>242</v>
      </c>
      <c r="I506" s="52" t="s">
        <v>244</v>
      </c>
      <c r="J506" s="52" t="s">
        <v>438</v>
      </c>
      <c r="K506" s="53">
        <v>45737</v>
      </c>
      <c r="L506" s="108">
        <v>1384</v>
      </c>
      <c r="M506" s="101"/>
      <c r="N506" s="101"/>
      <c r="O506" s="107">
        <f t="shared" si="325"/>
        <v>1384</v>
      </c>
      <c r="P506" s="54">
        <f t="shared" si="326"/>
        <v>1384</v>
      </c>
      <c r="Q506" s="101" t="s">
        <v>439</v>
      </c>
      <c r="R506" s="101"/>
      <c r="S506" s="101"/>
      <c r="T506" s="102">
        <f t="shared" si="318"/>
        <v>1.9222222222222223</v>
      </c>
      <c r="U506" s="102">
        <v>6</v>
      </c>
      <c r="V506" s="99">
        <v>120</v>
      </c>
      <c r="W506" s="55">
        <f t="shared" si="327"/>
        <v>45717</v>
      </c>
      <c r="X506" s="55"/>
      <c r="Y506" s="56">
        <f t="shared" ca="1" si="329"/>
        <v>-123</v>
      </c>
      <c r="Z506" s="55">
        <f t="shared" si="328"/>
        <v>45733</v>
      </c>
      <c r="AA506" s="55"/>
      <c r="AB506" s="56">
        <f t="shared" ca="1" si="330"/>
        <v>-107</v>
      </c>
      <c r="AC506" s="55"/>
      <c r="AD506" s="57"/>
      <c r="AE506" s="58" t="str">
        <f t="shared" si="293"/>
        <v>-</v>
      </c>
      <c r="AF506" s="59"/>
      <c r="AG506" s="58" t="str">
        <f t="shared" si="294"/>
        <v/>
      </c>
      <c r="AH506" s="59"/>
      <c r="AI506" s="58" t="str">
        <f t="shared" si="295"/>
        <v/>
      </c>
      <c r="AJ506" s="59"/>
      <c r="AK506" s="58" t="str">
        <f t="shared" si="296"/>
        <v/>
      </c>
      <c r="AL506" s="59"/>
      <c r="AM506" s="58" t="str">
        <f t="shared" si="297"/>
        <v/>
      </c>
      <c r="AN506" s="59"/>
      <c r="AO506" s="58" t="str">
        <f t="shared" si="298"/>
        <v/>
      </c>
      <c r="AP506" s="59"/>
      <c r="AQ506" s="58" t="str">
        <f t="shared" si="299"/>
        <v/>
      </c>
      <c r="AR506" s="59"/>
      <c r="AS506" s="58" t="str">
        <f t="shared" si="300"/>
        <v/>
      </c>
      <c r="AT506" s="59"/>
      <c r="AU506" s="58" t="str">
        <f t="shared" si="301"/>
        <v/>
      </c>
      <c r="AV506" s="59"/>
      <c r="AW506" s="58" t="str">
        <f t="shared" si="302"/>
        <v/>
      </c>
      <c r="AX506" s="59"/>
      <c r="AY506" s="58" t="str">
        <f t="shared" si="303"/>
        <v/>
      </c>
      <c r="AZ506" s="59"/>
      <c r="BA506" s="58" t="str">
        <f t="shared" si="304"/>
        <v/>
      </c>
      <c r="BB506" s="59"/>
      <c r="BC506" s="58" t="str">
        <f t="shared" si="305"/>
        <v/>
      </c>
      <c r="BD506" s="59"/>
      <c r="BE506" s="58" t="str">
        <f t="shared" si="306"/>
        <v/>
      </c>
      <c r="BF506" s="59"/>
      <c r="BG506" s="58" t="str">
        <f t="shared" si="307"/>
        <v/>
      </c>
      <c r="BH506" s="59"/>
      <c r="BI506" s="58" t="str">
        <f t="shared" si="308"/>
        <v/>
      </c>
      <c r="BJ506" s="59"/>
      <c r="BK506" s="58" t="str">
        <f t="shared" si="309"/>
        <v/>
      </c>
      <c r="BL506" s="59"/>
      <c r="BM506" s="58" t="str">
        <f t="shared" si="310"/>
        <v/>
      </c>
      <c r="BN506" s="59"/>
      <c r="BO506" s="58" t="str">
        <f t="shared" si="311"/>
        <v/>
      </c>
      <c r="BP506" s="59"/>
      <c r="BQ506" s="58" t="str">
        <f t="shared" si="312"/>
        <v/>
      </c>
      <c r="BR506" s="59"/>
      <c r="BS506" s="58">
        <f t="shared" si="313"/>
        <v>1384</v>
      </c>
      <c r="BT506" s="59"/>
      <c r="BU506" s="58" t="str">
        <f t="shared" si="314"/>
        <v/>
      </c>
      <c r="BV506" s="59"/>
      <c r="BW506" s="58" t="str">
        <f t="shared" si="315"/>
        <v/>
      </c>
      <c r="BX506" s="59"/>
      <c r="BY506" s="58" t="str">
        <f t="shared" si="316"/>
        <v/>
      </c>
      <c r="BZ506" s="59"/>
    </row>
    <row r="507" spans="1:78" ht="14.5" hidden="1">
      <c r="A507" s="51" t="s">
        <v>58</v>
      </c>
      <c r="B507" s="52">
        <v>440</v>
      </c>
      <c r="C507" s="52" t="s">
        <v>188</v>
      </c>
      <c r="D507" s="41">
        <f t="shared" si="317"/>
        <v>12</v>
      </c>
      <c r="E507" s="170">
        <v>45681</v>
      </c>
      <c r="F507" s="41"/>
      <c r="G507" s="52" t="s">
        <v>157</v>
      </c>
      <c r="H507" s="52" t="s">
        <v>243</v>
      </c>
      <c r="I507" s="52" t="s">
        <v>155</v>
      </c>
      <c r="J507" s="52" t="s">
        <v>428</v>
      </c>
      <c r="K507" s="53">
        <v>45737</v>
      </c>
      <c r="L507" s="108">
        <v>2724</v>
      </c>
      <c r="M507" s="101"/>
      <c r="N507" s="101"/>
      <c r="O507" s="107">
        <f t="shared" si="325"/>
        <v>2724</v>
      </c>
      <c r="P507" s="54">
        <f t="shared" si="326"/>
        <v>2724</v>
      </c>
      <c r="Q507" s="101" t="s">
        <v>431</v>
      </c>
      <c r="R507" s="101"/>
      <c r="S507" s="101"/>
      <c r="T507" s="102">
        <f t="shared" si="318"/>
        <v>0.45400000000000001</v>
      </c>
      <c r="U507" s="102">
        <v>6</v>
      </c>
      <c r="V507" s="99">
        <v>1000</v>
      </c>
      <c r="W507" s="55">
        <f t="shared" si="327"/>
        <v>45717</v>
      </c>
      <c r="X507" s="55"/>
      <c r="Y507" s="56">
        <f t="shared" ca="1" si="329"/>
        <v>-123</v>
      </c>
      <c r="Z507" s="55">
        <f t="shared" si="328"/>
        <v>45733</v>
      </c>
      <c r="AA507" s="55"/>
      <c r="AB507" s="56">
        <f t="shared" ca="1" si="330"/>
        <v>-107</v>
      </c>
      <c r="AC507" s="55"/>
      <c r="AD507" s="57"/>
      <c r="AE507" s="58" t="str">
        <f t="shared" si="293"/>
        <v>-</v>
      </c>
      <c r="AF507" s="59"/>
      <c r="AG507" s="58" t="str">
        <f t="shared" si="294"/>
        <v/>
      </c>
      <c r="AH507" s="59"/>
      <c r="AI507" s="58" t="str">
        <f t="shared" si="295"/>
        <v/>
      </c>
      <c r="AJ507" s="59"/>
      <c r="AK507" s="58" t="str">
        <f t="shared" si="296"/>
        <v/>
      </c>
      <c r="AL507" s="59"/>
      <c r="AM507" s="58" t="str">
        <f t="shared" si="297"/>
        <v/>
      </c>
      <c r="AN507" s="59"/>
      <c r="AO507" s="58" t="str">
        <f t="shared" si="298"/>
        <v/>
      </c>
      <c r="AP507" s="59"/>
      <c r="AQ507" s="58" t="str">
        <f t="shared" si="299"/>
        <v/>
      </c>
      <c r="AR507" s="59"/>
      <c r="AS507" s="58" t="str">
        <f t="shared" si="300"/>
        <v/>
      </c>
      <c r="AT507" s="59"/>
      <c r="AU507" s="58" t="str">
        <f t="shared" si="301"/>
        <v/>
      </c>
      <c r="AV507" s="59"/>
      <c r="AW507" s="58" t="str">
        <f t="shared" si="302"/>
        <v/>
      </c>
      <c r="AX507" s="59"/>
      <c r="AY507" s="58" t="str">
        <f t="shared" si="303"/>
        <v/>
      </c>
      <c r="AZ507" s="59"/>
      <c r="BA507" s="58" t="str">
        <f t="shared" si="304"/>
        <v/>
      </c>
      <c r="BB507" s="59"/>
      <c r="BC507" s="58" t="str">
        <f t="shared" si="305"/>
        <v/>
      </c>
      <c r="BD507" s="59"/>
      <c r="BE507" s="58" t="str">
        <f t="shared" si="306"/>
        <v/>
      </c>
      <c r="BF507" s="59"/>
      <c r="BG507" s="58" t="str">
        <f t="shared" si="307"/>
        <v/>
      </c>
      <c r="BH507" s="59"/>
      <c r="BI507" s="58" t="str">
        <f t="shared" si="308"/>
        <v/>
      </c>
      <c r="BJ507" s="59"/>
      <c r="BK507" s="58" t="str">
        <f t="shared" si="309"/>
        <v/>
      </c>
      <c r="BL507" s="59"/>
      <c r="BM507" s="58" t="str">
        <f t="shared" si="310"/>
        <v/>
      </c>
      <c r="BN507" s="59"/>
      <c r="BO507" s="58" t="str">
        <f t="shared" si="311"/>
        <v/>
      </c>
      <c r="BP507" s="59"/>
      <c r="BQ507" s="58" t="str">
        <f t="shared" si="312"/>
        <v/>
      </c>
      <c r="BR507" s="59"/>
      <c r="BS507" s="58">
        <f t="shared" si="313"/>
        <v>2724</v>
      </c>
      <c r="BT507" s="59"/>
      <c r="BU507" s="58" t="str">
        <f t="shared" si="314"/>
        <v/>
      </c>
      <c r="BV507" s="59"/>
      <c r="BW507" s="58" t="str">
        <f t="shared" si="315"/>
        <v/>
      </c>
      <c r="BX507" s="59"/>
      <c r="BY507" s="58" t="str">
        <f t="shared" si="316"/>
        <v/>
      </c>
      <c r="BZ507" s="59"/>
    </row>
    <row r="508" spans="1:78" ht="14.5" hidden="1">
      <c r="A508" s="51" t="s">
        <v>58</v>
      </c>
      <c r="B508" s="52">
        <v>440</v>
      </c>
      <c r="C508" s="52" t="s">
        <v>188</v>
      </c>
      <c r="D508" s="41">
        <f t="shared" si="317"/>
        <v>12</v>
      </c>
      <c r="E508" s="41"/>
      <c r="F508" s="41"/>
      <c r="G508" s="52" t="s">
        <v>158</v>
      </c>
      <c r="H508" s="52" t="s">
        <v>242</v>
      </c>
      <c r="I508" s="52" t="s">
        <v>155</v>
      </c>
      <c r="J508" s="52" t="s">
        <v>432</v>
      </c>
      <c r="K508" s="53">
        <v>45737</v>
      </c>
      <c r="L508" s="108">
        <v>1396</v>
      </c>
      <c r="M508" s="101"/>
      <c r="N508" s="101"/>
      <c r="O508" s="107">
        <f t="shared" si="325"/>
        <v>1396</v>
      </c>
      <c r="P508" s="54">
        <f t="shared" si="326"/>
        <v>1396</v>
      </c>
      <c r="Q508" s="101" t="s">
        <v>431</v>
      </c>
      <c r="R508" s="101"/>
      <c r="S508" s="101"/>
      <c r="T508" s="102">
        <f t="shared" si="318"/>
        <v>1.9388888888888889</v>
      </c>
      <c r="U508" s="102">
        <v>6</v>
      </c>
      <c r="V508" s="99">
        <v>120</v>
      </c>
      <c r="W508" s="55">
        <f t="shared" si="327"/>
        <v>45717</v>
      </c>
      <c r="X508" s="55"/>
      <c r="Y508" s="56">
        <f t="shared" ca="1" si="329"/>
        <v>-123</v>
      </c>
      <c r="Z508" s="55">
        <f t="shared" si="328"/>
        <v>45733</v>
      </c>
      <c r="AA508" s="55"/>
      <c r="AB508" s="56">
        <f t="shared" ca="1" si="330"/>
        <v>-107</v>
      </c>
      <c r="AC508" s="55"/>
      <c r="AD508" s="57"/>
      <c r="AE508" s="58" t="str">
        <f t="shared" si="293"/>
        <v>-</v>
      </c>
      <c r="AF508" s="59"/>
      <c r="AG508" s="58" t="str">
        <f t="shared" si="294"/>
        <v/>
      </c>
      <c r="AH508" s="59"/>
      <c r="AI508" s="58" t="str">
        <f t="shared" si="295"/>
        <v/>
      </c>
      <c r="AJ508" s="59"/>
      <c r="AK508" s="58" t="str">
        <f t="shared" si="296"/>
        <v/>
      </c>
      <c r="AL508" s="59"/>
      <c r="AM508" s="58" t="str">
        <f t="shared" si="297"/>
        <v/>
      </c>
      <c r="AN508" s="59"/>
      <c r="AO508" s="58" t="str">
        <f t="shared" si="298"/>
        <v/>
      </c>
      <c r="AP508" s="59"/>
      <c r="AQ508" s="58" t="str">
        <f t="shared" si="299"/>
        <v/>
      </c>
      <c r="AR508" s="59"/>
      <c r="AS508" s="58" t="str">
        <f t="shared" si="300"/>
        <v/>
      </c>
      <c r="AT508" s="59"/>
      <c r="AU508" s="58" t="str">
        <f t="shared" si="301"/>
        <v/>
      </c>
      <c r="AV508" s="59"/>
      <c r="AW508" s="58" t="str">
        <f t="shared" si="302"/>
        <v/>
      </c>
      <c r="AX508" s="59"/>
      <c r="AY508" s="58" t="str">
        <f t="shared" si="303"/>
        <v/>
      </c>
      <c r="AZ508" s="59"/>
      <c r="BA508" s="58" t="str">
        <f t="shared" si="304"/>
        <v/>
      </c>
      <c r="BB508" s="59"/>
      <c r="BC508" s="58" t="str">
        <f t="shared" si="305"/>
        <v/>
      </c>
      <c r="BD508" s="59"/>
      <c r="BE508" s="58" t="str">
        <f t="shared" si="306"/>
        <v/>
      </c>
      <c r="BF508" s="59"/>
      <c r="BG508" s="58" t="str">
        <f t="shared" si="307"/>
        <v/>
      </c>
      <c r="BH508" s="59"/>
      <c r="BI508" s="58" t="str">
        <f t="shared" si="308"/>
        <v/>
      </c>
      <c r="BJ508" s="59"/>
      <c r="BK508" s="58" t="str">
        <f t="shared" si="309"/>
        <v/>
      </c>
      <c r="BL508" s="59"/>
      <c r="BM508" s="58" t="str">
        <f t="shared" si="310"/>
        <v/>
      </c>
      <c r="BN508" s="59"/>
      <c r="BO508" s="58" t="str">
        <f t="shared" si="311"/>
        <v/>
      </c>
      <c r="BP508" s="59"/>
      <c r="BQ508" s="58" t="str">
        <f t="shared" si="312"/>
        <v/>
      </c>
      <c r="BR508" s="59"/>
      <c r="BS508" s="58">
        <f t="shared" si="313"/>
        <v>1396</v>
      </c>
      <c r="BT508" s="59"/>
      <c r="BU508" s="58" t="str">
        <f t="shared" si="314"/>
        <v/>
      </c>
      <c r="BV508" s="59"/>
      <c r="BW508" s="58" t="str">
        <f t="shared" si="315"/>
        <v/>
      </c>
      <c r="BX508" s="59"/>
      <c r="BY508" s="58" t="str">
        <f t="shared" si="316"/>
        <v/>
      </c>
      <c r="BZ508" s="59"/>
    </row>
    <row r="509" spans="1:78" ht="14.5" hidden="1">
      <c r="A509" s="51" t="s">
        <v>58</v>
      </c>
      <c r="B509" s="52">
        <v>440</v>
      </c>
      <c r="C509" s="52" t="s">
        <v>188</v>
      </c>
      <c r="D509" s="41">
        <f t="shared" si="317"/>
        <v>12</v>
      </c>
      <c r="E509" s="41"/>
      <c r="F509" s="41"/>
      <c r="G509" s="52" t="s">
        <v>158</v>
      </c>
      <c r="H509" s="52" t="s">
        <v>242</v>
      </c>
      <c r="I509" s="52" t="s">
        <v>156</v>
      </c>
      <c r="J509" s="52" t="s">
        <v>432</v>
      </c>
      <c r="K509" s="53">
        <v>45737</v>
      </c>
      <c r="L509" s="108">
        <v>1396</v>
      </c>
      <c r="M509" s="101"/>
      <c r="N509" s="101"/>
      <c r="O509" s="107">
        <f t="shared" si="325"/>
        <v>1396</v>
      </c>
      <c r="P509" s="54">
        <f t="shared" si="326"/>
        <v>1396</v>
      </c>
      <c r="Q509" s="101" t="s">
        <v>431</v>
      </c>
      <c r="R509" s="101"/>
      <c r="S509" s="101"/>
      <c r="T509" s="102">
        <f t="shared" si="318"/>
        <v>1.9388888888888889</v>
      </c>
      <c r="U509" s="102">
        <v>6</v>
      </c>
      <c r="V509" s="99">
        <v>120</v>
      </c>
      <c r="W509" s="55">
        <f t="shared" si="327"/>
        <v>45717</v>
      </c>
      <c r="X509" s="55"/>
      <c r="Y509" s="56">
        <f t="shared" ca="1" si="329"/>
        <v>-123</v>
      </c>
      <c r="Z509" s="55">
        <f t="shared" si="328"/>
        <v>45733</v>
      </c>
      <c r="AA509" s="55"/>
      <c r="AB509" s="56">
        <f t="shared" ca="1" si="330"/>
        <v>-107</v>
      </c>
      <c r="AC509" s="55"/>
      <c r="AD509" s="57"/>
      <c r="AE509" s="58" t="str">
        <f t="shared" si="293"/>
        <v>-</v>
      </c>
      <c r="AF509" s="59"/>
      <c r="AG509" s="58" t="str">
        <f t="shared" si="294"/>
        <v/>
      </c>
      <c r="AH509" s="59"/>
      <c r="AI509" s="58" t="str">
        <f t="shared" si="295"/>
        <v/>
      </c>
      <c r="AJ509" s="59"/>
      <c r="AK509" s="58" t="str">
        <f t="shared" si="296"/>
        <v/>
      </c>
      <c r="AL509" s="59"/>
      <c r="AM509" s="58" t="str">
        <f t="shared" si="297"/>
        <v/>
      </c>
      <c r="AN509" s="59"/>
      <c r="AO509" s="58" t="str">
        <f t="shared" si="298"/>
        <v/>
      </c>
      <c r="AP509" s="59"/>
      <c r="AQ509" s="58" t="str">
        <f t="shared" si="299"/>
        <v/>
      </c>
      <c r="AR509" s="59"/>
      <c r="AS509" s="58" t="str">
        <f t="shared" si="300"/>
        <v/>
      </c>
      <c r="AT509" s="59"/>
      <c r="AU509" s="58" t="str">
        <f t="shared" si="301"/>
        <v/>
      </c>
      <c r="AV509" s="59"/>
      <c r="AW509" s="58" t="str">
        <f t="shared" si="302"/>
        <v/>
      </c>
      <c r="AX509" s="59"/>
      <c r="AY509" s="58" t="str">
        <f t="shared" si="303"/>
        <v/>
      </c>
      <c r="AZ509" s="59"/>
      <c r="BA509" s="58" t="str">
        <f t="shared" si="304"/>
        <v/>
      </c>
      <c r="BB509" s="59"/>
      <c r="BC509" s="58" t="str">
        <f t="shared" si="305"/>
        <v/>
      </c>
      <c r="BD509" s="59"/>
      <c r="BE509" s="58" t="str">
        <f t="shared" si="306"/>
        <v/>
      </c>
      <c r="BF509" s="59"/>
      <c r="BG509" s="58" t="str">
        <f t="shared" si="307"/>
        <v/>
      </c>
      <c r="BH509" s="59"/>
      <c r="BI509" s="58" t="str">
        <f t="shared" si="308"/>
        <v/>
      </c>
      <c r="BJ509" s="59"/>
      <c r="BK509" s="58" t="str">
        <f t="shared" si="309"/>
        <v/>
      </c>
      <c r="BL509" s="59"/>
      <c r="BM509" s="58" t="str">
        <f t="shared" si="310"/>
        <v/>
      </c>
      <c r="BN509" s="59"/>
      <c r="BO509" s="58" t="str">
        <f t="shared" si="311"/>
        <v/>
      </c>
      <c r="BP509" s="59"/>
      <c r="BQ509" s="58" t="str">
        <f t="shared" si="312"/>
        <v/>
      </c>
      <c r="BR509" s="59"/>
      <c r="BS509" s="58">
        <f t="shared" si="313"/>
        <v>1396</v>
      </c>
      <c r="BT509" s="59"/>
      <c r="BU509" s="58" t="str">
        <f t="shared" si="314"/>
        <v/>
      </c>
      <c r="BV509" s="59"/>
      <c r="BW509" s="58" t="str">
        <f t="shared" si="315"/>
        <v/>
      </c>
      <c r="BX509" s="59"/>
      <c r="BY509" s="58" t="str">
        <f t="shared" si="316"/>
        <v/>
      </c>
      <c r="BZ509" s="59"/>
    </row>
    <row r="510" spans="1:78" ht="14.5">
      <c r="A510" s="51" t="s">
        <v>58</v>
      </c>
      <c r="B510" s="52">
        <v>441</v>
      </c>
      <c r="C510" s="52" t="s">
        <v>188</v>
      </c>
      <c r="D510" s="41">
        <f t="shared" si="317"/>
        <v>12</v>
      </c>
      <c r="E510" s="41"/>
      <c r="F510" s="41"/>
      <c r="G510" s="52" t="s">
        <v>201</v>
      </c>
      <c r="H510" s="52" t="s">
        <v>247</v>
      </c>
      <c r="I510" s="52" t="s">
        <v>155</v>
      </c>
      <c r="J510" s="52" t="s">
        <v>442</v>
      </c>
      <c r="K510" s="53">
        <v>45737</v>
      </c>
      <c r="L510" s="108">
        <v>14256</v>
      </c>
      <c r="M510" s="101"/>
      <c r="N510" s="101"/>
      <c r="O510" s="107">
        <f t="shared" si="325"/>
        <v>14256</v>
      </c>
      <c r="P510" s="54">
        <f t="shared" si="326"/>
        <v>14256</v>
      </c>
      <c r="Q510" s="101" t="s">
        <v>431</v>
      </c>
      <c r="R510" s="101"/>
      <c r="S510" s="101"/>
      <c r="T510" s="102">
        <f t="shared" si="318"/>
        <v>6.7885714285714283</v>
      </c>
      <c r="U510" s="102">
        <v>6</v>
      </c>
      <c r="V510" s="99">
        <v>350</v>
      </c>
      <c r="W510" s="55">
        <f t="shared" si="327"/>
        <v>45717</v>
      </c>
      <c r="X510" s="55"/>
      <c r="Y510" s="56">
        <f t="shared" ca="1" si="329"/>
        <v>-123</v>
      </c>
      <c r="Z510" s="55">
        <f t="shared" si="328"/>
        <v>45733</v>
      </c>
      <c r="AA510" s="55"/>
      <c r="AB510" s="56">
        <f t="shared" ca="1" si="330"/>
        <v>-107</v>
      </c>
      <c r="AC510" s="55"/>
      <c r="AD510" s="57"/>
      <c r="AE510" s="58" t="str">
        <f t="shared" si="293"/>
        <v>-</v>
      </c>
      <c r="AF510" s="59"/>
      <c r="AG510" s="58" t="str">
        <f t="shared" si="294"/>
        <v/>
      </c>
      <c r="AH510" s="59"/>
      <c r="AI510" s="58" t="str">
        <f t="shared" si="295"/>
        <v/>
      </c>
      <c r="AJ510" s="59"/>
      <c r="AK510" s="58" t="str">
        <f t="shared" si="296"/>
        <v/>
      </c>
      <c r="AL510" s="59"/>
      <c r="AM510" s="58" t="str">
        <f t="shared" si="297"/>
        <v/>
      </c>
      <c r="AN510" s="59"/>
      <c r="AO510" s="58" t="str">
        <f t="shared" si="298"/>
        <v/>
      </c>
      <c r="AP510" s="59"/>
      <c r="AQ510" s="58" t="str">
        <f t="shared" si="299"/>
        <v/>
      </c>
      <c r="AR510" s="59"/>
      <c r="AS510" s="58" t="str">
        <f t="shared" si="300"/>
        <v/>
      </c>
      <c r="AT510" s="59"/>
      <c r="AU510" s="58" t="str">
        <f t="shared" si="301"/>
        <v/>
      </c>
      <c r="AV510" s="59"/>
      <c r="AW510" s="58" t="str">
        <f t="shared" si="302"/>
        <v/>
      </c>
      <c r="AX510" s="59"/>
      <c r="AY510" s="58" t="str">
        <f t="shared" si="303"/>
        <v/>
      </c>
      <c r="AZ510" s="59"/>
      <c r="BA510" s="58" t="str">
        <f t="shared" si="304"/>
        <v/>
      </c>
      <c r="BB510" s="59"/>
      <c r="BC510" s="58" t="str">
        <f t="shared" si="305"/>
        <v/>
      </c>
      <c r="BD510" s="59"/>
      <c r="BE510" s="58" t="str">
        <f t="shared" si="306"/>
        <v/>
      </c>
      <c r="BF510" s="59"/>
      <c r="BG510" s="58" t="str">
        <f t="shared" si="307"/>
        <v/>
      </c>
      <c r="BH510" s="59"/>
      <c r="BI510" s="58" t="str">
        <f t="shared" si="308"/>
        <v/>
      </c>
      <c r="BJ510" s="59"/>
      <c r="BK510" s="58" t="str">
        <f t="shared" si="309"/>
        <v/>
      </c>
      <c r="BL510" s="59"/>
      <c r="BM510" s="58" t="str">
        <f t="shared" si="310"/>
        <v/>
      </c>
      <c r="BN510" s="59"/>
      <c r="BO510" s="58" t="str">
        <f t="shared" si="311"/>
        <v/>
      </c>
      <c r="BP510" s="59"/>
      <c r="BQ510" s="58" t="str">
        <f t="shared" si="312"/>
        <v/>
      </c>
      <c r="BR510" s="59"/>
      <c r="BS510" s="58">
        <f t="shared" si="313"/>
        <v>14256</v>
      </c>
      <c r="BT510" s="59"/>
      <c r="BU510" s="58" t="str">
        <f t="shared" si="314"/>
        <v/>
      </c>
      <c r="BV510" s="59"/>
      <c r="BW510" s="58" t="str">
        <f t="shared" si="315"/>
        <v/>
      </c>
      <c r="BX510" s="59"/>
      <c r="BY510" s="58" t="str">
        <f t="shared" si="316"/>
        <v/>
      </c>
      <c r="BZ510" s="59"/>
    </row>
    <row r="511" spans="1:78" ht="14.5" hidden="1">
      <c r="A511" s="51" t="s">
        <v>58</v>
      </c>
      <c r="B511" s="52">
        <v>441</v>
      </c>
      <c r="C511" s="52" t="s">
        <v>188</v>
      </c>
      <c r="D511" s="41">
        <f t="shared" si="317"/>
        <v>12</v>
      </c>
      <c r="E511" s="41"/>
      <c r="F511" s="41"/>
      <c r="G511" s="52" t="s">
        <v>391</v>
      </c>
      <c r="H511" s="52" t="s">
        <v>392</v>
      </c>
      <c r="I511" s="52" t="s">
        <v>393</v>
      </c>
      <c r="J511" s="52" t="s">
        <v>433</v>
      </c>
      <c r="K511" s="53">
        <v>45737</v>
      </c>
      <c r="L511" s="108">
        <v>1488</v>
      </c>
      <c r="M511" s="101"/>
      <c r="N511" s="101"/>
      <c r="O511" s="107">
        <f t="shared" si="325"/>
        <v>1488</v>
      </c>
      <c r="P511" s="54">
        <f t="shared" si="326"/>
        <v>1488</v>
      </c>
      <c r="Q511" s="101" t="s">
        <v>431</v>
      </c>
      <c r="R511" s="101"/>
      <c r="S511" s="101"/>
      <c r="T511" s="102">
        <f t="shared" si="318"/>
        <v>3.1</v>
      </c>
      <c r="U511" s="102">
        <v>6</v>
      </c>
      <c r="V511" s="99">
        <v>80</v>
      </c>
      <c r="W511" s="55">
        <f t="shared" si="327"/>
        <v>45717</v>
      </c>
      <c r="X511" s="55"/>
      <c r="Y511" s="56">
        <f t="shared" ca="1" si="329"/>
        <v>-123</v>
      </c>
      <c r="Z511" s="55">
        <f t="shared" si="328"/>
        <v>45733</v>
      </c>
      <c r="AA511" s="55"/>
      <c r="AB511" s="56">
        <f t="shared" ca="1" si="330"/>
        <v>-107</v>
      </c>
      <c r="AC511" s="55"/>
      <c r="AD511" s="57"/>
      <c r="AE511" s="58" t="str">
        <f t="shared" si="293"/>
        <v>-</v>
      </c>
      <c r="AF511" s="59"/>
      <c r="AG511" s="58" t="str">
        <f t="shared" si="294"/>
        <v/>
      </c>
      <c r="AH511" s="59"/>
      <c r="AI511" s="58" t="str">
        <f t="shared" si="295"/>
        <v/>
      </c>
      <c r="AJ511" s="59"/>
      <c r="AK511" s="58" t="str">
        <f t="shared" si="296"/>
        <v/>
      </c>
      <c r="AL511" s="59"/>
      <c r="AM511" s="58" t="str">
        <f t="shared" si="297"/>
        <v/>
      </c>
      <c r="AN511" s="59"/>
      <c r="AO511" s="58" t="str">
        <f t="shared" si="298"/>
        <v/>
      </c>
      <c r="AP511" s="59"/>
      <c r="AQ511" s="58" t="str">
        <f t="shared" si="299"/>
        <v/>
      </c>
      <c r="AR511" s="59"/>
      <c r="AS511" s="58" t="str">
        <f t="shared" si="300"/>
        <v/>
      </c>
      <c r="AT511" s="59"/>
      <c r="AU511" s="58" t="str">
        <f t="shared" si="301"/>
        <v/>
      </c>
      <c r="AV511" s="59"/>
      <c r="AW511" s="58" t="str">
        <f t="shared" si="302"/>
        <v/>
      </c>
      <c r="AX511" s="59"/>
      <c r="AY511" s="58" t="str">
        <f t="shared" si="303"/>
        <v/>
      </c>
      <c r="AZ511" s="59"/>
      <c r="BA511" s="58" t="str">
        <f t="shared" si="304"/>
        <v/>
      </c>
      <c r="BB511" s="59"/>
      <c r="BC511" s="58" t="str">
        <f t="shared" si="305"/>
        <v/>
      </c>
      <c r="BD511" s="59"/>
      <c r="BE511" s="58" t="str">
        <f t="shared" si="306"/>
        <v/>
      </c>
      <c r="BF511" s="59"/>
      <c r="BG511" s="58" t="str">
        <f t="shared" si="307"/>
        <v/>
      </c>
      <c r="BH511" s="59"/>
      <c r="BI511" s="58" t="str">
        <f t="shared" si="308"/>
        <v/>
      </c>
      <c r="BJ511" s="59"/>
      <c r="BK511" s="58" t="str">
        <f t="shared" si="309"/>
        <v/>
      </c>
      <c r="BL511" s="59"/>
      <c r="BM511" s="58" t="str">
        <f t="shared" si="310"/>
        <v/>
      </c>
      <c r="BN511" s="59"/>
      <c r="BO511" s="58" t="str">
        <f t="shared" si="311"/>
        <v/>
      </c>
      <c r="BP511" s="59"/>
      <c r="BQ511" s="58" t="str">
        <f t="shared" si="312"/>
        <v/>
      </c>
      <c r="BR511" s="59"/>
      <c r="BS511" s="58">
        <f t="shared" si="313"/>
        <v>1488</v>
      </c>
      <c r="BT511" s="59"/>
      <c r="BU511" s="58" t="str">
        <f t="shared" si="314"/>
        <v/>
      </c>
      <c r="BV511" s="59"/>
      <c r="BW511" s="58" t="str">
        <f t="shared" si="315"/>
        <v/>
      </c>
      <c r="BX511" s="59"/>
      <c r="BY511" s="58" t="str">
        <f t="shared" si="316"/>
        <v/>
      </c>
      <c r="BZ511" s="59"/>
    </row>
    <row r="512" spans="1:78" ht="14.5" hidden="1">
      <c r="A512" s="51" t="s">
        <v>58</v>
      </c>
      <c r="B512" s="52">
        <v>441</v>
      </c>
      <c r="C512" s="52" t="s">
        <v>188</v>
      </c>
      <c r="D512" s="41">
        <f t="shared" si="317"/>
        <v>12</v>
      </c>
      <c r="E512" s="41"/>
      <c r="F512" s="41"/>
      <c r="G512" s="52" t="s">
        <v>158</v>
      </c>
      <c r="H512" s="52" t="s">
        <v>242</v>
      </c>
      <c r="I512" s="52" t="s">
        <v>156</v>
      </c>
      <c r="J512" s="52" t="s">
        <v>432</v>
      </c>
      <c r="K512" s="53">
        <v>45737</v>
      </c>
      <c r="L512" s="108">
        <v>1356</v>
      </c>
      <c r="M512" s="101"/>
      <c r="N512" s="101"/>
      <c r="O512" s="107">
        <f t="shared" si="325"/>
        <v>1356</v>
      </c>
      <c r="P512" s="54">
        <f t="shared" si="326"/>
        <v>1356</v>
      </c>
      <c r="Q512" s="101" t="s">
        <v>431</v>
      </c>
      <c r="R512" s="101"/>
      <c r="S512" s="101"/>
      <c r="T512" s="102">
        <f t="shared" si="318"/>
        <v>1.8833333333333333</v>
      </c>
      <c r="U512" s="102">
        <v>6</v>
      </c>
      <c r="V512" s="99">
        <v>120</v>
      </c>
      <c r="W512" s="55">
        <f t="shared" si="327"/>
        <v>45717</v>
      </c>
      <c r="X512" s="55"/>
      <c r="Y512" s="56">
        <f t="shared" ca="1" si="329"/>
        <v>-123</v>
      </c>
      <c r="Z512" s="55">
        <f t="shared" si="328"/>
        <v>45733</v>
      </c>
      <c r="AA512" s="55"/>
      <c r="AB512" s="56">
        <f t="shared" ca="1" si="330"/>
        <v>-107</v>
      </c>
      <c r="AC512" s="55"/>
      <c r="AD512" s="57"/>
      <c r="AE512" s="58" t="str">
        <f t="shared" si="293"/>
        <v>-</v>
      </c>
      <c r="AF512" s="59"/>
      <c r="AG512" s="58" t="str">
        <f t="shared" si="294"/>
        <v/>
      </c>
      <c r="AH512" s="59"/>
      <c r="AI512" s="58" t="str">
        <f t="shared" si="295"/>
        <v/>
      </c>
      <c r="AJ512" s="59"/>
      <c r="AK512" s="58" t="str">
        <f t="shared" si="296"/>
        <v/>
      </c>
      <c r="AL512" s="59"/>
      <c r="AM512" s="58" t="str">
        <f t="shared" si="297"/>
        <v/>
      </c>
      <c r="AN512" s="59"/>
      <c r="AO512" s="58" t="str">
        <f t="shared" si="298"/>
        <v/>
      </c>
      <c r="AP512" s="59"/>
      <c r="AQ512" s="58" t="str">
        <f t="shared" si="299"/>
        <v/>
      </c>
      <c r="AR512" s="59"/>
      <c r="AS512" s="58" t="str">
        <f t="shared" si="300"/>
        <v/>
      </c>
      <c r="AT512" s="59"/>
      <c r="AU512" s="58" t="str">
        <f t="shared" si="301"/>
        <v/>
      </c>
      <c r="AV512" s="59"/>
      <c r="AW512" s="58" t="str">
        <f t="shared" si="302"/>
        <v/>
      </c>
      <c r="AX512" s="59"/>
      <c r="AY512" s="58" t="str">
        <f t="shared" si="303"/>
        <v/>
      </c>
      <c r="AZ512" s="59"/>
      <c r="BA512" s="58" t="str">
        <f t="shared" si="304"/>
        <v/>
      </c>
      <c r="BB512" s="59"/>
      <c r="BC512" s="58" t="str">
        <f t="shared" si="305"/>
        <v/>
      </c>
      <c r="BD512" s="59"/>
      <c r="BE512" s="58" t="str">
        <f t="shared" si="306"/>
        <v/>
      </c>
      <c r="BF512" s="59"/>
      <c r="BG512" s="58" t="str">
        <f t="shared" si="307"/>
        <v/>
      </c>
      <c r="BH512" s="59"/>
      <c r="BI512" s="58" t="str">
        <f t="shared" si="308"/>
        <v/>
      </c>
      <c r="BJ512" s="59"/>
      <c r="BK512" s="58" t="str">
        <f t="shared" si="309"/>
        <v/>
      </c>
      <c r="BL512" s="59"/>
      <c r="BM512" s="58" t="str">
        <f t="shared" si="310"/>
        <v/>
      </c>
      <c r="BN512" s="59"/>
      <c r="BO512" s="58" t="str">
        <f t="shared" si="311"/>
        <v/>
      </c>
      <c r="BP512" s="59"/>
      <c r="BQ512" s="58" t="str">
        <f t="shared" si="312"/>
        <v/>
      </c>
      <c r="BR512" s="59"/>
      <c r="BS512" s="58">
        <f t="shared" si="313"/>
        <v>1356</v>
      </c>
      <c r="BT512" s="59"/>
      <c r="BU512" s="58" t="str">
        <f t="shared" si="314"/>
        <v/>
      </c>
      <c r="BV512" s="59"/>
      <c r="BW512" s="58" t="str">
        <f t="shared" si="315"/>
        <v/>
      </c>
      <c r="BX512" s="59"/>
      <c r="BY512" s="58" t="str">
        <f t="shared" si="316"/>
        <v/>
      </c>
      <c r="BZ512" s="59"/>
    </row>
    <row r="513" spans="1:78" ht="14.5" hidden="1">
      <c r="A513" s="51" t="s">
        <v>58</v>
      </c>
      <c r="B513" s="52">
        <v>441</v>
      </c>
      <c r="C513" s="52" t="s">
        <v>188</v>
      </c>
      <c r="D513" s="41">
        <f t="shared" si="317"/>
        <v>12</v>
      </c>
      <c r="E513" s="41"/>
      <c r="F513" s="41"/>
      <c r="G513" s="52" t="s">
        <v>190</v>
      </c>
      <c r="H513" s="52" t="s">
        <v>242</v>
      </c>
      <c r="I513" s="52" t="s">
        <v>244</v>
      </c>
      <c r="J513" s="52" t="s">
        <v>438</v>
      </c>
      <c r="K513" s="53">
        <v>45737</v>
      </c>
      <c r="L513" s="108">
        <v>1356</v>
      </c>
      <c r="M513" s="101"/>
      <c r="N513" s="101"/>
      <c r="O513" s="107">
        <f t="shared" si="325"/>
        <v>1356</v>
      </c>
      <c r="P513" s="54">
        <f t="shared" si="326"/>
        <v>1356</v>
      </c>
      <c r="Q513" s="101" t="s">
        <v>431</v>
      </c>
      <c r="R513" s="101"/>
      <c r="S513" s="101"/>
      <c r="T513" s="102">
        <f t="shared" si="318"/>
        <v>1.8833333333333333</v>
      </c>
      <c r="U513" s="102">
        <v>6</v>
      </c>
      <c r="V513" s="99">
        <v>120</v>
      </c>
      <c r="W513" s="55">
        <f t="shared" si="327"/>
        <v>45717</v>
      </c>
      <c r="X513" s="55"/>
      <c r="Y513" s="56">
        <f t="shared" ca="1" si="329"/>
        <v>-123</v>
      </c>
      <c r="Z513" s="55">
        <f t="shared" si="328"/>
        <v>45733</v>
      </c>
      <c r="AA513" s="55"/>
      <c r="AB513" s="56">
        <f t="shared" ca="1" si="330"/>
        <v>-107</v>
      </c>
      <c r="AC513" s="55"/>
      <c r="AD513" s="57"/>
      <c r="AE513" s="58" t="str">
        <f t="shared" si="293"/>
        <v>-</v>
      </c>
      <c r="AF513" s="59"/>
      <c r="AG513" s="58" t="str">
        <f t="shared" si="294"/>
        <v/>
      </c>
      <c r="AH513" s="59"/>
      <c r="AI513" s="58" t="str">
        <f t="shared" si="295"/>
        <v/>
      </c>
      <c r="AJ513" s="59"/>
      <c r="AK513" s="58" t="str">
        <f t="shared" si="296"/>
        <v/>
      </c>
      <c r="AL513" s="59"/>
      <c r="AM513" s="58" t="str">
        <f t="shared" si="297"/>
        <v/>
      </c>
      <c r="AN513" s="59"/>
      <c r="AO513" s="58" t="str">
        <f t="shared" si="298"/>
        <v/>
      </c>
      <c r="AP513" s="59"/>
      <c r="AQ513" s="58" t="str">
        <f t="shared" si="299"/>
        <v/>
      </c>
      <c r="AR513" s="59"/>
      <c r="AS513" s="58" t="str">
        <f t="shared" si="300"/>
        <v/>
      </c>
      <c r="AT513" s="59"/>
      <c r="AU513" s="58" t="str">
        <f t="shared" si="301"/>
        <v/>
      </c>
      <c r="AV513" s="59"/>
      <c r="AW513" s="58" t="str">
        <f t="shared" si="302"/>
        <v/>
      </c>
      <c r="AX513" s="59"/>
      <c r="AY513" s="58" t="str">
        <f t="shared" si="303"/>
        <v/>
      </c>
      <c r="AZ513" s="59"/>
      <c r="BA513" s="58" t="str">
        <f t="shared" si="304"/>
        <v/>
      </c>
      <c r="BB513" s="59"/>
      <c r="BC513" s="58" t="str">
        <f t="shared" si="305"/>
        <v/>
      </c>
      <c r="BD513" s="59"/>
      <c r="BE513" s="58" t="str">
        <f t="shared" si="306"/>
        <v/>
      </c>
      <c r="BF513" s="59"/>
      <c r="BG513" s="58" t="str">
        <f t="shared" si="307"/>
        <v/>
      </c>
      <c r="BH513" s="59"/>
      <c r="BI513" s="58" t="str">
        <f t="shared" si="308"/>
        <v/>
      </c>
      <c r="BJ513" s="59"/>
      <c r="BK513" s="58" t="str">
        <f t="shared" si="309"/>
        <v/>
      </c>
      <c r="BL513" s="59"/>
      <c r="BM513" s="58" t="str">
        <f t="shared" si="310"/>
        <v/>
      </c>
      <c r="BN513" s="59"/>
      <c r="BO513" s="58" t="str">
        <f t="shared" si="311"/>
        <v/>
      </c>
      <c r="BP513" s="59"/>
      <c r="BQ513" s="58" t="str">
        <f t="shared" si="312"/>
        <v/>
      </c>
      <c r="BR513" s="59"/>
      <c r="BS513" s="58">
        <f t="shared" si="313"/>
        <v>1356</v>
      </c>
      <c r="BT513" s="59"/>
      <c r="BU513" s="58" t="str">
        <f t="shared" si="314"/>
        <v/>
      </c>
      <c r="BV513" s="59"/>
      <c r="BW513" s="58" t="str">
        <f t="shared" si="315"/>
        <v/>
      </c>
      <c r="BX513" s="59"/>
      <c r="BY513" s="58" t="str">
        <f t="shared" si="316"/>
        <v/>
      </c>
      <c r="BZ513" s="59"/>
    </row>
    <row r="514" spans="1:78" ht="14.5" hidden="1">
      <c r="A514" s="51" t="s">
        <v>466</v>
      </c>
      <c r="B514" s="114" t="s">
        <v>586</v>
      </c>
      <c r="C514" s="52" t="s">
        <v>55</v>
      </c>
      <c r="D514" s="41">
        <f t="shared" si="317"/>
        <v>13</v>
      </c>
      <c r="E514" s="41"/>
      <c r="F514" s="41"/>
      <c r="G514" s="52" t="s">
        <v>539</v>
      </c>
      <c r="H514" s="52" t="s">
        <v>286</v>
      </c>
      <c r="I514" s="52" t="s">
        <v>162</v>
      </c>
      <c r="J514" s="52" t="s">
        <v>581</v>
      </c>
      <c r="K514" s="53">
        <v>45741</v>
      </c>
      <c r="L514" s="108">
        <v>45900</v>
      </c>
      <c r="M514" s="101"/>
      <c r="N514" s="101"/>
      <c r="O514" s="101">
        <f t="shared" ref="O514:O531" si="331">+L514-N514</f>
        <v>45900</v>
      </c>
      <c r="P514" s="54">
        <f t="shared" ref="P514:P531" si="332">+L514-M514</f>
        <v>45900</v>
      </c>
      <c r="Q514" s="101" t="s">
        <v>178</v>
      </c>
      <c r="R514" s="101"/>
      <c r="S514" s="101"/>
      <c r="T514" s="102">
        <f t="shared" si="318"/>
        <v>95.625</v>
      </c>
      <c r="U514" s="102">
        <v>6</v>
      </c>
      <c r="V514" s="99">
        <v>80</v>
      </c>
      <c r="W514" s="55">
        <f>+K514-(32)</f>
        <v>45709</v>
      </c>
      <c r="X514" s="55"/>
      <c r="Y514" s="56">
        <f t="shared" ca="1" si="329"/>
        <v>-131</v>
      </c>
      <c r="Z514" s="55">
        <f t="shared" si="328"/>
        <v>45725</v>
      </c>
      <c r="AA514" s="55"/>
      <c r="AB514" s="56">
        <f t="shared" ca="1" si="330"/>
        <v>-115</v>
      </c>
      <c r="AC514" s="55"/>
      <c r="AD514" s="57"/>
      <c r="AE514" s="58" t="str">
        <f t="shared" si="293"/>
        <v>-</v>
      </c>
      <c r="AF514" s="59"/>
      <c r="AG514" s="58" t="str">
        <f t="shared" si="294"/>
        <v/>
      </c>
      <c r="AH514" s="59"/>
      <c r="AI514" s="58" t="str">
        <f t="shared" si="295"/>
        <v/>
      </c>
      <c r="AJ514" s="59"/>
      <c r="AK514" s="58" t="str">
        <f t="shared" si="296"/>
        <v/>
      </c>
      <c r="AL514" s="59"/>
      <c r="AM514" s="58" t="str">
        <f t="shared" si="297"/>
        <v/>
      </c>
      <c r="AN514" s="59"/>
      <c r="AO514" s="58" t="str">
        <f t="shared" si="298"/>
        <v/>
      </c>
      <c r="AP514" s="59"/>
      <c r="AQ514" s="58" t="str">
        <f t="shared" si="299"/>
        <v/>
      </c>
      <c r="AR514" s="59"/>
      <c r="AS514" s="58" t="str">
        <f t="shared" si="300"/>
        <v/>
      </c>
      <c r="AT514" s="59"/>
      <c r="AU514" s="58" t="str">
        <f t="shared" si="301"/>
        <v/>
      </c>
      <c r="AV514" s="59"/>
      <c r="AW514" s="58" t="str">
        <f t="shared" si="302"/>
        <v/>
      </c>
      <c r="AX514" s="59"/>
      <c r="AY514" s="58" t="str">
        <f t="shared" si="303"/>
        <v/>
      </c>
      <c r="AZ514" s="59"/>
      <c r="BA514" s="58" t="str">
        <f t="shared" si="304"/>
        <v/>
      </c>
      <c r="BB514" s="59"/>
      <c r="BC514" s="58" t="str">
        <f t="shared" si="305"/>
        <v/>
      </c>
      <c r="BD514" s="59"/>
      <c r="BE514" s="58" t="str">
        <f t="shared" si="306"/>
        <v/>
      </c>
      <c r="BF514" s="59"/>
      <c r="BG514" s="58" t="str">
        <f t="shared" si="307"/>
        <v/>
      </c>
      <c r="BH514" s="59"/>
      <c r="BI514" s="58" t="str">
        <f t="shared" si="308"/>
        <v/>
      </c>
      <c r="BJ514" s="59"/>
      <c r="BK514" s="58" t="str">
        <f t="shared" si="309"/>
        <v/>
      </c>
      <c r="BL514" s="59"/>
      <c r="BM514" s="58" t="str">
        <f t="shared" si="310"/>
        <v/>
      </c>
      <c r="BN514" s="59"/>
      <c r="BO514" s="58" t="str">
        <f t="shared" si="311"/>
        <v/>
      </c>
      <c r="BP514" s="59"/>
      <c r="BQ514" s="58">
        <f t="shared" si="312"/>
        <v>45900</v>
      </c>
      <c r="BR514" s="59"/>
      <c r="BS514" s="58" t="str">
        <f t="shared" si="313"/>
        <v/>
      </c>
      <c r="BT514" s="59"/>
      <c r="BU514" s="58" t="str">
        <f t="shared" si="314"/>
        <v/>
      </c>
      <c r="BV514" s="59"/>
      <c r="BW514" s="58" t="str">
        <f t="shared" si="315"/>
        <v/>
      </c>
      <c r="BX514" s="59"/>
      <c r="BY514" s="58" t="str">
        <f t="shared" si="316"/>
        <v/>
      </c>
      <c r="BZ514" s="59"/>
    </row>
    <row r="515" spans="1:78" ht="14.5" hidden="1">
      <c r="A515" s="51" t="s">
        <v>466</v>
      </c>
      <c r="B515" s="114" t="s">
        <v>586</v>
      </c>
      <c r="C515" s="52" t="s">
        <v>55</v>
      </c>
      <c r="D515" s="41">
        <f t="shared" si="317"/>
        <v>13</v>
      </c>
      <c r="E515" s="41"/>
      <c r="F515" s="41"/>
      <c r="G515" s="52" t="s">
        <v>539</v>
      </c>
      <c r="H515" s="52" t="s">
        <v>286</v>
      </c>
      <c r="I515" s="52" t="s">
        <v>155</v>
      </c>
      <c r="J515" s="52" t="s">
        <v>581</v>
      </c>
      <c r="K515" s="53">
        <v>45741</v>
      </c>
      <c r="L515" s="108">
        <v>46920</v>
      </c>
      <c r="M515" s="101"/>
      <c r="N515" s="101"/>
      <c r="O515" s="101">
        <f t="shared" si="331"/>
        <v>46920</v>
      </c>
      <c r="P515" s="54">
        <f t="shared" si="332"/>
        <v>46920</v>
      </c>
      <c r="Q515" s="101" t="s">
        <v>178</v>
      </c>
      <c r="R515" s="101"/>
      <c r="S515" s="101"/>
      <c r="T515" s="102">
        <f t="shared" si="318"/>
        <v>97.75</v>
      </c>
      <c r="U515" s="102">
        <v>6</v>
      </c>
      <c r="V515" s="99">
        <v>80</v>
      </c>
      <c r="W515" s="55">
        <f>+K515-(32)</f>
        <v>45709</v>
      </c>
      <c r="X515" s="55"/>
      <c r="Y515" s="56">
        <f t="shared" ca="1" si="329"/>
        <v>-131</v>
      </c>
      <c r="Z515" s="55">
        <f t="shared" si="328"/>
        <v>45725</v>
      </c>
      <c r="AA515" s="55"/>
      <c r="AB515" s="56">
        <f t="shared" ca="1" si="330"/>
        <v>-115</v>
      </c>
      <c r="AC515" s="55"/>
      <c r="AD515" s="57"/>
      <c r="AE515" s="58" t="str">
        <f t="shared" ref="AE515:AE531" si="333">+IF($AE$4=WEEKNUM(W515),L515,"-")</f>
        <v>-</v>
      </c>
      <c r="AF515" s="59"/>
      <c r="AG515" s="58" t="str">
        <f t="shared" ref="AG515:AG531" si="334">+IF($AG$4=WEEKNUM(W515),L515,"")</f>
        <v/>
      </c>
      <c r="AH515" s="59"/>
      <c r="AI515" s="58" t="str">
        <f t="shared" ref="AI515:AI531" si="335">+IF($AI$4=WEEKNUM(W515),L515,"")</f>
        <v/>
      </c>
      <c r="AJ515" s="59"/>
      <c r="AK515" s="58" t="str">
        <f t="shared" ref="AK515:AK531" si="336">+IF($AK$4=WEEKNUM(W515),L515,"")</f>
        <v/>
      </c>
      <c r="AL515" s="59"/>
      <c r="AM515" s="58" t="str">
        <f t="shared" ref="AM515:AM531" si="337">+IF($AM$4=WEEKNUM(W515),L515,"")</f>
        <v/>
      </c>
      <c r="AN515" s="59"/>
      <c r="AO515" s="58" t="str">
        <f t="shared" ref="AO515:AO531" si="338">+IF($AO$4=WEEKNUM(W515),L515,"")</f>
        <v/>
      </c>
      <c r="AP515" s="59"/>
      <c r="AQ515" s="58" t="str">
        <f t="shared" ref="AQ515:AQ531" si="339">+IF($AQ$4=WEEKNUM(W515),L515,"")</f>
        <v/>
      </c>
      <c r="AR515" s="59"/>
      <c r="AS515" s="58" t="str">
        <f t="shared" ref="AS515:AS531" si="340">+IF($AS$4=WEEKNUM(W515),L515,"")</f>
        <v/>
      </c>
      <c r="AT515" s="59"/>
      <c r="AU515" s="58" t="str">
        <f t="shared" ref="AU515:AU531" si="341">+IF($AU$4=WEEKNUM(W515),L515,"")</f>
        <v/>
      </c>
      <c r="AV515" s="59"/>
      <c r="AW515" s="58" t="str">
        <f t="shared" ref="AW515:AW531" si="342">+IF($AW$4=WEEKNUM(W515),L515,"")</f>
        <v/>
      </c>
      <c r="AX515" s="59"/>
      <c r="AY515" s="58" t="str">
        <f t="shared" ref="AY515:AY531" si="343">+IF($AY$4=WEEKNUM(W515),L515,"")</f>
        <v/>
      </c>
      <c r="AZ515" s="59"/>
      <c r="BA515" s="58" t="str">
        <f t="shared" ref="BA515:BA531" si="344">+IF($BA$4=WEEKNUM(W515),L515,"")</f>
        <v/>
      </c>
      <c r="BB515" s="59"/>
      <c r="BC515" s="58" t="str">
        <f t="shared" ref="BC515:BC531" si="345">+IF($BC$4=WEEKNUM(W515),L515,"")</f>
        <v/>
      </c>
      <c r="BD515" s="59"/>
      <c r="BE515" s="58" t="str">
        <f t="shared" ref="BE515:BE531" si="346">+IF($BE$4=WEEKNUM(W515),L515,"")</f>
        <v/>
      </c>
      <c r="BF515" s="59"/>
      <c r="BG515" s="58" t="str">
        <f t="shared" ref="BG515:BG531" si="347">+IF($BG$4=WEEKNUM(W515),L515,"")</f>
        <v/>
      </c>
      <c r="BH515" s="59"/>
      <c r="BI515" s="58" t="str">
        <f t="shared" ref="BI515:BI531" si="348">+IF($BI$4=WEEKNUM(W515),L515,"")</f>
        <v/>
      </c>
      <c r="BJ515" s="59"/>
      <c r="BK515" s="58" t="str">
        <f t="shared" ref="BK515:BK531" si="349">+IF($BK$4=WEEKNUM(W515),L515,"")</f>
        <v/>
      </c>
      <c r="BL515" s="59"/>
      <c r="BM515" s="58" t="str">
        <f t="shared" ref="BM515:BM531" si="350">+IF($BM$4=WEEKNUM(W515),L515,"")</f>
        <v/>
      </c>
      <c r="BN515" s="59"/>
      <c r="BO515" s="58" t="str">
        <f t="shared" ref="BO515:BO531" si="351">+IF($BO$4=WEEKNUM(W515),L515,"")</f>
        <v/>
      </c>
      <c r="BP515" s="59"/>
      <c r="BQ515" s="58">
        <f t="shared" ref="BQ515:BQ531" si="352">+IF($BQ$4=WEEKNUM(W515),L515,"")</f>
        <v>46920</v>
      </c>
      <c r="BR515" s="59"/>
      <c r="BS515" s="58" t="str">
        <f t="shared" ref="BS515:BS531" si="353">+IF($BS$4=WEEKNUM(W515),L515,"")</f>
        <v/>
      </c>
      <c r="BT515" s="59"/>
      <c r="BU515" s="58" t="str">
        <f t="shared" ref="BU515:BU531" si="354">+IF($BU$4=WEEKNUM(W515),L515,"")</f>
        <v/>
      </c>
      <c r="BV515" s="59"/>
      <c r="BW515" s="58" t="str">
        <f t="shared" ref="BW515:BW531" si="355">+IF($BW$4=WEEKNUM(W515),L515,"")</f>
        <v/>
      </c>
      <c r="BX515" s="59"/>
      <c r="BY515" s="58" t="str">
        <f t="shared" ref="BY515:BY531" si="356">+IF($BY$4=WEEKNUM(W515),L515,"")</f>
        <v/>
      </c>
      <c r="BZ515" s="59"/>
    </row>
    <row r="516" spans="1:78" ht="14.5" hidden="1">
      <c r="A516" s="51" t="s">
        <v>446</v>
      </c>
      <c r="B516" s="52" t="s">
        <v>587</v>
      </c>
      <c r="C516" s="52" t="s">
        <v>60</v>
      </c>
      <c r="D516" s="41">
        <f t="shared" si="317"/>
        <v>13</v>
      </c>
      <c r="E516" s="41"/>
      <c r="F516" s="41"/>
      <c r="G516" s="52" t="s">
        <v>187</v>
      </c>
      <c r="H516" s="52" t="s">
        <v>448</v>
      </c>
      <c r="I516" s="52" t="s">
        <v>164</v>
      </c>
      <c r="J516" s="52" t="s">
        <v>449</v>
      </c>
      <c r="K516" s="53">
        <v>45744</v>
      </c>
      <c r="L516" s="108">
        <v>9000</v>
      </c>
      <c r="M516" s="101"/>
      <c r="N516" s="101"/>
      <c r="O516" s="101">
        <f t="shared" si="331"/>
        <v>9000</v>
      </c>
      <c r="P516" s="54">
        <f t="shared" si="332"/>
        <v>9000</v>
      </c>
      <c r="Q516" s="101" t="s">
        <v>429</v>
      </c>
      <c r="R516" s="101"/>
      <c r="S516" s="101"/>
      <c r="T516" s="102">
        <f t="shared" si="318"/>
        <v>1.3636363636363635</v>
      </c>
      <c r="U516" s="102">
        <v>6</v>
      </c>
      <c r="V516" s="99">
        <v>1100</v>
      </c>
      <c r="W516" s="55">
        <f>+K516-(28)</f>
        <v>45716</v>
      </c>
      <c r="X516" s="55"/>
      <c r="Y516" s="56">
        <f t="shared" ca="1" si="329"/>
        <v>-124</v>
      </c>
      <c r="Z516" s="55">
        <f t="shared" si="328"/>
        <v>45732</v>
      </c>
      <c r="AA516" s="55"/>
      <c r="AB516" s="56">
        <f t="shared" ca="1" si="330"/>
        <v>-108</v>
      </c>
      <c r="AC516" s="55"/>
      <c r="AD516" s="57"/>
      <c r="AE516" s="58" t="str">
        <f t="shared" si="333"/>
        <v>-</v>
      </c>
      <c r="AF516" s="59"/>
      <c r="AG516" s="58" t="str">
        <f t="shared" si="334"/>
        <v/>
      </c>
      <c r="AH516" s="59"/>
      <c r="AI516" s="58" t="str">
        <f t="shared" si="335"/>
        <v/>
      </c>
      <c r="AJ516" s="59"/>
      <c r="AK516" s="58" t="str">
        <f t="shared" si="336"/>
        <v/>
      </c>
      <c r="AL516" s="59"/>
      <c r="AM516" s="58" t="str">
        <f t="shared" si="337"/>
        <v/>
      </c>
      <c r="AN516" s="59"/>
      <c r="AO516" s="58" t="str">
        <f t="shared" si="338"/>
        <v/>
      </c>
      <c r="AP516" s="59"/>
      <c r="AQ516" s="58" t="str">
        <f t="shared" si="339"/>
        <v/>
      </c>
      <c r="AR516" s="59"/>
      <c r="AS516" s="58" t="str">
        <f t="shared" si="340"/>
        <v/>
      </c>
      <c r="AT516" s="59"/>
      <c r="AU516" s="58" t="str">
        <f t="shared" si="341"/>
        <v/>
      </c>
      <c r="AV516" s="59"/>
      <c r="AW516" s="58" t="str">
        <f t="shared" si="342"/>
        <v/>
      </c>
      <c r="AX516" s="59"/>
      <c r="AY516" s="58" t="str">
        <f t="shared" si="343"/>
        <v/>
      </c>
      <c r="AZ516" s="59"/>
      <c r="BA516" s="58" t="str">
        <f t="shared" si="344"/>
        <v/>
      </c>
      <c r="BB516" s="59"/>
      <c r="BC516" s="58" t="str">
        <f t="shared" si="345"/>
        <v/>
      </c>
      <c r="BD516" s="59"/>
      <c r="BE516" s="58" t="str">
        <f t="shared" si="346"/>
        <v/>
      </c>
      <c r="BF516" s="59"/>
      <c r="BG516" s="58" t="str">
        <f t="shared" si="347"/>
        <v/>
      </c>
      <c r="BH516" s="59"/>
      <c r="BI516" s="58" t="str">
        <f t="shared" si="348"/>
        <v/>
      </c>
      <c r="BJ516" s="59"/>
      <c r="BK516" s="58" t="str">
        <f t="shared" si="349"/>
        <v/>
      </c>
      <c r="BL516" s="59"/>
      <c r="BM516" s="58" t="str">
        <f t="shared" si="350"/>
        <v/>
      </c>
      <c r="BN516" s="59"/>
      <c r="BO516" s="58" t="str">
        <f t="shared" si="351"/>
        <v/>
      </c>
      <c r="BP516" s="59"/>
      <c r="BQ516" s="58" t="str">
        <f t="shared" si="352"/>
        <v/>
      </c>
      <c r="BR516" s="59"/>
      <c r="BS516" s="58">
        <f t="shared" si="353"/>
        <v>9000</v>
      </c>
      <c r="BT516" s="59"/>
      <c r="BU516" s="58" t="str">
        <f t="shared" si="354"/>
        <v/>
      </c>
      <c r="BV516" s="59"/>
      <c r="BW516" s="58" t="str">
        <f t="shared" si="355"/>
        <v/>
      </c>
      <c r="BX516" s="59"/>
      <c r="BY516" s="58" t="str">
        <f t="shared" si="356"/>
        <v/>
      </c>
      <c r="BZ516" s="59"/>
    </row>
    <row r="517" spans="1:78" ht="14.5" hidden="1">
      <c r="A517" s="51" t="s">
        <v>446</v>
      </c>
      <c r="B517" s="52" t="s">
        <v>587</v>
      </c>
      <c r="C517" s="52" t="s">
        <v>60</v>
      </c>
      <c r="D517" s="41">
        <f t="shared" si="317"/>
        <v>13</v>
      </c>
      <c r="E517" s="41"/>
      <c r="F517" s="41"/>
      <c r="G517" s="52" t="s">
        <v>187</v>
      </c>
      <c r="H517" s="52" t="s">
        <v>448</v>
      </c>
      <c r="I517" s="52" t="s">
        <v>155</v>
      </c>
      <c r="J517" s="52" t="s">
        <v>449</v>
      </c>
      <c r="K517" s="53">
        <v>45744</v>
      </c>
      <c r="L517" s="108">
        <v>9000</v>
      </c>
      <c r="M517" s="101"/>
      <c r="N517" s="101"/>
      <c r="O517" s="101">
        <f t="shared" si="331"/>
        <v>9000</v>
      </c>
      <c r="P517" s="54">
        <f t="shared" si="332"/>
        <v>9000</v>
      </c>
      <c r="Q517" s="101" t="s">
        <v>429</v>
      </c>
      <c r="R517" s="101"/>
      <c r="S517" s="101"/>
      <c r="T517" s="102">
        <f t="shared" si="318"/>
        <v>1.3636363636363635</v>
      </c>
      <c r="U517" s="102">
        <v>6</v>
      </c>
      <c r="V517" s="99">
        <v>1100</v>
      </c>
      <c r="W517" s="55">
        <f>+K517-(28)</f>
        <v>45716</v>
      </c>
      <c r="X517" s="55"/>
      <c r="Y517" s="56">
        <f t="shared" ca="1" si="329"/>
        <v>-124</v>
      </c>
      <c r="Z517" s="55">
        <f t="shared" si="328"/>
        <v>45732</v>
      </c>
      <c r="AA517" s="55"/>
      <c r="AB517" s="56">
        <f t="shared" ca="1" si="330"/>
        <v>-108</v>
      </c>
      <c r="AC517" s="55"/>
      <c r="AD517" s="57"/>
      <c r="AE517" s="58" t="str">
        <f t="shared" si="333"/>
        <v>-</v>
      </c>
      <c r="AF517" s="59"/>
      <c r="AG517" s="58" t="str">
        <f t="shared" si="334"/>
        <v/>
      </c>
      <c r="AH517" s="59"/>
      <c r="AI517" s="58" t="str">
        <f t="shared" si="335"/>
        <v/>
      </c>
      <c r="AJ517" s="59"/>
      <c r="AK517" s="58" t="str">
        <f t="shared" si="336"/>
        <v/>
      </c>
      <c r="AL517" s="59"/>
      <c r="AM517" s="58" t="str">
        <f t="shared" si="337"/>
        <v/>
      </c>
      <c r="AN517" s="59"/>
      <c r="AO517" s="58" t="str">
        <f t="shared" si="338"/>
        <v/>
      </c>
      <c r="AP517" s="59"/>
      <c r="AQ517" s="58" t="str">
        <f t="shared" si="339"/>
        <v/>
      </c>
      <c r="AR517" s="59"/>
      <c r="AS517" s="58" t="str">
        <f t="shared" si="340"/>
        <v/>
      </c>
      <c r="AT517" s="59"/>
      <c r="AU517" s="58" t="str">
        <f t="shared" si="341"/>
        <v/>
      </c>
      <c r="AV517" s="59"/>
      <c r="AW517" s="58" t="str">
        <f t="shared" si="342"/>
        <v/>
      </c>
      <c r="AX517" s="59"/>
      <c r="AY517" s="58" t="str">
        <f t="shared" si="343"/>
        <v/>
      </c>
      <c r="AZ517" s="59"/>
      <c r="BA517" s="58" t="str">
        <f t="shared" si="344"/>
        <v/>
      </c>
      <c r="BB517" s="59"/>
      <c r="BC517" s="58" t="str">
        <f t="shared" si="345"/>
        <v/>
      </c>
      <c r="BD517" s="59"/>
      <c r="BE517" s="58" t="str">
        <f t="shared" si="346"/>
        <v/>
      </c>
      <c r="BF517" s="59"/>
      <c r="BG517" s="58" t="str">
        <f t="shared" si="347"/>
        <v/>
      </c>
      <c r="BH517" s="59"/>
      <c r="BI517" s="58" t="str">
        <f t="shared" si="348"/>
        <v/>
      </c>
      <c r="BJ517" s="59"/>
      <c r="BK517" s="58" t="str">
        <f t="shared" si="349"/>
        <v/>
      </c>
      <c r="BL517" s="59"/>
      <c r="BM517" s="58" t="str">
        <f t="shared" si="350"/>
        <v/>
      </c>
      <c r="BN517" s="59"/>
      <c r="BO517" s="58" t="str">
        <f t="shared" si="351"/>
        <v/>
      </c>
      <c r="BP517" s="59"/>
      <c r="BQ517" s="58" t="str">
        <f t="shared" si="352"/>
        <v/>
      </c>
      <c r="BR517" s="59"/>
      <c r="BS517" s="58">
        <f t="shared" si="353"/>
        <v>9000</v>
      </c>
      <c r="BT517" s="59"/>
      <c r="BU517" s="58" t="str">
        <f t="shared" si="354"/>
        <v/>
      </c>
      <c r="BV517" s="59"/>
      <c r="BW517" s="58" t="str">
        <f t="shared" si="355"/>
        <v/>
      </c>
      <c r="BX517" s="59"/>
      <c r="BY517" s="58" t="str">
        <f t="shared" si="356"/>
        <v/>
      </c>
      <c r="BZ517" s="59"/>
    </row>
    <row r="518" spans="1:78" ht="14.5" hidden="1">
      <c r="A518" s="51" t="s">
        <v>446</v>
      </c>
      <c r="B518" s="52" t="s">
        <v>587</v>
      </c>
      <c r="C518" s="52" t="s">
        <v>60</v>
      </c>
      <c r="D518" s="41">
        <f t="shared" si="317"/>
        <v>13</v>
      </c>
      <c r="E518" s="41"/>
      <c r="F518" s="41"/>
      <c r="G518" s="52" t="s">
        <v>187</v>
      </c>
      <c r="H518" s="52" t="s">
        <v>448</v>
      </c>
      <c r="I518" s="52" t="s">
        <v>450</v>
      </c>
      <c r="J518" s="52" t="s">
        <v>449</v>
      </c>
      <c r="K518" s="53">
        <v>45744</v>
      </c>
      <c r="L518" s="108">
        <v>6000</v>
      </c>
      <c r="M518" s="101"/>
      <c r="N518" s="101"/>
      <c r="O518" s="101">
        <f t="shared" si="331"/>
        <v>6000</v>
      </c>
      <c r="P518" s="54">
        <f t="shared" si="332"/>
        <v>6000</v>
      </c>
      <c r="Q518" s="101" t="s">
        <v>429</v>
      </c>
      <c r="R518" s="101"/>
      <c r="S518" s="101"/>
      <c r="T518" s="102">
        <f t="shared" si="318"/>
        <v>0.90909090909090906</v>
      </c>
      <c r="U518" s="102">
        <v>6</v>
      </c>
      <c r="V518" s="99">
        <v>1100</v>
      </c>
      <c r="W518" s="55">
        <f>+K518-(28)</f>
        <v>45716</v>
      </c>
      <c r="X518" s="55"/>
      <c r="Y518" s="56">
        <f t="shared" ca="1" si="329"/>
        <v>-124</v>
      </c>
      <c r="Z518" s="55">
        <f t="shared" si="328"/>
        <v>45732</v>
      </c>
      <c r="AA518" s="55"/>
      <c r="AB518" s="56">
        <f t="shared" ca="1" si="330"/>
        <v>-108</v>
      </c>
      <c r="AC518" s="55"/>
      <c r="AD518" s="57"/>
      <c r="AE518" s="58" t="str">
        <f t="shared" si="333"/>
        <v>-</v>
      </c>
      <c r="AF518" s="59"/>
      <c r="AG518" s="58" t="str">
        <f t="shared" si="334"/>
        <v/>
      </c>
      <c r="AH518" s="59"/>
      <c r="AI518" s="58" t="str">
        <f t="shared" si="335"/>
        <v/>
      </c>
      <c r="AJ518" s="59"/>
      <c r="AK518" s="58" t="str">
        <f t="shared" si="336"/>
        <v/>
      </c>
      <c r="AL518" s="59"/>
      <c r="AM518" s="58" t="str">
        <f t="shared" si="337"/>
        <v/>
      </c>
      <c r="AN518" s="59"/>
      <c r="AO518" s="58" t="str">
        <f t="shared" si="338"/>
        <v/>
      </c>
      <c r="AP518" s="59"/>
      <c r="AQ518" s="58" t="str">
        <f t="shared" si="339"/>
        <v/>
      </c>
      <c r="AR518" s="59"/>
      <c r="AS518" s="58" t="str">
        <f t="shared" si="340"/>
        <v/>
      </c>
      <c r="AT518" s="59"/>
      <c r="AU518" s="58" t="str">
        <f t="shared" si="341"/>
        <v/>
      </c>
      <c r="AV518" s="59"/>
      <c r="AW518" s="58" t="str">
        <f t="shared" si="342"/>
        <v/>
      </c>
      <c r="AX518" s="59"/>
      <c r="AY518" s="58" t="str">
        <f t="shared" si="343"/>
        <v/>
      </c>
      <c r="AZ518" s="59"/>
      <c r="BA518" s="58" t="str">
        <f t="shared" si="344"/>
        <v/>
      </c>
      <c r="BB518" s="59"/>
      <c r="BC518" s="58" t="str">
        <f t="shared" si="345"/>
        <v/>
      </c>
      <c r="BD518" s="59"/>
      <c r="BE518" s="58" t="str">
        <f t="shared" si="346"/>
        <v/>
      </c>
      <c r="BF518" s="59"/>
      <c r="BG518" s="58" t="str">
        <f t="shared" si="347"/>
        <v/>
      </c>
      <c r="BH518" s="59"/>
      <c r="BI518" s="58" t="str">
        <f t="shared" si="348"/>
        <v/>
      </c>
      <c r="BJ518" s="59"/>
      <c r="BK518" s="58" t="str">
        <f t="shared" si="349"/>
        <v/>
      </c>
      <c r="BL518" s="59"/>
      <c r="BM518" s="58" t="str">
        <f t="shared" si="350"/>
        <v/>
      </c>
      <c r="BN518" s="59"/>
      <c r="BO518" s="58" t="str">
        <f t="shared" si="351"/>
        <v/>
      </c>
      <c r="BP518" s="59"/>
      <c r="BQ518" s="58" t="str">
        <f t="shared" si="352"/>
        <v/>
      </c>
      <c r="BR518" s="59"/>
      <c r="BS518" s="58">
        <f t="shared" si="353"/>
        <v>6000</v>
      </c>
      <c r="BT518" s="59"/>
      <c r="BU518" s="58" t="str">
        <f t="shared" si="354"/>
        <v/>
      </c>
      <c r="BV518" s="59"/>
      <c r="BW518" s="58" t="str">
        <f t="shared" si="355"/>
        <v/>
      </c>
      <c r="BX518" s="59"/>
      <c r="BY518" s="58" t="str">
        <f t="shared" si="356"/>
        <v/>
      </c>
      <c r="BZ518" s="59"/>
    </row>
    <row r="519" spans="1:78" ht="14.5" hidden="1">
      <c r="A519" s="51" t="s">
        <v>58</v>
      </c>
      <c r="B519" s="52">
        <v>417</v>
      </c>
      <c r="C519" s="52" t="s">
        <v>188</v>
      </c>
      <c r="D519" s="41">
        <f t="shared" ref="D519:D531" si="357">+WEEKNUM(K519)</f>
        <v>13</v>
      </c>
      <c r="E519" s="170" t="s">
        <v>631</v>
      </c>
      <c r="F519" s="41"/>
      <c r="G519" s="52" t="s">
        <v>390</v>
      </c>
      <c r="H519" s="52" t="s">
        <v>242</v>
      </c>
      <c r="I519" s="52" t="s">
        <v>162</v>
      </c>
      <c r="J519" s="52" t="s">
        <v>430</v>
      </c>
      <c r="K519" s="53">
        <v>45744</v>
      </c>
      <c r="L519" s="108">
        <v>3840</v>
      </c>
      <c r="M519" s="101"/>
      <c r="N519" s="101"/>
      <c r="O519" s="107">
        <f t="shared" si="331"/>
        <v>3840</v>
      </c>
      <c r="P519" s="54">
        <f t="shared" si="332"/>
        <v>3840</v>
      </c>
      <c r="Q519" s="101" t="s">
        <v>431</v>
      </c>
      <c r="R519" s="101"/>
      <c r="S519" s="101"/>
      <c r="T519" s="102">
        <f t="shared" ref="T519:T531" si="358">L519/(V519*U519)</f>
        <v>5.333333333333333</v>
      </c>
      <c r="U519" s="102">
        <v>6</v>
      </c>
      <c r="V519" s="99">
        <v>120</v>
      </c>
      <c r="W519" s="55">
        <f>+K519-(20)</f>
        <v>45724</v>
      </c>
      <c r="X519" s="55"/>
      <c r="Y519" s="56">
        <f t="shared" ca="1" si="329"/>
        <v>-116</v>
      </c>
      <c r="Z519" s="55">
        <f t="shared" si="328"/>
        <v>45740</v>
      </c>
      <c r="AA519" s="55"/>
      <c r="AB519" s="56">
        <f t="shared" ca="1" si="330"/>
        <v>-100</v>
      </c>
      <c r="AC519" s="55"/>
      <c r="AD519" s="57"/>
      <c r="AE519" s="58" t="str">
        <f t="shared" si="333"/>
        <v>-</v>
      </c>
      <c r="AF519" s="59"/>
      <c r="AG519" s="58" t="str">
        <f t="shared" si="334"/>
        <v/>
      </c>
      <c r="AH519" s="59"/>
      <c r="AI519" s="58" t="str">
        <f t="shared" si="335"/>
        <v/>
      </c>
      <c r="AJ519" s="59"/>
      <c r="AK519" s="58" t="str">
        <f t="shared" si="336"/>
        <v/>
      </c>
      <c r="AL519" s="59"/>
      <c r="AM519" s="58" t="str">
        <f t="shared" si="337"/>
        <v/>
      </c>
      <c r="AN519" s="59"/>
      <c r="AO519" s="58" t="str">
        <f t="shared" si="338"/>
        <v/>
      </c>
      <c r="AP519" s="59"/>
      <c r="AQ519" s="58" t="str">
        <f t="shared" si="339"/>
        <v/>
      </c>
      <c r="AR519" s="59"/>
      <c r="AS519" s="58" t="str">
        <f t="shared" si="340"/>
        <v/>
      </c>
      <c r="AT519" s="59"/>
      <c r="AU519" s="58" t="str">
        <f t="shared" si="341"/>
        <v/>
      </c>
      <c r="AV519" s="59"/>
      <c r="AW519" s="58" t="str">
        <f t="shared" si="342"/>
        <v/>
      </c>
      <c r="AX519" s="59"/>
      <c r="AY519" s="58" t="str">
        <f t="shared" si="343"/>
        <v/>
      </c>
      <c r="AZ519" s="59"/>
      <c r="BA519" s="58" t="str">
        <f t="shared" si="344"/>
        <v/>
      </c>
      <c r="BB519" s="59"/>
      <c r="BC519" s="58" t="str">
        <f t="shared" si="345"/>
        <v/>
      </c>
      <c r="BD519" s="59"/>
      <c r="BE519" s="58" t="str">
        <f t="shared" si="346"/>
        <v/>
      </c>
      <c r="BF519" s="59"/>
      <c r="BG519" s="58" t="str">
        <f t="shared" si="347"/>
        <v/>
      </c>
      <c r="BH519" s="59"/>
      <c r="BI519" s="58" t="str">
        <f t="shared" si="348"/>
        <v/>
      </c>
      <c r="BJ519" s="59"/>
      <c r="BK519" s="58" t="str">
        <f t="shared" si="349"/>
        <v/>
      </c>
      <c r="BL519" s="59"/>
      <c r="BM519" s="58" t="str">
        <f t="shared" si="350"/>
        <v/>
      </c>
      <c r="BN519" s="59"/>
      <c r="BO519" s="58" t="str">
        <f t="shared" si="351"/>
        <v/>
      </c>
      <c r="BP519" s="59"/>
      <c r="BQ519" s="58" t="str">
        <f t="shared" si="352"/>
        <v/>
      </c>
      <c r="BR519" s="59"/>
      <c r="BS519" s="58" t="str">
        <f t="shared" si="353"/>
        <v/>
      </c>
      <c r="BT519" s="59"/>
      <c r="BU519" s="58">
        <f t="shared" si="354"/>
        <v>3840</v>
      </c>
      <c r="BV519" s="59"/>
      <c r="BW519" s="58" t="str">
        <f t="shared" si="355"/>
        <v/>
      </c>
      <c r="BX519" s="59"/>
      <c r="BY519" s="58" t="str">
        <f t="shared" si="356"/>
        <v/>
      </c>
      <c r="BZ519" s="59"/>
    </row>
    <row r="520" spans="1:78" ht="14.5" hidden="1">
      <c r="A520" s="51" t="s">
        <v>58</v>
      </c>
      <c r="B520" s="52">
        <v>417</v>
      </c>
      <c r="C520" s="52" t="s">
        <v>188</v>
      </c>
      <c r="D520" s="41">
        <f t="shared" si="357"/>
        <v>13</v>
      </c>
      <c r="E520" s="41"/>
      <c r="F520" s="41"/>
      <c r="G520" s="52" t="s">
        <v>190</v>
      </c>
      <c r="H520" s="52" t="s">
        <v>242</v>
      </c>
      <c r="I520" s="52" t="s">
        <v>244</v>
      </c>
      <c r="J520" s="52" t="s">
        <v>438</v>
      </c>
      <c r="K520" s="53">
        <v>45744</v>
      </c>
      <c r="L520" s="108">
        <v>1132</v>
      </c>
      <c r="M520" s="101"/>
      <c r="N520" s="101"/>
      <c r="O520" s="107">
        <f t="shared" si="331"/>
        <v>1132</v>
      </c>
      <c r="P520" s="54">
        <f t="shared" si="332"/>
        <v>1132</v>
      </c>
      <c r="Q520" s="101" t="s">
        <v>439</v>
      </c>
      <c r="R520" s="101"/>
      <c r="S520" s="101"/>
      <c r="T520" s="102">
        <f t="shared" si="358"/>
        <v>1.5722222222222222</v>
      </c>
      <c r="U520" s="102">
        <v>6</v>
      </c>
      <c r="V520" s="99">
        <v>120</v>
      </c>
      <c r="W520" s="55">
        <f>+K520-(20)</f>
        <v>45724</v>
      </c>
      <c r="X520" s="55"/>
      <c r="Y520" s="56">
        <f t="shared" ca="1" si="329"/>
        <v>-116</v>
      </c>
      <c r="Z520" s="55">
        <f t="shared" si="328"/>
        <v>45740</v>
      </c>
      <c r="AA520" s="55"/>
      <c r="AB520" s="56">
        <f t="shared" ca="1" si="330"/>
        <v>-100</v>
      </c>
      <c r="AC520" s="55"/>
      <c r="AD520" s="57"/>
      <c r="AE520" s="58" t="str">
        <f t="shared" si="333"/>
        <v>-</v>
      </c>
      <c r="AF520" s="59"/>
      <c r="AG520" s="58" t="str">
        <f t="shared" si="334"/>
        <v/>
      </c>
      <c r="AH520" s="59"/>
      <c r="AI520" s="58" t="str">
        <f t="shared" si="335"/>
        <v/>
      </c>
      <c r="AJ520" s="59"/>
      <c r="AK520" s="58" t="str">
        <f t="shared" si="336"/>
        <v/>
      </c>
      <c r="AL520" s="59"/>
      <c r="AM520" s="58" t="str">
        <f t="shared" si="337"/>
        <v/>
      </c>
      <c r="AN520" s="59"/>
      <c r="AO520" s="58" t="str">
        <f t="shared" si="338"/>
        <v/>
      </c>
      <c r="AP520" s="59"/>
      <c r="AQ520" s="58" t="str">
        <f t="shared" si="339"/>
        <v/>
      </c>
      <c r="AR520" s="59"/>
      <c r="AS520" s="58" t="str">
        <f t="shared" si="340"/>
        <v/>
      </c>
      <c r="AT520" s="59"/>
      <c r="AU520" s="58" t="str">
        <f t="shared" si="341"/>
        <v/>
      </c>
      <c r="AV520" s="59"/>
      <c r="AW520" s="58" t="str">
        <f t="shared" si="342"/>
        <v/>
      </c>
      <c r="AX520" s="59"/>
      <c r="AY520" s="58" t="str">
        <f t="shared" si="343"/>
        <v/>
      </c>
      <c r="AZ520" s="59"/>
      <c r="BA520" s="58" t="str">
        <f t="shared" si="344"/>
        <v/>
      </c>
      <c r="BB520" s="59"/>
      <c r="BC520" s="58" t="str">
        <f t="shared" si="345"/>
        <v/>
      </c>
      <c r="BD520" s="59"/>
      <c r="BE520" s="58" t="str">
        <f t="shared" si="346"/>
        <v/>
      </c>
      <c r="BF520" s="59"/>
      <c r="BG520" s="58" t="str">
        <f t="shared" si="347"/>
        <v/>
      </c>
      <c r="BH520" s="59"/>
      <c r="BI520" s="58" t="str">
        <f t="shared" si="348"/>
        <v/>
      </c>
      <c r="BJ520" s="59"/>
      <c r="BK520" s="58" t="str">
        <f t="shared" si="349"/>
        <v/>
      </c>
      <c r="BL520" s="59"/>
      <c r="BM520" s="58" t="str">
        <f t="shared" si="350"/>
        <v/>
      </c>
      <c r="BN520" s="59"/>
      <c r="BO520" s="58" t="str">
        <f t="shared" si="351"/>
        <v/>
      </c>
      <c r="BP520" s="59"/>
      <c r="BQ520" s="58" t="str">
        <f t="shared" si="352"/>
        <v/>
      </c>
      <c r="BR520" s="59"/>
      <c r="BS520" s="58" t="str">
        <f t="shared" si="353"/>
        <v/>
      </c>
      <c r="BT520" s="59"/>
      <c r="BU520" s="58">
        <f t="shared" si="354"/>
        <v>1132</v>
      </c>
      <c r="BV520" s="59"/>
      <c r="BW520" s="58" t="str">
        <f t="shared" si="355"/>
        <v/>
      </c>
      <c r="BX520" s="59"/>
      <c r="BY520" s="58" t="str">
        <f t="shared" si="356"/>
        <v/>
      </c>
      <c r="BZ520" s="59"/>
    </row>
    <row r="521" spans="1:78" ht="14.5" hidden="1">
      <c r="A521" s="109" t="s">
        <v>446</v>
      </c>
      <c r="B521" s="110">
        <v>312</v>
      </c>
      <c r="C521" s="110" t="s">
        <v>60</v>
      </c>
      <c r="D521" s="111">
        <f t="shared" si="357"/>
        <v>14</v>
      </c>
      <c r="E521" s="111"/>
      <c r="F521" s="111"/>
      <c r="G521" s="110" t="s">
        <v>187</v>
      </c>
      <c r="H521" s="110" t="s">
        <v>448</v>
      </c>
      <c r="I521" s="110" t="s">
        <v>164</v>
      </c>
      <c r="J521" s="110" t="s">
        <v>449</v>
      </c>
      <c r="K521" s="112">
        <v>45751</v>
      </c>
      <c r="L521" s="113">
        <v>36069.120000000003</v>
      </c>
      <c r="M521" s="105"/>
      <c r="N521" s="105"/>
      <c r="O521" s="106">
        <f t="shared" si="331"/>
        <v>36069.120000000003</v>
      </c>
      <c r="P521" s="76">
        <f t="shared" si="332"/>
        <v>36069.120000000003</v>
      </c>
      <c r="Q521" s="105" t="s">
        <v>429</v>
      </c>
      <c r="R521" s="105"/>
      <c r="S521" s="105"/>
      <c r="T521" s="102">
        <f t="shared" si="358"/>
        <v>5.4650181818181824</v>
      </c>
      <c r="U521" s="102">
        <v>6</v>
      </c>
      <c r="V521" s="104">
        <v>1100</v>
      </c>
      <c r="W521" s="77">
        <f>+K521-(32)</f>
        <v>45719</v>
      </c>
      <c r="X521" s="77"/>
      <c r="Y521" s="78">
        <f t="shared" ca="1" si="329"/>
        <v>-121</v>
      </c>
      <c r="Z521" s="77">
        <f t="shared" si="328"/>
        <v>45735</v>
      </c>
      <c r="AA521" s="77"/>
      <c r="AB521" s="78">
        <f t="shared" ca="1" si="330"/>
        <v>-105</v>
      </c>
      <c r="AC521" s="77"/>
      <c r="AD521" s="79"/>
      <c r="AE521" s="80" t="str">
        <f t="shared" si="333"/>
        <v>-</v>
      </c>
      <c r="AF521" s="81"/>
      <c r="AG521" s="80" t="str">
        <f t="shared" si="334"/>
        <v/>
      </c>
      <c r="AH521" s="81"/>
      <c r="AI521" s="80" t="str">
        <f t="shared" si="335"/>
        <v/>
      </c>
      <c r="AJ521" s="81"/>
      <c r="AK521" s="80" t="str">
        <f t="shared" si="336"/>
        <v/>
      </c>
      <c r="AL521" s="81"/>
      <c r="AM521" s="80" t="str">
        <f t="shared" si="337"/>
        <v/>
      </c>
      <c r="AN521" s="81"/>
      <c r="AO521" s="80" t="str">
        <f t="shared" si="338"/>
        <v/>
      </c>
      <c r="AP521" s="81"/>
      <c r="AQ521" s="80" t="str">
        <f t="shared" si="339"/>
        <v/>
      </c>
      <c r="AR521" s="81"/>
      <c r="AS521" s="80" t="str">
        <f t="shared" si="340"/>
        <v/>
      </c>
      <c r="AT521" s="81"/>
      <c r="AU521" s="80" t="str">
        <f t="shared" si="341"/>
        <v/>
      </c>
      <c r="AV521" s="81"/>
      <c r="AW521" s="80" t="str">
        <f t="shared" si="342"/>
        <v/>
      </c>
      <c r="AX521" s="81"/>
      <c r="AY521" s="80" t="str">
        <f t="shared" si="343"/>
        <v/>
      </c>
      <c r="AZ521" s="81"/>
      <c r="BA521" s="80" t="str">
        <f t="shared" si="344"/>
        <v/>
      </c>
      <c r="BB521" s="81"/>
      <c r="BC521" s="80" t="str">
        <f t="shared" si="345"/>
        <v/>
      </c>
      <c r="BD521" s="81"/>
      <c r="BE521" s="80" t="str">
        <f t="shared" si="346"/>
        <v/>
      </c>
      <c r="BF521" s="81"/>
      <c r="BG521" s="80" t="str">
        <f t="shared" si="347"/>
        <v/>
      </c>
      <c r="BH521" s="81"/>
      <c r="BI521" s="80" t="str">
        <f t="shared" si="348"/>
        <v/>
      </c>
      <c r="BJ521" s="81"/>
      <c r="BK521" s="80" t="str">
        <f t="shared" si="349"/>
        <v/>
      </c>
      <c r="BL521" s="81"/>
      <c r="BM521" s="80" t="str">
        <f t="shared" si="350"/>
        <v/>
      </c>
      <c r="BN521" s="81"/>
      <c r="BO521" s="80" t="str">
        <f t="shared" si="351"/>
        <v/>
      </c>
      <c r="BP521" s="81"/>
      <c r="BQ521" s="80" t="str">
        <f t="shared" si="352"/>
        <v/>
      </c>
      <c r="BR521" s="81"/>
      <c r="BS521" s="80" t="str">
        <f t="shared" si="353"/>
        <v/>
      </c>
      <c r="BT521" s="81"/>
      <c r="BU521" s="80">
        <f t="shared" si="354"/>
        <v>36069.120000000003</v>
      </c>
      <c r="BV521" s="81"/>
      <c r="BW521" s="80" t="str">
        <f t="shared" si="355"/>
        <v/>
      </c>
      <c r="BX521" s="81"/>
      <c r="BY521" s="80" t="str">
        <f t="shared" si="356"/>
        <v/>
      </c>
      <c r="BZ521" s="81"/>
    </row>
    <row r="522" spans="1:78" ht="14.5" hidden="1">
      <c r="A522" s="109" t="s">
        <v>446</v>
      </c>
      <c r="B522" s="110">
        <v>312</v>
      </c>
      <c r="C522" s="110" t="s">
        <v>60</v>
      </c>
      <c r="D522" s="111">
        <f t="shared" si="357"/>
        <v>14</v>
      </c>
      <c r="E522" s="111"/>
      <c r="F522" s="111"/>
      <c r="G522" s="110" t="s">
        <v>187</v>
      </c>
      <c r="H522" s="110" t="s">
        <v>448</v>
      </c>
      <c r="I522" s="110" t="s">
        <v>155</v>
      </c>
      <c r="J522" s="110" t="s">
        <v>449</v>
      </c>
      <c r="K522" s="112">
        <v>45751</v>
      </c>
      <c r="L522" s="113">
        <v>36069.120000000003</v>
      </c>
      <c r="M522" s="105"/>
      <c r="N522" s="105"/>
      <c r="O522" s="106">
        <f t="shared" si="331"/>
        <v>36069.120000000003</v>
      </c>
      <c r="P522" s="76">
        <f t="shared" si="332"/>
        <v>36069.120000000003</v>
      </c>
      <c r="Q522" s="105" t="s">
        <v>429</v>
      </c>
      <c r="R522" s="105"/>
      <c r="S522" s="105"/>
      <c r="T522" s="102">
        <f t="shared" si="358"/>
        <v>5.4650181818181824</v>
      </c>
      <c r="U522" s="102">
        <v>6</v>
      </c>
      <c r="V522" s="104">
        <v>1100</v>
      </c>
      <c r="W522" s="77">
        <f>+K522-(32)</f>
        <v>45719</v>
      </c>
      <c r="X522" s="77"/>
      <c r="Y522" s="78">
        <f t="shared" ca="1" si="329"/>
        <v>-121</v>
      </c>
      <c r="Z522" s="77">
        <f t="shared" si="328"/>
        <v>45735</v>
      </c>
      <c r="AA522" s="77"/>
      <c r="AB522" s="78">
        <f t="shared" ca="1" si="330"/>
        <v>-105</v>
      </c>
      <c r="AC522" s="77"/>
      <c r="AD522" s="79"/>
      <c r="AE522" s="80" t="str">
        <f t="shared" si="333"/>
        <v>-</v>
      </c>
      <c r="AF522" s="81"/>
      <c r="AG522" s="80" t="str">
        <f t="shared" si="334"/>
        <v/>
      </c>
      <c r="AH522" s="81"/>
      <c r="AI522" s="80" t="str">
        <f t="shared" si="335"/>
        <v/>
      </c>
      <c r="AJ522" s="81"/>
      <c r="AK522" s="80" t="str">
        <f t="shared" si="336"/>
        <v/>
      </c>
      <c r="AL522" s="81"/>
      <c r="AM522" s="80" t="str">
        <f t="shared" si="337"/>
        <v/>
      </c>
      <c r="AN522" s="81"/>
      <c r="AO522" s="80" t="str">
        <f t="shared" si="338"/>
        <v/>
      </c>
      <c r="AP522" s="81"/>
      <c r="AQ522" s="80" t="str">
        <f t="shared" si="339"/>
        <v/>
      </c>
      <c r="AR522" s="81"/>
      <c r="AS522" s="80" t="str">
        <f t="shared" si="340"/>
        <v/>
      </c>
      <c r="AT522" s="81"/>
      <c r="AU522" s="80" t="str">
        <f t="shared" si="341"/>
        <v/>
      </c>
      <c r="AV522" s="81"/>
      <c r="AW522" s="80" t="str">
        <f t="shared" si="342"/>
        <v/>
      </c>
      <c r="AX522" s="81"/>
      <c r="AY522" s="80" t="str">
        <f t="shared" si="343"/>
        <v/>
      </c>
      <c r="AZ522" s="81"/>
      <c r="BA522" s="80" t="str">
        <f t="shared" si="344"/>
        <v/>
      </c>
      <c r="BB522" s="81"/>
      <c r="BC522" s="80" t="str">
        <f t="shared" si="345"/>
        <v/>
      </c>
      <c r="BD522" s="81"/>
      <c r="BE522" s="80" t="str">
        <f t="shared" si="346"/>
        <v/>
      </c>
      <c r="BF522" s="81"/>
      <c r="BG522" s="80" t="str">
        <f t="shared" si="347"/>
        <v/>
      </c>
      <c r="BH522" s="81"/>
      <c r="BI522" s="80" t="str">
        <f t="shared" si="348"/>
        <v/>
      </c>
      <c r="BJ522" s="81"/>
      <c r="BK522" s="80" t="str">
        <f t="shared" si="349"/>
        <v/>
      </c>
      <c r="BL522" s="81"/>
      <c r="BM522" s="80" t="str">
        <f t="shared" si="350"/>
        <v/>
      </c>
      <c r="BN522" s="81"/>
      <c r="BO522" s="80" t="str">
        <f t="shared" si="351"/>
        <v/>
      </c>
      <c r="BP522" s="81"/>
      <c r="BQ522" s="80" t="str">
        <f t="shared" si="352"/>
        <v/>
      </c>
      <c r="BR522" s="81"/>
      <c r="BS522" s="80" t="str">
        <f t="shared" si="353"/>
        <v/>
      </c>
      <c r="BT522" s="81"/>
      <c r="BU522" s="80">
        <f t="shared" si="354"/>
        <v>36069.120000000003</v>
      </c>
      <c r="BV522" s="81"/>
      <c r="BW522" s="80" t="str">
        <f t="shared" si="355"/>
        <v/>
      </c>
      <c r="BX522" s="81"/>
      <c r="BY522" s="80" t="str">
        <f t="shared" si="356"/>
        <v/>
      </c>
      <c r="BZ522" s="81"/>
    </row>
    <row r="523" spans="1:78" ht="14.5" hidden="1">
      <c r="A523" s="51" t="s">
        <v>446</v>
      </c>
      <c r="B523" s="52">
        <v>312</v>
      </c>
      <c r="C523" s="52" t="s">
        <v>60</v>
      </c>
      <c r="D523" s="41">
        <f t="shared" si="357"/>
        <v>14</v>
      </c>
      <c r="E523" s="41"/>
      <c r="F523" s="41"/>
      <c r="G523" s="52" t="s">
        <v>187</v>
      </c>
      <c r="H523" s="52" t="s">
        <v>448</v>
      </c>
      <c r="I523" s="52" t="s">
        <v>450</v>
      </c>
      <c r="J523" s="52" t="s">
        <v>449</v>
      </c>
      <c r="K523" s="53">
        <v>45751</v>
      </c>
      <c r="L523" s="108">
        <v>24046.080000000002</v>
      </c>
      <c r="M523" s="101"/>
      <c r="N523" s="101"/>
      <c r="O523" s="107">
        <f t="shared" si="331"/>
        <v>24046.080000000002</v>
      </c>
      <c r="P523" s="54">
        <f t="shared" si="332"/>
        <v>24046.080000000002</v>
      </c>
      <c r="Q523" s="101" t="s">
        <v>429</v>
      </c>
      <c r="R523" s="101"/>
      <c r="S523" s="101"/>
      <c r="T523" s="102">
        <f t="shared" si="358"/>
        <v>3.6433454545454547</v>
      </c>
      <c r="U523" s="102">
        <v>6</v>
      </c>
      <c r="V523" s="99">
        <v>1100</v>
      </c>
      <c r="W523" s="55">
        <f>+K523-(32)</f>
        <v>45719</v>
      </c>
      <c r="X523" s="55"/>
      <c r="Y523" s="56">
        <f t="shared" ca="1" si="329"/>
        <v>-121</v>
      </c>
      <c r="Z523" s="55">
        <f t="shared" si="328"/>
        <v>45735</v>
      </c>
      <c r="AA523" s="55"/>
      <c r="AB523" s="56">
        <f t="shared" ca="1" si="330"/>
        <v>-105</v>
      </c>
      <c r="AC523" s="55"/>
      <c r="AD523" s="57"/>
      <c r="AE523" s="58" t="str">
        <f t="shared" si="333"/>
        <v>-</v>
      </c>
      <c r="AF523" s="59"/>
      <c r="AG523" s="58" t="str">
        <f t="shared" si="334"/>
        <v/>
      </c>
      <c r="AH523" s="59"/>
      <c r="AI523" s="58" t="str">
        <f t="shared" si="335"/>
        <v/>
      </c>
      <c r="AJ523" s="59"/>
      <c r="AK523" s="58" t="str">
        <f t="shared" si="336"/>
        <v/>
      </c>
      <c r="AL523" s="59"/>
      <c r="AM523" s="58" t="str">
        <f t="shared" si="337"/>
        <v/>
      </c>
      <c r="AN523" s="59"/>
      <c r="AO523" s="58" t="str">
        <f t="shared" si="338"/>
        <v/>
      </c>
      <c r="AP523" s="59"/>
      <c r="AQ523" s="58" t="str">
        <f t="shared" si="339"/>
        <v/>
      </c>
      <c r="AR523" s="59"/>
      <c r="AS523" s="58" t="str">
        <f t="shared" si="340"/>
        <v/>
      </c>
      <c r="AT523" s="59"/>
      <c r="AU523" s="58" t="str">
        <f t="shared" si="341"/>
        <v/>
      </c>
      <c r="AV523" s="59"/>
      <c r="AW523" s="58" t="str">
        <f t="shared" si="342"/>
        <v/>
      </c>
      <c r="AX523" s="59"/>
      <c r="AY523" s="58" t="str">
        <f t="shared" si="343"/>
        <v/>
      </c>
      <c r="AZ523" s="59"/>
      <c r="BA523" s="58" t="str">
        <f t="shared" si="344"/>
        <v/>
      </c>
      <c r="BB523" s="59"/>
      <c r="BC523" s="58" t="str">
        <f t="shared" si="345"/>
        <v/>
      </c>
      <c r="BD523" s="59"/>
      <c r="BE523" s="58" t="str">
        <f t="shared" si="346"/>
        <v/>
      </c>
      <c r="BF523" s="59"/>
      <c r="BG523" s="58" t="str">
        <f t="shared" si="347"/>
        <v/>
      </c>
      <c r="BH523" s="59"/>
      <c r="BI523" s="58" t="str">
        <f t="shared" si="348"/>
        <v/>
      </c>
      <c r="BJ523" s="59"/>
      <c r="BK523" s="58" t="str">
        <f t="shared" si="349"/>
        <v/>
      </c>
      <c r="BL523" s="59"/>
      <c r="BM523" s="58" t="str">
        <f t="shared" si="350"/>
        <v/>
      </c>
      <c r="BN523" s="59"/>
      <c r="BO523" s="58" t="str">
        <f t="shared" si="351"/>
        <v/>
      </c>
      <c r="BP523" s="59"/>
      <c r="BQ523" s="58" t="str">
        <f t="shared" si="352"/>
        <v/>
      </c>
      <c r="BR523" s="59"/>
      <c r="BS523" s="58" t="str">
        <f t="shared" si="353"/>
        <v/>
      </c>
      <c r="BT523" s="59"/>
      <c r="BU523" s="58">
        <f t="shared" si="354"/>
        <v>24046.080000000002</v>
      </c>
      <c r="BV523" s="59"/>
      <c r="BW523" s="58" t="str">
        <f t="shared" si="355"/>
        <v/>
      </c>
      <c r="BX523" s="59"/>
      <c r="BY523" s="58" t="str">
        <f t="shared" si="356"/>
        <v/>
      </c>
      <c r="BZ523" s="59"/>
    </row>
    <row r="524" spans="1:78" ht="14.5" hidden="1">
      <c r="A524" s="51" t="s">
        <v>58</v>
      </c>
      <c r="B524" s="52">
        <v>420</v>
      </c>
      <c r="C524" s="52" t="s">
        <v>188</v>
      </c>
      <c r="D524" s="41">
        <f t="shared" si="357"/>
        <v>14</v>
      </c>
      <c r="E524" s="170" t="s">
        <v>631</v>
      </c>
      <c r="F524" s="41"/>
      <c r="G524" s="52" t="s">
        <v>390</v>
      </c>
      <c r="H524" s="52" t="s">
        <v>242</v>
      </c>
      <c r="I524" s="52" t="s">
        <v>162</v>
      </c>
      <c r="J524" s="52" t="s">
        <v>430</v>
      </c>
      <c r="K524" s="53">
        <v>45751</v>
      </c>
      <c r="L524" s="108">
        <v>3468</v>
      </c>
      <c r="M524" s="101"/>
      <c r="N524" s="101"/>
      <c r="O524" s="107">
        <f t="shared" si="331"/>
        <v>3468</v>
      </c>
      <c r="P524" s="54">
        <f t="shared" si="332"/>
        <v>3468</v>
      </c>
      <c r="Q524" s="101" t="s">
        <v>431</v>
      </c>
      <c r="R524" s="101"/>
      <c r="S524" s="101"/>
      <c r="T524" s="102">
        <f t="shared" si="358"/>
        <v>4.8166666666666664</v>
      </c>
      <c r="U524" s="102">
        <v>6</v>
      </c>
      <c r="V524" s="99">
        <v>120</v>
      </c>
      <c r="W524" s="55">
        <f>+K524-(20)</f>
        <v>45731</v>
      </c>
      <c r="X524" s="55"/>
      <c r="Y524" s="56">
        <f t="shared" ca="1" si="329"/>
        <v>-109</v>
      </c>
      <c r="Z524" s="55">
        <f t="shared" si="328"/>
        <v>45747</v>
      </c>
      <c r="AA524" s="55"/>
      <c r="AB524" s="56">
        <f t="shared" ca="1" si="330"/>
        <v>-93</v>
      </c>
      <c r="AC524" s="55"/>
      <c r="AD524" s="57"/>
      <c r="AE524" s="58" t="str">
        <f t="shared" si="333"/>
        <v>-</v>
      </c>
      <c r="AF524" s="59"/>
      <c r="AG524" s="58" t="str">
        <f t="shared" si="334"/>
        <v/>
      </c>
      <c r="AH524" s="59"/>
      <c r="AI524" s="58" t="str">
        <f t="shared" si="335"/>
        <v/>
      </c>
      <c r="AJ524" s="59"/>
      <c r="AK524" s="58" t="str">
        <f t="shared" si="336"/>
        <v/>
      </c>
      <c r="AL524" s="59"/>
      <c r="AM524" s="58" t="str">
        <f t="shared" si="337"/>
        <v/>
      </c>
      <c r="AN524" s="59"/>
      <c r="AO524" s="58" t="str">
        <f t="shared" si="338"/>
        <v/>
      </c>
      <c r="AP524" s="59"/>
      <c r="AQ524" s="58" t="str">
        <f t="shared" si="339"/>
        <v/>
      </c>
      <c r="AR524" s="59"/>
      <c r="AS524" s="58" t="str">
        <f t="shared" si="340"/>
        <v/>
      </c>
      <c r="AT524" s="59"/>
      <c r="AU524" s="58" t="str">
        <f t="shared" si="341"/>
        <v/>
      </c>
      <c r="AV524" s="59"/>
      <c r="AW524" s="58" t="str">
        <f t="shared" si="342"/>
        <v/>
      </c>
      <c r="AX524" s="59"/>
      <c r="AY524" s="58" t="str">
        <f t="shared" si="343"/>
        <v/>
      </c>
      <c r="AZ524" s="59"/>
      <c r="BA524" s="58" t="str">
        <f t="shared" si="344"/>
        <v/>
      </c>
      <c r="BB524" s="59"/>
      <c r="BC524" s="58" t="str">
        <f t="shared" si="345"/>
        <v/>
      </c>
      <c r="BD524" s="59"/>
      <c r="BE524" s="58" t="str">
        <f t="shared" si="346"/>
        <v/>
      </c>
      <c r="BF524" s="59"/>
      <c r="BG524" s="58" t="str">
        <f t="shared" si="347"/>
        <v/>
      </c>
      <c r="BH524" s="59"/>
      <c r="BI524" s="58" t="str">
        <f t="shared" si="348"/>
        <v/>
      </c>
      <c r="BJ524" s="59"/>
      <c r="BK524" s="58" t="str">
        <f t="shared" si="349"/>
        <v/>
      </c>
      <c r="BL524" s="59"/>
      <c r="BM524" s="58" t="str">
        <f t="shared" si="350"/>
        <v/>
      </c>
      <c r="BN524" s="59"/>
      <c r="BO524" s="58" t="str">
        <f t="shared" si="351"/>
        <v/>
      </c>
      <c r="BP524" s="59"/>
      <c r="BQ524" s="58" t="str">
        <f t="shared" si="352"/>
        <v/>
      </c>
      <c r="BR524" s="59"/>
      <c r="BS524" s="58" t="str">
        <f t="shared" si="353"/>
        <v/>
      </c>
      <c r="BT524" s="59"/>
      <c r="BU524" s="58" t="str">
        <f t="shared" si="354"/>
        <v/>
      </c>
      <c r="BV524" s="59"/>
      <c r="BW524" s="58">
        <f t="shared" si="355"/>
        <v>3468</v>
      </c>
      <c r="BX524" s="59"/>
      <c r="BY524" s="58" t="str">
        <f t="shared" si="356"/>
        <v/>
      </c>
      <c r="BZ524" s="59"/>
    </row>
    <row r="525" spans="1:78" ht="14.5" hidden="1">
      <c r="A525" s="51" t="s">
        <v>58</v>
      </c>
      <c r="B525" s="52">
        <v>420</v>
      </c>
      <c r="C525" s="52" t="s">
        <v>188</v>
      </c>
      <c r="D525" s="41">
        <f t="shared" si="357"/>
        <v>14</v>
      </c>
      <c r="E525" s="41"/>
      <c r="F525" s="41"/>
      <c r="G525" s="52" t="s">
        <v>158</v>
      </c>
      <c r="H525" s="52" t="s">
        <v>242</v>
      </c>
      <c r="I525" s="52" t="s">
        <v>154</v>
      </c>
      <c r="J525" s="52" t="s">
        <v>432</v>
      </c>
      <c r="K525" s="53">
        <v>45751</v>
      </c>
      <c r="L525" s="108">
        <v>1436</v>
      </c>
      <c r="M525" s="101"/>
      <c r="N525" s="101"/>
      <c r="O525" s="107">
        <f t="shared" si="331"/>
        <v>1436</v>
      </c>
      <c r="P525" s="54">
        <f t="shared" si="332"/>
        <v>1436</v>
      </c>
      <c r="Q525" s="101" t="s">
        <v>439</v>
      </c>
      <c r="R525" s="101"/>
      <c r="S525" s="101"/>
      <c r="T525" s="102">
        <f t="shared" si="358"/>
        <v>1.9944444444444445</v>
      </c>
      <c r="U525" s="102">
        <v>6</v>
      </c>
      <c r="V525" s="99">
        <v>120</v>
      </c>
      <c r="W525" s="55">
        <f>+K525-(20)</f>
        <v>45731</v>
      </c>
      <c r="X525" s="55"/>
      <c r="Y525" s="56">
        <f t="shared" ca="1" si="329"/>
        <v>-109</v>
      </c>
      <c r="Z525" s="55">
        <f t="shared" si="328"/>
        <v>45747</v>
      </c>
      <c r="AA525" s="55"/>
      <c r="AB525" s="56">
        <f t="shared" ca="1" si="330"/>
        <v>-93</v>
      </c>
      <c r="AC525" s="55"/>
      <c r="AD525" s="57"/>
      <c r="AE525" s="58" t="str">
        <f t="shared" si="333"/>
        <v>-</v>
      </c>
      <c r="AF525" s="59"/>
      <c r="AG525" s="58" t="str">
        <f t="shared" si="334"/>
        <v/>
      </c>
      <c r="AH525" s="59"/>
      <c r="AI525" s="58" t="str">
        <f t="shared" si="335"/>
        <v/>
      </c>
      <c r="AJ525" s="59"/>
      <c r="AK525" s="58" t="str">
        <f t="shared" si="336"/>
        <v/>
      </c>
      <c r="AL525" s="59"/>
      <c r="AM525" s="58" t="str">
        <f t="shared" si="337"/>
        <v/>
      </c>
      <c r="AN525" s="59"/>
      <c r="AO525" s="58" t="str">
        <f t="shared" si="338"/>
        <v/>
      </c>
      <c r="AP525" s="59"/>
      <c r="AQ525" s="58" t="str">
        <f t="shared" si="339"/>
        <v/>
      </c>
      <c r="AR525" s="59"/>
      <c r="AS525" s="58" t="str">
        <f t="shared" si="340"/>
        <v/>
      </c>
      <c r="AT525" s="59"/>
      <c r="AU525" s="58" t="str">
        <f t="shared" si="341"/>
        <v/>
      </c>
      <c r="AV525" s="59"/>
      <c r="AW525" s="58" t="str">
        <f t="shared" si="342"/>
        <v/>
      </c>
      <c r="AX525" s="59"/>
      <c r="AY525" s="58" t="str">
        <f t="shared" si="343"/>
        <v/>
      </c>
      <c r="AZ525" s="59"/>
      <c r="BA525" s="58" t="str">
        <f t="shared" si="344"/>
        <v/>
      </c>
      <c r="BB525" s="59"/>
      <c r="BC525" s="58" t="str">
        <f t="shared" si="345"/>
        <v/>
      </c>
      <c r="BD525" s="59"/>
      <c r="BE525" s="58" t="str">
        <f t="shared" si="346"/>
        <v/>
      </c>
      <c r="BF525" s="59"/>
      <c r="BG525" s="58" t="str">
        <f t="shared" si="347"/>
        <v/>
      </c>
      <c r="BH525" s="59"/>
      <c r="BI525" s="58" t="str">
        <f t="shared" si="348"/>
        <v/>
      </c>
      <c r="BJ525" s="59"/>
      <c r="BK525" s="58" t="str">
        <f t="shared" si="349"/>
        <v/>
      </c>
      <c r="BL525" s="59"/>
      <c r="BM525" s="58" t="str">
        <f t="shared" si="350"/>
        <v/>
      </c>
      <c r="BN525" s="59"/>
      <c r="BO525" s="58" t="str">
        <f t="shared" si="351"/>
        <v/>
      </c>
      <c r="BP525" s="59"/>
      <c r="BQ525" s="58" t="str">
        <f t="shared" si="352"/>
        <v/>
      </c>
      <c r="BR525" s="59"/>
      <c r="BS525" s="58" t="str">
        <f t="shared" si="353"/>
        <v/>
      </c>
      <c r="BT525" s="59"/>
      <c r="BU525" s="58" t="str">
        <f t="shared" si="354"/>
        <v/>
      </c>
      <c r="BV525" s="59"/>
      <c r="BW525" s="58">
        <f t="shared" si="355"/>
        <v>1436</v>
      </c>
      <c r="BX525" s="59"/>
      <c r="BY525" s="58" t="str">
        <f t="shared" si="356"/>
        <v/>
      </c>
      <c r="BZ525" s="59"/>
    </row>
    <row r="526" spans="1:78" ht="14.5" hidden="1">
      <c r="A526" s="51" t="s">
        <v>446</v>
      </c>
      <c r="B526" s="52">
        <v>404</v>
      </c>
      <c r="C526" s="52" t="s">
        <v>400</v>
      </c>
      <c r="D526" s="41">
        <f t="shared" si="357"/>
        <v>14</v>
      </c>
      <c r="E526" s="41"/>
      <c r="F526" s="41"/>
      <c r="G526" s="52" t="s">
        <v>409</v>
      </c>
      <c r="H526" s="52" t="s">
        <v>308</v>
      </c>
      <c r="I526" s="52" t="s">
        <v>244</v>
      </c>
      <c r="J526" s="52" t="s">
        <v>488</v>
      </c>
      <c r="K526" s="53">
        <v>45751</v>
      </c>
      <c r="L526" s="108">
        <v>3000</v>
      </c>
      <c r="M526" s="101"/>
      <c r="N526" s="101"/>
      <c r="O526" s="101">
        <f t="shared" si="331"/>
        <v>3000</v>
      </c>
      <c r="P526" s="54">
        <f t="shared" si="332"/>
        <v>3000</v>
      </c>
      <c r="Q526" s="101" t="s">
        <v>443</v>
      </c>
      <c r="R526" s="101"/>
      <c r="S526" s="101"/>
      <c r="T526" s="102">
        <f t="shared" si="358"/>
        <v>6.25</v>
      </c>
      <c r="U526" s="102">
        <v>6</v>
      </c>
      <c r="V526" s="99">
        <v>80</v>
      </c>
      <c r="W526" s="55">
        <f>+K526-(32)</f>
        <v>45719</v>
      </c>
      <c r="X526" s="55"/>
      <c r="Y526" s="56">
        <f t="shared" ca="1" si="329"/>
        <v>-121</v>
      </c>
      <c r="Z526" s="55">
        <f t="shared" si="328"/>
        <v>45735</v>
      </c>
      <c r="AA526" s="55"/>
      <c r="AB526" s="56">
        <f t="shared" ca="1" si="330"/>
        <v>-105</v>
      </c>
      <c r="AC526" s="55"/>
      <c r="AD526" s="57"/>
      <c r="AE526" s="58" t="str">
        <f t="shared" si="333"/>
        <v>-</v>
      </c>
      <c r="AF526" s="59"/>
      <c r="AG526" s="58" t="str">
        <f t="shared" si="334"/>
        <v/>
      </c>
      <c r="AH526" s="59"/>
      <c r="AI526" s="58" t="str">
        <f t="shared" si="335"/>
        <v/>
      </c>
      <c r="AJ526" s="59"/>
      <c r="AK526" s="58" t="str">
        <f t="shared" si="336"/>
        <v/>
      </c>
      <c r="AL526" s="59"/>
      <c r="AM526" s="58" t="str">
        <f t="shared" si="337"/>
        <v/>
      </c>
      <c r="AN526" s="59"/>
      <c r="AO526" s="58" t="str">
        <f t="shared" si="338"/>
        <v/>
      </c>
      <c r="AP526" s="59"/>
      <c r="AQ526" s="58" t="str">
        <f t="shared" si="339"/>
        <v/>
      </c>
      <c r="AR526" s="59"/>
      <c r="AS526" s="58" t="str">
        <f t="shared" si="340"/>
        <v/>
      </c>
      <c r="AT526" s="59"/>
      <c r="AU526" s="58" t="str">
        <f t="shared" si="341"/>
        <v/>
      </c>
      <c r="AV526" s="59"/>
      <c r="AW526" s="58" t="str">
        <f t="shared" si="342"/>
        <v/>
      </c>
      <c r="AX526" s="59"/>
      <c r="AY526" s="58" t="str">
        <f t="shared" si="343"/>
        <v/>
      </c>
      <c r="AZ526" s="59"/>
      <c r="BA526" s="58" t="str">
        <f t="shared" si="344"/>
        <v/>
      </c>
      <c r="BB526" s="59"/>
      <c r="BC526" s="58" t="str">
        <f t="shared" si="345"/>
        <v/>
      </c>
      <c r="BD526" s="59"/>
      <c r="BE526" s="58" t="str">
        <f t="shared" si="346"/>
        <v/>
      </c>
      <c r="BF526" s="59"/>
      <c r="BG526" s="58" t="str">
        <f t="shared" si="347"/>
        <v/>
      </c>
      <c r="BH526" s="59"/>
      <c r="BI526" s="58" t="str">
        <f t="shared" si="348"/>
        <v/>
      </c>
      <c r="BJ526" s="59"/>
      <c r="BK526" s="58" t="str">
        <f t="shared" si="349"/>
        <v/>
      </c>
      <c r="BL526" s="59"/>
      <c r="BM526" s="58" t="str">
        <f t="shared" si="350"/>
        <v/>
      </c>
      <c r="BN526" s="59"/>
      <c r="BO526" s="58" t="str">
        <f t="shared" si="351"/>
        <v/>
      </c>
      <c r="BP526" s="59"/>
      <c r="BQ526" s="58" t="str">
        <f t="shared" si="352"/>
        <v/>
      </c>
      <c r="BR526" s="59"/>
      <c r="BS526" s="58" t="str">
        <f t="shared" si="353"/>
        <v/>
      </c>
      <c r="BT526" s="59"/>
      <c r="BU526" s="58">
        <f t="shared" si="354"/>
        <v>3000</v>
      </c>
      <c r="BV526" s="59"/>
      <c r="BW526" s="58" t="str">
        <f t="shared" si="355"/>
        <v/>
      </c>
      <c r="BX526" s="59"/>
      <c r="BY526" s="58" t="str">
        <f t="shared" si="356"/>
        <v/>
      </c>
      <c r="BZ526" s="59"/>
    </row>
    <row r="527" spans="1:78" ht="14.5" hidden="1">
      <c r="A527" s="51" t="s">
        <v>446</v>
      </c>
      <c r="B527" s="52">
        <v>404</v>
      </c>
      <c r="C527" s="52" t="s">
        <v>400</v>
      </c>
      <c r="D527" s="41">
        <f t="shared" si="357"/>
        <v>14</v>
      </c>
      <c r="E527" s="41"/>
      <c r="F527" s="41"/>
      <c r="G527" s="52" t="s">
        <v>510</v>
      </c>
      <c r="H527" s="52" t="s">
        <v>468</v>
      </c>
      <c r="I527" s="52" t="s">
        <v>501</v>
      </c>
      <c r="J527" s="52" t="s">
        <v>588</v>
      </c>
      <c r="K527" s="53">
        <v>45751</v>
      </c>
      <c r="L527" s="108">
        <v>220</v>
      </c>
      <c r="M527" s="101"/>
      <c r="N527" s="101"/>
      <c r="O527" s="101">
        <f t="shared" si="331"/>
        <v>220</v>
      </c>
      <c r="P527" s="54">
        <f t="shared" si="332"/>
        <v>220</v>
      </c>
      <c r="Q527" s="101" t="s">
        <v>178</v>
      </c>
      <c r="R527" s="101"/>
      <c r="S527" s="101"/>
      <c r="T527" s="102">
        <f t="shared" si="358"/>
        <v>0.45833333333333331</v>
      </c>
      <c r="U527" s="102">
        <v>6</v>
      </c>
      <c r="V527" s="99">
        <v>80</v>
      </c>
      <c r="W527" s="55">
        <f>+K527-(32)</f>
        <v>45719</v>
      </c>
      <c r="X527" s="55"/>
      <c r="Y527" s="56">
        <f t="shared" ca="1" si="329"/>
        <v>-121</v>
      </c>
      <c r="Z527" s="55">
        <f t="shared" si="328"/>
        <v>45735</v>
      </c>
      <c r="AA527" s="55"/>
      <c r="AB527" s="56">
        <f t="shared" ca="1" si="330"/>
        <v>-105</v>
      </c>
      <c r="AC527" s="55"/>
      <c r="AD527" s="57"/>
      <c r="AE527" s="58" t="str">
        <f t="shared" si="333"/>
        <v>-</v>
      </c>
      <c r="AF527" s="59"/>
      <c r="AG527" s="58" t="str">
        <f t="shared" si="334"/>
        <v/>
      </c>
      <c r="AH527" s="59"/>
      <c r="AI527" s="58" t="str">
        <f t="shared" si="335"/>
        <v/>
      </c>
      <c r="AJ527" s="59"/>
      <c r="AK527" s="58" t="str">
        <f t="shared" si="336"/>
        <v/>
      </c>
      <c r="AL527" s="59"/>
      <c r="AM527" s="58" t="str">
        <f t="shared" si="337"/>
        <v/>
      </c>
      <c r="AN527" s="59"/>
      <c r="AO527" s="58" t="str">
        <f t="shared" si="338"/>
        <v/>
      </c>
      <c r="AP527" s="59"/>
      <c r="AQ527" s="58" t="str">
        <f t="shared" si="339"/>
        <v/>
      </c>
      <c r="AR527" s="59"/>
      <c r="AS527" s="58" t="str">
        <f t="shared" si="340"/>
        <v/>
      </c>
      <c r="AT527" s="59"/>
      <c r="AU527" s="58" t="str">
        <f t="shared" si="341"/>
        <v/>
      </c>
      <c r="AV527" s="59"/>
      <c r="AW527" s="58" t="str">
        <f t="shared" si="342"/>
        <v/>
      </c>
      <c r="AX527" s="59"/>
      <c r="AY527" s="58" t="str">
        <f t="shared" si="343"/>
        <v/>
      </c>
      <c r="AZ527" s="59"/>
      <c r="BA527" s="58" t="str">
        <f t="shared" si="344"/>
        <v/>
      </c>
      <c r="BB527" s="59"/>
      <c r="BC527" s="58" t="str">
        <f t="shared" si="345"/>
        <v/>
      </c>
      <c r="BD527" s="59"/>
      <c r="BE527" s="58" t="str">
        <f t="shared" si="346"/>
        <v/>
      </c>
      <c r="BF527" s="59"/>
      <c r="BG527" s="58" t="str">
        <f t="shared" si="347"/>
        <v/>
      </c>
      <c r="BH527" s="59"/>
      <c r="BI527" s="58" t="str">
        <f t="shared" si="348"/>
        <v/>
      </c>
      <c r="BJ527" s="59"/>
      <c r="BK527" s="58" t="str">
        <f t="shared" si="349"/>
        <v/>
      </c>
      <c r="BL527" s="59"/>
      <c r="BM527" s="58" t="str">
        <f t="shared" si="350"/>
        <v/>
      </c>
      <c r="BN527" s="59"/>
      <c r="BO527" s="58" t="str">
        <f t="shared" si="351"/>
        <v/>
      </c>
      <c r="BP527" s="59"/>
      <c r="BQ527" s="58" t="str">
        <f t="shared" si="352"/>
        <v/>
      </c>
      <c r="BR527" s="59"/>
      <c r="BS527" s="58" t="str">
        <f t="shared" si="353"/>
        <v/>
      </c>
      <c r="BT527" s="59"/>
      <c r="BU527" s="58">
        <f t="shared" si="354"/>
        <v>220</v>
      </c>
      <c r="BV527" s="59"/>
      <c r="BW527" s="58" t="str">
        <f t="shared" si="355"/>
        <v/>
      </c>
      <c r="BX527" s="59"/>
      <c r="BY527" s="58" t="str">
        <f t="shared" si="356"/>
        <v/>
      </c>
      <c r="BZ527" s="59"/>
    </row>
    <row r="528" spans="1:78" ht="14.5" hidden="1">
      <c r="A528" s="51" t="s">
        <v>58</v>
      </c>
      <c r="B528" s="52" t="s">
        <v>394</v>
      </c>
      <c r="C528" s="52" t="s">
        <v>188</v>
      </c>
      <c r="D528" s="41">
        <f t="shared" si="357"/>
        <v>15</v>
      </c>
      <c r="E528" s="41"/>
      <c r="F528" s="41"/>
      <c r="G528" s="52" t="s">
        <v>390</v>
      </c>
      <c r="H528" s="52" t="s">
        <v>242</v>
      </c>
      <c r="I528" s="52" t="s">
        <v>162</v>
      </c>
      <c r="J528" s="52" t="s">
        <v>430</v>
      </c>
      <c r="K528" s="53">
        <v>45758</v>
      </c>
      <c r="L528" s="108">
        <v>2100</v>
      </c>
      <c r="M528" s="101"/>
      <c r="N528" s="101"/>
      <c r="O528" s="107">
        <f t="shared" si="331"/>
        <v>2100</v>
      </c>
      <c r="P528" s="54">
        <f t="shared" si="332"/>
        <v>2100</v>
      </c>
      <c r="Q528" s="101" t="s">
        <v>431</v>
      </c>
      <c r="R528" s="101"/>
      <c r="S528" s="101"/>
      <c r="T528" s="102">
        <f t="shared" si="358"/>
        <v>2.9166666666666665</v>
      </c>
      <c r="U528" s="102">
        <v>6</v>
      </c>
      <c r="V528" s="99">
        <v>120</v>
      </c>
      <c r="W528" s="55">
        <f>+K528-(20)</f>
        <v>45738</v>
      </c>
      <c r="X528" s="55"/>
      <c r="Y528" s="56">
        <f t="shared" ca="1" si="329"/>
        <v>-102</v>
      </c>
      <c r="Z528" s="55">
        <f t="shared" si="328"/>
        <v>45754</v>
      </c>
      <c r="AA528" s="55"/>
      <c r="AB528" s="56">
        <f t="shared" ca="1" si="330"/>
        <v>-86</v>
      </c>
      <c r="AC528" s="55"/>
      <c r="AD528" s="57"/>
      <c r="AE528" s="58" t="str">
        <f t="shared" si="333"/>
        <v>-</v>
      </c>
      <c r="AF528" s="59"/>
      <c r="AG528" s="58" t="str">
        <f t="shared" si="334"/>
        <v/>
      </c>
      <c r="AH528" s="59"/>
      <c r="AI528" s="58" t="str">
        <f t="shared" si="335"/>
        <v/>
      </c>
      <c r="AJ528" s="59"/>
      <c r="AK528" s="58" t="str">
        <f t="shared" si="336"/>
        <v/>
      </c>
      <c r="AL528" s="59"/>
      <c r="AM528" s="58" t="str">
        <f t="shared" si="337"/>
        <v/>
      </c>
      <c r="AN528" s="59"/>
      <c r="AO528" s="58" t="str">
        <f t="shared" si="338"/>
        <v/>
      </c>
      <c r="AP528" s="59"/>
      <c r="AQ528" s="58" t="str">
        <f t="shared" si="339"/>
        <v/>
      </c>
      <c r="AR528" s="59"/>
      <c r="AS528" s="58" t="str">
        <f t="shared" si="340"/>
        <v/>
      </c>
      <c r="AT528" s="59"/>
      <c r="AU528" s="58" t="str">
        <f t="shared" si="341"/>
        <v/>
      </c>
      <c r="AV528" s="59"/>
      <c r="AW528" s="58" t="str">
        <f t="shared" si="342"/>
        <v/>
      </c>
      <c r="AX528" s="59"/>
      <c r="AY528" s="58" t="str">
        <f t="shared" si="343"/>
        <v/>
      </c>
      <c r="AZ528" s="59"/>
      <c r="BA528" s="58" t="str">
        <f t="shared" si="344"/>
        <v/>
      </c>
      <c r="BB528" s="59"/>
      <c r="BC528" s="58" t="str">
        <f t="shared" si="345"/>
        <v/>
      </c>
      <c r="BD528" s="59"/>
      <c r="BE528" s="58" t="str">
        <f t="shared" si="346"/>
        <v/>
      </c>
      <c r="BF528" s="59"/>
      <c r="BG528" s="58" t="str">
        <f t="shared" si="347"/>
        <v/>
      </c>
      <c r="BH528" s="59"/>
      <c r="BI528" s="58" t="str">
        <f t="shared" si="348"/>
        <v/>
      </c>
      <c r="BJ528" s="59"/>
      <c r="BK528" s="58" t="str">
        <f t="shared" si="349"/>
        <v/>
      </c>
      <c r="BL528" s="59"/>
      <c r="BM528" s="58" t="str">
        <f t="shared" si="350"/>
        <v/>
      </c>
      <c r="BN528" s="59"/>
      <c r="BO528" s="58" t="str">
        <f t="shared" si="351"/>
        <v/>
      </c>
      <c r="BP528" s="59"/>
      <c r="BQ528" s="58" t="str">
        <f t="shared" si="352"/>
        <v/>
      </c>
      <c r="BR528" s="59"/>
      <c r="BS528" s="58" t="str">
        <f t="shared" si="353"/>
        <v/>
      </c>
      <c r="BT528" s="59"/>
      <c r="BU528" s="58" t="str">
        <f t="shared" si="354"/>
        <v/>
      </c>
      <c r="BV528" s="59"/>
      <c r="BW528" s="58" t="str">
        <f t="shared" si="355"/>
        <v/>
      </c>
      <c r="BX528" s="59"/>
      <c r="BY528" s="58">
        <f t="shared" si="356"/>
        <v>2100</v>
      </c>
      <c r="BZ528" s="59"/>
    </row>
    <row r="529" spans="1:78" ht="14.5" hidden="1">
      <c r="A529" s="51" t="s">
        <v>466</v>
      </c>
      <c r="B529" s="114" t="s">
        <v>589</v>
      </c>
      <c r="C529" s="52" t="s">
        <v>55</v>
      </c>
      <c r="D529" s="41">
        <f t="shared" si="357"/>
        <v>17</v>
      </c>
      <c r="E529" s="41"/>
      <c r="F529" s="41"/>
      <c r="G529" s="52" t="s">
        <v>539</v>
      </c>
      <c r="H529" s="52" t="s">
        <v>286</v>
      </c>
      <c r="I529" s="52" t="s">
        <v>162</v>
      </c>
      <c r="J529" s="52" t="s">
        <v>581</v>
      </c>
      <c r="K529" s="53">
        <v>45771</v>
      </c>
      <c r="L529" s="108">
        <v>45900</v>
      </c>
      <c r="M529" s="101"/>
      <c r="N529" s="101"/>
      <c r="O529" s="101">
        <f t="shared" si="331"/>
        <v>45900</v>
      </c>
      <c r="P529" s="54">
        <f t="shared" si="332"/>
        <v>45900</v>
      </c>
      <c r="Q529" s="101" t="s">
        <v>178</v>
      </c>
      <c r="R529" s="101"/>
      <c r="S529" s="101"/>
      <c r="T529" s="102">
        <f t="shared" si="358"/>
        <v>95.625</v>
      </c>
      <c r="U529" s="102">
        <v>6</v>
      </c>
      <c r="V529" s="99">
        <v>80</v>
      </c>
      <c r="W529" s="55">
        <f>+K529-(32)</f>
        <v>45739</v>
      </c>
      <c r="X529" s="55"/>
      <c r="Y529" s="56">
        <f t="shared" ca="1" si="329"/>
        <v>-101</v>
      </c>
      <c r="Z529" s="55">
        <f t="shared" si="328"/>
        <v>45755</v>
      </c>
      <c r="AA529" s="55"/>
      <c r="AB529" s="56">
        <f t="shared" ca="1" si="330"/>
        <v>-85</v>
      </c>
      <c r="AC529" s="55"/>
      <c r="AD529" s="57"/>
      <c r="AE529" s="58" t="str">
        <f t="shared" si="333"/>
        <v>-</v>
      </c>
      <c r="AF529" s="59"/>
      <c r="AG529" s="58" t="str">
        <f t="shared" si="334"/>
        <v/>
      </c>
      <c r="AH529" s="59"/>
      <c r="AI529" s="58" t="str">
        <f t="shared" si="335"/>
        <v/>
      </c>
      <c r="AJ529" s="59"/>
      <c r="AK529" s="58" t="str">
        <f t="shared" si="336"/>
        <v/>
      </c>
      <c r="AL529" s="59"/>
      <c r="AM529" s="58" t="str">
        <f t="shared" si="337"/>
        <v/>
      </c>
      <c r="AN529" s="59"/>
      <c r="AO529" s="58" t="str">
        <f t="shared" si="338"/>
        <v/>
      </c>
      <c r="AP529" s="59"/>
      <c r="AQ529" s="58" t="str">
        <f t="shared" si="339"/>
        <v/>
      </c>
      <c r="AR529" s="59"/>
      <c r="AS529" s="58" t="str">
        <f t="shared" si="340"/>
        <v/>
      </c>
      <c r="AT529" s="59"/>
      <c r="AU529" s="58" t="str">
        <f t="shared" si="341"/>
        <v/>
      </c>
      <c r="AV529" s="59"/>
      <c r="AW529" s="58" t="str">
        <f t="shared" si="342"/>
        <v/>
      </c>
      <c r="AX529" s="59"/>
      <c r="AY529" s="58" t="str">
        <f t="shared" si="343"/>
        <v/>
      </c>
      <c r="AZ529" s="59"/>
      <c r="BA529" s="58" t="str">
        <f t="shared" si="344"/>
        <v/>
      </c>
      <c r="BB529" s="59"/>
      <c r="BC529" s="58" t="str">
        <f t="shared" si="345"/>
        <v/>
      </c>
      <c r="BD529" s="59"/>
      <c r="BE529" s="58" t="str">
        <f t="shared" si="346"/>
        <v/>
      </c>
      <c r="BF529" s="59"/>
      <c r="BG529" s="58" t="str">
        <f t="shared" si="347"/>
        <v/>
      </c>
      <c r="BH529" s="59"/>
      <c r="BI529" s="58" t="str">
        <f t="shared" si="348"/>
        <v/>
      </c>
      <c r="BJ529" s="59"/>
      <c r="BK529" s="58" t="str">
        <f t="shared" si="349"/>
        <v/>
      </c>
      <c r="BL529" s="59"/>
      <c r="BM529" s="58" t="str">
        <f t="shared" si="350"/>
        <v/>
      </c>
      <c r="BN529" s="59"/>
      <c r="BO529" s="58" t="str">
        <f t="shared" si="351"/>
        <v/>
      </c>
      <c r="BP529" s="59"/>
      <c r="BQ529" s="58" t="str">
        <f t="shared" si="352"/>
        <v/>
      </c>
      <c r="BR529" s="59"/>
      <c r="BS529" s="58" t="str">
        <f t="shared" si="353"/>
        <v/>
      </c>
      <c r="BT529" s="59"/>
      <c r="BU529" s="58" t="str">
        <f t="shared" si="354"/>
        <v/>
      </c>
      <c r="BV529" s="59"/>
      <c r="BW529" s="58" t="str">
        <f t="shared" si="355"/>
        <v/>
      </c>
      <c r="BX529" s="59"/>
      <c r="BY529" s="58" t="str">
        <f t="shared" si="356"/>
        <v/>
      </c>
      <c r="BZ529" s="59"/>
    </row>
    <row r="530" spans="1:78" ht="14.5" hidden="1">
      <c r="A530" s="51" t="s">
        <v>466</v>
      </c>
      <c r="B530" s="114" t="s">
        <v>589</v>
      </c>
      <c r="C530" s="52" t="s">
        <v>55</v>
      </c>
      <c r="D530" s="41">
        <f t="shared" si="357"/>
        <v>17</v>
      </c>
      <c r="E530" s="41"/>
      <c r="F530" s="41"/>
      <c r="G530" s="52" t="s">
        <v>539</v>
      </c>
      <c r="H530" s="52" t="s">
        <v>286</v>
      </c>
      <c r="I530" s="52" t="s">
        <v>155</v>
      </c>
      <c r="J530" s="52" t="s">
        <v>581</v>
      </c>
      <c r="K530" s="53">
        <v>45771</v>
      </c>
      <c r="L530" s="108">
        <v>46920</v>
      </c>
      <c r="M530" s="101"/>
      <c r="N530" s="101"/>
      <c r="O530" s="101">
        <f t="shared" si="331"/>
        <v>46920</v>
      </c>
      <c r="P530" s="54">
        <f t="shared" si="332"/>
        <v>46920</v>
      </c>
      <c r="Q530" s="101" t="s">
        <v>178</v>
      </c>
      <c r="R530" s="101"/>
      <c r="S530" s="101"/>
      <c r="T530" s="102">
        <f t="shared" si="358"/>
        <v>97.75</v>
      </c>
      <c r="U530" s="102">
        <v>6</v>
      </c>
      <c r="V530" s="99">
        <v>80</v>
      </c>
      <c r="W530" s="55">
        <f>+K530-(32)</f>
        <v>45739</v>
      </c>
      <c r="X530" s="55"/>
      <c r="Y530" s="56">
        <f t="shared" ca="1" si="329"/>
        <v>-101</v>
      </c>
      <c r="Z530" s="55">
        <f t="shared" si="328"/>
        <v>45755</v>
      </c>
      <c r="AA530" s="55"/>
      <c r="AB530" s="56">
        <f t="shared" ca="1" si="330"/>
        <v>-85</v>
      </c>
      <c r="AC530" s="55"/>
      <c r="AD530" s="57"/>
      <c r="AE530" s="58" t="str">
        <f t="shared" si="333"/>
        <v>-</v>
      </c>
      <c r="AF530" s="59"/>
      <c r="AG530" s="58" t="str">
        <f t="shared" si="334"/>
        <v/>
      </c>
      <c r="AH530" s="59"/>
      <c r="AI530" s="58" t="str">
        <f t="shared" si="335"/>
        <v/>
      </c>
      <c r="AJ530" s="59"/>
      <c r="AK530" s="58" t="str">
        <f t="shared" si="336"/>
        <v/>
      </c>
      <c r="AL530" s="59"/>
      <c r="AM530" s="58" t="str">
        <f t="shared" si="337"/>
        <v/>
      </c>
      <c r="AN530" s="59"/>
      <c r="AO530" s="58" t="str">
        <f t="shared" si="338"/>
        <v/>
      </c>
      <c r="AP530" s="59"/>
      <c r="AQ530" s="58" t="str">
        <f t="shared" si="339"/>
        <v/>
      </c>
      <c r="AR530" s="59"/>
      <c r="AS530" s="58" t="str">
        <f t="shared" si="340"/>
        <v/>
      </c>
      <c r="AT530" s="59"/>
      <c r="AU530" s="58" t="str">
        <f t="shared" si="341"/>
        <v/>
      </c>
      <c r="AV530" s="59"/>
      <c r="AW530" s="58" t="str">
        <f t="shared" si="342"/>
        <v/>
      </c>
      <c r="AX530" s="59"/>
      <c r="AY530" s="58" t="str">
        <f t="shared" si="343"/>
        <v/>
      </c>
      <c r="AZ530" s="59"/>
      <c r="BA530" s="58" t="str">
        <f t="shared" si="344"/>
        <v/>
      </c>
      <c r="BB530" s="59"/>
      <c r="BC530" s="58" t="str">
        <f t="shared" si="345"/>
        <v/>
      </c>
      <c r="BD530" s="59"/>
      <c r="BE530" s="58" t="str">
        <f t="shared" si="346"/>
        <v/>
      </c>
      <c r="BF530" s="59"/>
      <c r="BG530" s="58" t="str">
        <f t="shared" si="347"/>
        <v/>
      </c>
      <c r="BH530" s="59"/>
      <c r="BI530" s="58" t="str">
        <f t="shared" si="348"/>
        <v/>
      </c>
      <c r="BJ530" s="59"/>
      <c r="BK530" s="58" t="str">
        <f t="shared" si="349"/>
        <v/>
      </c>
      <c r="BL530" s="59"/>
      <c r="BM530" s="58" t="str">
        <f t="shared" si="350"/>
        <v/>
      </c>
      <c r="BN530" s="59"/>
      <c r="BO530" s="58" t="str">
        <f t="shared" si="351"/>
        <v/>
      </c>
      <c r="BP530" s="59"/>
      <c r="BQ530" s="58" t="str">
        <f t="shared" si="352"/>
        <v/>
      </c>
      <c r="BR530" s="59"/>
      <c r="BS530" s="58" t="str">
        <f t="shared" si="353"/>
        <v/>
      </c>
      <c r="BT530" s="59"/>
      <c r="BU530" s="58" t="str">
        <f t="shared" si="354"/>
        <v/>
      </c>
      <c r="BV530" s="59"/>
      <c r="BW530" s="58" t="str">
        <f t="shared" si="355"/>
        <v/>
      </c>
      <c r="BX530" s="59"/>
      <c r="BY530" s="58" t="str">
        <f t="shared" si="356"/>
        <v/>
      </c>
      <c r="BZ530" s="59"/>
    </row>
    <row r="531" spans="1:78" ht="14.5" hidden="1">
      <c r="A531" s="51"/>
      <c r="B531" s="114"/>
      <c r="C531" s="52"/>
      <c r="D531" s="41">
        <f t="shared" si="357"/>
        <v>17</v>
      </c>
      <c r="E531" s="41"/>
      <c r="F531" s="41"/>
      <c r="G531" s="52"/>
      <c r="H531" s="52"/>
      <c r="I531" s="52"/>
      <c r="J531" s="52"/>
      <c r="K531" s="53">
        <v>45771</v>
      </c>
      <c r="L531" s="108"/>
      <c r="M531" s="101"/>
      <c r="N531" s="101"/>
      <c r="O531" s="101">
        <f t="shared" si="331"/>
        <v>0</v>
      </c>
      <c r="P531" s="54">
        <f t="shared" si="332"/>
        <v>0</v>
      </c>
      <c r="Q531" s="101" t="s">
        <v>178</v>
      </c>
      <c r="R531" s="101"/>
      <c r="S531" s="101"/>
      <c r="T531" s="102">
        <f t="shared" si="358"/>
        <v>0</v>
      </c>
      <c r="U531" s="102">
        <v>6</v>
      </c>
      <c r="V531" s="99">
        <v>80</v>
      </c>
      <c r="W531" s="55">
        <f>+K531-(32)</f>
        <v>45739</v>
      </c>
      <c r="X531" s="55"/>
      <c r="Y531" s="56">
        <f t="shared" ca="1" si="329"/>
        <v>-101</v>
      </c>
      <c r="Z531" s="55">
        <f t="shared" si="328"/>
        <v>45755</v>
      </c>
      <c r="AA531" s="55"/>
      <c r="AB531" s="56">
        <f t="shared" ca="1" si="330"/>
        <v>-85</v>
      </c>
      <c r="AC531" s="55"/>
      <c r="AD531" s="57"/>
      <c r="AE531" s="58" t="str">
        <f t="shared" si="333"/>
        <v>-</v>
      </c>
      <c r="AF531" s="59"/>
      <c r="AG531" s="58" t="str">
        <f t="shared" si="334"/>
        <v/>
      </c>
      <c r="AH531" s="59"/>
      <c r="AI531" s="58" t="str">
        <f t="shared" si="335"/>
        <v/>
      </c>
      <c r="AJ531" s="59"/>
      <c r="AK531" s="58" t="str">
        <f t="shared" si="336"/>
        <v/>
      </c>
      <c r="AL531" s="59"/>
      <c r="AM531" s="58" t="str">
        <f t="shared" si="337"/>
        <v/>
      </c>
      <c r="AN531" s="59"/>
      <c r="AO531" s="58" t="str">
        <f t="shared" si="338"/>
        <v/>
      </c>
      <c r="AP531" s="59"/>
      <c r="AQ531" s="58" t="str">
        <f t="shared" si="339"/>
        <v/>
      </c>
      <c r="AR531" s="59"/>
      <c r="AS531" s="58" t="str">
        <f t="shared" si="340"/>
        <v/>
      </c>
      <c r="AT531" s="59"/>
      <c r="AU531" s="58" t="str">
        <f t="shared" si="341"/>
        <v/>
      </c>
      <c r="AV531" s="59"/>
      <c r="AW531" s="58" t="str">
        <f t="shared" si="342"/>
        <v/>
      </c>
      <c r="AX531" s="59"/>
      <c r="AY531" s="58" t="str">
        <f t="shared" si="343"/>
        <v/>
      </c>
      <c r="AZ531" s="59"/>
      <c r="BA531" s="58" t="str">
        <f t="shared" si="344"/>
        <v/>
      </c>
      <c r="BB531" s="59"/>
      <c r="BC531" s="58" t="str">
        <f t="shared" si="345"/>
        <v/>
      </c>
      <c r="BD531" s="59"/>
      <c r="BE531" s="58" t="str">
        <f t="shared" si="346"/>
        <v/>
      </c>
      <c r="BF531" s="59"/>
      <c r="BG531" s="58" t="str">
        <f t="shared" si="347"/>
        <v/>
      </c>
      <c r="BH531" s="59"/>
      <c r="BI531" s="58" t="str">
        <f t="shared" si="348"/>
        <v/>
      </c>
      <c r="BJ531" s="59"/>
      <c r="BK531" s="58" t="str">
        <f t="shared" si="349"/>
        <v/>
      </c>
      <c r="BL531" s="59"/>
      <c r="BM531" s="58" t="str">
        <f t="shared" si="350"/>
        <v/>
      </c>
      <c r="BN531" s="59"/>
      <c r="BO531" s="58" t="str">
        <f t="shared" si="351"/>
        <v/>
      </c>
      <c r="BP531" s="59"/>
      <c r="BQ531" s="58" t="str">
        <f t="shared" si="352"/>
        <v/>
      </c>
      <c r="BR531" s="59"/>
      <c r="BS531" s="58" t="str">
        <f t="shared" si="353"/>
        <v/>
      </c>
      <c r="BT531" s="59"/>
      <c r="BU531" s="58" t="str">
        <f t="shared" si="354"/>
        <v/>
      </c>
      <c r="BV531" s="59"/>
      <c r="BW531" s="58" t="str">
        <f t="shared" si="355"/>
        <v/>
      </c>
      <c r="BX531" s="59"/>
      <c r="BY531" s="58" t="str">
        <f t="shared" si="356"/>
        <v/>
      </c>
      <c r="BZ531" s="59"/>
    </row>
    <row r="534" spans="1:78" ht="14.5">
      <c r="K534" s="168"/>
      <c r="Q534" s="166"/>
      <c r="R534" s="166">
        <v>45707</v>
      </c>
    </row>
    <row r="535" spans="1:78">
      <c r="O535" s="169"/>
    </row>
    <row r="536" spans="1:78" ht="14.5">
      <c r="O536" s="169"/>
      <c r="R536" s="178">
        <f ca="1">+O3/(R534-TODAY())-20</f>
        <v>-808.93233082706763</v>
      </c>
    </row>
    <row r="537" spans="1:78">
      <c r="K537" s="168"/>
    </row>
    <row r="538" spans="1:78">
      <c r="F538" s="92">
        <v>336</v>
      </c>
      <c r="G538" s="92" t="s">
        <v>691</v>
      </c>
      <c r="H538" s="92" t="s">
        <v>692</v>
      </c>
      <c r="I538" s="92" t="s">
        <v>693</v>
      </c>
    </row>
    <row r="539" spans="1:78">
      <c r="R539" s="168">
        <v>45689</v>
      </c>
    </row>
  </sheetData>
  <sheetProtection formatCells="0" selectLockedCells="1" autoFilter="0"/>
  <autoFilter ref="A6:BZ531">
    <filterColumn colId="2">
      <filters>
        <filter val="JYSK"/>
      </filters>
    </filterColumn>
    <filterColumn colId="6">
      <filters>
        <filter val="Sandarve"/>
      </filters>
    </filterColumn>
  </autoFilter>
  <mergeCells count="73">
    <mergeCell ref="F4:F6"/>
    <mergeCell ref="A4:A6"/>
    <mergeCell ref="B4:B6"/>
    <mergeCell ref="C4:C6"/>
    <mergeCell ref="D4:D6"/>
    <mergeCell ref="E4:E6"/>
    <mergeCell ref="AG4:AH4"/>
    <mergeCell ref="G4:G6"/>
    <mergeCell ref="H4:H6"/>
    <mergeCell ref="I4:I6"/>
    <mergeCell ref="N4:N6"/>
    <mergeCell ref="O4:O6"/>
    <mergeCell ref="J4:J6"/>
    <mergeCell ref="K4:K6"/>
    <mergeCell ref="M4:M6"/>
    <mergeCell ref="S4:S6"/>
    <mergeCell ref="T4:T6"/>
    <mergeCell ref="U4:U6"/>
    <mergeCell ref="V4:V6"/>
    <mergeCell ref="W4:Y5"/>
    <mergeCell ref="Z4:AB5"/>
    <mergeCell ref="L4:L6"/>
    <mergeCell ref="P4:P6"/>
    <mergeCell ref="Q4:Q6"/>
    <mergeCell ref="R4:R6"/>
    <mergeCell ref="AM4:AN4"/>
    <mergeCell ref="BW4:BX4"/>
    <mergeCell ref="AQ4:AR4"/>
    <mergeCell ref="AS4:AT4"/>
    <mergeCell ref="AU4:AV4"/>
    <mergeCell ref="AC4:AD5"/>
    <mergeCell ref="AE4:AF4"/>
    <mergeCell ref="AK4:AL4"/>
    <mergeCell ref="AO4:AP4"/>
    <mergeCell ref="AE5:AF5"/>
    <mergeCell ref="AY4:AZ4"/>
    <mergeCell ref="AW4:AX4"/>
    <mergeCell ref="AW5:AX5"/>
    <mergeCell ref="AY5:AZ5"/>
    <mergeCell ref="AU5:AV5"/>
    <mergeCell ref="AS5:AT5"/>
    <mergeCell ref="AM5:AN5"/>
    <mergeCell ref="AQ5:AR5"/>
    <mergeCell ref="AO5:AP5"/>
    <mergeCell ref="AG5:AH5"/>
    <mergeCell ref="AI5:AJ5"/>
    <mergeCell ref="AK5:AL5"/>
    <mergeCell ref="BY4:BZ4"/>
    <mergeCell ref="BO4:BP4"/>
    <mergeCell ref="BQ4:BR4"/>
    <mergeCell ref="BS4:BT4"/>
    <mergeCell ref="BU4:BV4"/>
    <mergeCell ref="AI4:AJ4"/>
    <mergeCell ref="BM4:BN4"/>
    <mergeCell ref="BA5:BB5"/>
    <mergeCell ref="BC5:BD5"/>
    <mergeCell ref="BE5:BF5"/>
    <mergeCell ref="BC4:BD4"/>
    <mergeCell ref="BE4:BF4"/>
    <mergeCell ref="BG4:BH4"/>
    <mergeCell ref="BI4:BJ4"/>
    <mergeCell ref="BK4:BL4"/>
    <mergeCell ref="BA4:BB4"/>
    <mergeCell ref="BU5:BV5"/>
    <mergeCell ref="BW5:BX5"/>
    <mergeCell ref="BG5:BH5"/>
    <mergeCell ref="BY5:BZ5"/>
    <mergeCell ref="BI5:BJ5"/>
    <mergeCell ref="BK5:BL5"/>
    <mergeCell ref="BM5:BN5"/>
    <mergeCell ref="BO5:BP5"/>
    <mergeCell ref="BQ5:BR5"/>
    <mergeCell ref="BS5:BT5"/>
  </mergeCells>
  <conditionalFormatting sqref="A7:XFD531">
    <cfRule type="expression" dxfId="10" priority="6">
      <formula>ROW()=CELL("row")</formula>
    </cfRule>
  </conditionalFormatting>
  <conditionalFormatting sqref="E1:F1048576">
    <cfRule type="containsText" dxfId="9" priority="4" operator="containsText" text="*/*">
      <formula>NOT(ISERROR(SEARCH("*/*",E1)))</formula>
    </cfRule>
    <cfRule type="timePeriod" dxfId="8" priority="5" timePeriod="thisMonth">
      <formula>AND(MONTH(E1)=MONTH(TODAY()),YEAR(E1)=YEAR(TODAY()))</formula>
    </cfRule>
  </conditionalFormatting>
  <conditionalFormatting sqref="G1:G1048576">
    <cfRule type="containsText" dxfId="7" priority="1" operator="containsText" text="gRA">
      <formula>NOT(ISERROR(SEARCH("gRA",G1)))</formula>
    </cfRule>
  </conditionalFormatting>
  <conditionalFormatting sqref="P7:P531">
    <cfRule type="cellIs" dxfId="6" priority="9" operator="lessThanOrEqual">
      <formula>0</formula>
    </cfRule>
  </conditionalFormatting>
  <conditionalFormatting sqref="Q534:R534">
    <cfRule type="expression" dxfId="5" priority="3">
      <formula>ROW()=CELL("row")</formula>
    </cfRule>
  </conditionalFormatting>
  <conditionalFormatting sqref="R536">
    <cfRule type="expression" dxfId="4" priority="2">
      <formula>ROW()=CELL("row")</formula>
    </cfRule>
  </conditionalFormatting>
  <conditionalFormatting sqref="Y7:Y531 AB7:AB531">
    <cfRule type="cellIs" dxfId="3" priority="10" operator="greaterThanOrEqual">
      <formula>0</formula>
    </cfRule>
    <cfRule type="cellIs" dxfId="2" priority="11" operator="lessThan">
      <formula>0</formula>
    </cfRule>
  </conditionalFormatting>
  <conditionalFormatting sqref="AE7:BZ531">
    <cfRule type="containsErrors" dxfId="1" priority="7">
      <formula>ISERROR(AE7)</formula>
    </cfRule>
    <cfRule type="containsBlanks" dxfId="0" priority="8">
      <formula>LEN(TRIM(AE7))=0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10"/>
  <sheetViews>
    <sheetView topLeftCell="X89" workbookViewId="0">
      <selection activeCell="A2" sqref="A2:AO110"/>
    </sheetView>
  </sheetViews>
  <sheetFormatPr defaultRowHeight="14"/>
  <cols>
    <col min="4" max="4" width="2.1640625" customWidth="1"/>
    <col min="6" max="7" width="13.4140625" customWidth="1"/>
    <col min="8" max="8" width="14" customWidth="1"/>
    <col min="35" max="36" width="14" customWidth="1"/>
    <col min="37" max="37" width="14.83203125" customWidth="1"/>
    <col min="38" max="38" width="10.58203125" bestFit="1" customWidth="1"/>
    <col min="39" max="39" width="19.1640625" customWidth="1"/>
    <col min="41" max="41" width="10.4140625" bestFit="1" customWidth="1"/>
  </cols>
  <sheetData>
    <row r="2" spans="1:41" ht="23">
      <c r="A2" s="399" t="s">
        <v>694</v>
      </c>
      <c r="B2" s="399"/>
      <c r="C2" s="399"/>
      <c r="D2" s="399"/>
      <c r="E2" s="399"/>
      <c r="F2" s="399"/>
      <c r="G2" s="399"/>
      <c r="H2" s="399"/>
      <c r="I2" s="399"/>
      <c r="J2" s="399"/>
      <c r="K2" s="399"/>
      <c r="L2" s="399"/>
      <c r="M2" s="399"/>
      <c r="N2" s="399"/>
      <c r="O2" s="399"/>
      <c r="P2" s="399"/>
      <c r="Q2" s="399"/>
      <c r="R2" s="399"/>
      <c r="S2" s="399"/>
      <c r="T2" s="399"/>
      <c r="U2" s="399"/>
      <c r="V2" s="399"/>
      <c r="W2" s="399"/>
      <c r="X2" s="399"/>
      <c r="Y2" s="399"/>
      <c r="Z2" s="399"/>
      <c r="AA2" s="399"/>
      <c r="AB2" s="399"/>
      <c r="AC2" s="399"/>
      <c r="AD2" s="399"/>
      <c r="AE2" s="399"/>
      <c r="AF2" s="399"/>
      <c r="AG2" s="399"/>
      <c r="AH2" s="399"/>
      <c r="AI2" s="399"/>
      <c r="AJ2" s="230"/>
    </row>
    <row r="3" spans="1:41" ht="20">
      <c r="A3" s="406" t="s">
        <v>695</v>
      </c>
      <c r="B3" s="406"/>
      <c r="C3" s="406"/>
      <c r="D3" s="406"/>
      <c r="E3" s="406"/>
      <c r="F3" s="406"/>
      <c r="G3" s="400" t="s">
        <v>14</v>
      </c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400"/>
      <c r="Z3" s="400"/>
      <c r="AA3" s="400"/>
      <c r="AB3" s="400"/>
      <c r="AC3" s="400"/>
      <c r="AD3" s="400"/>
      <c r="AE3" s="400"/>
      <c r="AF3" s="400"/>
      <c r="AG3" s="400"/>
      <c r="AH3" s="400"/>
      <c r="AI3" s="400"/>
      <c r="AJ3" s="229"/>
      <c r="AK3" s="400" t="s">
        <v>696</v>
      </c>
      <c r="AL3" s="400"/>
      <c r="AM3" s="400"/>
      <c r="AN3" s="400"/>
      <c r="AO3" s="400"/>
    </row>
    <row r="4" spans="1:41" ht="28.5" customHeight="1">
      <c r="A4" s="212" t="s">
        <v>697</v>
      </c>
      <c r="B4" s="401" t="s">
        <v>698</v>
      </c>
      <c r="C4" s="402"/>
      <c r="D4" s="403"/>
      <c r="E4" s="401" t="s">
        <v>84</v>
      </c>
      <c r="F4" s="402"/>
      <c r="G4" s="212" t="s">
        <v>699</v>
      </c>
      <c r="H4" s="203" t="s">
        <v>700</v>
      </c>
      <c r="I4" s="212" t="s">
        <v>701</v>
      </c>
      <c r="J4" s="212" t="s">
        <v>32</v>
      </c>
      <c r="K4" s="212" t="s">
        <v>702</v>
      </c>
      <c r="L4" s="212" t="s">
        <v>703</v>
      </c>
      <c r="M4" s="212" t="s">
        <v>704</v>
      </c>
      <c r="N4" s="212" t="s">
        <v>705</v>
      </c>
      <c r="O4" s="212" t="s">
        <v>706</v>
      </c>
      <c r="P4" s="212" t="s">
        <v>707</v>
      </c>
      <c r="Q4" s="212" t="s">
        <v>708</v>
      </c>
      <c r="R4" s="212" t="s">
        <v>709</v>
      </c>
      <c r="S4" s="212" t="s">
        <v>710</v>
      </c>
      <c r="T4" s="212" t="s">
        <v>711</v>
      </c>
      <c r="U4" s="212" t="s">
        <v>712</v>
      </c>
      <c r="V4" s="212" t="s">
        <v>713</v>
      </c>
      <c r="W4" s="212" t="s">
        <v>714</v>
      </c>
      <c r="X4" s="212" t="s">
        <v>715</v>
      </c>
      <c r="Y4" s="212" t="s">
        <v>716</v>
      </c>
      <c r="Z4" s="212" t="s">
        <v>717</v>
      </c>
      <c r="AA4" s="212" t="s">
        <v>718</v>
      </c>
      <c r="AB4" s="212" t="s">
        <v>719</v>
      </c>
      <c r="AC4" s="212" t="s">
        <v>720</v>
      </c>
      <c r="AD4" s="212" t="s">
        <v>721</v>
      </c>
      <c r="AE4" s="212" t="s">
        <v>722</v>
      </c>
      <c r="AF4" s="212" t="s">
        <v>723</v>
      </c>
      <c r="AG4" s="212" t="s">
        <v>724</v>
      </c>
      <c r="AH4" s="212" t="s">
        <v>725</v>
      </c>
      <c r="AI4" s="212" t="s">
        <v>726</v>
      </c>
      <c r="AJ4" s="212" t="s">
        <v>727</v>
      </c>
      <c r="AK4" s="212" t="s">
        <v>397</v>
      </c>
      <c r="AL4" s="212" t="s">
        <v>728</v>
      </c>
      <c r="AM4" s="212" t="s">
        <v>729</v>
      </c>
      <c r="AN4" s="212" t="s">
        <v>729</v>
      </c>
      <c r="AO4" s="212" t="s">
        <v>726</v>
      </c>
    </row>
    <row r="5" spans="1:41">
      <c r="A5" s="205" t="s">
        <v>28</v>
      </c>
      <c r="B5" s="206" t="s">
        <v>730</v>
      </c>
      <c r="C5" s="206" t="s">
        <v>731</v>
      </c>
      <c r="D5" s="404"/>
      <c r="E5" s="206" t="s">
        <v>730</v>
      </c>
      <c r="F5" s="206" t="s">
        <v>732</v>
      </c>
      <c r="G5" s="206"/>
      <c r="H5" s="51"/>
      <c r="I5" s="207" t="s">
        <v>263</v>
      </c>
      <c r="J5" s="216"/>
      <c r="K5" s="207" t="s">
        <v>263</v>
      </c>
      <c r="L5" s="207" t="s">
        <v>263</v>
      </c>
      <c r="M5" s="207" t="s">
        <v>263</v>
      </c>
      <c r="N5" s="207" t="s">
        <v>263</v>
      </c>
      <c r="O5" s="207" t="s">
        <v>263</v>
      </c>
      <c r="P5" s="207" t="s">
        <v>263</v>
      </c>
      <c r="Q5" s="207" t="s">
        <v>263</v>
      </c>
      <c r="R5" s="207" t="s">
        <v>263</v>
      </c>
      <c r="S5" s="207" t="s">
        <v>263</v>
      </c>
      <c r="T5" s="207" t="s">
        <v>263</v>
      </c>
      <c r="U5" s="207" t="s">
        <v>263</v>
      </c>
      <c r="V5" s="207" t="s">
        <v>263</v>
      </c>
      <c r="W5" s="207" t="s">
        <v>263</v>
      </c>
      <c r="X5" s="207" t="s">
        <v>263</v>
      </c>
      <c r="Y5" s="206" t="s">
        <v>733</v>
      </c>
      <c r="Z5" s="206" t="s">
        <v>733</v>
      </c>
      <c r="AA5" s="206" t="s">
        <v>733</v>
      </c>
      <c r="AB5" s="206" t="s">
        <v>733</v>
      </c>
      <c r="AC5" s="206" t="s">
        <v>733</v>
      </c>
      <c r="AD5" s="206" t="s">
        <v>733</v>
      </c>
      <c r="AE5" s="51"/>
      <c r="AF5" s="51"/>
      <c r="AG5" s="51"/>
      <c r="AH5" s="51"/>
      <c r="AI5" s="61"/>
      <c r="AJ5" s="61"/>
      <c r="AK5" s="51" t="s">
        <v>734</v>
      </c>
      <c r="AL5" s="51" t="s">
        <v>734</v>
      </c>
      <c r="AM5" s="51" t="s">
        <v>734</v>
      </c>
      <c r="AN5" s="51" t="s">
        <v>734</v>
      </c>
      <c r="AO5" s="61"/>
    </row>
    <row r="6" spans="1:41">
      <c r="A6" s="206" t="s">
        <v>735</v>
      </c>
      <c r="B6" s="206"/>
      <c r="C6" s="206"/>
      <c r="D6" s="404"/>
      <c r="E6" s="206"/>
      <c r="F6" s="206"/>
      <c r="G6" s="206"/>
      <c r="H6" s="51"/>
      <c r="I6" s="51" t="s">
        <v>736</v>
      </c>
      <c r="J6" s="51"/>
      <c r="K6" s="51" t="s">
        <v>736</v>
      </c>
      <c r="L6" s="51" t="s">
        <v>736</v>
      </c>
      <c r="M6" s="51" t="s">
        <v>736</v>
      </c>
      <c r="N6" s="51" t="s">
        <v>736</v>
      </c>
      <c r="O6" s="51" t="s">
        <v>736</v>
      </c>
      <c r="P6" s="51" t="s">
        <v>736</v>
      </c>
      <c r="Q6" s="51" t="s">
        <v>736</v>
      </c>
      <c r="R6" s="51" t="s">
        <v>736</v>
      </c>
      <c r="S6" s="51" t="s">
        <v>736</v>
      </c>
      <c r="T6" s="51" t="s">
        <v>736</v>
      </c>
      <c r="U6" s="51" t="s">
        <v>736</v>
      </c>
      <c r="V6" s="51" t="s">
        <v>736</v>
      </c>
      <c r="W6" s="206" t="s">
        <v>736</v>
      </c>
      <c r="X6" s="206" t="s">
        <v>736</v>
      </c>
      <c r="Y6" s="206" t="s">
        <v>736</v>
      </c>
      <c r="Z6" s="206" t="s">
        <v>736</v>
      </c>
      <c r="AA6" s="206" t="s">
        <v>736</v>
      </c>
      <c r="AB6" s="206" t="s">
        <v>736</v>
      </c>
      <c r="AC6" s="206" t="s">
        <v>734</v>
      </c>
      <c r="AD6" s="206" t="s">
        <v>734</v>
      </c>
      <c r="AE6" s="206" t="s">
        <v>734</v>
      </c>
      <c r="AF6" s="206" t="s">
        <v>734</v>
      </c>
      <c r="AG6" s="206" t="s">
        <v>736</v>
      </c>
      <c r="AH6" s="206" t="s">
        <v>736</v>
      </c>
      <c r="AI6" s="61"/>
      <c r="AJ6" s="61"/>
      <c r="AK6" s="217" t="s">
        <v>737</v>
      </c>
      <c r="AL6" s="217" t="s">
        <v>738</v>
      </c>
      <c r="AM6" s="217" t="s">
        <v>737</v>
      </c>
      <c r="AN6" s="217" t="s">
        <v>738</v>
      </c>
      <c r="AO6" s="61"/>
    </row>
    <row r="7" spans="1:41">
      <c r="A7" s="209">
        <v>45698</v>
      </c>
      <c r="B7" s="51">
        <v>9000</v>
      </c>
      <c r="C7" s="51">
        <v>6000</v>
      </c>
      <c r="D7" s="404"/>
      <c r="E7" s="51"/>
      <c r="F7" s="51"/>
      <c r="G7" s="215">
        <f>(B7+C7)/0.143</f>
        <v>104895.1048951049</v>
      </c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>
        <f t="shared" ref="AI7:AI38" si="0">SUM(I7:AH7)</f>
        <v>0</v>
      </c>
      <c r="AJ7" s="51"/>
      <c r="AK7" s="217"/>
      <c r="AL7" s="217"/>
      <c r="AM7" s="217"/>
      <c r="AN7" s="217"/>
      <c r="AO7" s="51">
        <f t="shared" ref="AO7:AO38" si="1">SUM(AK7:AN7)</f>
        <v>0</v>
      </c>
    </row>
    <row r="8" spans="1:41">
      <c r="A8" s="209">
        <v>45699</v>
      </c>
      <c r="B8" s="51"/>
      <c r="C8" s="51"/>
      <c r="D8" s="404"/>
      <c r="E8" s="51"/>
      <c r="F8" s="51"/>
      <c r="G8" s="215">
        <f t="shared" ref="G8:G71" si="2">(B8+C8)/0.143</f>
        <v>0</v>
      </c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>
        <f t="shared" si="0"/>
        <v>0</v>
      </c>
      <c r="AJ8" s="51"/>
      <c r="AK8" s="217"/>
      <c r="AL8" s="217"/>
      <c r="AM8" s="217"/>
      <c r="AN8" s="217"/>
      <c r="AO8" s="51">
        <f t="shared" si="1"/>
        <v>0</v>
      </c>
    </row>
    <row r="9" spans="1:41">
      <c r="A9" s="209">
        <v>45700</v>
      </c>
      <c r="B9" s="51"/>
      <c r="C9" s="51"/>
      <c r="D9" s="404"/>
      <c r="E9" s="51">
        <v>9000</v>
      </c>
      <c r="F9" s="51">
        <v>9000</v>
      </c>
      <c r="G9" s="215">
        <f t="shared" si="2"/>
        <v>0</v>
      </c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>
        <f t="shared" si="0"/>
        <v>0</v>
      </c>
      <c r="AJ9" s="51"/>
      <c r="AK9" s="217"/>
      <c r="AL9" s="217"/>
      <c r="AM9" s="217"/>
      <c r="AN9" s="217"/>
      <c r="AO9" s="51">
        <f t="shared" si="1"/>
        <v>0</v>
      </c>
    </row>
    <row r="10" spans="1:41">
      <c r="A10" s="209">
        <v>45701</v>
      </c>
      <c r="B10" s="51"/>
      <c r="C10" s="51"/>
      <c r="D10" s="404"/>
      <c r="E10" s="51"/>
      <c r="F10" s="51"/>
      <c r="G10" s="215">
        <f t="shared" si="2"/>
        <v>0</v>
      </c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>
        <f t="shared" si="0"/>
        <v>0</v>
      </c>
      <c r="AJ10" s="51"/>
      <c r="AK10" s="217"/>
      <c r="AL10" s="217"/>
      <c r="AM10" s="217"/>
      <c r="AN10" s="217"/>
      <c r="AO10" s="51">
        <f t="shared" si="1"/>
        <v>0</v>
      </c>
    </row>
    <row r="11" spans="1:41">
      <c r="A11" s="209">
        <v>45702</v>
      </c>
      <c r="B11" s="51"/>
      <c r="C11" s="51"/>
      <c r="D11" s="404"/>
      <c r="E11" s="51"/>
      <c r="F11" s="51"/>
      <c r="G11" s="215">
        <f t="shared" si="2"/>
        <v>0</v>
      </c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>
        <f t="shared" si="0"/>
        <v>0</v>
      </c>
      <c r="AJ11" s="51"/>
      <c r="AK11" s="217"/>
      <c r="AL11" s="217"/>
      <c r="AM11" s="217"/>
      <c r="AN11" s="217"/>
      <c r="AO11" s="51">
        <f t="shared" si="1"/>
        <v>0</v>
      </c>
    </row>
    <row r="12" spans="1:41">
      <c r="A12" s="209">
        <v>45703</v>
      </c>
      <c r="B12" s="51"/>
      <c r="C12" s="51"/>
      <c r="D12" s="404"/>
      <c r="E12" s="51"/>
      <c r="F12" s="51"/>
      <c r="G12" s="215">
        <f t="shared" si="2"/>
        <v>0</v>
      </c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>
        <f t="shared" si="0"/>
        <v>0</v>
      </c>
      <c r="AJ12" s="51"/>
      <c r="AK12" s="217"/>
      <c r="AL12" s="217"/>
      <c r="AM12" s="217"/>
      <c r="AN12" s="217"/>
      <c r="AO12" s="51">
        <f t="shared" si="1"/>
        <v>0</v>
      </c>
    </row>
    <row r="13" spans="1:41">
      <c r="A13" s="209">
        <v>45704</v>
      </c>
      <c r="B13" s="51"/>
      <c r="C13" s="51"/>
      <c r="D13" s="404"/>
      <c r="E13" s="51"/>
      <c r="F13" s="51"/>
      <c r="G13" s="215">
        <f t="shared" si="2"/>
        <v>0</v>
      </c>
      <c r="H13" s="51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>
        <f t="shared" si="0"/>
        <v>0</v>
      </c>
      <c r="AJ13" s="51"/>
      <c r="AK13" s="217"/>
      <c r="AL13" s="217"/>
      <c r="AM13" s="217"/>
      <c r="AN13" s="217"/>
      <c r="AO13" s="51">
        <f t="shared" si="1"/>
        <v>0</v>
      </c>
    </row>
    <row r="14" spans="1:41">
      <c r="A14" s="209">
        <v>45705</v>
      </c>
      <c r="B14" s="51"/>
      <c r="C14" s="51">
        <v>6000</v>
      </c>
      <c r="D14" s="404"/>
      <c r="E14" s="51"/>
      <c r="F14" s="51"/>
      <c r="G14" s="215">
        <f t="shared" si="2"/>
        <v>41958.041958041962</v>
      </c>
      <c r="H14" s="51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>
        <f t="shared" si="0"/>
        <v>0</v>
      </c>
      <c r="AJ14" s="51"/>
      <c r="AK14" s="217"/>
      <c r="AL14" s="217"/>
      <c r="AM14" s="217"/>
      <c r="AN14" s="217"/>
      <c r="AO14" s="51">
        <f t="shared" si="1"/>
        <v>0</v>
      </c>
    </row>
    <row r="15" spans="1:41">
      <c r="A15" s="209">
        <v>45706</v>
      </c>
      <c r="B15" s="51"/>
      <c r="C15" s="51"/>
      <c r="D15" s="404"/>
      <c r="E15" s="51"/>
      <c r="F15" s="51"/>
      <c r="G15" s="215">
        <f t="shared" si="2"/>
        <v>0</v>
      </c>
      <c r="H15" s="51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>
        <f t="shared" si="0"/>
        <v>0</v>
      </c>
      <c r="AJ15" s="51"/>
      <c r="AK15" s="217"/>
      <c r="AL15" s="217"/>
      <c r="AM15" s="217"/>
      <c r="AN15" s="217"/>
      <c r="AO15" s="51">
        <f t="shared" si="1"/>
        <v>0</v>
      </c>
    </row>
    <row r="16" spans="1:41">
      <c r="A16" s="209">
        <v>45707</v>
      </c>
      <c r="B16" s="51"/>
      <c r="C16" s="51"/>
      <c r="D16" s="404"/>
      <c r="E16" s="51">
        <v>9000</v>
      </c>
      <c r="F16" s="51"/>
      <c r="G16" s="215">
        <f t="shared" si="2"/>
        <v>0</v>
      </c>
      <c r="H16" s="51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>
        <f t="shared" si="0"/>
        <v>0</v>
      </c>
      <c r="AJ16" s="51"/>
      <c r="AK16" s="217"/>
      <c r="AL16" s="217"/>
      <c r="AM16" s="217"/>
      <c r="AN16" s="217"/>
      <c r="AO16" s="51">
        <f t="shared" si="1"/>
        <v>0</v>
      </c>
    </row>
    <row r="17" spans="1:41">
      <c r="A17" s="209">
        <v>45708</v>
      </c>
      <c r="B17" s="51">
        <v>9000</v>
      </c>
      <c r="C17" s="51"/>
      <c r="D17" s="404"/>
      <c r="E17" s="51"/>
      <c r="F17" s="51"/>
      <c r="G17" s="215">
        <f t="shared" si="2"/>
        <v>62937.062937062939</v>
      </c>
      <c r="H17" s="51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>
        <f t="shared" si="0"/>
        <v>0</v>
      </c>
      <c r="AJ17" s="51"/>
      <c r="AK17" s="217"/>
      <c r="AL17" s="217"/>
      <c r="AM17" s="217"/>
      <c r="AN17" s="217"/>
      <c r="AO17" s="51">
        <f t="shared" si="1"/>
        <v>0</v>
      </c>
    </row>
    <row r="18" spans="1:41">
      <c r="A18" s="209">
        <v>45709</v>
      </c>
      <c r="B18" s="51"/>
      <c r="C18" s="51"/>
      <c r="D18" s="404"/>
      <c r="E18" s="51"/>
      <c r="F18" s="51"/>
      <c r="G18" s="215">
        <f t="shared" si="2"/>
        <v>0</v>
      </c>
      <c r="H18" s="51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>
        <f t="shared" si="0"/>
        <v>0</v>
      </c>
      <c r="AJ18" s="51"/>
      <c r="AK18" s="217"/>
      <c r="AL18" s="217"/>
      <c r="AM18" s="217"/>
      <c r="AN18" s="217"/>
      <c r="AO18" s="51">
        <f t="shared" si="1"/>
        <v>0</v>
      </c>
    </row>
    <row r="19" spans="1:41">
      <c r="A19" s="209">
        <v>45710</v>
      </c>
      <c r="B19" s="51"/>
      <c r="C19" s="51"/>
      <c r="D19" s="404"/>
      <c r="E19" s="51"/>
      <c r="F19" s="51"/>
      <c r="G19" s="215">
        <f t="shared" si="2"/>
        <v>0</v>
      </c>
      <c r="H19" s="51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>
        <f t="shared" si="0"/>
        <v>0</v>
      </c>
      <c r="AJ19" s="51"/>
      <c r="AK19" s="217"/>
      <c r="AL19" s="217"/>
      <c r="AM19" s="217"/>
      <c r="AN19" s="217"/>
      <c r="AO19" s="51">
        <f t="shared" si="1"/>
        <v>0</v>
      </c>
    </row>
    <row r="20" spans="1:41">
      <c r="A20" s="209">
        <v>45711</v>
      </c>
      <c r="B20" s="51"/>
      <c r="C20" s="51"/>
      <c r="D20" s="404"/>
      <c r="E20" s="51"/>
      <c r="F20" s="51"/>
      <c r="G20" s="215">
        <f t="shared" si="2"/>
        <v>0</v>
      </c>
      <c r="H20" s="51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217">
        <f t="shared" si="0"/>
        <v>0</v>
      </c>
      <c r="AJ20" s="51"/>
      <c r="AK20" s="217"/>
      <c r="AL20" s="217"/>
      <c r="AM20" s="217"/>
      <c r="AN20" s="217"/>
      <c r="AO20" s="51">
        <f t="shared" si="1"/>
        <v>0</v>
      </c>
    </row>
    <row r="21" spans="1:41">
      <c r="A21" s="209">
        <v>45712</v>
      </c>
      <c r="B21" s="51"/>
      <c r="C21" s="51">
        <v>6000</v>
      </c>
      <c r="D21" s="404"/>
      <c r="E21" s="51"/>
      <c r="F21" s="51">
        <v>9000</v>
      </c>
      <c r="G21" s="215">
        <f t="shared" si="2"/>
        <v>41958.041958041962</v>
      </c>
      <c r="H21" s="51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3">
        <v>200</v>
      </c>
      <c r="Z21" s="51"/>
      <c r="AA21" s="51"/>
      <c r="AB21" s="51"/>
      <c r="AC21" s="51"/>
      <c r="AD21" s="51"/>
      <c r="AE21" s="51"/>
      <c r="AF21" s="51"/>
      <c r="AG21" s="51"/>
      <c r="AH21" s="51"/>
      <c r="AI21" s="217">
        <f>SUM(I21:AH21)</f>
        <v>200</v>
      </c>
      <c r="AJ21" s="217">
        <f>AI21-AK21-AM21</f>
        <v>200</v>
      </c>
      <c r="AK21" s="217"/>
      <c r="AL21" s="217"/>
      <c r="AM21" s="217"/>
      <c r="AN21" s="217"/>
      <c r="AO21" s="51">
        <f t="shared" si="1"/>
        <v>0</v>
      </c>
    </row>
    <row r="22" spans="1:41">
      <c r="A22" s="209">
        <v>45713</v>
      </c>
      <c r="B22" s="51"/>
      <c r="C22" s="51"/>
      <c r="D22" s="404"/>
      <c r="E22" s="51"/>
      <c r="F22" s="51"/>
      <c r="G22" s="215">
        <f t="shared" si="2"/>
        <v>0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>
        <v>450</v>
      </c>
      <c r="Z22" s="213">
        <v>200</v>
      </c>
      <c r="AA22" s="213">
        <v>200</v>
      </c>
      <c r="AB22" s="213">
        <v>200</v>
      </c>
      <c r="AC22" s="51"/>
      <c r="AD22" s="51"/>
      <c r="AE22" s="51"/>
      <c r="AF22" s="51"/>
      <c r="AG22" s="51"/>
      <c r="AH22" s="51"/>
      <c r="AI22" s="217">
        <f t="shared" si="0"/>
        <v>1050</v>
      </c>
      <c r="AJ22" s="217">
        <f>AJ21+AI22-AK22-AM22</f>
        <v>1250</v>
      </c>
      <c r="AK22" s="217"/>
      <c r="AL22" s="217"/>
      <c r="AM22" s="217"/>
      <c r="AN22" s="217"/>
      <c r="AO22" s="51">
        <f t="shared" si="1"/>
        <v>0</v>
      </c>
    </row>
    <row r="23" spans="1:41">
      <c r="A23" s="209">
        <v>45714</v>
      </c>
      <c r="B23" s="51"/>
      <c r="C23" s="51"/>
      <c r="D23" s="404"/>
      <c r="E23" s="51">
        <v>9000</v>
      </c>
      <c r="F23" s="51"/>
      <c r="G23" s="215">
        <f t="shared" si="2"/>
        <v>0</v>
      </c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>
        <v>450</v>
      </c>
      <c r="Z23" s="51">
        <v>450</v>
      </c>
      <c r="AA23" s="51">
        <v>450</v>
      </c>
      <c r="AB23" s="51">
        <v>450</v>
      </c>
      <c r="AC23" s="213">
        <v>200</v>
      </c>
      <c r="AD23" s="213">
        <v>200</v>
      </c>
      <c r="AE23" s="51"/>
      <c r="AF23" s="51"/>
      <c r="AG23" s="51"/>
      <c r="AH23" s="51"/>
      <c r="AI23" s="217">
        <f t="shared" si="0"/>
        <v>2200</v>
      </c>
      <c r="AJ23" s="217">
        <f t="shared" ref="AJ23:AJ85" si="3">AJ22+AI23-AK23-AM23</f>
        <v>3450</v>
      </c>
      <c r="AK23" s="217"/>
      <c r="AL23" s="217"/>
      <c r="AM23" s="217"/>
      <c r="AN23" s="217"/>
      <c r="AO23" s="51">
        <f t="shared" si="1"/>
        <v>0</v>
      </c>
    </row>
    <row r="24" spans="1:41">
      <c r="A24" s="209">
        <v>45715</v>
      </c>
      <c r="B24" s="51"/>
      <c r="C24" s="51"/>
      <c r="D24" s="404"/>
      <c r="E24" s="51"/>
      <c r="F24" s="51"/>
      <c r="G24" s="215">
        <f t="shared" si="2"/>
        <v>0</v>
      </c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>
        <v>450</v>
      </c>
      <c r="Z24" s="51">
        <v>450</v>
      </c>
      <c r="AA24" s="51">
        <v>450</v>
      </c>
      <c r="AB24" s="51">
        <v>450</v>
      </c>
      <c r="AC24" s="51">
        <v>450</v>
      </c>
      <c r="AD24" s="51">
        <v>450</v>
      </c>
      <c r="AE24" s="51"/>
      <c r="AF24" s="51"/>
      <c r="AG24" s="51"/>
      <c r="AH24" s="51"/>
      <c r="AI24" s="217">
        <f t="shared" si="0"/>
        <v>2700</v>
      </c>
      <c r="AJ24" s="217">
        <f t="shared" si="3"/>
        <v>6150</v>
      </c>
      <c r="AK24" s="217"/>
      <c r="AL24" s="217"/>
      <c r="AM24" s="217"/>
      <c r="AN24" s="217"/>
      <c r="AO24" s="51">
        <f t="shared" si="1"/>
        <v>0</v>
      </c>
    </row>
    <row r="25" spans="1:41">
      <c r="A25" s="209">
        <v>45716</v>
      </c>
      <c r="B25" s="51"/>
      <c r="C25" s="51"/>
      <c r="D25" s="404"/>
      <c r="E25" s="51"/>
      <c r="F25" s="51"/>
      <c r="G25" s="215">
        <f t="shared" si="2"/>
        <v>0</v>
      </c>
      <c r="H25" s="51"/>
      <c r="I25" s="213">
        <v>200</v>
      </c>
      <c r="J25" s="51"/>
      <c r="K25" s="213">
        <v>200</v>
      </c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>
        <v>450</v>
      </c>
      <c r="Z25" s="51">
        <v>450</v>
      </c>
      <c r="AA25" s="51">
        <v>450</v>
      </c>
      <c r="AB25" s="51">
        <v>450</v>
      </c>
      <c r="AC25" s="51">
        <v>450</v>
      </c>
      <c r="AD25" s="51">
        <v>450</v>
      </c>
      <c r="AE25" s="51"/>
      <c r="AF25" s="51"/>
      <c r="AG25" s="51"/>
      <c r="AH25" s="51"/>
      <c r="AI25" s="217">
        <f t="shared" si="0"/>
        <v>3100</v>
      </c>
      <c r="AJ25" s="217">
        <f t="shared" si="3"/>
        <v>9250</v>
      </c>
      <c r="AK25" s="217"/>
      <c r="AL25" s="217"/>
      <c r="AM25" s="217"/>
      <c r="AN25" s="217"/>
      <c r="AO25" s="51">
        <f t="shared" si="1"/>
        <v>0</v>
      </c>
    </row>
    <row r="26" spans="1:41">
      <c r="A26" s="209">
        <v>45717</v>
      </c>
      <c r="B26" s="51">
        <v>9000</v>
      </c>
      <c r="C26" s="51"/>
      <c r="D26" s="404"/>
      <c r="E26" s="51"/>
      <c r="F26" s="51"/>
      <c r="G26" s="215">
        <f t="shared" si="2"/>
        <v>62937.062937062939</v>
      </c>
      <c r="H26" s="51"/>
      <c r="I26" s="51">
        <v>300</v>
      </c>
      <c r="J26" s="51"/>
      <c r="K26" s="51">
        <v>300</v>
      </c>
      <c r="L26" s="213">
        <v>200</v>
      </c>
      <c r="M26" s="213">
        <v>200</v>
      </c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>
        <v>450</v>
      </c>
      <c r="Z26" s="51">
        <v>450</v>
      </c>
      <c r="AA26" s="51">
        <v>450</v>
      </c>
      <c r="AB26" s="51">
        <v>450</v>
      </c>
      <c r="AC26" s="51">
        <v>450</v>
      </c>
      <c r="AD26" s="51">
        <v>450</v>
      </c>
      <c r="AE26" s="51"/>
      <c r="AF26" s="51"/>
      <c r="AG26" s="51"/>
      <c r="AH26" s="51"/>
      <c r="AI26" s="217">
        <f t="shared" si="0"/>
        <v>3700</v>
      </c>
      <c r="AJ26" s="217">
        <f t="shared" si="3"/>
        <v>12950</v>
      </c>
      <c r="AK26" s="217"/>
      <c r="AL26" s="217"/>
      <c r="AM26" s="217"/>
      <c r="AN26" s="217"/>
      <c r="AO26" s="51">
        <f t="shared" si="1"/>
        <v>0</v>
      </c>
    </row>
    <row r="27" spans="1:41">
      <c r="A27" s="209">
        <v>45718</v>
      </c>
      <c r="B27" s="51"/>
      <c r="C27" s="51"/>
      <c r="D27" s="404"/>
      <c r="E27" s="51"/>
      <c r="F27" s="51"/>
      <c r="G27" s="215">
        <f t="shared" si="2"/>
        <v>0</v>
      </c>
      <c r="H27" s="51"/>
      <c r="I27" s="51">
        <v>300</v>
      </c>
      <c r="J27" s="51"/>
      <c r="K27" s="51">
        <v>300</v>
      </c>
      <c r="L27" s="51">
        <v>300</v>
      </c>
      <c r="M27" s="51">
        <v>300</v>
      </c>
      <c r="N27" s="213">
        <v>200</v>
      </c>
      <c r="O27" s="213">
        <v>200</v>
      </c>
      <c r="P27" s="51"/>
      <c r="Q27" s="51"/>
      <c r="R27" s="51"/>
      <c r="S27" s="51"/>
      <c r="T27" s="51"/>
      <c r="U27" s="51"/>
      <c r="V27" s="51"/>
      <c r="W27" s="51"/>
      <c r="X27" s="51"/>
      <c r="Y27" s="51">
        <v>450</v>
      </c>
      <c r="Z27" s="51">
        <v>450</v>
      </c>
      <c r="AA27" s="51">
        <v>450</v>
      </c>
      <c r="AB27" s="51">
        <v>450</v>
      </c>
      <c r="AC27" s="51">
        <v>450</v>
      </c>
      <c r="AD27" s="51">
        <v>450</v>
      </c>
      <c r="AE27" s="51"/>
      <c r="AF27" s="51"/>
      <c r="AG27" s="51"/>
      <c r="AH27" s="51"/>
      <c r="AI27" s="217">
        <f t="shared" si="0"/>
        <v>4300</v>
      </c>
      <c r="AJ27" s="217">
        <f t="shared" si="3"/>
        <v>17250</v>
      </c>
      <c r="AK27" s="217"/>
      <c r="AL27" s="217"/>
      <c r="AM27" s="217"/>
      <c r="AN27" s="217"/>
      <c r="AO27" s="51">
        <f t="shared" si="1"/>
        <v>0</v>
      </c>
    </row>
    <row r="28" spans="1:41">
      <c r="A28" s="209">
        <v>45719</v>
      </c>
      <c r="B28" s="51"/>
      <c r="C28" s="51">
        <v>6000</v>
      </c>
      <c r="D28" s="404"/>
      <c r="E28" s="51"/>
      <c r="F28" s="51"/>
      <c r="G28" s="215">
        <f t="shared" si="2"/>
        <v>41958.041958041962</v>
      </c>
      <c r="H28" s="51"/>
      <c r="I28" s="51">
        <v>300</v>
      </c>
      <c r="J28" s="51"/>
      <c r="K28" s="51">
        <v>300</v>
      </c>
      <c r="L28" s="51">
        <v>300</v>
      </c>
      <c r="M28" s="51">
        <v>300</v>
      </c>
      <c r="N28" s="51">
        <v>300</v>
      </c>
      <c r="O28" s="51">
        <v>300</v>
      </c>
      <c r="P28" s="213">
        <v>200</v>
      </c>
      <c r="Q28" s="213">
        <v>200</v>
      </c>
      <c r="R28" s="51"/>
      <c r="S28" s="51"/>
      <c r="T28" s="51"/>
      <c r="U28" s="51"/>
      <c r="V28" s="51"/>
      <c r="W28" s="51"/>
      <c r="X28" s="51"/>
      <c r="Y28" s="51">
        <v>450</v>
      </c>
      <c r="Z28" s="51">
        <v>450</v>
      </c>
      <c r="AA28" s="51">
        <v>450</v>
      </c>
      <c r="AB28" s="51">
        <v>450</v>
      </c>
      <c r="AC28" s="51">
        <v>450</v>
      </c>
      <c r="AD28" s="51">
        <v>450</v>
      </c>
      <c r="AE28" s="213">
        <v>200</v>
      </c>
      <c r="AF28" s="51"/>
      <c r="AG28" s="51"/>
      <c r="AH28" s="51"/>
      <c r="AI28" s="217">
        <f t="shared" si="0"/>
        <v>5100</v>
      </c>
      <c r="AJ28" s="214">
        <f t="shared" si="3"/>
        <v>22350</v>
      </c>
      <c r="AK28" s="217"/>
      <c r="AL28" s="217"/>
      <c r="AM28" s="217"/>
      <c r="AN28" s="217"/>
      <c r="AO28" s="51">
        <f t="shared" si="1"/>
        <v>0</v>
      </c>
    </row>
    <row r="29" spans="1:41">
      <c r="A29" s="209">
        <v>45720</v>
      </c>
      <c r="B29" s="51"/>
      <c r="C29" s="51"/>
      <c r="D29" s="404"/>
      <c r="E29" s="51"/>
      <c r="F29" s="51"/>
      <c r="G29" s="215">
        <f t="shared" si="2"/>
        <v>0</v>
      </c>
      <c r="H29" s="51"/>
      <c r="I29" s="51">
        <v>300</v>
      </c>
      <c r="J29" s="51"/>
      <c r="K29" s="51">
        <v>300</v>
      </c>
      <c r="L29" s="51">
        <v>300</v>
      </c>
      <c r="M29" s="51">
        <v>300</v>
      </c>
      <c r="N29" s="51">
        <v>300</v>
      </c>
      <c r="O29" s="51">
        <v>300</v>
      </c>
      <c r="P29" s="51">
        <v>300</v>
      </c>
      <c r="Q29" s="51">
        <v>300</v>
      </c>
      <c r="R29" s="213">
        <v>200</v>
      </c>
      <c r="S29" s="213">
        <v>200</v>
      </c>
      <c r="T29" s="51"/>
      <c r="U29" s="51"/>
      <c r="V29" s="51"/>
      <c r="W29" s="51"/>
      <c r="X29" s="51"/>
      <c r="Y29" s="51">
        <v>450</v>
      </c>
      <c r="Z29" s="51">
        <v>450</v>
      </c>
      <c r="AA29" s="51">
        <v>450</v>
      </c>
      <c r="AB29" s="51">
        <v>450</v>
      </c>
      <c r="AC29" s="51">
        <v>450</v>
      </c>
      <c r="AD29" s="51">
        <v>450</v>
      </c>
      <c r="AE29" s="51">
        <v>450</v>
      </c>
      <c r="AF29" s="213">
        <v>200</v>
      </c>
      <c r="AG29" s="213">
        <v>200</v>
      </c>
      <c r="AH29" s="213">
        <v>200</v>
      </c>
      <c r="AI29" s="217">
        <f t="shared" si="0"/>
        <v>6550</v>
      </c>
      <c r="AJ29" s="217">
        <f t="shared" si="3"/>
        <v>8900</v>
      </c>
      <c r="AK29" s="217">
        <v>10000</v>
      </c>
      <c r="AL29" s="231">
        <f>A29+10</f>
        <v>45730</v>
      </c>
      <c r="AM29" s="217">
        <v>10000</v>
      </c>
      <c r="AN29" s="231">
        <f>A29+10</f>
        <v>45730</v>
      </c>
      <c r="AO29" s="51">
        <f t="shared" si="1"/>
        <v>111460</v>
      </c>
    </row>
    <row r="30" spans="1:41">
      <c r="A30" s="209">
        <v>45721</v>
      </c>
      <c r="B30" s="51"/>
      <c r="C30" s="51"/>
      <c r="D30" s="404"/>
      <c r="E30" s="51"/>
      <c r="F30" s="51">
        <v>9000</v>
      </c>
      <c r="G30" s="215">
        <f t="shared" si="2"/>
        <v>0</v>
      </c>
      <c r="H30" s="51"/>
      <c r="I30" s="51">
        <v>300</v>
      </c>
      <c r="J30" s="51"/>
      <c r="K30" s="51">
        <v>300</v>
      </c>
      <c r="L30" s="51">
        <v>300</v>
      </c>
      <c r="M30" s="51">
        <v>300</v>
      </c>
      <c r="N30" s="51">
        <v>300</v>
      </c>
      <c r="O30" s="51">
        <v>300</v>
      </c>
      <c r="P30" s="51">
        <v>300</v>
      </c>
      <c r="Q30" s="51">
        <v>300</v>
      </c>
      <c r="R30" s="51">
        <v>300</v>
      </c>
      <c r="S30" s="51">
        <v>300</v>
      </c>
      <c r="T30" s="213">
        <v>200</v>
      </c>
      <c r="U30" s="213">
        <v>200</v>
      </c>
      <c r="V30" s="51"/>
      <c r="W30" s="51"/>
      <c r="X30" s="51"/>
      <c r="Y30" s="51">
        <v>450</v>
      </c>
      <c r="Z30" s="51">
        <v>450</v>
      </c>
      <c r="AA30" s="51">
        <v>450</v>
      </c>
      <c r="AB30" s="51">
        <v>450</v>
      </c>
      <c r="AC30" s="51">
        <v>450</v>
      </c>
      <c r="AD30" s="51">
        <v>450</v>
      </c>
      <c r="AE30" s="51">
        <v>450</v>
      </c>
      <c r="AF30" s="51">
        <v>450</v>
      </c>
      <c r="AG30" s="51">
        <v>450</v>
      </c>
      <c r="AH30" s="51">
        <v>450</v>
      </c>
      <c r="AI30" s="217">
        <f t="shared" si="0"/>
        <v>7900</v>
      </c>
      <c r="AJ30" s="217">
        <f t="shared" si="3"/>
        <v>16800</v>
      </c>
      <c r="AK30" s="217"/>
      <c r="AL30" s="217"/>
      <c r="AM30" s="217"/>
      <c r="AN30" s="217"/>
      <c r="AO30" s="51">
        <f t="shared" si="1"/>
        <v>0</v>
      </c>
    </row>
    <row r="31" spans="1:41">
      <c r="A31" s="209">
        <v>45722</v>
      </c>
      <c r="B31" s="51"/>
      <c r="C31" s="51"/>
      <c r="D31" s="404"/>
      <c r="E31" s="51"/>
      <c r="F31" s="51"/>
      <c r="G31" s="215">
        <f t="shared" si="2"/>
        <v>0</v>
      </c>
      <c r="H31" s="51"/>
      <c r="I31" s="51">
        <v>300</v>
      </c>
      <c r="J31" s="51"/>
      <c r="K31" s="51">
        <v>300</v>
      </c>
      <c r="L31" s="51">
        <v>300</v>
      </c>
      <c r="M31" s="51">
        <v>300</v>
      </c>
      <c r="N31" s="51">
        <v>300</v>
      </c>
      <c r="O31" s="51">
        <v>300</v>
      </c>
      <c r="P31" s="51">
        <v>300</v>
      </c>
      <c r="Q31" s="51">
        <v>300</v>
      </c>
      <c r="R31" s="51">
        <v>300</v>
      </c>
      <c r="S31" s="51">
        <v>300</v>
      </c>
      <c r="T31" s="51">
        <v>300</v>
      </c>
      <c r="U31" s="51">
        <v>300</v>
      </c>
      <c r="V31" s="213">
        <v>200</v>
      </c>
      <c r="W31" s="213">
        <v>200</v>
      </c>
      <c r="X31" s="51"/>
      <c r="Y31" s="51">
        <v>450</v>
      </c>
      <c r="Z31" s="51">
        <v>450</v>
      </c>
      <c r="AA31" s="51">
        <v>450</v>
      </c>
      <c r="AB31" s="51">
        <v>450</v>
      </c>
      <c r="AC31" s="51">
        <v>450</v>
      </c>
      <c r="AD31" s="51">
        <v>450</v>
      </c>
      <c r="AE31" s="51">
        <v>450</v>
      </c>
      <c r="AF31" s="51">
        <v>450</v>
      </c>
      <c r="AG31" s="51">
        <v>450</v>
      </c>
      <c r="AH31" s="51">
        <v>450</v>
      </c>
      <c r="AI31" s="217">
        <f t="shared" si="0"/>
        <v>8500</v>
      </c>
      <c r="AJ31" s="217">
        <f t="shared" si="3"/>
        <v>25300</v>
      </c>
      <c r="AK31" s="217"/>
      <c r="AL31" s="217"/>
      <c r="AM31" s="217"/>
      <c r="AN31" s="217"/>
      <c r="AO31" s="51">
        <f t="shared" si="1"/>
        <v>0</v>
      </c>
    </row>
    <row r="32" spans="1:41">
      <c r="A32" s="209">
        <v>45723</v>
      </c>
      <c r="B32" s="51"/>
      <c r="C32" s="51"/>
      <c r="D32" s="404"/>
      <c r="E32" s="51"/>
      <c r="F32" s="51"/>
      <c r="G32" s="215">
        <f t="shared" si="2"/>
        <v>0</v>
      </c>
      <c r="H32" s="51"/>
      <c r="I32" s="51">
        <v>300</v>
      </c>
      <c r="J32" s="51"/>
      <c r="K32" s="51">
        <v>300</v>
      </c>
      <c r="L32" s="51">
        <v>300</v>
      </c>
      <c r="M32" s="51">
        <v>300</v>
      </c>
      <c r="N32" s="51">
        <v>300</v>
      </c>
      <c r="O32" s="51">
        <v>300</v>
      </c>
      <c r="P32" s="51">
        <v>300</v>
      </c>
      <c r="Q32" s="51">
        <v>300</v>
      </c>
      <c r="R32" s="51">
        <v>300</v>
      </c>
      <c r="S32" s="51">
        <v>300</v>
      </c>
      <c r="T32" s="51">
        <v>300</v>
      </c>
      <c r="U32" s="51">
        <v>300</v>
      </c>
      <c r="V32" s="51">
        <v>300</v>
      </c>
      <c r="W32" s="51">
        <v>300</v>
      </c>
      <c r="X32" s="213">
        <v>200</v>
      </c>
      <c r="Y32" s="214">
        <v>200</v>
      </c>
      <c r="Z32" s="51">
        <v>450</v>
      </c>
      <c r="AA32" s="51">
        <v>450</v>
      </c>
      <c r="AB32" s="51">
        <v>450</v>
      </c>
      <c r="AC32" s="51">
        <v>450</v>
      </c>
      <c r="AD32" s="51">
        <v>450</v>
      </c>
      <c r="AE32" s="51">
        <v>450</v>
      </c>
      <c r="AF32" s="51">
        <v>450</v>
      </c>
      <c r="AG32" s="51">
        <v>450</v>
      </c>
      <c r="AH32" s="51">
        <v>450</v>
      </c>
      <c r="AI32" s="217">
        <f t="shared" si="0"/>
        <v>8650</v>
      </c>
      <c r="AJ32" s="214">
        <f t="shared" si="3"/>
        <v>33950</v>
      </c>
      <c r="AK32" s="217"/>
      <c r="AL32" s="217"/>
      <c r="AM32" s="217"/>
      <c r="AN32" s="217"/>
      <c r="AO32" s="51">
        <f t="shared" si="1"/>
        <v>0</v>
      </c>
    </row>
    <row r="33" spans="1:41">
      <c r="A33" s="209">
        <v>45724</v>
      </c>
      <c r="B33" s="51"/>
      <c r="C33" s="51"/>
      <c r="D33" s="404"/>
      <c r="E33" s="51">
        <v>9000</v>
      </c>
      <c r="F33" s="51"/>
      <c r="G33" s="215">
        <f t="shared" si="2"/>
        <v>0</v>
      </c>
      <c r="H33" s="51"/>
      <c r="I33" s="51">
        <v>300</v>
      </c>
      <c r="J33" s="51"/>
      <c r="K33" s="51">
        <v>300</v>
      </c>
      <c r="L33" s="51">
        <v>300</v>
      </c>
      <c r="M33" s="51">
        <v>300</v>
      </c>
      <c r="N33" s="51">
        <v>300</v>
      </c>
      <c r="O33" s="51">
        <v>300</v>
      </c>
      <c r="P33" s="51">
        <v>300</v>
      </c>
      <c r="Q33" s="51">
        <v>300</v>
      </c>
      <c r="R33" s="51">
        <v>300</v>
      </c>
      <c r="S33" s="51">
        <v>300</v>
      </c>
      <c r="T33" s="51">
        <v>300</v>
      </c>
      <c r="U33" s="51">
        <v>300</v>
      </c>
      <c r="V33" s="51">
        <v>300</v>
      </c>
      <c r="W33" s="51">
        <v>300</v>
      </c>
      <c r="X33" s="51">
        <v>300</v>
      </c>
      <c r="Y33" s="51">
        <v>450</v>
      </c>
      <c r="Z33" s="214">
        <v>200</v>
      </c>
      <c r="AA33" s="214">
        <v>200</v>
      </c>
      <c r="AB33" s="214">
        <v>200</v>
      </c>
      <c r="AC33" s="51">
        <v>450</v>
      </c>
      <c r="AD33" s="51">
        <v>450</v>
      </c>
      <c r="AE33" s="51">
        <v>450</v>
      </c>
      <c r="AF33" s="51">
        <v>450</v>
      </c>
      <c r="AG33" s="51">
        <v>450</v>
      </c>
      <c r="AH33" s="51">
        <v>450</v>
      </c>
      <c r="AI33" s="217">
        <f t="shared" si="0"/>
        <v>8250</v>
      </c>
      <c r="AJ33" s="217">
        <f t="shared" si="3"/>
        <v>17200</v>
      </c>
      <c r="AK33" s="217">
        <v>25000</v>
      </c>
      <c r="AL33" s="231">
        <f>A33+12</f>
        <v>45736</v>
      </c>
      <c r="AM33" s="217"/>
      <c r="AN33" s="231"/>
      <c r="AO33" s="51">
        <f t="shared" si="1"/>
        <v>70736</v>
      </c>
    </row>
    <row r="34" spans="1:41">
      <c r="A34" s="209">
        <v>45725</v>
      </c>
      <c r="B34" s="51"/>
      <c r="C34" s="51"/>
      <c r="D34" s="404"/>
      <c r="E34" s="51"/>
      <c r="F34" s="51"/>
      <c r="G34" s="215">
        <f t="shared" si="2"/>
        <v>0</v>
      </c>
      <c r="H34" s="51"/>
      <c r="I34" s="51">
        <v>300</v>
      </c>
      <c r="J34" s="51"/>
      <c r="K34" s="51">
        <v>300</v>
      </c>
      <c r="L34" s="51">
        <v>300</v>
      </c>
      <c r="M34" s="51">
        <v>300</v>
      </c>
      <c r="N34" s="51">
        <v>300</v>
      </c>
      <c r="O34" s="51">
        <v>300</v>
      </c>
      <c r="P34" s="51">
        <v>300</v>
      </c>
      <c r="Q34" s="51">
        <v>300</v>
      </c>
      <c r="R34" s="51">
        <v>300</v>
      </c>
      <c r="S34" s="51">
        <v>300</v>
      </c>
      <c r="T34" s="51">
        <v>300</v>
      </c>
      <c r="U34" s="51">
        <v>300</v>
      </c>
      <c r="V34" s="51">
        <v>300</v>
      </c>
      <c r="W34" s="51">
        <v>300</v>
      </c>
      <c r="X34" s="51">
        <v>300</v>
      </c>
      <c r="Y34" s="51">
        <v>450</v>
      </c>
      <c r="Z34" s="51">
        <v>450</v>
      </c>
      <c r="AA34" s="51">
        <v>450</v>
      </c>
      <c r="AB34" s="51">
        <v>450</v>
      </c>
      <c r="AC34" s="214">
        <v>200</v>
      </c>
      <c r="AD34" s="214">
        <v>200</v>
      </c>
      <c r="AE34" s="51">
        <v>450</v>
      </c>
      <c r="AF34" s="51">
        <v>450</v>
      </c>
      <c r="AG34" s="51">
        <v>450</v>
      </c>
      <c r="AH34" s="51">
        <v>450</v>
      </c>
      <c r="AI34" s="217">
        <f t="shared" si="0"/>
        <v>8500</v>
      </c>
      <c r="AJ34" s="217">
        <f t="shared" si="3"/>
        <v>25700</v>
      </c>
      <c r="AK34" s="217"/>
      <c r="AL34" s="217"/>
      <c r="AM34" s="217"/>
      <c r="AN34" s="217"/>
      <c r="AO34" s="51">
        <f t="shared" si="1"/>
        <v>0</v>
      </c>
    </row>
    <row r="35" spans="1:41">
      <c r="A35" s="209">
        <v>45726</v>
      </c>
      <c r="B35" s="51"/>
      <c r="C35" s="51">
        <v>6000</v>
      </c>
      <c r="D35" s="404"/>
      <c r="E35" s="51"/>
      <c r="F35" s="51"/>
      <c r="G35" s="215">
        <f t="shared" si="2"/>
        <v>41958.041958041962</v>
      </c>
      <c r="H35" s="51"/>
      <c r="I35" s="51">
        <v>300</v>
      </c>
      <c r="J35" s="51"/>
      <c r="K35" s="51">
        <v>300</v>
      </c>
      <c r="L35" s="51">
        <v>300</v>
      </c>
      <c r="M35" s="51">
        <v>300</v>
      </c>
      <c r="N35" s="51">
        <v>300</v>
      </c>
      <c r="O35" s="51">
        <v>300</v>
      </c>
      <c r="P35" s="51">
        <v>300</v>
      </c>
      <c r="Q35" s="51">
        <v>300</v>
      </c>
      <c r="R35" s="51">
        <v>300</v>
      </c>
      <c r="S35" s="51">
        <v>300</v>
      </c>
      <c r="T35" s="51">
        <v>300</v>
      </c>
      <c r="U35" s="51">
        <v>300</v>
      </c>
      <c r="V35" s="51">
        <v>300</v>
      </c>
      <c r="W35" s="51">
        <v>300</v>
      </c>
      <c r="X35" s="51">
        <v>300</v>
      </c>
      <c r="Y35" s="51">
        <v>450</v>
      </c>
      <c r="Z35" s="51">
        <v>450</v>
      </c>
      <c r="AA35" s="51">
        <v>450</v>
      </c>
      <c r="AB35" s="51">
        <v>450</v>
      </c>
      <c r="AC35" s="51">
        <v>450</v>
      </c>
      <c r="AD35" s="51">
        <v>450</v>
      </c>
      <c r="AE35" s="51">
        <v>450</v>
      </c>
      <c r="AF35" s="51">
        <v>450</v>
      </c>
      <c r="AG35" s="51">
        <v>450</v>
      </c>
      <c r="AH35" s="51">
        <v>450</v>
      </c>
      <c r="AI35" s="217">
        <f t="shared" si="0"/>
        <v>9000</v>
      </c>
      <c r="AJ35" s="214">
        <f t="shared" si="3"/>
        <v>34700</v>
      </c>
      <c r="AK35" s="217"/>
      <c r="AL35" s="217"/>
      <c r="AM35" s="217"/>
      <c r="AN35" s="217"/>
      <c r="AO35" s="51">
        <f t="shared" si="1"/>
        <v>0</v>
      </c>
    </row>
    <row r="36" spans="1:41">
      <c r="A36" s="209">
        <v>45727</v>
      </c>
      <c r="B36" s="51"/>
      <c r="C36" s="51"/>
      <c r="D36" s="404"/>
      <c r="E36" s="51"/>
      <c r="F36" s="51"/>
      <c r="G36" s="215">
        <f t="shared" si="2"/>
        <v>0</v>
      </c>
      <c r="H36" s="51"/>
      <c r="I36" s="213">
        <v>200</v>
      </c>
      <c r="J36" s="51"/>
      <c r="K36" s="213">
        <v>200</v>
      </c>
      <c r="L36" s="51">
        <v>300</v>
      </c>
      <c r="M36" s="51">
        <v>300</v>
      </c>
      <c r="N36" s="51">
        <v>300</v>
      </c>
      <c r="O36" s="51">
        <v>300</v>
      </c>
      <c r="P36" s="51">
        <v>300</v>
      </c>
      <c r="Q36" s="51">
        <v>300</v>
      </c>
      <c r="R36" s="51">
        <v>300</v>
      </c>
      <c r="S36" s="51">
        <v>300</v>
      </c>
      <c r="T36" s="51">
        <v>300</v>
      </c>
      <c r="U36" s="51">
        <v>300</v>
      </c>
      <c r="V36" s="51">
        <v>300</v>
      </c>
      <c r="W36" s="51">
        <v>300</v>
      </c>
      <c r="X36" s="51">
        <v>300</v>
      </c>
      <c r="Y36" s="51">
        <v>450</v>
      </c>
      <c r="Z36" s="51">
        <v>450</v>
      </c>
      <c r="AA36" s="51">
        <v>450</v>
      </c>
      <c r="AB36" s="51">
        <v>450</v>
      </c>
      <c r="AC36" s="51">
        <v>450</v>
      </c>
      <c r="AD36" s="51">
        <v>450</v>
      </c>
      <c r="AE36" s="51">
        <v>450</v>
      </c>
      <c r="AF36" s="51">
        <v>450</v>
      </c>
      <c r="AG36" s="51">
        <v>450</v>
      </c>
      <c r="AH36" s="51">
        <v>450</v>
      </c>
      <c r="AI36" s="217">
        <f t="shared" si="0"/>
        <v>8800</v>
      </c>
      <c r="AJ36" s="217">
        <f t="shared" si="3"/>
        <v>18500</v>
      </c>
      <c r="AK36" s="217"/>
      <c r="AL36" s="217"/>
      <c r="AM36" s="217">
        <v>25000</v>
      </c>
      <c r="AN36" s="231">
        <f>A36+12</f>
        <v>45739</v>
      </c>
      <c r="AO36" s="51">
        <f t="shared" si="1"/>
        <v>70739</v>
      </c>
    </row>
    <row r="37" spans="1:41">
      <c r="A37" s="209">
        <v>45728</v>
      </c>
      <c r="B37" s="51"/>
      <c r="C37" s="51"/>
      <c r="D37" s="404"/>
      <c r="E37" s="51"/>
      <c r="F37" s="51">
        <v>9000</v>
      </c>
      <c r="G37" s="215">
        <f t="shared" si="2"/>
        <v>0</v>
      </c>
      <c r="H37" s="51"/>
      <c r="I37" s="51">
        <v>300</v>
      </c>
      <c r="J37" s="51"/>
      <c r="K37" s="51">
        <v>300</v>
      </c>
      <c r="L37" s="213">
        <v>200</v>
      </c>
      <c r="M37" s="213">
        <v>200</v>
      </c>
      <c r="N37" s="51">
        <v>300</v>
      </c>
      <c r="O37" s="51">
        <v>300</v>
      </c>
      <c r="P37" s="51">
        <v>300</v>
      </c>
      <c r="Q37" s="51">
        <v>300</v>
      </c>
      <c r="R37" s="51">
        <v>300</v>
      </c>
      <c r="S37" s="51">
        <v>300</v>
      </c>
      <c r="T37" s="51">
        <v>300</v>
      </c>
      <c r="U37" s="51">
        <v>300</v>
      </c>
      <c r="V37" s="51">
        <v>300</v>
      </c>
      <c r="W37" s="51">
        <v>300</v>
      </c>
      <c r="X37" s="51">
        <v>300</v>
      </c>
      <c r="Y37" s="51">
        <v>450</v>
      </c>
      <c r="Z37" s="51">
        <v>450</v>
      </c>
      <c r="AA37" s="51">
        <v>450</v>
      </c>
      <c r="AB37" s="51">
        <v>450</v>
      </c>
      <c r="AC37" s="51">
        <v>450</v>
      </c>
      <c r="AD37" s="51">
        <v>450</v>
      </c>
      <c r="AE37" s="51">
        <v>450</v>
      </c>
      <c r="AF37" s="51">
        <v>450</v>
      </c>
      <c r="AG37" s="51">
        <v>450</v>
      </c>
      <c r="AH37" s="51">
        <v>450</v>
      </c>
      <c r="AI37" s="217">
        <f t="shared" si="0"/>
        <v>8800</v>
      </c>
      <c r="AJ37" s="217">
        <f t="shared" si="3"/>
        <v>27300</v>
      </c>
      <c r="AK37" s="217"/>
      <c r="AL37" s="217"/>
      <c r="AM37" s="217"/>
      <c r="AN37" s="217"/>
      <c r="AO37" s="51">
        <f t="shared" si="1"/>
        <v>0</v>
      </c>
    </row>
    <row r="38" spans="1:41">
      <c r="A38" s="209">
        <v>45729</v>
      </c>
      <c r="B38" s="51"/>
      <c r="C38" s="51"/>
      <c r="D38" s="404"/>
      <c r="E38" s="51"/>
      <c r="F38" s="51"/>
      <c r="G38" s="215">
        <f t="shared" si="2"/>
        <v>0</v>
      </c>
      <c r="H38" s="51"/>
      <c r="I38" s="51">
        <v>300</v>
      </c>
      <c r="J38" s="51"/>
      <c r="K38" s="51">
        <v>300</v>
      </c>
      <c r="L38" s="51">
        <v>300</v>
      </c>
      <c r="M38" s="51">
        <v>300</v>
      </c>
      <c r="N38" s="213">
        <v>200</v>
      </c>
      <c r="O38" s="213">
        <v>200</v>
      </c>
      <c r="P38" s="51">
        <v>300</v>
      </c>
      <c r="Q38" s="51">
        <v>300</v>
      </c>
      <c r="R38" s="51">
        <v>300</v>
      </c>
      <c r="S38" s="51">
        <v>300</v>
      </c>
      <c r="T38" s="51">
        <v>300</v>
      </c>
      <c r="U38" s="51">
        <v>300</v>
      </c>
      <c r="V38" s="51">
        <v>300</v>
      </c>
      <c r="W38" s="51">
        <v>300</v>
      </c>
      <c r="X38" s="51">
        <v>300</v>
      </c>
      <c r="Y38" s="51">
        <v>450</v>
      </c>
      <c r="Z38" s="51">
        <v>450</v>
      </c>
      <c r="AA38" s="51">
        <v>450</v>
      </c>
      <c r="AB38" s="51">
        <v>450</v>
      </c>
      <c r="AC38" s="51">
        <v>450</v>
      </c>
      <c r="AD38" s="51">
        <v>450</v>
      </c>
      <c r="AE38" s="51">
        <v>450</v>
      </c>
      <c r="AF38" s="51">
        <v>450</v>
      </c>
      <c r="AG38" s="51">
        <v>450</v>
      </c>
      <c r="AH38" s="51">
        <v>450</v>
      </c>
      <c r="AI38" s="217">
        <f t="shared" si="0"/>
        <v>8800</v>
      </c>
      <c r="AJ38" s="214">
        <f t="shared" si="3"/>
        <v>36100</v>
      </c>
      <c r="AK38" s="217"/>
      <c r="AL38" s="217"/>
      <c r="AM38" s="217"/>
      <c r="AN38" s="217"/>
      <c r="AO38" s="51">
        <f t="shared" si="1"/>
        <v>0</v>
      </c>
    </row>
    <row r="39" spans="1:41">
      <c r="A39" s="209">
        <v>45730</v>
      </c>
      <c r="B39" s="51"/>
      <c r="C39" s="51"/>
      <c r="D39" s="404"/>
      <c r="E39" s="51">
        <v>9000</v>
      </c>
      <c r="F39" s="51"/>
      <c r="G39" s="215">
        <f t="shared" si="2"/>
        <v>0</v>
      </c>
      <c r="H39" s="51"/>
      <c r="I39" s="51">
        <v>300</v>
      </c>
      <c r="J39" s="51"/>
      <c r="K39" s="51">
        <v>300</v>
      </c>
      <c r="L39" s="51">
        <v>300</v>
      </c>
      <c r="M39" s="51">
        <v>300</v>
      </c>
      <c r="N39" s="51">
        <v>300</v>
      </c>
      <c r="O39" s="51">
        <v>300</v>
      </c>
      <c r="P39" s="213">
        <v>200</v>
      </c>
      <c r="Q39" s="213">
        <v>200</v>
      </c>
      <c r="R39" s="51">
        <v>300</v>
      </c>
      <c r="S39" s="51">
        <v>300</v>
      </c>
      <c r="T39" s="51">
        <v>300</v>
      </c>
      <c r="U39" s="51">
        <v>300</v>
      </c>
      <c r="V39" s="51">
        <v>300</v>
      </c>
      <c r="W39" s="51">
        <v>300</v>
      </c>
      <c r="X39" s="51">
        <v>300</v>
      </c>
      <c r="Y39" s="51">
        <v>450</v>
      </c>
      <c r="Z39" s="51">
        <v>450</v>
      </c>
      <c r="AA39" s="51">
        <v>450</v>
      </c>
      <c r="AB39" s="51">
        <v>450</v>
      </c>
      <c r="AC39" s="51">
        <v>450</v>
      </c>
      <c r="AD39" s="51">
        <v>450</v>
      </c>
      <c r="AE39" s="214">
        <v>200</v>
      </c>
      <c r="AF39" s="51">
        <v>450</v>
      </c>
      <c r="AG39" s="51">
        <v>450</v>
      </c>
      <c r="AH39" s="51">
        <v>450</v>
      </c>
      <c r="AI39" s="217">
        <f t="shared" ref="AI39:AI70" si="4">SUM(I39:AH39)</f>
        <v>8550</v>
      </c>
      <c r="AJ39" s="217">
        <f t="shared" si="3"/>
        <v>19650</v>
      </c>
      <c r="AK39" s="217">
        <v>25000</v>
      </c>
      <c r="AL39" s="231">
        <f>A39+12</f>
        <v>45742</v>
      </c>
      <c r="AM39" s="217"/>
      <c r="AN39" s="217"/>
      <c r="AO39" s="51">
        <f t="shared" ref="AO39:AO70" si="5">SUM(AK39:AN39)</f>
        <v>70742</v>
      </c>
    </row>
    <row r="40" spans="1:41">
      <c r="A40" s="209">
        <v>45731</v>
      </c>
      <c r="B40" s="51">
        <v>8000</v>
      </c>
      <c r="C40" s="51"/>
      <c r="D40" s="404"/>
      <c r="E40" s="51"/>
      <c r="F40" s="51"/>
      <c r="G40" s="215">
        <f t="shared" si="2"/>
        <v>55944.055944055952</v>
      </c>
      <c r="H40" s="51"/>
      <c r="I40" s="51">
        <v>300</v>
      </c>
      <c r="J40" s="51"/>
      <c r="K40" s="51">
        <v>300</v>
      </c>
      <c r="L40" s="51">
        <v>300</v>
      </c>
      <c r="M40" s="51">
        <v>300</v>
      </c>
      <c r="N40" s="51">
        <v>300</v>
      </c>
      <c r="O40" s="51">
        <v>300</v>
      </c>
      <c r="P40" s="51">
        <v>300</v>
      </c>
      <c r="Q40" s="51">
        <v>300</v>
      </c>
      <c r="R40" s="213">
        <v>200</v>
      </c>
      <c r="S40" s="213">
        <v>200</v>
      </c>
      <c r="T40" s="51">
        <v>300</v>
      </c>
      <c r="U40" s="51">
        <v>300</v>
      </c>
      <c r="V40" s="51">
        <v>300</v>
      </c>
      <c r="W40" s="51">
        <v>300</v>
      </c>
      <c r="X40" s="51">
        <v>300</v>
      </c>
      <c r="Y40" s="51">
        <v>450</v>
      </c>
      <c r="Z40" s="51">
        <v>450</v>
      </c>
      <c r="AA40" s="51">
        <v>450</v>
      </c>
      <c r="AB40" s="51">
        <v>450</v>
      </c>
      <c r="AC40" s="51">
        <v>450</v>
      </c>
      <c r="AD40" s="51">
        <v>450</v>
      </c>
      <c r="AE40" s="51">
        <v>450</v>
      </c>
      <c r="AF40" s="214">
        <v>200</v>
      </c>
      <c r="AG40" s="214">
        <v>200</v>
      </c>
      <c r="AH40" s="214">
        <v>200</v>
      </c>
      <c r="AI40" s="217">
        <f t="shared" si="4"/>
        <v>8050</v>
      </c>
      <c r="AJ40" s="217">
        <f t="shared" si="3"/>
        <v>27700</v>
      </c>
      <c r="AK40" s="217"/>
      <c r="AL40" s="217"/>
      <c r="AM40" s="217"/>
      <c r="AN40" s="217"/>
      <c r="AO40" s="51">
        <f t="shared" si="5"/>
        <v>0</v>
      </c>
    </row>
    <row r="41" spans="1:41">
      <c r="A41" s="209">
        <v>45732</v>
      </c>
      <c r="B41" s="51"/>
      <c r="C41" s="51"/>
      <c r="D41" s="404"/>
      <c r="E41" s="51"/>
      <c r="F41" s="51"/>
      <c r="G41" s="215">
        <f t="shared" si="2"/>
        <v>0</v>
      </c>
      <c r="H41" s="51"/>
      <c r="I41" s="51">
        <v>300</v>
      </c>
      <c r="J41" s="51"/>
      <c r="K41" s="51">
        <v>300</v>
      </c>
      <c r="L41" s="51">
        <v>300</v>
      </c>
      <c r="M41" s="51">
        <v>300</v>
      </c>
      <c r="N41" s="51">
        <v>300</v>
      </c>
      <c r="O41" s="51">
        <v>300</v>
      </c>
      <c r="P41" s="51">
        <v>300</v>
      </c>
      <c r="Q41" s="51">
        <v>300</v>
      </c>
      <c r="R41" s="51">
        <v>300</v>
      </c>
      <c r="S41" s="51">
        <v>300</v>
      </c>
      <c r="T41" s="213">
        <v>200</v>
      </c>
      <c r="U41" s="213">
        <v>200</v>
      </c>
      <c r="V41" s="51">
        <v>300</v>
      </c>
      <c r="W41" s="51">
        <v>300</v>
      </c>
      <c r="X41" s="51">
        <v>300</v>
      </c>
      <c r="Y41" s="51">
        <v>450</v>
      </c>
      <c r="Z41" s="51">
        <v>450</v>
      </c>
      <c r="AA41" s="51">
        <v>450</v>
      </c>
      <c r="AB41" s="51">
        <v>450</v>
      </c>
      <c r="AC41" s="51">
        <v>450</v>
      </c>
      <c r="AD41" s="51">
        <v>450</v>
      </c>
      <c r="AE41" s="51">
        <v>450</v>
      </c>
      <c r="AF41" s="51">
        <v>450</v>
      </c>
      <c r="AG41" s="51">
        <v>450</v>
      </c>
      <c r="AH41" s="51">
        <v>450</v>
      </c>
      <c r="AI41" s="217">
        <f t="shared" si="4"/>
        <v>8800</v>
      </c>
      <c r="AJ41" s="214">
        <f t="shared" si="3"/>
        <v>36500</v>
      </c>
      <c r="AK41" s="217"/>
      <c r="AL41" s="217"/>
      <c r="AM41" s="217"/>
      <c r="AN41" s="217"/>
      <c r="AO41" s="51">
        <f t="shared" si="5"/>
        <v>0</v>
      </c>
    </row>
    <row r="42" spans="1:41">
      <c r="A42" s="209">
        <v>45733</v>
      </c>
      <c r="B42" s="51"/>
      <c r="C42" s="51">
        <v>5000</v>
      </c>
      <c r="D42" s="404"/>
      <c r="E42" s="51"/>
      <c r="F42" s="51"/>
      <c r="G42" s="215">
        <f t="shared" si="2"/>
        <v>34965.034965034967</v>
      </c>
      <c r="H42" s="51"/>
      <c r="I42" s="51">
        <v>300</v>
      </c>
      <c r="J42" s="51"/>
      <c r="K42" s="51">
        <v>300</v>
      </c>
      <c r="L42" s="51">
        <v>300</v>
      </c>
      <c r="M42" s="51">
        <v>300</v>
      </c>
      <c r="N42" s="51">
        <v>300</v>
      </c>
      <c r="O42" s="51">
        <v>300</v>
      </c>
      <c r="P42" s="51">
        <v>300</v>
      </c>
      <c r="Q42" s="51">
        <v>300</v>
      </c>
      <c r="R42" s="51">
        <v>300</v>
      </c>
      <c r="S42" s="51">
        <v>300</v>
      </c>
      <c r="T42" s="51">
        <v>300</v>
      </c>
      <c r="U42" s="51">
        <v>300</v>
      </c>
      <c r="V42" s="213">
        <v>200</v>
      </c>
      <c r="W42" s="213">
        <v>200</v>
      </c>
      <c r="X42" s="51">
        <v>300</v>
      </c>
      <c r="Y42" s="51">
        <v>450</v>
      </c>
      <c r="Z42" s="51">
        <v>450</v>
      </c>
      <c r="AA42" s="51">
        <v>450</v>
      </c>
      <c r="AB42" s="51">
        <v>450</v>
      </c>
      <c r="AC42" s="51">
        <v>450</v>
      </c>
      <c r="AD42" s="51">
        <v>450</v>
      </c>
      <c r="AE42" s="51">
        <v>450</v>
      </c>
      <c r="AF42" s="51">
        <v>450</v>
      </c>
      <c r="AG42" s="51">
        <v>450</v>
      </c>
      <c r="AH42" s="51">
        <v>450</v>
      </c>
      <c r="AI42" s="217">
        <f t="shared" si="4"/>
        <v>8800</v>
      </c>
      <c r="AJ42" s="217">
        <f t="shared" si="3"/>
        <v>20300</v>
      </c>
      <c r="AK42" s="217"/>
      <c r="AL42" s="217"/>
      <c r="AM42" s="217">
        <v>25000</v>
      </c>
      <c r="AN42" s="231">
        <f>A42+12</f>
        <v>45745</v>
      </c>
      <c r="AO42" s="51">
        <f t="shared" si="5"/>
        <v>70745</v>
      </c>
    </row>
    <row r="43" spans="1:41">
      <c r="A43" s="209">
        <v>45734</v>
      </c>
      <c r="B43" s="51"/>
      <c r="C43" s="51"/>
      <c r="D43" s="404"/>
      <c r="E43" s="51"/>
      <c r="F43" s="51"/>
      <c r="G43" s="215">
        <f t="shared" si="2"/>
        <v>0</v>
      </c>
      <c r="H43" s="51"/>
      <c r="I43" s="51">
        <v>300</v>
      </c>
      <c r="J43" s="51"/>
      <c r="K43" s="51">
        <v>300</v>
      </c>
      <c r="L43" s="51">
        <v>300</v>
      </c>
      <c r="M43" s="51">
        <v>300</v>
      </c>
      <c r="N43" s="51">
        <v>300</v>
      </c>
      <c r="O43" s="51">
        <v>300</v>
      </c>
      <c r="P43" s="51">
        <v>300</v>
      </c>
      <c r="Q43" s="51">
        <v>300</v>
      </c>
      <c r="R43" s="51">
        <v>300</v>
      </c>
      <c r="S43" s="51">
        <v>300</v>
      </c>
      <c r="T43" s="51">
        <v>300</v>
      </c>
      <c r="U43" s="51">
        <v>300</v>
      </c>
      <c r="V43" s="51">
        <v>300</v>
      </c>
      <c r="W43" s="51">
        <v>300</v>
      </c>
      <c r="X43" s="213">
        <v>200</v>
      </c>
      <c r="Y43" s="214">
        <v>200</v>
      </c>
      <c r="Z43" s="51">
        <v>450</v>
      </c>
      <c r="AA43" s="51">
        <v>450</v>
      </c>
      <c r="AB43" s="51">
        <v>450</v>
      </c>
      <c r="AC43" s="51">
        <v>450</v>
      </c>
      <c r="AD43" s="51">
        <v>450</v>
      </c>
      <c r="AE43" s="51">
        <v>450</v>
      </c>
      <c r="AF43" s="51">
        <v>450</v>
      </c>
      <c r="AG43" s="51">
        <v>450</v>
      </c>
      <c r="AH43" s="51">
        <v>450</v>
      </c>
      <c r="AI43" s="217">
        <f t="shared" si="4"/>
        <v>8650</v>
      </c>
      <c r="AJ43" s="214">
        <f t="shared" si="3"/>
        <v>28950</v>
      </c>
      <c r="AK43" s="217"/>
      <c r="AL43" s="217"/>
      <c r="AM43" s="217"/>
      <c r="AN43" s="217"/>
      <c r="AO43" s="51">
        <f t="shared" si="5"/>
        <v>0</v>
      </c>
    </row>
    <row r="44" spans="1:41">
      <c r="A44" s="209">
        <v>45735</v>
      </c>
      <c r="B44" s="51"/>
      <c r="C44" s="51"/>
      <c r="D44" s="404"/>
      <c r="E44" s="51"/>
      <c r="F44" s="51"/>
      <c r="G44" s="215">
        <f t="shared" si="2"/>
        <v>0</v>
      </c>
      <c r="H44" s="51"/>
      <c r="I44" s="51">
        <v>300</v>
      </c>
      <c r="J44" s="51"/>
      <c r="K44" s="51">
        <v>300</v>
      </c>
      <c r="L44" s="51">
        <v>300</v>
      </c>
      <c r="M44" s="51">
        <v>300</v>
      </c>
      <c r="N44" s="51">
        <v>300</v>
      </c>
      <c r="O44" s="51">
        <v>300</v>
      </c>
      <c r="P44" s="51">
        <v>300</v>
      </c>
      <c r="Q44" s="51">
        <v>300</v>
      </c>
      <c r="R44" s="51">
        <v>300</v>
      </c>
      <c r="S44" s="51">
        <v>300</v>
      </c>
      <c r="T44" s="51">
        <v>300</v>
      </c>
      <c r="U44" s="51">
        <v>300</v>
      </c>
      <c r="V44" s="51">
        <v>300</v>
      </c>
      <c r="W44" s="51">
        <v>300</v>
      </c>
      <c r="X44" s="51">
        <v>300</v>
      </c>
      <c r="Y44" s="51">
        <v>450</v>
      </c>
      <c r="Z44" s="214">
        <v>200</v>
      </c>
      <c r="AA44" s="214">
        <v>200</v>
      </c>
      <c r="AB44" s="214">
        <v>200</v>
      </c>
      <c r="AC44" s="51">
        <v>450</v>
      </c>
      <c r="AD44" s="51">
        <v>450</v>
      </c>
      <c r="AE44" s="51">
        <v>450</v>
      </c>
      <c r="AF44" s="51">
        <v>450</v>
      </c>
      <c r="AG44" s="51">
        <v>450</v>
      </c>
      <c r="AH44" s="51">
        <v>450</v>
      </c>
      <c r="AI44" s="217">
        <f t="shared" si="4"/>
        <v>8250</v>
      </c>
      <c r="AJ44" s="217">
        <f t="shared" si="3"/>
        <v>12200</v>
      </c>
      <c r="AK44" s="217">
        <v>25000</v>
      </c>
      <c r="AL44" s="231">
        <f>A44+12</f>
        <v>45747</v>
      </c>
      <c r="AM44" s="217"/>
      <c r="AN44" s="217"/>
      <c r="AO44" s="51">
        <f t="shared" si="5"/>
        <v>70747</v>
      </c>
    </row>
    <row r="45" spans="1:41">
      <c r="A45" s="209">
        <v>45736</v>
      </c>
      <c r="B45" s="51"/>
      <c r="C45" s="51"/>
      <c r="D45" s="404"/>
      <c r="E45" s="51"/>
      <c r="F45" s="51">
        <v>9000</v>
      </c>
      <c r="G45" s="215">
        <f t="shared" si="2"/>
        <v>0</v>
      </c>
      <c r="H45" s="51"/>
      <c r="I45" s="51">
        <v>300</v>
      </c>
      <c r="J45" s="51"/>
      <c r="K45" s="51">
        <v>300</v>
      </c>
      <c r="L45" s="51">
        <v>300</v>
      </c>
      <c r="M45" s="51">
        <v>300</v>
      </c>
      <c r="N45" s="51">
        <v>300</v>
      </c>
      <c r="O45" s="51">
        <v>300</v>
      </c>
      <c r="P45" s="51">
        <v>300</v>
      </c>
      <c r="Q45" s="51">
        <v>300</v>
      </c>
      <c r="R45" s="51">
        <v>300</v>
      </c>
      <c r="S45" s="51">
        <v>300</v>
      </c>
      <c r="T45" s="51">
        <v>300</v>
      </c>
      <c r="U45" s="51">
        <v>300</v>
      </c>
      <c r="V45" s="51">
        <v>300</v>
      </c>
      <c r="W45" s="51">
        <v>300</v>
      </c>
      <c r="X45" s="51">
        <v>300</v>
      </c>
      <c r="Y45" s="51">
        <v>450</v>
      </c>
      <c r="Z45" s="51">
        <v>450</v>
      </c>
      <c r="AA45" s="51">
        <v>450</v>
      </c>
      <c r="AB45" s="51">
        <v>450</v>
      </c>
      <c r="AC45" s="214">
        <v>200</v>
      </c>
      <c r="AD45" s="214">
        <v>200</v>
      </c>
      <c r="AE45" s="51">
        <v>450</v>
      </c>
      <c r="AF45" s="51">
        <v>450</v>
      </c>
      <c r="AG45" s="51">
        <v>450</v>
      </c>
      <c r="AH45" s="51">
        <v>450</v>
      </c>
      <c r="AI45" s="217">
        <f t="shared" si="4"/>
        <v>8500</v>
      </c>
      <c r="AJ45" s="217">
        <f t="shared" si="3"/>
        <v>20700</v>
      </c>
      <c r="AK45" s="217"/>
      <c r="AL45" s="217"/>
      <c r="AM45" s="217"/>
      <c r="AN45" s="217"/>
      <c r="AO45" s="51">
        <f t="shared" si="5"/>
        <v>0</v>
      </c>
    </row>
    <row r="46" spans="1:41">
      <c r="A46" s="209">
        <v>45737</v>
      </c>
      <c r="B46" s="51"/>
      <c r="C46" s="51"/>
      <c r="D46" s="404"/>
      <c r="E46" s="51"/>
      <c r="F46" s="51"/>
      <c r="G46" s="215">
        <f t="shared" si="2"/>
        <v>0</v>
      </c>
      <c r="H46" s="51"/>
      <c r="I46" s="51">
        <v>300</v>
      </c>
      <c r="J46" s="51"/>
      <c r="K46" s="51">
        <v>300</v>
      </c>
      <c r="L46" s="51">
        <v>300</v>
      </c>
      <c r="M46" s="51">
        <v>300</v>
      </c>
      <c r="N46" s="51">
        <v>300</v>
      </c>
      <c r="O46" s="51">
        <v>300</v>
      </c>
      <c r="P46" s="51">
        <v>300</v>
      </c>
      <c r="Q46" s="51">
        <v>300</v>
      </c>
      <c r="R46" s="51">
        <v>300</v>
      </c>
      <c r="S46" s="51">
        <v>300</v>
      </c>
      <c r="T46" s="51">
        <v>300</v>
      </c>
      <c r="U46" s="51">
        <v>300</v>
      </c>
      <c r="V46" s="51">
        <v>300</v>
      </c>
      <c r="W46" s="51">
        <v>300</v>
      </c>
      <c r="X46" s="51">
        <v>300</v>
      </c>
      <c r="Y46" s="51">
        <v>450</v>
      </c>
      <c r="Z46" s="51">
        <v>450</v>
      </c>
      <c r="AA46" s="51">
        <v>450</v>
      </c>
      <c r="AB46" s="51">
        <v>450</v>
      </c>
      <c r="AC46" s="51">
        <v>450</v>
      </c>
      <c r="AD46" s="51">
        <v>450</v>
      </c>
      <c r="AE46" s="51">
        <v>450</v>
      </c>
      <c r="AF46" s="51">
        <v>450</v>
      </c>
      <c r="AG46" s="51">
        <v>450</v>
      </c>
      <c r="AH46" s="51">
        <v>450</v>
      </c>
      <c r="AI46" s="217">
        <f t="shared" si="4"/>
        <v>9000</v>
      </c>
      <c r="AJ46" s="214">
        <f t="shared" si="3"/>
        <v>29700</v>
      </c>
      <c r="AK46" s="217"/>
      <c r="AL46" s="217"/>
      <c r="AM46" s="217"/>
      <c r="AN46" s="217"/>
      <c r="AO46" s="51">
        <f t="shared" si="5"/>
        <v>0</v>
      </c>
    </row>
    <row r="47" spans="1:41">
      <c r="A47" s="209">
        <v>45738</v>
      </c>
      <c r="B47" s="51"/>
      <c r="C47" s="51"/>
      <c r="D47" s="404"/>
      <c r="E47" s="51">
        <v>5000</v>
      </c>
      <c r="F47" s="51"/>
      <c r="G47" s="215">
        <f t="shared" si="2"/>
        <v>0</v>
      </c>
      <c r="H47" s="51"/>
      <c r="I47" s="213">
        <v>200</v>
      </c>
      <c r="J47" s="51"/>
      <c r="K47" s="213">
        <v>200</v>
      </c>
      <c r="L47" s="51">
        <v>300</v>
      </c>
      <c r="M47" s="51">
        <v>300</v>
      </c>
      <c r="N47" s="51">
        <v>300</v>
      </c>
      <c r="O47" s="51">
        <v>300</v>
      </c>
      <c r="P47" s="51">
        <v>300</v>
      </c>
      <c r="Q47" s="51">
        <v>300</v>
      </c>
      <c r="R47" s="51">
        <v>300</v>
      </c>
      <c r="S47" s="51">
        <v>300</v>
      </c>
      <c r="T47" s="51">
        <v>300</v>
      </c>
      <c r="U47" s="51">
        <v>300</v>
      </c>
      <c r="V47" s="51">
        <v>300</v>
      </c>
      <c r="W47" s="51">
        <v>300</v>
      </c>
      <c r="X47" s="51">
        <v>300</v>
      </c>
      <c r="Y47" s="51">
        <v>450</v>
      </c>
      <c r="Z47" s="51">
        <v>450</v>
      </c>
      <c r="AA47" s="51">
        <v>450</v>
      </c>
      <c r="AB47" s="51">
        <v>450</v>
      </c>
      <c r="AC47" s="51">
        <v>450</v>
      </c>
      <c r="AD47" s="51">
        <v>450</v>
      </c>
      <c r="AE47" s="51">
        <v>450</v>
      </c>
      <c r="AF47" s="51">
        <v>450</v>
      </c>
      <c r="AG47" s="51">
        <v>450</v>
      </c>
      <c r="AH47" s="51">
        <v>450</v>
      </c>
      <c r="AI47" s="217">
        <f t="shared" si="4"/>
        <v>8800</v>
      </c>
      <c r="AJ47" s="217">
        <f t="shared" si="3"/>
        <v>13500</v>
      </c>
      <c r="AK47" s="217"/>
      <c r="AL47" s="217"/>
      <c r="AM47" s="217">
        <v>25000</v>
      </c>
      <c r="AN47" s="231">
        <f>A47+12</f>
        <v>45750</v>
      </c>
      <c r="AO47" s="51">
        <f t="shared" si="5"/>
        <v>70750</v>
      </c>
    </row>
    <row r="48" spans="1:41">
      <c r="A48" s="209">
        <v>45739</v>
      </c>
      <c r="B48" s="51"/>
      <c r="C48" s="51"/>
      <c r="D48" s="404"/>
      <c r="E48" s="51"/>
      <c r="F48" s="51"/>
      <c r="G48" s="215">
        <f t="shared" si="2"/>
        <v>0</v>
      </c>
      <c r="H48" s="51"/>
      <c r="I48" s="51">
        <v>300</v>
      </c>
      <c r="J48" s="51"/>
      <c r="K48" s="51">
        <v>300</v>
      </c>
      <c r="L48" s="213">
        <v>200</v>
      </c>
      <c r="M48" s="213">
        <v>200</v>
      </c>
      <c r="N48" s="51">
        <v>300</v>
      </c>
      <c r="O48" s="51">
        <v>300</v>
      </c>
      <c r="P48" s="51">
        <v>300</v>
      </c>
      <c r="Q48" s="51">
        <v>300</v>
      </c>
      <c r="R48" s="51">
        <v>300</v>
      </c>
      <c r="S48" s="51">
        <v>300</v>
      </c>
      <c r="T48" s="51">
        <v>300</v>
      </c>
      <c r="U48" s="51">
        <v>300</v>
      </c>
      <c r="V48" s="51">
        <v>300</v>
      </c>
      <c r="W48" s="51">
        <v>300</v>
      </c>
      <c r="X48" s="51">
        <v>300</v>
      </c>
      <c r="Y48" s="51">
        <v>450</v>
      </c>
      <c r="Z48" s="51">
        <v>450</v>
      </c>
      <c r="AA48" s="51">
        <v>450</v>
      </c>
      <c r="AB48" s="51">
        <v>450</v>
      </c>
      <c r="AC48" s="51">
        <v>450</v>
      </c>
      <c r="AD48" s="51">
        <v>450</v>
      </c>
      <c r="AE48" s="51">
        <v>450</v>
      </c>
      <c r="AF48" s="51">
        <v>450</v>
      </c>
      <c r="AG48" s="51">
        <v>450</v>
      </c>
      <c r="AH48" s="51">
        <v>450</v>
      </c>
      <c r="AI48" s="217">
        <f t="shared" si="4"/>
        <v>8800</v>
      </c>
      <c r="AJ48" s="214">
        <f t="shared" si="3"/>
        <v>22300</v>
      </c>
      <c r="AK48" s="217"/>
      <c r="AL48" s="217"/>
      <c r="AM48" s="217"/>
      <c r="AN48" s="217"/>
      <c r="AO48" s="51">
        <f t="shared" si="5"/>
        <v>0</v>
      </c>
    </row>
    <row r="49" spans="1:41">
      <c r="A49" s="209">
        <v>45740</v>
      </c>
      <c r="B49" s="51"/>
      <c r="C49" s="51"/>
      <c r="D49" s="404"/>
      <c r="E49" s="51"/>
      <c r="F49" s="51"/>
      <c r="G49" s="215">
        <f t="shared" si="2"/>
        <v>0</v>
      </c>
      <c r="H49" s="51"/>
      <c r="I49" s="51">
        <v>300</v>
      </c>
      <c r="J49" s="51"/>
      <c r="K49" s="51">
        <v>300</v>
      </c>
      <c r="L49" s="51">
        <v>300</v>
      </c>
      <c r="M49" s="51">
        <v>300</v>
      </c>
      <c r="N49" s="213">
        <v>200</v>
      </c>
      <c r="O49" s="213">
        <v>200</v>
      </c>
      <c r="P49" s="51">
        <v>300</v>
      </c>
      <c r="Q49" s="51">
        <v>300</v>
      </c>
      <c r="R49" s="51">
        <v>300</v>
      </c>
      <c r="S49" s="51">
        <v>300</v>
      </c>
      <c r="T49" s="51">
        <v>300</v>
      </c>
      <c r="U49" s="51">
        <v>300</v>
      </c>
      <c r="V49" s="51">
        <v>300</v>
      </c>
      <c r="W49" s="51">
        <v>300</v>
      </c>
      <c r="X49" s="51">
        <v>300</v>
      </c>
      <c r="Y49" s="51">
        <v>450</v>
      </c>
      <c r="Z49" s="51">
        <v>450</v>
      </c>
      <c r="AA49" s="51">
        <v>450</v>
      </c>
      <c r="AB49" s="51">
        <v>450</v>
      </c>
      <c r="AC49" s="51">
        <v>450</v>
      </c>
      <c r="AD49" s="51">
        <v>450</v>
      </c>
      <c r="AE49" s="51">
        <v>450</v>
      </c>
      <c r="AF49" s="51">
        <v>450</v>
      </c>
      <c r="AG49" s="51">
        <v>450</v>
      </c>
      <c r="AH49" s="51">
        <v>450</v>
      </c>
      <c r="AI49" s="217">
        <f t="shared" si="4"/>
        <v>8800</v>
      </c>
      <c r="AJ49" s="217">
        <f t="shared" si="3"/>
        <v>6100</v>
      </c>
      <c r="AK49" s="217">
        <v>25000</v>
      </c>
      <c r="AL49" s="231">
        <f>A49+12</f>
        <v>45752</v>
      </c>
      <c r="AM49" s="217"/>
      <c r="AN49" s="217"/>
      <c r="AO49" s="51">
        <f t="shared" si="5"/>
        <v>70752</v>
      </c>
    </row>
    <row r="50" spans="1:41">
      <c r="A50" s="209">
        <v>45741</v>
      </c>
      <c r="B50" s="51"/>
      <c r="C50" s="51"/>
      <c r="D50" s="404"/>
      <c r="E50" s="51"/>
      <c r="F50" s="51"/>
      <c r="G50" s="215">
        <f t="shared" si="2"/>
        <v>0</v>
      </c>
      <c r="H50" s="51"/>
      <c r="I50" s="51">
        <v>300</v>
      </c>
      <c r="J50" s="51"/>
      <c r="K50" s="51">
        <v>300</v>
      </c>
      <c r="L50" s="51">
        <v>300</v>
      </c>
      <c r="M50" s="51">
        <v>300</v>
      </c>
      <c r="N50" s="51">
        <v>300</v>
      </c>
      <c r="O50" s="51">
        <v>300</v>
      </c>
      <c r="P50" s="213">
        <v>200</v>
      </c>
      <c r="Q50" s="213">
        <v>200</v>
      </c>
      <c r="R50" s="51">
        <v>300</v>
      </c>
      <c r="S50" s="51">
        <v>300</v>
      </c>
      <c r="T50" s="51">
        <v>300</v>
      </c>
      <c r="U50" s="51">
        <v>300</v>
      </c>
      <c r="V50" s="51">
        <v>300</v>
      </c>
      <c r="W50" s="51">
        <v>300</v>
      </c>
      <c r="X50" s="51">
        <v>300</v>
      </c>
      <c r="Y50" s="51">
        <v>450</v>
      </c>
      <c r="Z50" s="51">
        <v>450</v>
      </c>
      <c r="AA50" s="51">
        <v>450</v>
      </c>
      <c r="AB50" s="51">
        <v>450</v>
      </c>
      <c r="AC50" s="51">
        <v>450</v>
      </c>
      <c r="AD50" s="51">
        <v>450</v>
      </c>
      <c r="AE50" s="214">
        <v>200</v>
      </c>
      <c r="AF50" s="51">
        <v>450</v>
      </c>
      <c r="AG50" s="51">
        <v>450</v>
      </c>
      <c r="AH50" s="51">
        <v>450</v>
      </c>
      <c r="AI50" s="217">
        <f t="shared" si="4"/>
        <v>8550</v>
      </c>
      <c r="AJ50" s="217">
        <f t="shared" si="3"/>
        <v>14650</v>
      </c>
      <c r="AK50" s="217"/>
      <c r="AL50" s="217"/>
      <c r="AM50" s="217"/>
      <c r="AN50" s="217"/>
      <c r="AO50" s="51">
        <f t="shared" si="5"/>
        <v>0</v>
      </c>
    </row>
    <row r="51" spans="1:41">
      <c r="A51" s="209">
        <v>45742</v>
      </c>
      <c r="B51" s="51"/>
      <c r="C51" s="51"/>
      <c r="D51" s="404"/>
      <c r="E51" s="51"/>
      <c r="F51" s="51"/>
      <c r="G51" s="215">
        <f t="shared" si="2"/>
        <v>0</v>
      </c>
      <c r="H51" s="51"/>
      <c r="I51" s="51">
        <v>300</v>
      </c>
      <c r="J51" s="51"/>
      <c r="K51" s="51">
        <v>300</v>
      </c>
      <c r="L51" s="51">
        <v>300</v>
      </c>
      <c r="M51" s="51">
        <v>300</v>
      </c>
      <c r="N51" s="51">
        <v>300</v>
      </c>
      <c r="O51" s="51">
        <v>300</v>
      </c>
      <c r="P51" s="51">
        <v>300</v>
      </c>
      <c r="Q51" s="51">
        <v>300</v>
      </c>
      <c r="R51" s="213">
        <v>200</v>
      </c>
      <c r="S51" s="213">
        <v>200</v>
      </c>
      <c r="T51" s="51">
        <v>300</v>
      </c>
      <c r="U51" s="51">
        <v>300</v>
      </c>
      <c r="V51" s="51">
        <v>300</v>
      </c>
      <c r="W51" s="51">
        <v>300</v>
      </c>
      <c r="X51" s="51">
        <v>300</v>
      </c>
      <c r="Y51" s="51">
        <v>450</v>
      </c>
      <c r="Z51" s="51">
        <v>450</v>
      </c>
      <c r="AA51" s="51">
        <v>450</v>
      </c>
      <c r="AB51" s="51">
        <v>450</v>
      </c>
      <c r="AC51" s="51">
        <v>450</v>
      </c>
      <c r="AD51" s="51">
        <v>450</v>
      </c>
      <c r="AE51" s="51">
        <v>450</v>
      </c>
      <c r="AF51" s="214">
        <v>200</v>
      </c>
      <c r="AG51" s="214">
        <v>200</v>
      </c>
      <c r="AH51" s="214">
        <v>200</v>
      </c>
      <c r="AI51" s="217">
        <f t="shared" si="4"/>
        <v>8050</v>
      </c>
      <c r="AJ51" s="214">
        <f t="shared" si="3"/>
        <v>22700</v>
      </c>
      <c r="AK51" s="217"/>
      <c r="AL51" s="217"/>
      <c r="AM51" s="217"/>
      <c r="AN51" s="217"/>
      <c r="AO51" s="51">
        <f t="shared" si="5"/>
        <v>0</v>
      </c>
    </row>
    <row r="52" spans="1:41">
      <c r="A52" s="209">
        <v>45743</v>
      </c>
      <c r="B52" s="51"/>
      <c r="C52" s="51"/>
      <c r="D52" s="404"/>
      <c r="E52" s="51"/>
      <c r="F52" s="51"/>
      <c r="G52" s="215">
        <f t="shared" si="2"/>
        <v>0</v>
      </c>
      <c r="H52" s="51"/>
      <c r="I52" s="51">
        <v>300</v>
      </c>
      <c r="J52" s="51"/>
      <c r="K52" s="51">
        <v>300</v>
      </c>
      <c r="L52" s="51">
        <v>300</v>
      </c>
      <c r="M52" s="51">
        <v>300</v>
      </c>
      <c r="N52" s="51">
        <v>300</v>
      </c>
      <c r="O52" s="51">
        <v>300</v>
      </c>
      <c r="P52" s="51">
        <v>300</v>
      </c>
      <c r="Q52" s="51">
        <v>300</v>
      </c>
      <c r="R52" s="51">
        <v>300</v>
      </c>
      <c r="S52" s="51">
        <v>300</v>
      </c>
      <c r="T52" s="213">
        <v>200</v>
      </c>
      <c r="U52" s="213">
        <v>200</v>
      </c>
      <c r="V52" s="51">
        <v>300</v>
      </c>
      <c r="W52" s="51">
        <v>300</v>
      </c>
      <c r="X52" s="51">
        <v>300</v>
      </c>
      <c r="Y52" s="51">
        <v>450</v>
      </c>
      <c r="Z52" s="51">
        <v>450</v>
      </c>
      <c r="AA52" s="51">
        <v>450</v>
      </c>
      <c r="AB52" s="51">
        <v>450</v>
      </c>
      <c r="AC52" s="51">
        <v>450</v>
      </c>
      <c r="AD52" s="51">
        <v>450</v>
      </c>
      <c r="AE52" s="51">
        <v>450</v>
      </c>
      <c r="AF52" s="51">
        <v>450</v>
      </c>
      <c r="AG52" s="51">
        <v>450</v>
      </c>
      <c r="AH52" s="51">
        <v>450</v>
      </c>
      <c r="AI52" s="217">
        <f t="shared" si="4"/>
        <v>8800</v>
      </c>
      <c r="AJ52" s="217">
        <f t="shared" si="3"/>
        <v>6500</v>
      </c>
      <c r="AK52" s="217"/>
      <c r="AL52" s="217"/>
      <c r="AM52" s="217">
        <v>25000</v>
      </c>
      <c r="AN52" s="231">
        <f>A52+12</f>
        <v>45755</v>
      </c>
      <c r="AO52" s="51">
        <f t="shared" si="5"/>
        <v>70755</v>
      </c>
    </row>
    <row r="53" spans="1:41">
      <c r="A53" s="209">
        <v>45744</v>
      </c>
      <c r="B53" s="51"/>
      <c r="C53" s="51"/>
      <c r="D53" s="404"/>
      <c r="E53" s="51"/>
      <c r="F53" s="51"/>
      <c r="G53" s="215">
        <f t="shared" si="2"/>
        <v>0</v>
      </c>
      <c r="H53" s="51"/>
      <c r="I53" s="51">
        <v>300</v>
      </c>
      <c r="J53" s="51"/>
      <c r="K53" s="51">
        <v>300</v>
      </c>
      <c r="L53" s="51">
        <v>300</v>
      </c>
      <c r="M53" s="51">
        <v>300</v>
      </c>
      <c r="N53" s="51">
        <v>300</v>
      </c>
      <c r="O53" s="51">
        <v>300</v>
      </c>
      <c r="P53" s="51">
        <v>300</v>
      </c>
      <c r="Q53" s="51">
        <v>300</v>
      </c>
      <c r="R53" s="51">
        <v>300</v>
      </c>
      <c r="S53" s="51">
        <v>300</v>
      </c>
      <c r="T53" s="51">
        <v>300</v>
      </c>
      <c r="U53" s="51">
        <v>300</v>
      </c>
      <c r="V53" s="213">
        <v>200</v>
      </c>
      <c r="W53" s="213">
        <v>200</v>
      </c>
      <c r="X53" s="51">
        <v>300</v>
      </c>
      <c r="Y53" s="51">
        <v>450</v>
      </c>
      <c r="Z53" s="51">
        <v>450</v>
      </c>
      <c r="AA53" s="51">
        <v>450</v>
      </c>
      <c r="AB53" s="51">
        <v>450</v>
      </c>
      <c r="AC53" s="51">
        <v>450</v>
      </c>
      <c r="AD53" s="51">
        <v>450</v>
      </c>
      <c r="AE53" s="51">
        <v>450</v>
      </c>
      <c r="AF53" s="51">
        <v>450</v>
      </c>
      <c r="AG53" s="51">
        <v>450</v>
      </c>
      <c r="AH53" s="51">
        <v>450</v>
      </c>
      <c r="AI53" s="217">
        <f t="shared" si="4"/>
        <v>8800</v>
      </c>
      <c r="AJ53" s="217">
        <f t="shared" si="3"/>
        <v>15300</v>
      </c>
      <c r="AK53" s="217"/>
      <c r="AL53" s="217"/>
      <c r="AM53" s="217"/>
      <c r="AN53" s="217"/>
      <c r="AO53" s="51">
        <f t="shared" si="5"/>
        <v>0</v>
      </c>
    </row>
    <row r="54" spans="1:41">
      <c r="A54" s="209">
        <v>45745</v>
      </c>
      <c r="B54" s="51"/>
      <c r="C54" s="51"/>
      <c r="D54" s="404"/>
      <c r="E54" s="51"/>
      <c r="F54" s="51"/>
      <c r="G54" s="215">
        <f t="shared" si="2"/>
        <v>0</v>
      </c>
      <c r="H54" s="51"/>
      <c r="I54" s="51">
        <v>300</v>
      </c>
      <c r="J54" s="51"/>
      <c r="K54" s="51">
        <v>300</v>
      </c>
      <c r="L54" s="51">
        <v>300</v>
      </c>
      <c r="M54" s="51">
        <v>300</v>
      </c>
      <c r="N54" s="51">
        <v>300</v>
      </c>
      <c r="O54" s="51">
        <v>300</v>
      </c>
      <c r="P54" s="51">
        <v>300</v>
      </c>
      <c r="Q54" s="51">
        <v>300</v>
      </c>
      <c r="R54" s="51">
        <v>300</v>
      </c>
      <c r="S54" s="51">
        <v>300</v>
      </c>
      <c r="T54" s="51">
        <v>300</v>
      </c>
      <c r="U54" s="51">
        <v>300</v>
      </c>
      <c r="V54" s="51">
        <v>300</v>
      </c>
      <c r="W54" s="51">
        <v>300</v>
      </c>
      <c r="X54" s="213">
        <v>200</v>
      </c>
      <c r="Y54" s="214">
        <v>200</v>
      </c>
      <c r="Z54" s="51">
        <v>450</v>
      </c>
      <c r="AA54" s="51">
        <v>450</v>
      </c>
      <c r="AB54" s="51">
        <v>450</v>
      </c>
      <c r="AC54" s="51">
        <v>450</v>
      </c>
      <c r="AD54" s="51">
        <v>450</v>
      </c>
      <c r="AE54" s="51">
        <v>450</v>
      </c>
      <c r="AF54" s="51">
        <v>450</v>
      </c>
      <c r="AG54" s="51">
        <v>450</v>
      </c>
      <c r="AH54" s="51">
        <v>450</v>
      </c>
      <c r="AI54" s="217">
        <f t="shared" si="4"/>
        <v>8650</v>
      </c>
      <c r="AJ54" s="214">
        <f t="shared" si="3"/>
        <v>23950</v>
      </c>
      <c r="AK54" s="217"/>
      <c r="AL54" s="217"/>
      <c r="AM54" s="217"/>
      <c r="AN54" s="217"/>
      <c r="AO54" s="51">
        <f t="shared" si="5"/>
        <v>0</v>
      </c>
    </row>
    <row r="55" spans="1:41">
      <c r="A55" s="209">
        <v>45746</v>
      </c>
      <c r="B55" s="51"/>
      <c r="C55" s="51"/>
      <c r="D55" s="404"/>
      <c r="E55" s="51"/>
      <c r="F55" s="51"/>
      <c r="G55" s="215">
        <f t="shared" si="2"/>
        <v>0</v>
      </c>
      <c r="H55" s="51"/>
      <c r="I55" s="51">
        <v>300</v>
      </c>
      <c r="J55" s="51"/>
      <c r="K55" s="51">
        <v>300</v>
      </c>
      <c r="L55" s="51">
        <v>300</v>
      </c>
      <c r="M55" s="51">
        <v>300</v>
      </c>
      <c r="N55" s="51">
        <v>300</v>
      </c>
      <c r="O55" s="51">
        <v>300</v>
      </c>
      <c r="P55" s="51">
        <v>300</v>
      </c>
      <c r="Q55" s="51">
        <v>300</v>
      </c>
      <c r="R55" s="51">
        <v>300</v>
      </c>
      <c r="S55" s="51">
        <v>300</v>
      </c>
      <c r="T55" s="51">
        <v>300</v>
      </c>
      <c r="U55" s="51">
        <v>300</v>
      </c>
      <c r="V55" s="51">
        <v>300</v>
      </c>
      <c r="W55" s="51">
        <v>300</v>
      </c>
      <c r="X55" s="51">
        <v>300</v>
      </c>
      <c r="Y55" s="51">
        <v>450</v>
      </c>
      <c r="Z55" s="214">
        <v>200</v>
      </c>
      <c r="AA55" s="214">
        <v>200</v>
      </c>
      <c r="AB55" s="214">
        <v>200</v>
      </c>
      <c r="AC55" s="51">
        <v>450</v>
      </c>
      <c r="AD55" s="51">
        <v>450</v>
      </c>
      <c r="AE55" s="51">
        <v>450</v>
      </c>
      <c r="AF55" s="51">
        <v>450</v>
      </c>
      <c r="AG55" s="51">
        <v>450</v>
      </c>
      <c r="AH55" s="51">
        <v>450</v>
      </c>
      <c r="AI55" s="217">
        <f t="shared" si="4"/>
        <v>8250</v>
      </c>
      <c r="AJ55" s="217">
        <f t="shared" si="3"/>
        <v>7200</v>
      </c>
      <c r="AK55" s="217">
        <v>25000</v>
      </c>
      <c r="AL55" s="231">
        <f>A55+12</f>
        <v>45758</v>
      </c>
      <c r="AM55" s="217"/>
      <c r="AN55" s="217"/>
      <c r="AO55" s="51">
        <f t="shared" si="5"/>
        <v>70758</v>
      </c>
    </row>
    <row r="56" spans="1:41">
      <c r="A56" s="209">
        <v>45747</v>
      </c>
      <c r="B56" s="51"/>
      <c r="C56" s="51"/>
      <c r="D56" s="405"/>
      <c r="E56" s="51"/>
      <c r="F56" s="51"/>
      <c r="G56" s="215">
        <f t="shared" si="2"/>
        <v>0</v>
      </c>
      <c r="H56" s="51"/>
      <c r="I56" s="51">
        <v>300</v>
      </c>
      <c r="J56" s="51"/>
      <c r="K56" s="51">
        <v>300</v>
      </c>
      <c r="L56" s="51">
        <v>300</v>
      </c>
      <c r="M56" s="51">
        <v>300</v>
      </c>
      <c r="N56" s="51">
        <v>300</v>
      </c>
      <c r="O56" s="51">
        <v>300</v>
      </c>
      <c r="P56" s="51">
        <v>300</v>
      </c>
      <c r="Q56" s="51">
        <v>300</v>
      </c>
      <c r="R56" s="51">
        <v>300</v>
      </c>
      <c r="S56" s="51">
        <v>300</v>
      </c>
      <c r="T56" s="51">
        <v>300</v>
      </c>
      <c r="U56" s="51">
        <v>300</v>
      </c>
      <c r="V56" s="51">
        <v>300</v>
      </c>
      <c r="W56" s="51">
        <v>300</v>
      </c>
      <c r="X56" s="51">
        <v>300</v>
      </c>
      <c r="Y56" s="51">
        <v>450</v>
      </c>
      <c r="Z56" s="51">
        <v>450</v>
      </c>
      <c r="AA56" s="51">
        <v>450</v>
      </c>
      <c r="AB56" s="51">
        <v>450</v>
      </c>
      <c r="AC56" s="214">
        <v>200</v>
      </c>
      <c r="AD56" s="214">
        <v>200</v>
      </c>
      <c r="AE56" s="51">
        <v>450</v>
      </c>
      <c r="AF56" s="51">
        <v>450</v>
      </c>
      <c r="AG56" s="51">
        <v>450</v>
      </c>
      <c r="AH56" s="51">
        <v>450</v>
      </c>
      <c r="AI56" s="217">
        <f t="shared" si="4"/>
        <v>8500</v>
      </c>
      <c r="AJ56" s="217">
        <f t="shared" si="3"/>
        <v>15700</v>
      </c>
      <c r="AK56" s="217"/>
      <c r="AL56" s="217"/>
      <c r="AM56" s="217"/>
      <c r="AN56" s="217"/>
      <c r="AO56" s="51">
        <f t="shared" si="5"/>
        <v>0</v>
      </c>
    </row>
    <row r="57" spans="1:41">
      <c r="A57" s="209">
        <v>45748</v>
      </c>
      <c r="B57" s="51"/>
      <c r="C57" s="51"/>
      <c r="D57" s="208"/>
      <c r="E57" s="51"/>
      <c r="F57" s="51"/>
      <c r="G57" s="215">
        <f t="shared" si="2"/>
        <v>0</v>
      </c>
      <c r="H57" s="51"/>
      <c r="I57" s="51">
        <v>300</v>
      </c>
      <c r="J57" s="51"/>
      <c r="K57" s="51">
        <v>300</v>
      </c>
      <c r="L57" s="51">
        <v>300</v>
      </c>
      <c r="M57" s="51">
        <v>300</v>
      </c>
      <c r="N57" s="51">
        <v>300</v>
      </c>
      <c r="O57" s="51">
        <v>300</v>
      </c>
      <c r="P57" s="51">
        <v>300</v>
      </c>
      <c r="Q57" s="51">
        <v>300</v>
      </c>
      <c r="R57" s="51">
        <v>300</v>
      </c>
      <c r="S57" s="51">
        <v>300</v>
      </c>
      <c r="T57" s="51">
        <v>300</v>
      </c>
      <c r="U57" s="51">
        <v>300</v>
      </c>
      <c r="V57" s="51">
        <v>300</v>
      </c>
      <c r="W57" s="51">
        <v>300</v>
      </c>
      <c r="X57" s="51">
        <v>300</v>
      </c>
      <c r="Y57" s="51">
        <v>450</v>
      </c>
      <c r="Z57" s="51">
        <v>450</v>
      </c>
      <c r="AA57" s="51">
        <v>450</v>
      </c>
      <c r="AB57" s="51">
        <v>450</v>
      </c>
      <c r="AC57" s="51">
        <v>450</v>
      </c>
      <c r="AD57" s="51">
        <v>450</v>
      </c>
      <c r="AE57" s="51">
        <v>450</v>
      </c>
      <c r="AF57" s="51">
        <v>450</v>
      </c>
      <c r="AG57" s="51">
        <v>450</v>
      </c>
      <c r="AH57" s="51">
        <v>450</v>
      </c>
      <c r="AI57" s="217">
        <f t="shared" si="4"/>
        <v>9000</v>
      </c>
      <c r="AJ57" s="214">
        <f t="shared" si="3"/>
        <v>24700</v>
      </c>
      <c r="AK57" s="217"/>
      <c r="AL57" s="217"/>
      <c r="AM57" s="217"/>
      <c r="AN57" s="217"/>
      <c r="AO57" s="51">
        <f t="shared" si="5"/>
        <v>0</v>
      </c>
    </row>
    <row r="58" spans="1:41">
      <c r="A58" s="209">
        <v>45749</v>
      </c>
      <c r="B58" s="51"/>
      <c r="C58" s="51"/>
      <c r="D58" s="208"/>
      <c r="E58" s="51"/>
      <c r="F58" s="51"/>
      <c r="G58" s="215">
        <f t="shared" si="2"/>
        <v>0</v>
      </c>
      <c r="H58" s="51"/>
      <c r="I58" s="213">
        <v>200</v>
      </c>
      <c r="J58" s="51"/>
      <c r="K58" s="213">
        <v>200</v>
      </c>
      <c r="L58" s="51">
        <v>300</v>
      </c>
      <c r="M58" s="51">
        <v>300</v>
      </c>
      <c r="N58" s="51">
        <v>300</v>
      </c>
      <c r="O58" s="51">
        <v>300</v>
      </c>
      <c r="P58" s="51">
        <v>300</v>
      </c>
      <c r="Q58" s="51">
        <v>300</v>
      </c>
      <c r="R58" s="51">
        <v>300</v>
      </c>
      <c r="S58" s="51">
        <v>300</v>
      </c>
      <c r="T58" s="51">
        <v>300</v>
      </c>
      <c r="U58" s="51">
        <v>300</v>
      </c>
      <c r="V58" s="51">
        <v>300</v>
      </c>
      <c r="W58" s="51">
        <v>300</v>
      </c>
      <c r="X58" s="51">
        <v>300</v>
      </c>
      <c r="Y58" s="51">
        <v>450</v>
      </c>
      <c r="Z58" s="51">
        <v>450</v>
      </c>
      <c r="AA58" s="51">
        <v>450</v>
      </c>
      <c r="AB58" s="51">
        <v>450</v>
      </c>
      <c r="AC58" s="51">
        <v>450</v>
      </c>
      <c r="AD58" s="51">
        <v>450</v>
      </c>
      <c r="AE58" s="51">
        <v>450</v>
      </c>
      <c r="AF58" s="51">
        <v>450</v>
      </c>
      <c r="AG58" s="51">
        <v>450</v>
      </c>
      <c r="AH58" s="51">
        <v>450</v>
      </c>
      <c r="AI58" s="217">
        <f t="shared" si="4"/>
        <v>8800</v>
      </c>
      <c r="AJ58" s="217">
        <f t="shared" si="3"/>
        <v>8500</v>
      </c>
      <c r="AK58" s="217"/>
      <c r="AL58" s="217"/>
      <c r="AM58" s="217">
        <v>25000</v>
      </c>
      <c r="AN58" s="231">
        <f>A58+12</f>
        <v>45761</v>
      </c>
      <c r="AO58" s="51">
        <f t="shared" si="5"/>
        <v>70761</v>
      </c>
    </row>
    <row r="59" spans="1:41">
      <c r="A59" s="209">
        <v>45750</v>
      </c>
      <c r="B59" s="51"/>
      <c r="C59" s="51"/>
      <c r="D59" s="208"/>
      <c r="E59" s="51"/>
      <c r="F59" s="51"/>
      <c r="G59" s="215">
        <f t="shared" si="2"/>
        <v>0</v>
      </c>
      <c r="H59" s="51"/>
      <c r="I59" s="51">
        <v>300</v>
      </c>
      <c r="J59" s="51"/>
      <c r="K59" s="51">
        <v>300</v>
      </c>
      <c r="L59" s="213">
        <v>200</v>
      </c>
      <c r="M59" s="213">
        <v>200</v>
      </c>
      <c r="N59" s="51">
        <v>300</v>
      </c>
      <c r="O59" s="51">
        <v>300</v>
      </c>
      <c r="P59" s="51">
        <v>300</v>
      </c>
      <c r="Q59" s="51">
        <v>300</v>
      </c>
      <c r="R59" s="51">
        <v>300</v>
      </c>
      <c r="S59" s="51">
        <v>300</v>
      </c>
      <c r="T59" s="51">
        <v>300</v>
      </c>
      <c r="U59" s="51">
        <v>300</v>
      </c>
      <c r="V59" s="51">
        <v>300</v>
      </c>
      <c r="W59" s="51">
        <v>300</v>
      </c>
      <c r="X59" s="51">
        <v>300</v>
      </c>
      <c r="Y59" s="51">
        <v>450</v>
      </c>
      <c r="Z59" s="51">
        <v>450</v>
      </c>
      <c r="AA59" s="51">
        <v>450</v>
      </c>
      <c r="AB59" s="51">
        <v>450</v>
      </c>
      <c r="AC59" s="51">
        <v>450</v>
      </c>
      <c r="AD59" s="51">
        <v>450</v>
      </c>
      <c r="AE59" s="51">
        <v>450</v>
      </c>
      <c r="AF59" s="51">
        <v>450</v>
      </c>
      <c r="AG59" s="51">
        <v>450</v>
      </c>
      <c r="AH59" s="51">
        <v>450</v>
      </c>
      <c r="AI59" s="217">
        <f t="shared" si="4"/>
        <v>8800</v>
      </c>
      <c r="AJ59" s="217">
        <f t="shared" si="3"/>
        <v>17300</v>
      </c>
      <c r="AK59" s="217"/>
      <c r="AL59" s="217"/>
      <c r="AM59" s="217"/>
      <c r="AN59" s="217"/>
      <c r="AO59" s="51">
        <f t="shared" si="5"/>
        <v>0</v>
      </c>
    </row>
    <row r="60" spans="1:41">
      <c r="A60" s="209">
        <v>45751</v>
      </c>
      <c r="B60" s="51"/>
      <c r="C60" s="51"/>
      <c r="D60" s="208"/>
      <c r="E60" s="51"/>
      <c r="F60" s="51"/>
      <c r="G60" s="215">
        <f t="shared" si="2"/>
        <v>0</v>
      </c>
      <c r="H60" s="51"/>
      <c r="I60" s="51">
        <v>300</v>
      </c>
      <c r="J60" s="51"/>
      <c r="K60" s="51">
        <v>300</v>
      </c>
      <c r="L60" s="51">
        <v>300</v>
      </c>
      <c r="M60" s="51">
        <v>300</v>
      </c>
      <c r="N60" s="213">
        <v>200</v>
      </c>
      <c r="O60" s="213">
        <v>200</v>
      </c>
      <c r="P60" s="51">
        <v>300</v>
      </c>
      <c r="Q60" s="51">
        <v>300</v>
      </c>
      <c r="R60" s="51">
        <v>300</v>
      </c>
      <c r="S60" s="51">
        <v>300</v>
      </c>
      <c r="T60" s="51">
        <v>300</v>
      </c>
      <c r="U60" s="51">
        <v>300</v>
      </c>
      <c r="V60" s="51">
        <v>300</v>
      </c>
      <c r="W60" s="51">
        <v>300</v>
      </c>
      <c r="X60" s="51">
        <v>300</v>
      </c>
      <c r="Y60" s="51">
        <v>450</v>
      </c>
      <c r="Z60" s="51">
        <v>450</v>
      </c>
      <c r="AA60" s="51">
        <v>450</v>
      </c>
      <c r="AB60" s="51">
        <v>450</v>
      </c>
      <c r="AC60" s="51">
        <v>450</v>
      </c>
      <c r="AD60" s="51">
        <v>450</v>
      </c>
      <c r="AE60" s="51">
        <v>450</v>
      </c>
      <c r="AF60" s="51">
        <v>450</v>
      </c>
      <c r="AG60" s="51">
        <v>450</v>
      </c>
      <c r="AH60" s="51">
        <v>450</v>
      </c>
      <c r="AI60" s="217">
        <f t="shared" si="4"/>
        <v>8800</v>
      </c>
      <c r="AJ60" s="214">
        <f t="shared" si="3"/>
        <v>26100</v>
      </c>
      <c r="AK60" s="217"/>
      <c r="AL60" s="217"/>
      <c r="AM60" s="217"/>
      <c r="AN60" s="217"/>
      <c r="AO60" s="51">
        <f t="shared" si="5"/>
        <v>0</v>
      </c>
    </row>
    <row r="61" spans="1:41">
      <c r="A61" s="209">
        <v>45752</v>
      </c>
      <c r="B61" s="51"/>
      <c r="C61" s="51"/>
      <c r="D61" s="208"/>
      <c r="E61" s="51"/>
      <c r="F61" s="51"/>
      <c r="G61" s="215">
        <f t="shared" si="2"/>
        <v>0</v>
      </c>
      <c r="H61" s="51"/>
      <c r="I61" s="51">
        <v>300</v>
      </c>
      <c r="J61" s="51"/>
      <c r="K61" s="51">
        <v>300</v>
      </c>
      <c r="L61" s="51">
        <v>300</v>
      </c>
      <c r="M61" s="51">
        <v>300</v>
      </c>
      <c r="N61" s="51">
        <v>300</v>
      </c>
      <c r="O61" s="51">
        <v>300</v>
      </c>
      <c r="P61" s="213">
        <v>200</v>
      </c>
      <c r="Q61" s="213">
        <v>200</v>
      </c>
      <c r="R61" s="51">
        <v>300</v>
      </c>
      <c r="S61" s="51">
        <v>300</v>
      </c>
      <c r="T61" s="51">
        <v>300</v>
      </c>
      <c r="U61" s="51">
        <v>300</v>
      </c>
      <c r="V61" s="51">
        <v>300</v>
      </c>
      <c r="W61" s="51">
        <v>300</v>
      </c>
      <c r="X61" s="51">
        <v>300</v>
      </c>
      <c r="Y61" s="51">
        <v>450</v>
      </c>
      <c r="Z61" s="51">
        <v>450</v>
      </c>
      <c r="AA61" s="51">
        <v>450</v>
      </c>
      <c r="AB61" s="51">
        <v>450</v>
      </c>
      <c r="AC61" s="51">
        <v>450</v>
      </c>
      <c r="AD61" s="51">
        <v>450</v>
      </c>
      <c r="AE61" s="214">
        <v>200</v>
      </c>
      <c r="AF61" s="51">
        <v>450</v>
      </c>
      <c r="AG61" s="51">
        <v>450</v>
      </c>
      <c r="AH61" s="51">
        <v>450</v>
      </c>
      <c r="AI61" s="217">
        <f t="shared" si="4"/>
        <v>8550</v>
      </c>
      <c r="AJ61" s="217">
        <f t="shared" si="3"/>
        <v>9650</v>
      </c>
      <c r="AK61" s="217">
        <v>25000</v>
      </c>
      <c r="AL61" s="231">
        <f>A61+12</f>
        <v>45764</v>
      </c>
      <c r="AM61" s="217"/>
      <c r="AN61" s="217"/>
      <c r="AO61" s="51">
        <f t="shared" si="5"/>
        <v>70764</v>
      </c>
    </row>
    <row r="62" spans="1:41">
      <c r="A62" s="209">
        <v>45753</v>
      </c>
      <c r="B62" s="51"/>
      <c r="C62" s="51"/>
      <c r="D62" s="208"/>
      <c r="E62" s="51"/>
      <c r="F62" s="51"/>
      <c r="G62" s="215">
        <f t="shared" si="2"/>
        <v>0</v>
      </c>
      <c r="H62" s="51"/>
      <c r="I62" s="51">
        <v>300</v>
      </c>
      <c r="J62" s="51"/>
      <c r="K62" s="51">
        <v>300</v>
      </c>
      <c r="L62" s="51">
        <v>300</v>
      </c>
      <c r="M62" s="51">
        <v>300</v>
      </c>
      <c r="N62" s="51">
        <v>300</v>
      </c>
      <c r="O62" s="51">
        <v>300</v>
      </c>
      <c r="P62" s="51">
        <v>300</v>
      </c>
      <c r="Q62" s="51">
        <v>300</v>
      </c>
      <c r="R62" s="213">
        <v>200</v>
      </c>
      <c r="S62" s="213">
        <v>200</v>
      </c>
      <c r="T62" s="51">
        <v>300</v>
      </c>
      <c r="U62" s="51">
        <v>300</v>
      </c>
      <c r="V62" s="51">
        <v>300</v>
      </c>
      <c r="W62" s="51">
        <v>300</v>
      </c>
      <c r="X62" s="51">
        <v>300</v>
      </c>
      <c r="Y62" s="51">
        <v>450</v>
      </c>
      <c r="Z62" s="51">
        <v>450</v>
      </c>
      <c r="AA62" s="51">
        <v>450</v>
      </c>
      <c r="AB62" s="51">
        <v>450</v>
      </c>
      <c r="AC62" s="51">
        <v>450</v>
      </c>
      <c r="AD62" s="51">
        <v>450</v>
      </c>
      <c r="AE62" s="51">
        <v>450</v>
      </c>
      <c r="AF62" s="214">
        <v>200</v>
      </c>
      <c r="AG62" s="214">
        <v>200</v>
      </c>
      <c r="AH62" s="214">
        <v>200</v>
      </c>
      <c r="AI62" s="217">
        <f t="shared" si="4"/>
        <v>8050</v>
      </c>
      <c r="AJ62" s="217">
        <f t="shared" si="3"/>
        <v>17700</v>
      </c>
      <c r="AK62" s="217"/>
      <c r="AL62" s="217"/>
      <c r="AM62" s="217"/>
      <c r="AN62" s="217"/>
      <c r="AO62" s="51">
        <f t="shared" si="5"/>
        <v>0</v>
      </c>
    </row>
    <row r="63" spans="1:41">
      <c r="A63" s="209">
        <v>45754</v>
      </c>
      <c r="B63" s="51"/>
      <c r="C63" s="51"/>
      <c r="D63" s="208"/>
      <c r="E63" s="51"/>
      <c r="F63" s="51"/>
      <c r="G63" s="215">
        <f t="shared" si="2"/>
        <v>0</v>
      </c>
      <c r="H63" s="51"/>
      <c r="I63" s="51">
        <v>300</v>
      </c>
      <c r="J63" s="51"/>
      <c r="K63" s="51">
        <v>300</v>
      </c>
      <c r="L63" s="51">
        <v>300</v>
      </c>
      <c r="M63" s="51">
        <v>300</v>
      </c>
      <c r="N63" s="51">
        <v>300</v>
      </c>
      <c r="O63" s="51">
        <v>300</v>
      </c>
      <c r="P63" s="51">
        <v>300</v>
      </c>
      <c r="Q63" s="51">
        <v>300</v>
      </c>
      <c r="R63" s="51">
        <v>300</v>
      </c>
      <c r="S63" s="51">
        <v>300</v>
      </c>
      <c r="T63" s="213">
        <v>200</v>
      </c>
      <c r="U63" s="213">
        <v>200</v>
      </c>
      <c r="V63" s="51">
        <v>300</v>
      </c>
      <c r="W63" s="51">
        <v>300</v>
      </c>
      <c r="X63" s="51">
        <v>300</v>
      </c>
      <c r="Y63" s="51">
        <v>450</v>
      </c>
      <c r="Z63" s="51">
        <v>450</v>
      </c>
      <c r="AA63" s="51">
        <v>450</v>
      </c>
      <c r="AB63" s="51">
        <v>450</v>
      </c>
      <c r="AC63" s="51">
        <v>450</v>
      </c>
      <c r="AD63" s="51">
        <v>450</v>
      </c>
      <c r="AE63" s="51">
        <v>450</v>
      </c>
      <c r="AF63" s="51">
        <v>450</v>
      </c>
      <c r="AG63" s="51">
        <v>450</v>
      </c>
      <c r="AH63" s="51">
        <v>450</v>
      </c>
      <c r="AI63" s="217">
        <f t="shared" si="4"/>
        <v>8800</v>
      </c>
      <c r="AJ63" s="214">
        <f t="shared" si="3"/>
        <v>26500</v>
      </c>
      <c r="AK63" s="217"/>
      <c r="AL63" s="217"/>
      <c r="AM63" s="217"/>
      <c r="AN63" s="217"/>
      <c r="AO63" s="51">
        <f t="shared" si="5"/>
        <v>0</v>
      </c>
    </row>
    <row r="64" spans="1:41">
      <c r="A64" s="209">
        <v>45755</v>
      </c>
      <c r="B64" s="51"/>
      <c r="C64" s="51"/>
      <c r="D64" s="208"/>
      <c r="E64" s="51"/>
      <c r="F64" s="51"/>
      <c r="G64" s="215">
        <f t="shared" si="2"/>
        <v>0</v>
      </c>
      <c r="H64" s="51"/>
      <c r="I64" s="51">
        <v>300</v>
      </c>
      <c r="J64" s="51"/>
      <c r="K64" s="51">
        <v>300</v>
      </c>
      <c r="L64" s="51">
        <v>300</v>
      </c>
      <c r="M64" s="51">
        <v>300</v>
      </c>
      <c r="N64" s="51">
        <v>300</v>
      </c>
      <c r="O64" s="51">
        <v>300</v>
      </c>
      <c r="P64" s="51">
        <v>300</v>
      </c>
      <c r="Q64" s="51">
        <v>300</v>
      </c>
      <c r="R64" s="51">
        <v>300</v>
      </c>
      <c r="S64" s="51">
        <v>300</v>
      </c>
      <c r="T64" s="51">
        <v>300</v>
      </c>
      <c r="U64" s="51">
        <v>300</v>
      </c>
      <c r="V64" s="213">
        <v>200</v>
      </c>
      <c r="W64" s="213">
        <v>200</v>
      </c>
      <c r="X64" s="51">
        <v>300</v>
      </c>
      <c r="Y64" s="51">
        <v>450</v>
      </c>
      <c r="Z64" s="51">
        <v>450</v>
      </c>
      <c r="AA64" s="51">
        <v>450</v>
      </c>
      <c r="AB64" s="51">
        <v>450</v>
      </c>
      <c r="AC64" s="51">
        <v>450</v>
      </c>
      <c r="AD64" s="51">
        <v>450</v>
      </c>
      <c r="AE64" s="51">
        <v>450</v>
      </c>
      <c r="AF64" s="51">
        <v>450</v>
      </c>
      <c r="AG64" s="51">
        <v>450</v>
      </c>
      <c r="AH64" s="51">
        <v>450</v>
      </c>
      <c r="AI64" s="217">
        <f t="shared" si="4"/>
        <v>8800</v>
      </c>
      <c r="AJ64" s="217">
        <f t="shared" si="3"/>
        <v>10300</v>
      </c>
      <c r="AK64" s="217"/>
      <c r="AL64" s="217"/>
      <c r="AM64" s="217">
        <v>25000</v>
      </c>
      <c r="AN64" s="231">
        <f>A64+12</f>
        <v>45767</v>
      </c>
      <c r="AO64" s="51">
        <f t="shared" si="5"/>
        <v>70767</v>
      </c>
    </row>
    <row r="65" spans="1:41">
      <c r="A65" s="209">
        <v>45756</v>
      </c>
      <c r="B65" s="51"/>
      <c r="C65" s="51"/>
      <c r="D65" s="208"/>
      <c r="E65" s="51"/>
      <c r="F65" s="51"/>
      <c r="G65" s="215">
        <f t="shared" si="2"/>
        <v>0</v>
      </c>
      <c r="H65" s="51"/>
      <c r="I65" s="51">
        <v>300</v>
      </c>
      <c r="J65" s="51"/>
      <c r="K65" s="51">
        <v>300</v>
      </c>
      <c r="L65" s="51">
        <v>300</v>
      </c>
      <c r="M65" s="51">
        <v>300</v>
      </c>
      <c r="N65" s="51">
        <v>300</v>
      </c>
      <c r="O65" s="51">
        <v>300</v>
      </c>
      <c r="P65" s="51">
        <v>300</v>
      </c>
      <c r="Q65" s="51">
        <v>300</v>
      </c>
      <c r="R65" s="51">
        <v>300</v>
      </c>
      <c r="S65" s="51">
        <v>300</v>
      </c>
      <c r="T65" s="51">
        <v>300</v>
      </c>
      <c r="U65" s="51">
        <v>300</v>
      </c>
      <c r="V65" s="51">
        <v>300</v>
      </c>
      <c r="W65" s="51">
        <v>300</v>
      </c>
      <c r="X65" s="213">
        <v>200</v>
      </c>
      <c r="Y65" s="214">
        <v>200</v>
      </c>
      <c r="Z65" s="51">
        <v>450</v>
      </c>
      <c r="AA65" s="51">
        <v>450</v>
      </c>
      <c r="AB65" s="51">
        <v>450</v>
      </c>
      <c r="AC65" s="51">
        <v>450</v>
      </c>
      <c r="AD65" s="51">
        <v>450</v>
      </c>
      <c r="AE65" s="51">
        <v>450</v>
      </c>
      <c r="AF65" s="51">
        <v>450</v>
      </c>
      <c r="AG65" s="51">
        <v>450</v>
      </c>
      <c r="AH65" s="51">
        <v>450</v>
      </c>
      <c r="AI65" s="217">
        <f t="shared" si="4"/>
        <v>8650</v>
      </c>
      <c r="AJ65" s="217">
        <f t="shared" si="3"/>
        <v>18950</v>
      </c>
      <c r="AK65" s="217"/>
      <c r="AL65" s="217"/>
      <c r="AM65" s="217"/>
      <c r="AN65" s="217"/>
      <c r="AO65" s="51">
        <f t="shared" si="5"/>
        <v>0</v>
      </c>
    </row>
    <row r="66" spans="1:41">
      <c r="A66" s="209">
        <v>45757</v>
      </c>
      <c r="B66" s="51"/>
      <c r="C66" s="51"/>
      <c r="D66" s="208"/>
      <c r="E66" s="51"/>
      <c r="F66" s="51"/>
      <c r="G66" s="215">
        <f t="shared" si="2"/>
        <v>0</v>
      </c>
      <c r="H66" s="51"/>
      <c r="I66" s="51">
        <v>300</v>
      </c>
      <c r="J66" s="51"/>
      <c r="K66" s="51">
        <v>300</v>
      </c>
      <c r="L66" s="51">
        <v>300</v>
      </c>
      <c r="M66" s="51">
        <v>300</v>
      </c>
      <c r="N66" s="51">
        <v>300</v>
      </c>
      <c r="O66" s="51">
        <v>300</v>
      </c>
      <c r="P66" s="51">
        <v>300</v>
      </c>
      <c r="Q66" s="51">
        <v>300</v>
      </c>
      <c r="R66" s="51">
        <v>300</v>
      </c>
      <c r="S66" s="51">
        <v>300</v>
      </c>
      <c r="T66" s="51">
        <v>300</v>
      </c>
      <c r="U66" s="51">
        <v>300</v>
      </c>
      <c r="V66" s="51">
        <v>300</v>
      </c>
      <c r="W66" s="51">
        <v>300</v>
      </c>
      <c r="X66" s="51">
        <v>300</v>
      </c>
      <c r="Y66" s="51">
        <v>450</v>
      </c>
      <c r="Z66" s="51"/>
      <c r="AA66" s="51"/>
      <c r="AB66" s="51"/>
      <c r="AC66" s="51">
        <v>450</v>
      </c>
      <c r="AD66" s="51">
        <v>450</v>
      </c>
      <c r="AE66" s="51">
        <v>450</v>
      </c>
      <c r="AF66" s="51">
        <v>450</v>
      </c>
      <c r="AG66" s="51">
        <v>450</v>
      </c>
      <c r="AH66" s="51">
        <v>450</v>
      </c>
      <c r="AI66" s="217">
        <f t="shared" si="4"/>
        <v>7650</v>
      </c>
      <c r="AJ66" s="217">
        <f t="shared" si="3"/>
        <v>26600</v>
      </c>
      <c r="AK66" s="217"/>
      <c r="AL66" s="217"/>
      <c r="AM66" s="217"/>
      <c r="AN66" s="217"/>
      <c r="AO66" s="51">
        <f t="shared" si="5"/>
        <v>0</v>
      </c>
    </row>
    <row r="67" spans="1:41">
      <c r="A67" s="209">
        <v>45758</v>
      </c>
      <c r="B67" s="51"/>
      <c r="C67" s="51"/>
      <c r="D67" s="208"/>
      <c r="E67" s="51"/>
      <c r="F67" s="51"/>
      <c r="G67" s="215">
        <f t="shared" si="2"/>
        <v>0</v>
      </c>
      <c r="H67" s="51"/>
      <c r="I67" s="51">
        <v>300</v>
      </c>
      <c r="J67" s="51"/>
      <c r="K67" s="51">
        <v>300</v>
      </c>
      <c r="L67" s="51">
        <v>300</v>
      </c>
      <c r="M67" s="51">
        <v>300</v>
      </c>
      <c r="N67" s="51">
        <v>300</v>
      </c>
      <c r="O67" s="51">
        <v>300</v>
      </c>
      <c r="P67" s="51">
        <v>300</v>
      </c>
      <c r="Q67" s="51">
        <v>300</v>
      </c>
      <c r="R67" s="51">
        <v>300</v>
      </c>
      <c r="S67" s="51">
        <v>300</v>
      </c>
      <c r="T67" s="51">
        <v>300</v>
      </c>
      <c r="U67" s="51">
        <v>300</v>
      </c>
      <c r="V67" s="51">
        <v>300</v>
      </c>
      <c r="W67" s="51">
        <v>300</v>
      </c>
      <c r="X67" s="51">
        <v>300</v>
      </c>
      <c r="Y67" s="51">
        <v>450</v>
      </c>
      <c r="Z67" s="51"/>
      <c r="AA67" s="51"/>
      <c r="AB67" s="51"/>
      <c r="AC67" s="51"/>
      <c r="AD67" s="51"/>
      <c r="AE67" s="51">
        <v>450</v>
      </c>
      <c r="AF67" s="51">
        <v>450</v>
      </c>
      <c r="AG67" s="51">
        <v>450</v>
      </c>
      <c r="AH67" s="51">
        <v>450</v>
      </c>
      <c r="AI67" s="217">
        <f t="shared" si="4"/>
        <v>6750</v>
      </c>
      <c r="AJ67" s="214">
        <f t="shared" si="3"/>
        <v>33350</v>
      </c>
      <c r="AK67" s="217"/>
      <c r="AL67" s="217"/>
      <c r="AM67" s="217"/>
      <c r="AN67" s="217"/>
      <c r="AO67" s="51">
        <f t="shared" si="5"/>
        <v>0</v>
      </c>
    </row>
    <row r="68" spans="1:41">
      <c r="A68" s="209">
        <v>45759</v>
      </c>
      <c r="B68" s="51"/>
      <c r="C68" s="51"/>
      <c r="D68" s="208"/>
      <c r="E68" s="51"/>
      <c r="F68" s="51"/>
      <c r="G68" s="215">
        <f t="shared" si="2"/>
        <v>0</v>
      </c>
      <c r="H68" s="51"/>
      <c r="I68" s="51">
        <v>300</v>
      </c>
      <c r="J68" s="51"/>
      <c r="K68" s="51">
        <v>300</v>
      </c>
      <c r="L68" s="51">
        <v>300</v>
      </c>
      <c r="M68" s="51">
        <v>300</v>
      </c>
      <c r="N68" s="51">
        <v>300</v>
      </c>
      <c r="O68" s="51">
        <v>300</v>
      </c>
      <c r="P68" s="51">
        <v>300</v>
      </c>
      <c r="Q68" s="51">
        <v>300</v>
      </c>
      <c r="R68" s="51">
        <v>300</v>
      </c>
      <c r="S68" s="51">
        <v>300</v>
      </c>
      <c r="T68" s="51">
        <v>300</v>
      </c>
      <c r="U68" s="51">
        <v>300</v>
      </c>
      <c r="V68" s="51">
        <v>300</v>
      </c>
      <c r="W68" s="51">
        <v>300</v>
      </c>
      <c r="X68" s="51">
        <v>300</v>
      </c>
      <c r="Y68" s="51">
        <v>450</v>
      </c>
      <c r="Z68" s="51"/>
      <c r="AA68" s="51"/>
      <c r="AB68" s="51"/>
      <c r="AC68" s="51"/>
      <c r="AD68" s="51"/>
      <c r="AE68" s="51">
        <v>450</v>
      </c>
      <c r="AF68" s="51">
        <v>450</v>
      </c>
      <c r="AG68" s="51">
        <v>450</v>
      </c>
      <c r="AH68" s="51">
        <v>450</v>
      </c>
      <c r="AI68" s="217">
        <f t="shared" si="4"/>
        <v>6750</v>
      </c>
      <c r="AJ68" s="217">
        <f t="shared" si="3"/>
        <v>15100</v>
      </c>
      <c r="AK68" s="217">
        <v>25000</v>
      </c>
      <c r="AL68" s="231">
        <f>A68+12</f>
        <v>45771</v>
      </c>
      <c r="AM68" s="217"/>
      <c r="AN68" s="217"/>
      <c r="AO68" s="51">
        <f t="shared" si="5"/>
        <v>70771</v>
      </c>
    </row>
    <row r="69" spans="1:41">
      <c r="A69" s="209">
        <v>45760</v>
      </c>
      <c r="B69" s="51"/>
      <c r="C69" s="51"/>
      <c r="D69" s="208"/>
      <c r="E69" s="51"/>
      <c r="F69" s="51"/>
      <c r="G69" s="215">
        <f t="shared" si="2"/>
        <v>0</v>
      </c>
      <c r="H69" s="51"/>
      <c r="I69" s="213">
        <v>200</v>
      </c>
      <c r="J69" s="51"/>
      <c r="K69" s="213">
        <v>200</v>
      </c>
      <c r="L69" s="51">
        <v>300</v>
      </c>
      <c r="M69" s="51">
        <v>300</v>
      </c>
      <c r="N69" s="51">
        <v>300</v>
      </c>
      <c r="O69" s="51">
        <v>300</v>
      </c>
      <c r="P69" s="51">
        <v>300</v>
      </c>
      <c r="Q69" s="51">
        <v>300</v>
      </c>
      <c r="R69" s="51">
        <v>300</v>
      </c>
      <c r="S69" s="51">
        <v>300</v>
      </c>
      <c r="T69" s="51">
        <v>300</v>
      </c>
      <c r="U69" s="51">
        <v>300</v>
      </c>
      <c r="V69" s="51">
        <v>300</v>
      </c>
      <c r="W69" s="51">
        <v>300</v>
      </c>
      <c r="X69" s="51">
        <v>300</v>
      </c>
      <c r="Y69" s="51">
        <v>450</v>
      </c>
      <c r="Z69" s="51"/>
      <c r="AA69" s="51"/>
      <c r="AB69" s="51"/>
      <c r="AC69" s="51"/>
      <c r="AD69" s="51"/>
      <c r="AE69" s="51">
        <v>450</v>
      </c>
      <c r="AF69" s="51">
        <v>450</v>
      </c>
      <c r="AG69" s="51">
        <v>450</v>
      </c>
      <c r="AH69" s="51">
        <v>450</v>
      </c>
      <c r="AI69" s="217">
        <f t="shared" si="4"/>
        <v>6550</v>
      </c>
      <c r="AJ69" s="217">
        <f t="shared" si="3"/>
        <v>21650</v>
      </c>
      <c r="AK69" s="217"/>
      <c r="AL69" s="217"/>
      <c r="AM69" s="217"/>
      <c r="AN69" s="217"/>
      <c r="AO69" s="51">
        <f t="shared" si="5"/>
        <v>0</v>
      </c>
    </row>
    <row r="70" spans="1:41">
      <c r="A70" s="209">
        <v>45761</v>
      </c>
      <c r="B70" s="51"/>
      <c r="C70" s="51"/>
      <c r="D70" s="208"/>
      <c r="E70" s="51"/>
      <c r="F70" s="51"/>
      <c r="G70" s="215">
        <f t="shared" si="2"/>
        <v>0</v>
      </c>
      <c r="H70" s="51"/>
      <c r="I70" s="51">
        <v>300</v>
      </c>
      <c r="J70" s="51"/>
      <c r="K70" s="51">
        <v>300</v>
      </c>
      <c r="L70" s="213">
        <v>200</v>
      </c>
      <c r="M70" s="213">
        <v>200</v>
      </c>
      <c r="N70" s="51">
        <v>300</v>
      </c>
      <c r="O70" s="51">
        <v>300</v>
      </c>
      <c r="P70" s="51">
        <v>300</v>
      </c>
      <c r="Q70" s="51">
        <v>300</v>
      </c>
      <c r="R70" s="51">
        <v>300</v>
      </c>
      <c r="S70" s="51">
        <v>300</v>
      </c>
      <c r="T70" s="51">
        <v>300</v>
      </c>
      <c r="U70" s="51">
        <v>300</v>
      </c>
      <c r="V70" s="51">
        <v>300</v>
      </c>
      <c r="W70" s="51">
        <v>300</v>
      </c>
      <c r="X70" s="51">
        <v>300</v>
      </c>
      <c r="Y70" s="51">
        <v>450</v>
      </c>
      <c r="Z70" s="51"/>
      <c r="AA70" s="51"/>
      <c r="AB70" s="51"/>
      <c r="AC70" s="51"/>
      <c r="AD70" s="51"/>
      <c r="AE70" s="51">
        <v>450</v>
      </c>
      <c r="AF70" s="51">
        <v>450</v>
      </c>
      <c r="AG70" s="51">
        <v>450</v>
      </c>
      <c r="AH70" s="51">
        <v>450</v>
      </c>
      <c r="AI70" s="217">
        <f t="shared" si="4"/>
        <v>6550</v>
      </c>
      <c r="AJ70" s="214">
        <f t="shared" si="3"/>
        <v>28200</v>
      </c>
      <c r="AK70" s="217"/>
      <c r="AL70" s="217"/>
      <c r="AM70" s="217"/>
      <c r="AN70" s="217"/>
      <c r="AO70" s="51">
        <f t="shared" si="5"/>
        <v>0</v>
      </c>
    </row>
    <row r="71" spans="1:41">
      <c r="A71" s="209">
        <v>45762</v>
      </c>
      <c r="B71" s="51"/>
      <c r="C71" s="51"/>
      <c r="D71" s="208"/>
      <c r="E71" s="51"/>
      <c r="F71" s="51"/>
      <c r="G71" s="215">
        <f t="shared" si="2"/>
        <v>0</v>
      </c>
      <c r="H71" s="51"/>
      <c r="I71" s="51">
        <v>300</v>
      </c>
      <c r="J71" s="51"/>
      <c r="K71" s="51">
        <v>300</v>
      </c>
      <c r="L71" s="51">
        <v>300</v>
      </c>
      <c r="M71" s="51">
        <v>300</v>
      </c>
      <c r="N71" s="213">
        <v>200</v>
      </c>
      <c r="O71" s="213">
        <v>200</v>
      </c>
      <c r="P71" s="51">
        <v>300</v>
      </c>
      <c r="Q71" s="51">
        <v>300</v>
      </c>
      <c r="R71" s="51">
        <v>300</v>
      </c>
      <c r="S71" s="51">
        <v>300</v>
      </c>
      <c r="T71" s="51">
        <v>300</v>
      </c>
      <c r="U71" s="51">
        <v>300</v>
      </c>
      <c r="V71" s="51">
        <v>300</v>
      </c>
      <c r="W71" s="51">
        <v>300</v>
      </c>
      <c r="X71" s="51">
        <v>300</v>
      </c>
      <c r="Y71" s="51">
        <v>450</v>
      </c>
      <c r="Z71" s="51"/>
      <c r="AA71" s="51"/>
      <c r="AB71" s="51"/>
      <c r="AC71" s="51"/>
      <c r="AD71" s="51"/>
      <c r="AE71" s="51">
        <v>450</v>
      </c>
      <c r="AF71" s="51">
        <v>450</v>
      </c>
      <c r="AG71" s="51">
        <v>450</v>
      </c>
      <c r="AH71" s="51">
        <v>450</v>
      </c>
      <c r="AI71" s="217">
        <f t="shared" ref="AI71:AI85" si="6">SUM(I71:AH71)</f>
        <v>6550</v>
      </c>
      <c r="AJ71" s="217">
        <f t="shared" si="3"/>
        <v>9750</v>
      </c>
      <c r="AK71" s="217"/>
      <c r="AL71" s="217"/>
      <c r="AM71" s="217">
        <v>25000</v>
      </c>
      <c r="AN71" s="231">
        <f>A71+12</f>
        <v>45774</v>
      </c>
      <c r="AO71" s="51">
        <f t="shared" ref="AO71:AO85" si="7">SUM(AK71:AN71)</f>
        <v>70774</v>
      </c>
    </row>
    <row r="72" spans="1:41">
      <c r="A72" s="209">
        <v>45763</v>
      </c>
      <c r="B72" s="51"/>
      <c r="C72" s="51"/>
      <c r="D72" s="208"/>
      <c r="E72" s="51"/>
      <c r="F72" s="51"/>
      <c r="G72" s="215">
        <f t="shared" ref="G72:G77" si="8">(B72+C72)/0.143</f>
        <v>0</v>
      </c>
      <c r="H72" s="51"/>
      <c r="I72" s="51">
        <v>300</v>
      </c>
      <c r="J72" s="51"/>
      <c r="K72" s="51">
        <v>300</v>
      </c>
      <c r="L72" s="51">
        <v>300</v>
      </c>
      <c r="M72" s="51">
        <v>300</v>
      </c>
      <c r="N72" s="51">
        <v>300</v>
      </c>
      <c r="O72" s="51">
        <v>300</v>
      </c>
      <c r="P72" s="213">
        <v>200</v>
      </c>
      <c r="Q72" s="213">
        <v>200</v>
      </c>
      <c r="R72" s="51">
        <v>300</v>
      </c>
      <c r="S72" s="51">
        <v>300</v>
      </c>
      <c r="T72" s="51">
        <v>300</v>
      </c>
      <c r="U72" s="51">
        <v>300</v>
      </c>
      <c r="V72" s="51">
        <v>300</v>
      </c>
      <c r="W72" s="51">
        <v>300</v>
      </c>
      <c r="X72" s="51">
        <v>300</v>
      </c>
      <c r="Y72" s="51">
        <v>450</v>
      </c>
      <c r="Z72" s="51"/>
      <c r="AA72" s="51"/>
      <c r="AB72" s="51"/>
      <c r="AC72" s="51"/>
      <c r="AD72" s="51"/>
      <c r="AE72" s="51"/>
      <c r="AF72" s="51">
        <v>450</v>
      </c>
      <c r="AG72" s="51">
        <v>450</v>
      </c>
      <c r="AH72" s="51">
        <v>450</v>
      </c>
      <c r="AI72" s="217">
        <f t="shared" si="6"/>
        <v>6100</v>
      </c>
      <c r="AJ72" s="217">
        <f t="shared" si="3"/>
        <v>15850</v>
      </c>
      <c r="AK72" s="217"/>
      <c r="AL72" s="217"/>
      <c r="AM72" s="217"/>
      <c r="AN72" s="217"/>
      <c r="AO72" s="51">
        <f t="shared" si="7"/>
        <v>0</v>
      </c>
    </row>
    <row r="73" spans="1:41">
      <c r="A73" s="209">
        <v>45764</v>
      </c>
      <c r="B73" s="51"/>
      <c r="C73" s="51"/>
      <c r="D73" s="208"/>
      <c r="E73" s="51"/>
      <c r="F73" s="51"/>
      <c r="G73" s="215">
        <f t="shared" si="8"/>
        <v>0</v>
      </c>
      <c r="H73" s="51"/>
      <c r="I73" s="51">
        <v>300</v>
      </c>
      <c r="J73" s="51"/>
      <c r="K73" s="51">
        <v>300</v>
      </c>
      <c r="L73" s="51">
        <v>300</v>
      </c>
      <c r="M73" s="51">
        <v>300</v>
      </c>
      <c r="N73" s="51">
        <v>300</v>
      </c>
      <c r="O73" s="51">
        <v>300</v>
      </c>
      <c r="P73" s="51">
        <v>300</v>
      </c>
      <c r="Q73" s="51">
        <v>300</v>
      </c>
      <c r="R73" s="213">
        <v>200</v>
      </c>
      <c r="S73" s="213">
        <v>200</v>
      </c>
      <c r="T73" s="51">
        <v>300</v>
      </c>
      <c r="U73" s="51">
        <v>300</v>
      </c>
      <c r="V73" s="51">
        <v>300</v>
      </c>
      <c r="W73" s="51">
        <v>300</v>
      </c>
      <c r="X73" s="51">
        <v>300</v>
      </c>
      <c r="Y73" s="51">
        <v>100</v>
      </c>
      <c r="Z73" s="51"/>
      <c r="AA73" s="51"/>
      <c r="AB73" s="51"/>
      <c r="AC73" s="51"/>
      <c r="AD73" s="51"/>
      <c r="AE73" s="51"/>
      <c r="AF73" s="214">
        <v>200</v>
      </c>
      <c r="AG73" s="214">
        <v>200</v>
      </c>
      <c r="AH73" s="214">
        <v>200</v>
      </c>
      <c r="AI73" s="217">
        <f t="shared" si="6"/>
        <v>5000</v>
      </c>
      <c r="AJ73" s="217">
        <f t="shared" si="3"/>
        <v>20850</v>
      </c>
      <c r="AK73" s="217"/>
      <c r="AL73" s="217"/>
      <c r="AM73" s="217"/>
      <c r="AN73" s="217"/>
      <c r="AO73" s="51">
        <f t="shared" si="7"/>
        <v>0</v>
      </c>
    </row>
    <row r="74" spans="1:41">
      <c r="A74" s="209">
        <v>45765</v>
      </c>
      <c r="B74" s="51"/>
      <c r="C74" s="51"/>
      <c r="D74" s="208"/>
      <c r="E74" s="51"/>
      <c r="F74" s="51"/>
      <c r="G74" s="215">
        <f t="shared" si="8"/>
        <v>0</v>
      </c>
      <c r="H74" s="51"/>
      <c r="I74" s="51">
        <v>300</v>
      </c>
      <c r="J74" s="51"/>
      <c r="K74" s="51">
        <v>300</v>
      </c>
      <c r="L74" s="51">
        <v>300</v>
      </c>
      <c r="M74" s="51">
        <v>300</v>
      </c>
      <c r="N74" s="51">
        <v>300</v>
      </c>
      <c r="O74" s="51">
        <v>300</v>
      </c>
      <c r="P74" s="51">
        <v>300</v>
      </c>
      <c r="Q74" s="51">
        <v>300</v>
      </c>
      <c r="R74" s="51">
        <v>300</v>
      </c>
      <c r="S74" s="51">
        <v>300</v>
      </c>
      <c r="T74" s="213">
        <v>200</v>
      </c>
      <c r="U74" s="213">
        <v>200</v>
      </c>
      <c r="V74" s="51">
        <v>300</v>
      </c>
      <c r="W74" s="51">
        <v>300</v>
      </c>
      <c r="X74" s="51">
        <v>300</v>
      </c>
      <c r="Y74" s="51"/>
      <c r="Z74" s="51"/>
      <c r="AA74" s="51"/>
      <c r="AB74" s="51"/>
      <c r="AC74" s="51"/>
      <c r="AD74" s="51"/>
      <c r="AE74" s="51"/>
      <c r="AF74" s="51">
        <v>450</v>
      </c>
      <c r="AG74" s="51">
        <v>450</v>
      </c>
      <c r="AH74" s="51">
        <v>450</v>
      </c>
      <c r="AI74" s="217">
        <f t="shared" si="6"/>
        <v>5650</v>
      </c>
      <c r="AJ74" s="214">
        <f t="shared" si="3"/>
        <v>26500</v>
      </c>
      <c r="AK74" s="51"/>
      <c r="AL74" s="51"/>
      <c r="AM74" s="51"/>
      <c r="AN74" s="51"/>
      <c r="AO74" s="51">
        <f t="shared" si="7"/>
        <v>0</v>
      </c>
    </row>
    <row r="75" spans="1:41">
      <c r="A75" s="209">
        <v>45766</v>
      </c>
      <c r="B75" s="51"/>
      <c r="C75" s="51"/>
      <c r="D75" s="208"/>
      <c r="E75" s="51"/>
      <c r="F75" s="51"/>
      <c r="G75" s="215">
        <f t="shared" si="8"/>
        <v>0</v>
      </c>
      <c r="H75" s="51"/>
      <c r="I75" s="51">
        <v>300</v>
      </c>
      <c r="J75" s="51"/>
      <c r="K75" s="51">
        <v>300</v>
      </c>
      <c r="L75" s="51">
        <v>300</v>
      </c>
      <c r="M75" s="51">
        <v>300</v>
      </c>
      <c r="N75" s="51">
        <v>300</v>
      </c>
      <c r="O75" s="51">
        <v>300</v>
      </c>
      <c r="P75" s="51">
        <v>300</v>
      </c>
      <c r="Q75" s="51">
        <v>300</v>
      </c>
      <c r="R75" s="51">
        <v>300</v>
      </c>
      <c r="S75" s="51">
        <v>300</v>
      </c>
      <c r="T75" s="51">
        <v>300</v>
      </c>
      <c r="U75" s="51">
        <v>300</v>
      </c>
      <c r="V75" s="213">
        <v>200</v>
      </c>
      <c r="W75" s="213">
        <v>200</v>
      </c>
      <c r="X75" s="51">
        <v>300</v>
      </c>
      <c r="Y75" s="51"/>
      <c r="Z75" s="51"/>
      <c r="AA75" s="51"/>
      <c r="AB75" s="51"/>
      <c r="AC75" s="51"/>
      <c r="AD75" s="51"/>
      <c r="AE75" s="51"/>
      <c r="AF75" s="51">
        <v>450</v>
      </c>
      <c r="AG75" s="51">
        <v>450</v>
      </c>
      <c r="AH75" s="51">
        <v>450</v>
      </c>
      <c r="AI75" s="217">
        <f t="shared" si="6"/>
        <v>5650</v>
      </c>
      <c r="AJ75" s="217">
        <f t="shared" si="3"/>
        <v>7150</v>
      </c>
      <c r="AK75" s="51">
        <v>25000</v>
      </c>
      <c r="AL75" s="231">
        <f>A75+11</f>
        <v>45777</v>
      </c>
      <c r="AM75" s="51"/>
      <c r="AN75" s="51"/>
      <c r="AO75" s="51">
        <f t="shared" si="7"/>
        <v>70777</v>
      </c>
    </row>
    <row r="76" spans="1:41">
      <c r="A76" s="209">
        <v>45767</v>
      </c>
      <c r="B76" s="51"/>
      <c r="C76" s="51"/>
      <c r="D76" s="208"/>
      <c r="E76" s="51"/>
      <c r="F76" s="51"/>
      <c r="G76" s="215">
        <f t="shared" si="8"/>
        <v>0</v>
      </c>
      <c r="H76" s="51"/>
      <c r="I76" s="51">
        <v>300</v>
      </c>
      <c r="J76" s="51"/>
      <c r="K76" s="51">
        <v>300</v>
      </c>
      <c r="L76" s="51">
        <v>300</v>
      </c>
      <c r="M76" s="51">
        <v>300</v>
      </c>
      <c r="N76" s="51">
        <v>300</v>
      </c>
      <c r="O76" s="51">
        <v>300</v>
      </c>
      <c r="P76" s="51">
        <v>300</v>
      </c>
      <c r="Q76" s="51">
        <v>300</v>
      </c>
      <c r="R76" s="51">
        <v>300</v>
      </c>
      <c r="S76" s="51">
        <v>300</v>
      </c>
      <c r="T76" s="51">
        <v>300</v>
      </c>
      <c r="U76" s="51">
        <v>300</v>
      </c>
      <c r="V76" s="51">
        <v>300</v>
      </c>
      <c r="W76" s="51">
        <v>300</v>
      </c>
      <c r="X76" s="213">
        <v>200</v>
      </c>
      <c r="Y76" s="51"/>
      <c r="Z76" s="51"/>
      <c r="AA76" s="51"/>
      <c r="AB76" s="51"/>
      <c r="AC76" s="51"/>
      <c r="AD76" s="51"/>
      <c r="AE76" s="51"/>
      <c r="AF76" s="51">
        <v>450</v>
      </c>
      <c r="AG76" s="51">
        <v>450</v>
      </c>
      <c r="AH76" s="51">
        <v>450</v>
      </c>
      <c r="AI76" s="217">
        <f t="shared" si="6"/>
        <v>5750</v>
      </c>
      <c r="AJ76" s="217">
        <f t="shared" si="3"/>
        <v>12900</v>
      </c>
      <c r="AK76" s="51"/>
      <c r="AL76" s="51"/>
      <c r="AM76" s="51"/>
      <c r="AN76" s="51"/>
      <c r="AO76" s="51">
        <f t="shared" si="7"/>
        <v>0</v>
      </c>
    </row>
    <row r="77" spans="1:41">
      <c r="A77" s="209">
        <v>45768</v>
      </c>
      <c r="B77" s="51"/>
      <c r="C77" s="51"/>
      <c r="D77" s="208"/>
      <c r="E77" s="51"/>
      <c r="F77" s="51"/>
      <c r="G77" s="215">
        <f t="shared" si="8"/>
        <v>0</v>
      </c>
      <c r="H77" s="51"/>
      <c r="I77" s="51">
        <v>300</v>
      </c>
      <c r="J77" s="51"/>
      <c r="K77" s="51">
        <v>300</v>
      </c>
      <c r="L77" s="51">
        <v>300</v>
      </c>
      <c r="M77" s="51">
        <v>300</v>
      </c>
      <c r="N77" s="51">
        <v>300</v>
      </c>
      <c r="O77" s="51">
        <v>300</v>
      </c>
      <c r="P77" s="51">
        <v>300</v>
      </c>
      <c r="Q77" s="51">
        <v>300</v>
      </c>
      <c r="R77" s="51">
        <v>300</v>
      </c>
      <c r="S77" s="51">
        <v>300</v>
      </c>
      <c r="T77" s="51">
        <v>300</v>
      </c>
      <c r="U77" s="51">
        <v>300</v>
      </c>
      <c r="V77" s="51">
        <v>300</v>
      </c>
      <c r="W77" s="51">
        <v>300</v>
      </c>
      <c r="X77" s="51">
        <v>300</v>
      </c>
      <c r="Y77" s="51"/>
      <c r="Z77" s="51"/>
      <c r="AA77" s="51"/>
      <c r="AB77" s="51"/>
      <c r="AC77" s="51"/>
      <c r="AD77" s="51"/>
      <c r="AE77" s="51"/>
      <c r="AF77" s="51">
        <v>450</v>
      </c>
      <c r="AG77" s="51">
        <v>450</v>
      </c>
      <c r="AH77" s="51">
        <v>450</v>
      </c>
      <c r="AI77" s="217">
        <f t="shared" si="6"/>
        <v>5850</v>
      </c>
      <c r="AJ77" s="217">
        <f t="shared" si="3"/>
        <v>18750</v>
      </c>
      <c r="AK77" s="51"/>
      <c r="AL77" s="51"/>
      <c r="AM77" s="51"/>
      <c r="AN77" s="51"/>
      <c r="AO77" s="51">
        <f t="shared" si="7"/>
        <v>0</v>
      </c>
    </row>
    <row r="78" spans="1:41">
      <c r="A78" s="209">
        <v>45769</v>
      </c>
      <c r="B78" s="51"/>
      <c r="C78" s="51"/>
      <c r="D78" s="208"/>
      <c r="E78" s="51"/>
      <c r="F78" s="51"/>
      <c r="G78" s="215"/>
      <c r="H78" s="51"/>
      <c r="I78" s="51">
        <v>300</v>
      </c>
      <c r="J78" s="51"/>
      <c r="K78" s="51">
        <v>300</v>
      </c>
      <c r="L78" s="51">
        <v>300</v>
      </c>
      <c r="M78" s="51">
        <v>300</v>
      </c>
      <c r="N78" s="51">
        <v>300</v>
      </c>
      <c r="O78" s="51">
        <v>300</v>
      </c>
      <c r="P78" s="51">
        <v>300</v>
      </c>
      <c r="Q78" s="51">
        <v>300</v>
      </c>
      <c r="R78" s="51">
        <v>300</v>
      </c>
      <c r="S78" s="51">
        <v>300</v>
      </c>
      <c r="T78" s="51">
        <v>300</v>
      </c>
      <c r="U78" s="51">
        <v>300</v>
      </c>
      <c r="V78" s="51">
        <v>300</v>
      </c>
      <c r="W78" s="51">
        <v>300</v>
      </c>
      <c r="X78" s="51">
        <v>300</v>
      </c>
      <c r="Y78" s="51"/>
      <c r="Z78" s="51"/>
      <c r="AA78" s="51"/>
      <c r="AB78" s="51"/>
      <c r="AC78" s="51"/>
      <c r="AD78" s="51"/>
      <c r="AE78" s="51"/>
      <c r="AF78" s="51">
        <v>450</v>
      </c>
      <c r="AG78" s="51">
        <v>450</v>
      </c>
      <c r="AH78" s="51">
        <v>450</v>
      </c>
      <c r="AI78" s="217">
        <f t="shared" si="6"/>
        <v>5850</v>
      </c>
      <c r="AJ78" s="217">
        <f t="shared" si="3"/>
        <v>24600</v>
      </c>
      <c r="AK78" s="51"/>
      <c r="AL78" s="51"/>
      <c r="AM78" s="51"/>
      <c r="AN78" s="51"/>
      <c r="AO78" s="51">
        <f t="shared" si="7"/>
        <v>0</v>
      </c>
    </row>
    <row r="79" spans="1:41">
      <c r="A79" s="209">
        <v>45770</v>
      </c>
      <c r="B79" s="51"/>
      <c r="C79" s="51"/>
      <c r="D79" s="208"/>
      <c r="E79" s="51"/>
      <c r="F79" s="51"/>
      <c r="G79" s="215"/>
      <c r="H79" s="51"/>
      <c r="I79" s="51">
        <v>100</v>
      </c>
      <c r="J79" s="51"/>
      <c r="K79" s="51">
        <v>300</v>
      </c>
      <c r="L79" s="51">
        <v>300</v>
      </c>
      <c r="M79" s="51">
        <v>300</v>
      </c>
      <c r="N79" s="51">
        <v>300</v>
      </c>
      <c r="O79" s="51">
        <v>300</v>
      </c>
      <c r="P79" s="51">
        <v>300</v>
      </c>
      <c r="Q79" s="51">
        <v>300</v>
      </c>
      <c r="R79" s="51">
        <v>300</v>
      </c>
      <c r="S79" s="51">
        <v>300</v>
      </c>
      <c r="T79" s="51">
        <v>300</v>
      </c>
      <c r="U79" s="51">
        <v>300</v>
      </c>
      <c r="V79" s="51">
        <v>300</v>
      </c>
      <c r="W79" s="51">
        <v>300</v>
      </c>
      <c r="X79" s="51">
        <v>300</v>
      </c>
      <c r="Y79" s="51"/>
      <c r="Z79" s="51"/>
      <c r="AA79" s="51"/>
      <c r="AB79" s="51"/>
      <c r="AC79" s="51"/>
      <c r="AD79" s="51"/>
      <c r="AE79" s="51"/>
      <c r="AF79" s="51">
        <v>450</v>
      </c>
      <c r="AG79" s="51">
        <v>450</v>
      </c>
      <c r="AH79" s="51">
        <v>450</v>
      </c>
      <c r="AI79" s="217">
        <f t="shared" si="6"/>
        <v>5650</v>
      </c>
      <c r="AJ79" s="214">
        <f t="shared" si="3"/>
        <v>30250</v>
      </c>
      <c r="AK79" s="51"/>
      <c r="AL79" s="51"/>
      <c r="AM79" s="51"/>
      <c r="AN79" s="51"/>
      <c r="AO79" s="51">
        <f t="shared" si="7"/>
        <v>0</v>
      </c>
    </row>
    <row r="80" spans="1:41">
      <c r="A80" s="209">
        <v>45771</v>
      </c>
      <c r="B80" s="51"/>
      <c r="C80" s="51"/>
      <c r="D80" s="208"/>
      <c r="E80" s="51"/>
      <c r="F80" s="51"/>
      <c r="G80" s="215"/>
      <c r="H80" s="51"/>
      <c r="I80" s="51"/>
      <c r="J80" s="51"/>
      <c r="K80" s="51">
        <v>300</v>
      </c>
      <c r="L80" s="51">
        <v>300</v>
      </c>
      <c r="M80" s="51">
        <v>300</v>
      </c>
      <c r="N80" s="51">
        <v>300</v>
      </c>
      <c r="O80" s="51">
        <v>300</v>
      </c>
      <c r="P80" s="51">
        <v>300</v>
      </c>
      <c r="Q80" s="51">
        <v>300</v>
      </c>
      <c r="R80" s="51">
        <v>300</v>
      </c>
      <c r="S80" s="51">
        <v>300</v>
      </c>
      <c r="T80" s="51">
        <v>300</v>
      </c>
      <c r="U80" s="51">
        <v>300</v>
      </c>
      <c r="V80" s="51">
        <v>300</v>
      </c>
      <c r="W80" s="51">
        <v>300</v>
      </c>
      <c r="X80" s="51">
        <v>300</v>
      </c>
      <c r="Y80" s="51"/>
      <c r="Z80" s="51"/>
      <c r="AA80" s="51"/>
      <c r="AB80" s="51"/>
      <c r="AC80" s="51"/>
      <c r="AD80" s="51"/>
      <c r="AE80" s="51"/>
      <c r="AF80" s="51">
        <v>100</v>
      </c>
      <c r="AG80" s="51">
        <v>100</v>
      </c>
      <c r="AH80" s="51">
        <v>100</v>
      </c>
      <c r="AI80" s="217">
        <f t="shared" si="6"/>
        <v>4500</v>
      </c>
      <c r="AJ80" s="217">
        <f t="shared" si="3"/>
        <v>9750</v>
      </c>
      <c r="AK80" s="51"/>
      <c r="AL80" s="51"/>
      <c r="AM80" s="51">
        <v>25000</v>
      </c>
      <c r="AN80" s="231">
        <f>A80+12</f>
        <v>45783</v>
      </c>
      <c r="AO80" s="51">
        <f t="shared" si="7"/>
        <v>70783</v>
      </c>
    </row>
    <row r="81" spans="1:41">
      <c r="A81" s="209">
        <v>45772</v>
      </c>
      <c r="B81" s="51"/>
      <c r="C81" s="51"/>
      <c r="D81" s="208"/>
      <c r="E81" s="51"/>
      <c r="F81" s="51"/>
      <c r="G81" s="215"/>
      <c r="H81" s="51"/>
      <c r="I81" s="51"/>
      <c r="J81" s="51"/>
      <c r="K81" s="51">
        <v>100</v>
      </c>
      <c r="L81" s="51">
        <v>100</v>
      </c>
      <c r="M81" s="51">
        <v>100</v>
      </c>
      <c r="N81" s="51">
        <v>100</v>
      </c>
      <c r="O81" s="51">
        <v>100</v>
      </c>
      <c r="P81" s="51">
        <v>300</v>
      </c>
      <c r="Q81" s="51">
        <v>300</v>
      </c>
      <c r="R81" s="51">
        <v>300</v>
      </c>
      <c r="S81" s="51">
        <v>300</v>
      </c>
      <c r="T81" s="51">
        <v>300</v>
      </c>
      <c r="U81" s="51">
        <v>300</v>
      </c>
      <c r="V81" s="51">
        <v>300</v>
      </c>
      <c r="W81" s="51">
        <v>300</v>
      </c>
      <c r="X81" s="51">
        <v>300</v>
      </c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217">
        <f t="shared" si="6"/>
        <v>3200</v>
      </c>
      <c r="AJ81" s="217">
        <f t="shared" si="3"/>
        <v>12950</v>
      </c>
      <c r="AK81" s="51"/>
      <c r="AL81" s="51"/>
      <c r="AM81" s="51"/>
      <c r="AN81" s="51"/>
      <c r="AO81" s="51">
        <f t="shared" si="7"/>
        <v>0</v>
      </c>
    </row>
    <row r="82" spans="1:41">
      <c r="A82" s="209">
        <v>45773</v>
      </c>
      <c r="B82" s="51"/>
      <c r="C82" s="51"/>
      <c r="D82" s="208"/>
      <c r="E82" s="51"/>
      <c r="F82" s="51"/>
      <c r="G82" s="215"/>
      <c r="H82" s="51"/>
      <c r="I82" s="51"/>
      <c r="J82" s="51"/>
      <c r="K82" s="51"/>
      <c r="L82" s="51"/>
      <c r="M82" s="51"/>
      <c r="N82" s="51"/>
      <c r="O82" s="51"/>
      <c r="P82" s="51">
        <v>100</v>
      </c>
      <c r="Q82" s="51">
        <v>100</v>
      </c>
      <c r="R82" s="51">
        <v>300</v>
      </c>
      <c r="S82" s="51">
        <v>300</v>
      </c>
      <c r="T82" s="51">
        <v>300</v>
      </c>
      <c r="U82" s="51">
        <v>300</v>
      </c>
      <c r="V82" s="51">
        <v>300</v>
      </c>
      <c r="W82" s="51">
        <v>300</v>
      </c>
      <c r="X82" s="51">
        <v>300</v>
      </c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217">
        <f t="shared" si="6"/>
        <v>2300</v>
      </c>
      <c r="AJ82" s="217">
        <f t="shared" si="3"/>
        <v>15250</v>
      </c>
      <c r="AK82" s="51"/>
      <c r="AL82" s="51"/>
      <c r="AM82" s="51"/>
      <c r="AN82" s="51"/>
      <c r="AO82" s="51">
        <f t="shared" si="7"/>
        <v>0</v>
      </c>
    </row>
    <row r="83" spans="1:41">
      <c r="A83" s="209">
        <v>45774</v>
      </c>
      <c r="B83" s="51"/>
      <c r="C83" s="51"/>
      <c r="D83" s="208"/>
      <c r="E83" s="51"/>
      <c r="F83" s="51"/>
      <c r="G83" s="215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>
        <v>100</v>
      </c>
      <c r="S83" s="51">
        <v>100</v>
      </c>
      <c r="T83" s="51">
        <v>300</v>
      </c>
      <c r="U83" s="51">
        <v>300</v>
      </c>
      <c r="V83" s="51">
        <v>300</v>
      </c>
      <c r="W83" s="51">
        <v>300</v>
      </c>
      <c r="X83" s="51">
        <v>300</v>
      </c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217">
        <f t="shared" si="6"/>
        <v>1700</v>
      </c>
      <c r="AJ83" s="217">
        <f t="shared" si="3"/>
        <v>16950</v>
      </c>
      <c r="AK83" s="51"/>
      <c r="AL83" s="51"/>
      <c r="AM83" s="51"/>
      <c r="AN83" s="51"/>
      <c r="AO83" s="51">
        <f t="shared" si="7"/>
        <v>0</v>
      </c>
    </row>
    <row r="84" spans="1:41">
      <c r="A84" s="209">
        <v>45775</v>
      </c>
      <c r="B84" s="51"/>
      <c r="C84" s="51"/>
      <c r="D84" s="208"/>
      <c r="E84" s="51"/>
      <c r="F84" s="51"/>
      <c r="G84" s="215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>
        <v>100</v>
      </c>
      <c r="U84" s="51">
        <v>100</v>
      </c>
      <c r="V84" s="51">
        <v>300</v>
      </c>
      <c r="W84" s="51">
        <v>300</v>
      </c>
      <c r="X84" s="51">
        <v>300</v>
      </c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217">
        <f t="shared" si="6"/>
        <v>1100</v>
      </c>
      <c r="AJ84" s="217">
        <f t="shared" si="3"/>
        <v>18050</v>
      </c>
      <c r="AK84" s="51"/>
      <c r="AL84" s="51"/>
      <c r="AM84" s="51"/>
      <c r="AN84" s="51"/>
      <c r="AO84" s="51">
        <f t="shared" si="7"/>
        <v>0</v>
      </c>
    </row>
    <row r="85" spans="1:41">
      <c r="A85" s="209">
        <v>45776</v>
      </c>
      <c r="B85" s="51"/>
      <c r="C85" s="51"/>
      <c r="D85" s="208"/>
      <c r="E85" s="51"/>
      <c r="F85" s="51"/>
      <c r="G85" s="215">
        <f>(B85+C85)/0.143</f>
        <v>0</v>
      </c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>
        <v>100</v>
      </c>
      <c r="W85" s="51">
        <v>100</v>
      </c>
      <c r="X85" s="51">
        <v>100</v>
      </c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217">
        <f t="shared" si="6"/>
        <v>300</v>
      </c>
      <c r="AJ85" s="214">
        <f t="shared" si="3"/>
        <v>18350</v>
      </c>
      <c r="AK85" s="51"/>
      <c r="AL85" s="51"/>
      <c r="AM85" s="51"/>
      <c r="AN85" s="51"/>
      <c r="AO85" s="51">
        <f t="shared" si="7"/>
        <v>0</v>
      </c>
    </row>
    <row r="86" spans="1:41">
      <c r="A86" s="209">
        <v>45777</v>
      </c>
      <c r="B86" s="51"/>
      <c r="C86" s="51"/>
      <c r="D86" s="208"/>
      <c r="E86" s="51"/>
      <c r="F86" s="51"/>
      <c r="G86" s="215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217"/>
      <c r="AJ86" s="217"/>
      <c r="AK86" s="51">
        <v>18350</v>
      </c>
      <c r="AL86" s="231">
        <f>A86+12</f>
        <v>45789</v>
      </c>
      <c r="AM86" s="51"/>
      <c r="AN86" s="51"/>
      <c r="AO86" s="51"/>
    </row>
    <row r="87" spans="1:41">
      <c r="A87" s="209">
        <v>45778</v>
      </c>
      <c r="B87" s="51"/>
      <c r="C87" s="51"/>
      <c r="D87" s="208"/>
      <c r="E87" s="51"/>
      <c r="F87" s="51"/>
      <c r="G87" s="215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217"/>
      <c r="AJ87" s="217"/>
      <c r="AK87" s="51"/>
      <c r="AL87" s="51"/>
      <c r="AM87" s="51"/>
      <c r="AN87" s="51"/>
      <c r="AO87" s="51"/>
    </row>
    <row r="88" spans="1:41">
      <c r="A88" s="209">
        <v>45779</v>
      </c>
      <c r="B88" s="51"/>
      <c r="C88" s="51"/>
      <c r="D88" s="208"/>
      <c r="E88" s="51"/>
      <c r="F88" s="51"/>
      <c r="G88" s="215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217"/>
      <c r="AJ88" s="217"/>
      <c r="AK88" s="51"/>
      <c r="AL88" s="51"/>
      <c r="AM88" s="51"/>
      <c r="AN88" s="51"/>
      <c r="AO88" s="51"/>
    </row>
    <row r="89" spans="1:41">
      <c r="A89" s="209">
        <v>45780</v>
      </c>
      <c r="B89" s="51"/>
      <c r="C89" s="51"/>
      <c r="D89" s="208"/>
      <c r="E89" s="51"/>
      <c r="F89" s="51"/>
      <c r="G89" s="215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217"/>
      <c r="AJ89" s="217"/>
      <c r="AK89" s="51"/>
      <c r="AL89" s="51"/>
      <c r="AM89" s="51"/>
      <c r="AN89" s="51"/>
      <c r="AO89" s="51"/>
    </row>
    <row r="90" spans="1:41">
      <c r="A90" s="209">
        <v>45781</v>
      </c>
      <c r="B90" s="51"/>
      <c r="C90" s="51"/>
      <c r="D90" s="208"/>
      <c r="E90" s="51"/>
      <c r="F90" s="51"/>
      <c r="G90" s="215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217"/>
      <c r="AJ90" s="217"/>
      <c r="AK90" s="51"/>
      <c r="AL90" s="51"/>
      <c r="AM90" s="51"/>
      <c r="AN90" s="51"/>
      <c r="AO90" s="51"/>
    </row>
    <row r="91" spans="1:41">
      <c r="A91" s="209">
        <v>45782</v>
      </c>
      <c r="B91" s="51"/>
      <c r="C91" s="51"/>
      <c r="D91" s="208"/>
      <c r="E91" s="51"/>
      <c r="F91" s="51"/>
      <c r="G91" s="215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217"/>
      <c r="AJ91" s="217"/>
      <c r="AK91" s="51"/>
      <c r="AL91" s="51"/>
      <c r="AM91" s="51"/>
      <c r="AN91" s="51"/>
      <c r="AO91" s="51"/>
    </row>
    <row r="92" spans="1:41">
      <c r="A92" s="209">
        <v>45783</v>
      </c>
      <c r="B92" s="51"/>
      <c r="C92" s="51"/>
      <c r="D92" s="208"/>
      <c r="E92" s="51"/>
      <c r="F92" s="51"/>
      <c r="G92" s="215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217"/>
      <c r="AJ92" s="217"/>
      <c r="AK92" s="51"/>
      <c r="AL92" s="51"/>
      <c r="AM92" s="51"/>
      <c r="AN92" s="51"/>
      <c r="AO92" s="51"/>
    </row>
    <row r="93" spans="1:41">
      <c r="A93" s="209">
        <v>45784</v>
      </c>
      <c r="B93" s="51"/>
      <c r="C93" s="51"/>
      <c r="D93" s="208"/>
      <c r="E93" s="51"/>
      <c r="F93" s="51"/>
      <c r="G93" s="215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217"/>
      <c r="AJ93" s="217"/>
      <c r="AK93" s="51"/>
      <c r="AL93" s="51"/>
      <c r="AM93" s="51"/>
      <c r="AN93" s="51"/>
      <c r="AO93" s="51"/>
    </row>
    <row r="94" spans="1:41">
      <c r="A94" s="209">
        <v>45785</v>
      </c>
      <c r="B94" s="51"/>
      <c r="C94" s="51"/>
      <c r="D94" s="208"/>
      <c r="E94" s="51"/>
      <c r="F94" s="51"/>
      <c r="G94" s="215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217"/>
      <c r="AJ94" s="217"/>
      <c r="AK94" s="51"/>
      <c r="AL94" s="51"/>
      <c r="AM94" s="51"/>
      <c r="AN94" s="51"/>
      <c r="AO94" s="51"/>
    </row>
    <row r="95" spans="1:41">
      <c r="A95" s="209">
        <v>45786</v>
      </c>
      <c r="B95" s="51"/>
      <c r="C95" s="51"/>
      <c r="D95" s="208"/>
      <c r="E95" s="51"/>
      <c r="F95" s="51"/>
      <c r="G95" s="215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217"/>
      <c r="AJ95" s="217"/>
      <c r="AK95" s="51"/>
      <c r="AL95" s="51"/>
      <c r="AM95" s="51"/>
      <c r="AN95" s="51"/>
      <c r="AO95" s="51"/>
    </row>
    <row r="96" spans="1:41">
      <c r="A96" s="209">
        <v>45787</v>
      </c>
      <c r="B96" s="51"/>
      <c r="C96" s="51"/>
      <c r="D96" s="208"/>
      <c r="E96" s="51"/>
      <c r="F96" s="51"/>
      <c r="G96" s="215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217"/>
      <c r="AJ96" s="217"/>
      <c r="AK96" s="51"/>
      <c r="AL96" s="51"/>
      <c r="AM96" s="51"/>
      <c r="AN96" s="51"/>
      <c r="AO96" s="51"/>
    </row>
    <row r="97" spans="1:41">
      <c r="A97" s="209">
        <v>45788</v>
      </c>
      <c r="B97" s="51"/>
      <c r="C97" s="51"/>
      <c r="D97" s="208"/>
      <c r="E97" s="51"/>
      <c r="F97" s="51"/>
      <c r="G97" s="215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217"/>
      <c r="AJ97" s="217"/>
      <c r="AK97" s="51"/>
      <c r="AL97" s="51"/>
      <c r="AM97" s="51"/>
      <c r="AN97" s="51"/>
      <c r="AO97" s="51"/>
    </row>
    <row r="98" spans="1:41">
      <c r="A98" s="209">
        <v>45789</v>
      </c>
      <c r="B98" s="51"/>
      <c r="C98" s="51"/>
      <c r="D98" s="208"/>
      <c r="E98" s="51"/>
      <c r="F98" s="51"/>
      <c r="G98" s="215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217"/>
      <c r="AJ98" s="217"/>
      <c r="AK98" s="51"/>
      <c r="AL98" s="51"/>
      <c r="AM98" s="51"/>
      <c r="AN98" s="51"/>
      <c r="AO98" s="51"/>
    </row>
    <row r="99" spans="1:41">
      <c r="A99" s="209">
        <v>45790</v>
      </c>
      <c r="B99" s="51"/>
      <c r="C99" s="51"/>
      <c r="D99" s="208"/>
      <c r="E99" s="51"/>
      <c r="F99" s="51"/>
      <c r="G99" s="215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217"/>
      <c r="AJ99" s="217"/>
      <c r="AK99" s="51"/>
      <c r="AL99" s="51"/>
      <c r="AM99" s="51"/>
      <c r="AN99" s="51"/>
      <c r="AO99" s="51"/>
    </row>
    <row r="100" spans="1:41">
      <c r="A100" s="209">
        <v>45791</v>
      </c>
      <c r="B100" s="51"/>
      <c r="C100" s="51"/>
      <c r="D100" s="208"/>
      <c r="E100" s="51"/>
      <c r="F100" s="51"/>
      <c r="G100" s="215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217"/>
      <c r="AJ100" s="217"/>
      <c r="AK100" s="51"/>
      <c r="AL100" s="51"/>
      <c r="AM100" s="51"/>
      <c r="AN100" s="51"/>
      <c r="AO100" s="51"/>
    </row>
    <row r="101" spans="1:41">
      <c r="A101" s="209">
        <v>45792</v>
      </c>
      <c r="B101" s="51"/>
      <c r="C101" s="51"/>
      <c r="D101" s="208"/>
      <c r="E101" s="51"/>
      <c r="F101" s="51"/>
      <c r="G101" s="215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217"/>
      <c r="AJ101" s="217"/>
      <c r="AK101" s="51"/>
      <c r="AL101" s="51"/>
      <c r="AM101" s="51"/>
      <c r="AN101" s="51"/>
      <c r="AO101" s="51"/>
    </row>
    <row r="102" spans="1:41">
      <c r="A102" s="209">
        <v>45793</v>
      </c>
      <c r="B102" s="51"/>
      <c r="C102" s="51"/>
      <c r="D102" s="208"/>
      <c r="E102" s="51"/>
      <c r="F102" s="51"/>
      <c r="G102" s="215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217"/>
      <c r="AJ102" s="217"/>
      <c r="AK102" s="51"/>
      <c r="AL102" s="51"/>
      <c r="AM102" s="51"/>
      <c r="AN102" s="51"/>
      <c r="AO102" s="51"/>
    </row>
    <row r="103" spans="1:41">
      <c r="A103" s="209">
        <v>45794</v>
      </c>
      <c r="B103" s="51"/>
      <c r="C103" s="51"/>
      <c r="D103" s="208"/>
      <c r="E103" s="51"/>
      <c r="F103" s="51"/>
      <c r="G103" s="215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217"/>
      <c r="AK103" s="51"/>
      <c r="AL103" s="51"/>
      <c r="AM103" s="51"/>
      <c r="AN103" s="51"/>
      <c r="AO103" s="51"/>
    </row>
    <row r="104" spans="1:41">
      <c r="A104" s="209">
        <v>45795</v>
      </c>
      <c r="B104" s="51"/>
      <c r="C104" s="51"/>
      <c r="D104" s="208"/>
      <c r="E104" s="51"/>
      <c r="F104" s="51"/>
      <c r="G104" s="215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217"/>
      <c r="AK104" s="51"/>
      <c r="AL104" s="51"/>
      <c r="AM104" s="51"/>
      <c r="AN104" s="51"/>
      <c r="AO104" s="51"/>
    </row>
    <row r="105" spans="1:41">
      <c r="A105" s="209">
        <v>45796</v>
      </c>
      <c r="B105" s="51"/>
      <c r="C105" s="51"/>
      <c r="D105" s="208"/>
      <c r="E105" s="51"/>
      <c r="F105" s="51"/>
      <c r="G105" s="215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217"/>
      <c r="AK105" s="51"/>
      <c r="AL105" s="51"/>
      <c r="AM105" s="51"/>
      <c r="AN105" s="51"/>
      <c r="AO105" s="51"/>
    </row>
    <row r="106" spans="1:41">
      <c r="A106" s="209"/>
      <c r="B106" s="51"/>
      <c r="C106" s="51"/>
      <c r="D106" s="208"/>
      <c r="E106" s="51"/>
      <c r="F106" s="51"/>
      <c r="G106" s="215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217"/>
      <c r="AK106" s="51"/>
      <c r="AL106" s="51"/>
      <c r="AM106" s="51"/>
      <c r="AN106" s="51"/>
      <c r="AO106" s="51"/>
    </row>
    <row r="107" spans="1:41">
      <c r="A107" s="209"/>
      <c r="B107" s="51"/>
      <c r="C107" s="51"/>
      <c r="D107" s="208"/>
      <c r="E107" s="51"/>
      <c r="F107" s="51"/>
      <c r="G107" s="215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217"/>
      <c r="AK107" s="51"/>
      <c r="AL107" s="51"/>
      <c r="AM107" s="51"/>
      <c r="AN107" s="51"/>
      <c r="AO107" s="51"/>
    </row>
    <row r="108" spans="1:41">
      <c r="A108" s="209"/>
      <c r="B108" s="51"/>
      <c r="C108" s="51"/>
      <c r="D108" s="208"/>
      <c r="E108" s="51"/>
      <c r="F108" s="51"/>
      <c r="G108" s="215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217"/>
      <c r="AK108" s="51"/>
      <c r="AL108" s="51"/>
      <c r="AM108" s="51"/>
      <c r="AN108" s="51"/>
      <c r="AO108" s="51"/>
    </row>
    <row r="109" spans="1:41">
      <c r="A109" s="209"/>
      <c r="B109" s="51"/>
      <c r="C109" s="51"/>
      <c r="D109" s="208"/>
      <c r="E109" s="51"/>
      <c r="F109" s="51"/>
      <c r="G109" s="215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217"/>
      <c r="AK109" s="51"/>
      <c r="AL109" s="51"/>
      <c r="AM109" s="51"/>
      <c r="AN109" s="51"/>
      <c r="AO109" s="51"/>
    </row>
    <row r="110" spans="1:41" ht="23">
      <c r="A110" s="210" t="s">
        <v>739</v>
      </c>
      <c r="B110" s="211">
        <f t="shared" ref="B110:AH110" si="9">SUM(B7:B85)</f>
        <v>35000</v>
      </c>
      <c r="C110" s="211">
        <f t="shared" si="9"/>
        <v>35000</v>
      </c>
      <c r="D110" s="211">
        <f t="shared" si="9"/>
        <v>0</v>
      </c>
      <c r="E110" s="211">
        <f t="shared" si="9"/>
        <v>50000</v>
      </c>
      <c r="F110" s="211">
        <f t="shared" si="9"/>
        <v>45000</v>
      </c>
      <c r="G110" s="211">
        <f t="shared" si="9"/>
        <v>489510.48951048957</v>
      </c>
      <c r="H110" s="211">
        <f t="shared" si="9"/>
        <v>0</v>
      </c>
      <c r="I110" s="211">
        <f t="shared" si="9"/>
        <v>15800</v>
      </c>
      <c r="J110" s="211">
        <f t="shared" si="9"/>
        <v>0</v>
      </c>
      <c r="K110" s="211">
        <f t="shared" si="9"/>
        <v>16400</v>
      </c>
      <c r="L110" s="211">
        <f t="shared" si="9"/>
        <v>16100</v>
      </c>
      <c r="M110" s="211">
        <f t="shared" si="9"/>
        <v>16100</v>
      </c>
      <c r="N110" s="211">
        <f t="shared" si="9"/>
        <v>15800</v>
      </c>
      <c r="O110" s="211">
        <f t="shared" si="9"/>
        <v>15800</v>
      </c>
      <c r="P110" s="211">
        <f t="shared" si="9"/>
        <v>15800</v>
      </c>
      <c r="Q110" s="211">
        <f t="shared" si="9"/>
        <v>15800</v>
      </c>
      <c r="R110" s="211">
        <f t="shared" si="9"/>
        <v>15800</v>
      </c>
      <c r="S110" s="211">
        <f t="shared" si="9"/>
        <v>15800</v>
      </c>
      <c r="T110" s="211">
        <f t="shared" si="9"/>
        <v>15800</v>
      </c>
      <c r="U110" s="211">
        <f t="shared" si="9"/>
        <v>15800</v>
      </c>
      <c r="V110" s="211">
        <f t="shared" si="9"/>
        <v>15800</v>
      </c>
      <c r="W110" s="211">
        <f t="shared" si="9"/>
        <v>15800</v>
      </c>
      <c r="X110" s="211">
        <f t="shared" si="9"/>
        <v>15500</v>
      </c>
      <c r="Y110" s="211">
        <f t="shared" si="9"/>
        <v>22250</v>
      </c>
      <c r="Z110" s="211">
        <f t="shared" si="9"/>
        <v>18800</v>
      </c>
      <c r="AA110" s="211">
        <f t="shared" si="9"/>
        <v>18800</v>
      </c>
      <c r="AB110" s="211">
        <f t="shared" si="9"/>
        <v>18800</v>
      </c>
      <c r="AC110" s="211">
        <f t="shared" si="9"/>
        <v>18800</v>
      </c>
      <c r="AD110" s="211">
        <f t="shared" si="9"/>
        <v>18800</v>
      </c>
      <c r="AE110" s="211">
        <f t="shared" si="9"/>
        <v>18800</v>
      </c>
      <c r="AF110" s="211">
        <f t="shared" si="9"/>
        <v>21800</v>
      </c>
      <c r="AG110" s="211">
        <f t="shared" si="9"/>
        <v>21800</v>
      </c>
      <c r="AH110" s="211">
        <f t="shared" si="9"/>
        <v>21800</v>
      </c>
      <c r="AI110" s="211">
        <f>SUM(AI7:AI109)</f>
        <v>438350</v>
      </c>
      <c r="AJ110" s="211"/>
      <c r="AK110" s="211">
        <f>SUM(AK7:AK109)</f>
        <v>228350</v>
      </c>
      <c r="AL110" s="211"/>
      <c r="AM110" s="211">
        <f>SUM(AM7:AM109)</f>
        <v>210000</v>
      </c>
      <c r="AN110" s="211"/>
      <c r="AO110" s="211">
        <f>SUM(AO7:AO85)</f>
        <v>1243581</v>
      </c>
    </row>
  </sheetData>
  <mergeCells count="7">
    <mergeCell ref="A2:AI2"/>
    <mergeCell ref="G3:AI3"/>
    <mergeCell ref="AK3:AO3"/>
    <mergeCell ref="B4:C4"/>
    <mergeCell ref="E4:F4"/>
    <mergeCell ref="D4:D56"/>
    <mergeCell ref="A3:F3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4"/>
  <sheetViews>
    <sheetView workbookViewId="0">
      <pane xSplit="1" ySplit="9" topLeftCell="AV85" activePane="bottomRight" state="frozen"/>
      <selection pane="topRight" activeCell="B1" sqref="B1"/>
      <selection pane="bottomLeft" activeCell="A6" sqref="A6"/>
      <selection pane="bottomRight" activeCell="BI90" sqref="BI90"/>
    </sheetView>
  </sheetViews>
  <sheetFormatPr defaultRowHeight="14" outlineLevelCol="1"/>
  <cols>
    <col min="1" max="1" width="13.4140625" customWidth="1" outlineLevel="1"/>
    <col min="2" max="5" width="9.1640625" customWidth="1" outlineLevel="1"/>
    <col min="6" max="6" width="12.1640625" customWidth="1" outlineLevel="1"/>
    <col min="7" max="7" width="10.4140625" customWidth="1" outlineLevel="1"/>
    <col min="8" max="8" width="9.1640625" customWidth="1" outlineLevel="1"/>
    <col min="12" max="12" width="12.1640625" customWidth="1"/>
    <col min="15" max="15" width="10.4140625" customWidth="1"/>
    <col min="16" max="16" width="12" customWidth="1"/>
    <col min="17" max="36" width="9.1640625" customWidth="1" outlineLevel="1"/>
    <col min="37" max="37" width="14.4140625" customWidth="1" outlineLevel="1"/>
    <col min="38" max="38" width="13.58203125" customWidth="1" outlineLevel="1"/>
    <col min="39" max="40" width="9.1640625" customWidth="1" outlineLevel="1"/>
    <col min="41" max="41" width="14.4140625" customWidth="1" outlineLevel="1"/>
    <col min="42" max="42" width="13.1640625" customWidth="1"/>
    <col min="43" max="44" width="13.1640625" customWidth="1" outlineLevel="1"/>
    <col min="45" max="45" width="11.58203125" customWidth="1" outlineLevel="1"/>
    <col min="46" max="46" width="9.1640625" customWidth="1" outlineLevel="1"/>
    <col min="47" max="47" width="11.4140625" customWidth="1" outlineLevel="1"/>
    <col min="48" max="48" width="11.58203125" customWidth="1" outlineLevel="1"/>
    <col min="49" max="49" width="11.4140625" customWidth="1" outlineLevel="1"/>
    <col min="50" max="50" width="9.1640625" customWidth="1" outlineLevel="1"/>
    <col min="51" max="51" width="11.58203125" customWidth="1" outlineLevel="1" collapsed="1"/>
    <col min="52" max="52" width="9.1640625" customWidth="1" outlineLevel="1"/>
    <col min="53" max="53" width="11.4140625" customWidth="1" outlineLevel="1"/>
    <col min="54" max="54" width="11.58203125" customWidth="1" outlineLevel="1"/>
    <col min="55" max="55" width="11.4140625" customWidth="1" outlineLevel="1"/>
    <col min="56" max="56" width="9.1640625" customWidth="1" outlineLevel="1"/>
    <col min="59" max="60" width="11.83203125" bestFit="1" customWidth="1"/>
    <col min="61" max="61" width="10.58203125" customWidth="1"/>
  </cols>
  <sheetData>
    <row r="1" spans="1:62">
      <c r="A1" s="206" t="s">
        <v>22</v>
      </c>
      <c r="B1" s="206" t="s">
        <v>739</v>
      </c>
    </row>
    <row r="2" spans="1:62">
      <c r="A2" s="205" t="s">
        <v>740</v>
      </c>
      <c r="B2" s="205">
        <v>333371</v>
      </c>
    </row>
    <row r="3" spans="1:62">
      <c r="A3" s="205" t="s">
        <v>741</v>
      </c>
      <c r="B3" s="205">
        <v>46922</v>
      </c>
    </row>
    <row r="4" spans="1:62">
      <c r="A4" s="205" t="s">
        <v>742</v>
      </c>
      <c r="B4" s="205">
        <v>56667</v>
      </c>
    </row>
    <row r="5" spans="1:62">
      <c r="A5" s="205" t="s">
        <v>739</v>
      </c>
      <c r="B5" s="205">
        <f>SUM(B2:B4)</f>
        <v>436960</v>
      </c>
    </row>
    <row r="6" spans="1:62" ht="23">
      <c r="A6" s="407" t="s">
        <v>694</v>
      </c>
      <c r="B6" s="408"/>
      <c r="C6" s="408"/>
      <c r="D6" s="408"/>
      <c r="E6" s="408"/>
      <c r="F6" s="408"/>
      <c r="G6" s="408"/>
      <c r="H6" s="408"/>
      <c r="I6" s="408"/>
      <c r="J6" s="408"/>
      <c r="K6" s="408"/>
      <c r="L6" s="408"/>
      <c r="M6" s="408"/>
      <c r="N6" s="408"/>
      <c r="O6" s="408"/>
      <c r="P6" s="409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30"/>
      <c r="AM6" s="210"/>
      <c r="AN6" s="210"/>
      <c r="AO6" s="210"/>
      <c r="AP6" s="230"/>
      <c r="AQ6" s="230"/>
      <c r="AR6" s="230"/>
    </row>
    <row r="7" spans="1:62" ht="20">
      <c r="A7" s="410" t="s">
        <v>695</v>
      </c>
      <c r="B7" s="411"/>
      <c r="C7" s="411"/>
      <c r="D7" s="411"/>
      <c r="E7" s="411"/>
      <c r="F7" s="412"/>
      <c r="G7" s="211"/>
      <c r="H7" s="211"/>
      <c r="I7" s="413" t="s">
        <v>743</v>
      </c>
      <c r="J7" s="414"/>
      <c r="K7" s="414"/>
      <c r="L7" s="414"/>
      <c r="M7" s="414"/>
      <c r="N7" s="414"/>
      <c r="O7" s="414"/>
      <c r="P7" s="414"/>
      <c r="Q7" s="414"/>
      <c r="R7" s="414"/>
      <c r="S7" s="414"/>
      <c r="T7" s="414"/>
      <c r="U7" s="414"/>
      <c r="V7" s="414"/>
      <c r="W7" s="414"/>
      <c r="X7" s="414"/>
      <c r="Y7" s="414"/>
      <c r="Z7" s="414"/>
      <c r="AA7" s="414"/>
      <c r="AB7" s="414"/>
      <c r="AC7" s="414"/>
      <c r="AD7" s="414"/>
      <c r="AE7" s="414"/>
      <c r="AF7" s="414"/>
      <c r="AG7" s="414"/>
      <c r="AH7" s="414"/>
      <c r="AI7" s="414"/>
      <c r="AJ7" s="414"/>
      <c r="AK7" s="414"/>
      <c r="AL7" s="414"/>
      <c r="AM7" s="414"/>
      <c r="AN7" s="414"/>
      <c r="AO7" s="415"/>
      <c r="AP7" s="229"/>
      <c r="AQ7" s="229"/>
      <c r="AR7" s="229"/>
      <c r="AS7" s="400" t="s">
        <v>696</v>
      </c>
      <c r="AT7" s="400"/>
      <c r="AU7" s="400"/>
      <c r="AV7" s="400"/>
      <c r="AW7" s="400"/>
      <c r="AX7" s="51"/>
      <c r="AY7" s="400" t="s">
        <v>696</v>
      </c>
      <c r="AZ7" s="400"/>
      <c r="BA7" s="400"/>
      <c r="BB7" s="400"/>
      <c r="BC7" s="400"/>
      <c r="BD7" s="51"/>
      <c r="BE7" s="400" t="s">
        <v>696</v>
      </c>
      <c r="BF7" s="400"/>
      <c r="BG7" s="400"/>
      <c r="BH7" s="400"/>
      <c r="BI7" s="400"/>
      <c r="BJ7" s="51"/>
    </row>
    <row r="8" spans="1:62" ht="42">
      <c r="A8" s="212" t="s">
        <v>697</v>
      </c>
      <c r="B8" s="401" t="s">
        <v>698</v>
      </c>
      <c r="C8" s="402"/>
      <c r="D8" s="232"/>
      <c r="E8" s="401" t="s">
        <v>84</v>
      </c>
      <c r="F8" s="402"/>
      <c r="G8" s="212" t="s">
        <v>699</v>
      </c>
      <c r="H8" s="203" t="s">
        <v>700</v>
      </c>
      <c r="I8" s="212" t="s">
        <v>701</v>
      </c>
      <c r="J8" s="212" t="s">
        <v>702</v>
      </c>
      <c r="K8" s="212" t="s">
        <v>726</v>
      </c>
      <c r="L8" s="212" t="s">
        <v>727</v>
      </c>
      <c r="M8" s="212" t="s">
        <v>703</v>
      </c>
      <c r="N8" s="212" t="s">
        <v>704</v>
      </c>
      <c r="O8" s="212" t="s">
        <v>726</v>
      </c>
      <c r="P8" s="212" t="s">
        <v>727</v>
      </c>
      <c r="Q8" s="212" t="s">
        <v>701</v>
      </c>
      <c r="R8" s="212" t="s">
        <v>702</v>
      </c>
      <c r="S8" s="212" t="s">
        <v>703</v>
      </c>
      <c r="T8" s="212" t="s">
        <v>704</v>
      </c>
      <c r="U8" s="212" t="s">
        <v>705</v>
      </c>
      <c r="V8" s="212" t="s">
        <v>706</v>
      </c>
      <c r="W8" s="212" t="s">
        <v>707</v>
      </c>
      <c r="X8" s="212" t="s">
        <v>708</v>
      </c>
      <c r="Y8" s="212" t="s">
        <v>709</v>
      </c>
      <c r="Z8" s="212" t="s">
        <v>710</v>
      </c>
      <c r="AA8" s="212" t="s">
        <v>711</v>
      </c>
      <c r="AB8" s="212" t="s">
        <v>712</v>
      </c>
      <c r="AC8" s="212" t="s">
        <v>713</v>
      </c>
      <c r="AD8" s="212" t="s">
        <v>714</v>
      </c>
      <c r="AE8" s="212" t="s">
        <v>715</v>
      </c>
      <c r="AF8" s="212" t="s">
        <v>716</v>
      </c>
      <c r="AG8" s="212" t="s">
        <v>717</v>
      </c>
      <c r="AH8" s="212" t="s">
        <v>718</v>
      </c>
      <c r="AI8" s="212" t="s">
        <v>719</v>
      </c>
      <c r="AJ8" s="212" t="s">
        <v>720</v>
      </c>
      <c r="AK8" s="212" t="s">
        <v>726</v>
      </c>
      <c r="AL8" s="212" t="s">
        <v>727</v>
      </c>
      <c r="AM8" s="212" t="s">
        <v>717</v>
      </c>
      <c r="AN8" s="212" t="s">
        <v>718</v>
      </c>
      <c r="AO8" s="212" t="s">
        <v>726</v>
      </c>
      <c r="AP8" s="212" t="s">
        <v>727</v>
      </c>
      <c r="AQ8" s="212" t="s">
        <v>726</v>
      </c>
      <c r="AR8" s="235" t="s">
        <v>744</v>
      </c>
      <c r="AS8" s="212" t="s">
        <v>397</v>
      </c>
      <c r="AT8" s="212" t="s">
        <v>397</v>
      </c>
      <c r="AU8" s="212" t="s">
        <v>401</v>
      </c>
      <c r="AV8" s="212" t="s">
        <v>401</v>
      </c>
      <c r="AW8" s="212" t="s">
        <v>745</v>
      </c>
      <c r="AX8" s="203" t="s">
        <v>746</v>
      </c>
      <c r="AY8" s="212" t="s">
        <v>397</v>
      </c>
      <c r="AZ8" s="212" t="s">
        <v>397</v>
      </c>
      <c r="BA8" s="212" t="s">
        <v>401</v>
      </c>
      <c r="BB8" s="212" t="s">
        <v>401</v>
      </c>
      <c r="BC8" s="212" t="s">
        <v>745</v>
      </c>
      <c r="BD8" s="203" t="s">
        <v>746</v>
      </c>
      <c r="BE8" s="212" t="s">
        <v>397</v>
      </c>
      <c r="BF8" s="212" t="s">
        <v>397</v>
      </c>
      <c r="BG8" s="212" t="s">
        <v>401</v>
      </c>
      <c r="BH8" s="212" t="s">
        <v>401</v>
      </c>
      <c r="BI8" s="212" t="s">
        <v>745</v>
      </c>
      <c r="BJ8" s="203" t="s">
        <v>746</v>
      </c>
    </row>
    <row r="9" spans="1:62">
      <c r="A9" s="205" t="s">
        <v>28</v>
      </c>
      <c r="B9" s="206" t="s">
        <v>730</v>
      </c>
      <c r="C9" s="206" t="s">
        <v>731</v>
      </c>
      <c r="D9" s="233"/>
      <c r="E9" s="206" t="s">
        <v>730</v>
      </c>
      <c r="F9" s="206" t="s">
        <v>732</v>
      </c>
      <c r="G9" s="206"/>
      <c r="H9" s="51"/>
      <c r="I9" s="206" t="s">
        <v>733</v>
      </c>
      <c r="J9" s="206" t="s">
        <v>733</v>
      </c>
      <c r="K9" s="206"/>
      <c r="L9" s="206"/>
      <c r="M9" s="206" t="s">
        <v>733</v>
      </c>
      <c r="N9" s="206" t="s">
        <v>733</v>
      </c>
      <c r="O9" s="61"/>
      <c r="P9" s="61"/>
      <c r="Q9" s="207" t="s">
        <v>263</v>
      </c>
      <c r="R9" s="207" t="s">
        <v>263</v>
      </c>
      <c r="S9" s="207" t="s">
        <v>263</v>
      </c>
      <c r="T9" s="207" t="s">
        <v>263</v>
      </c>
      <c r="U9" s="207" t="s">
        <v>263</v>
      </c>
      <c r="V9" s="207" t="s">
        <v>263</v>
      </c>
      <c r="W9" s="207" t="s">
        <v>263</v>
      </c>
      <c r="X9" s="207" t="s">
        <v>263</v>
      </c>
      <c r="Y9" s="207" t="s">
        <v>263</v>
      </c>
      <c r="Z9" s="207" t="s">
        <v>263</v>
      </c>
      <c r="AA9" s="207" t="s">
        <v>263</v>
      </c>
      <c r="AB9" s="207" t="s">
        <v>263</v>
      </c>
      <c r="AC9" s="207" t="s">
        <v>263</v>
      </c>
      <c r="AD9" s="207" t="s">
        <v>263</v>
      </c>
      <c r="AE9" s="207" t="s">
        <v>263</v>
      </c>
      <c r="AF9" s="207" t="s">
        <v>263</v>
      </c>
      <c r="AG9" s="207" t="s">
        <v>263</v>
      </c>
      <c r="AH9" s="207" t="s">
        <v>263</v>
      </c>
      <c r="AI9" s="207" t="s">
        <v>263</v>
      </c>
      <c r="AJ9" s="207" t="s">
        <v>263</v>
      </c>
      <c r="AK9" s="61"/>
      <c r="AL9" s="61"/>
      <c r="AM9" s="206" t="s">
        <v>747</v>
      </c>
      <c r="AN9" s="206" t="s">
        <v>747</v>
      </c>
      <c r="AO9" s="61"/>
      <c r="AP9" s="61"/>
      <c r="AQ9" s="413" t="s">
        <v>748</v>
      </c>
      <c r="AR9" s="415"/>
      <c r="AS9" s="206" t="s">
        <v>736</v>
      </c>
      <c r="AT9" s="206" t="s">
        <v>736</v>
      </c>
      <c r="AU9" s="206" t="s">
        <v>736</v>
      </c>
      <c r="AV9" s="206" t="s">
        <v>736</v>
      </c>
      <c r="AW9" s="205"/>
      <c r="AX9" s="206"/>
      <c r="AY9" s="206" t="s">
        <v>734</v>
      </c>
      <c r="AZ9" s="206" t="s">
        <v>734</v>
      </c>
      <c r="BA9" s="206" t="s">
        <v>734</v>
      </c>
      <c r="BB9" s="206" t="s">
        <v>734</v>
      </c>
      <c r="BC9" s="61"/>
      <c r="BD9" s="51"/>
      <c r="BE9" s="206" t="s">
        <v>749</v>
      </c>
      <c r="BF9" s="206" t="s">
        <v>749</v>
      </c>
      <c r="BG9" s="206" t="s">
        <v>749</v>
      </c>
      <c r="BH9" s="206" t="s">
        <v>749</v>
      </c>
      <c r="BI9" s="61"/>
      <c r="BJ9" s="51"/>
    </row>
    <row r="10" spans="1:62">
      <c r="A10" s="206" t="s">
        <v>735</v>
      </c>
      <c r="B10" s="206"/>
      <c r="C10" s="206"/>
      <c r="D10" s="233"/>
      <c r="E10" s="206"/>
      <c r="F10" s="206"/>
      <c r="G10" s="206"/>
      <c r="H10" s="51"/>
      <c r="I10" s="206" t="s">
        <v>736</v>
      </c>
      <c r="J10" s="206" t="s">
        <v>736</v>
      </c>
      <c r="K10" s="206" t="s">
        <v>736</v>
      </c>
      <c r="L10" s="206" t="s">
        <v>736</v>
      </c>
      <c r="M10" s="206" t="s">
        <v>749</v>
      </c>
      <c r="N10" s="206" t="s">
        <v>749</v>
      </c>
      <c r="O10" s="206" t="s">
        <v>749</v>
      </c>
      <c r="P10" s="206" t="s">
        <v>749</v>
      </c>
      <c r="Q10" s="206" t="s">
        <v>736</v>
      </c>
      <c r="R10" s="206" t="s">
        <v>736</v>
      </c>
      <c r="S10" s="206" t="s">
        <v>736</v>
      </c>
      <c r="T10" s="206" t="s">
        <v>736</v>
      </c>
      <c r="U10" s="206" t="s">
        <v>736</v>
      </c>
      <c r="V10" s="206" t="s">
        <v>736</v>
      </c>
      <c r="W10" s="206" t="s">
        <v>736</v>
      </c>
      <c r="X10" s="206" t="s">
        <v>736</v>
      </c>
      <c r="Y10" s="206" t="s">
        <v>736</v>
      </c>
      <c r="Z10" s="206" t="s">
        <v>736</v>
      </c>
      <c r="AA10" s="206" t="s">
        <v>736</v>
      </c>
      <c r="AB10" s="206" t="s">
        <v>736</v>
      </c>
      <c r="AC10" s="206" t="s">
        <v>736</v>
      </c>
      <c r="AD10" s="206" t="s">
        <v>736</v>
      </c>
      <c r="AE10" s="206" t="s">
        <v>736</v>
      </c>
      <c r="AF10" s="206" t="s">
        <v>736</v>
      </c>
      <c r="AG10" s="206" t="s">
        <v>736</v>
      </c>
      <c r="AH10" s="206" t="s">
        <v>736</v>
      </c>
      <c r="AI10" s="206" t="s">
        <v>736</v>
      </c>
      <c r="AJ10" s="206" t="s">
        <v>736</v>
      </c>
      <c r="AK10" s="206" t="s">
        <v>736</v>
      </c>
      <c r="AL10" s="206" t="s">
        <v>736</v>
      </c>
      <c r="AM10" s="206" t="s">
        <v>734</v>
      </c>
      <c r="AN10" s="206" t="s">
        <v>734</v>
      </c>
      <c r="AO10" s="206" t="s">
        <v>734</v>
      </c>
      <c r="AP10" s="206" t="s">
        <v>734</v>
      </c>
      <c r="AQ10" s="206" t="s">
        <v>736</v>
      </c>
      <c r="AR10" s="206" t="s">
        <v>736</v>
      </c>
      <c r="AS10" s="234" t="s">
        <v>737</v>
      </c>
      <c r="AT10" s="234" t="s">
        <v>738</v>
      </c>
      <c r="AU10" s="234" t="s">
        <v>737</v>
      </c>
      <c r="AV10" s="234" t="s">
        <v>738</v>
      </c>
      <c r="AW10" s="205"/>
      <c r="AX10" s="206"/>
      <c r="AY10" s="234" t="s">
        <v>737</v>
      </c>
      <c r="AZ10" s="234" t="s">
        <v>738</v>
      </c>
      <c r="BA10" s="234" t="s">
        <v>737</v>
      </c>
      <c r="BB10" s="234" t="s">
        <v>738</v>
      </c>
      <c r="BC10" s="61"/>
      <c r="BD10" s="51"/>
      <c r="BE10" s="234" t="s">
        <v>737</v>
      </c>
      <c r="BF10" s="234" t="s">
        <v>738</v>
      </c>
      <c r="BG10" s="234" t="s">
        <v>737</v>
      </c>
      <c r="BH10" s="234" t="s">
        <v>738</v>
      </c>
      <c r="BI10" s="61"/>
      <c r="BJ10" s="51"/>
    </row>
    <row r="11" spans="1:62">
      <c r="A11" s="209">
        <v>45698</v>
      </c>
      <c r="B11" s="51">
        <v>9000</v>
      </c>
      <c r="C11" s="51">
        <v>6000</v>
      </c>
      <c r="D11" s="233"/>
      <c r="E11" s="51"/>
      <c r="F11" s="51"/>
      <c r="G11" s="215">
        <f>(B11+C11)/0.143</f>
        <v>104895.1048951049</v>
      </c>
      <c r="H11" s="51"/>
      <c r="I11" s="51"/>
      <c r="J11" s="51"/>
      <c r="K11" s="51"/>
      <c r="L11" s="51"/>
      <c r="M11" s="51"/>
      <c r="N11" s="51"/>
      <c r="O11" s="51">
        <f t="shared" ref="O11:O24" si="0">SUM(AC11:AX11)</f>
        <v>0</v>
      </c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>
        <f>AK11+K11</f>
        <v>0</v>
      </c>
      <c r="AR11" s="51">
        <f>AL11+L11</f>
        <v>0</v>
      </c>
      <c r="AS11" s="217"/>
      <c r="AT11" s="217"/>
      <c r="AU11" s="217"/>
      <c r="AV11" s="217"/>
      <c r="AW11" s="51">
        <f t="shared" ref="AW11:AW32" si="1">SUM(AS11:AV11)</f>
        <v>0</v>
      </c>
      <c r="AX11" s="51"/>
      <c r="AY11" s="217"/>
      <c r="AZ11" s="217"/>
      <c r="BA11" s="217"/>
      <c r="BB11" s="217"/>
      <c r="BC11" s="51">
        <f t="shared" ref="BC11:BC32" si="2">SUM(AY11:BB11)</f>
        <v>0</v>
      </c>
      <c r="BD11" s="51"/>
      <c r="BE11" s="217"/>
      <c r="BF11" s="217"/>
      <c r="BG11" s="217"/>
      <c r="BH11" s="217"/>
      <c r="BI11" s="51">
        <f t="shared" ref="BI11:BI32" si="3">SUM(BE11:BH11)</f>
        <v>0</v>
      </c>
      <c r="BJ11" s="51"/>
    </row>
    <row r="12" spans="1:62">
      <c r="A12" s="209">
        <v>45699</v>
      </c>
      <c r="B12" s="51"/>
      <c r="C12" s="51"/>
      <c r="D12" s="233"/>
      <c r="E12" s="51"/>
      <c r="F12" s="51"/>
      <c r="G12" s="215">
        <f t="shared" ref="G12:G75" si="4">(B12+C12)/0.143</f>
        <v>0</v>
      </c>
      <c r="H12" s="51"/>
      <c r="I12" s="51"/>
      <c r="J12" s="51"/>
      <c r="K12" s="51"/>
      <c r="L12" s="51"/>
      <c r="M12" s="51"/>
      <c r="N12" s="51"/>
      <c r="O12" s="51">
        <f t="shared" si="0"/>
        <v>0</v>
      </c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>
        <f t="shared" ref="AQ12:AQ75" si="5">AK12+K12</f>
        <v>0</v>
      </c>
      <c r="AR12" s="51">
        <f>AR11+AQ12-AU12</f>
        <v>0</v>
      </c>
      <c r="AS12" s="217"/>
      <c r="AT12" s="217"/>
      <c r="AU12" s="217"/>
      <c r="AV12" s="217"/>
      <c r="AW12" s="51">
        <f t="shared" si="1"/>
        <v>0</v>
      </c>
      <c r="AX12" s="51"/>
      <c r="AY12" s="217"/>
      <c r="AZ12" s="217"/>
      <c r="BA12" s="217"/>
      <c r="BB12" s="217"/>
      <c r="BC12" s="51">
        <f t="shared" si="2"/>
        <v>0</v>
      </c>
      <c r="BD12" s="51"/>
      <c r="BE12" s="217"/>
      <c r="BF12" s="217"/>
      <c r="BG12" s="217"/>
      <c r="BH12" s="217"/>
      <c r="BI12" s="51">
        <f t="shared" si="3"/>
        <v>0</v>
      </c>
      <c r="BJ12" s="51"/>
    </row>
    <row r="13" spans="1:62">
      <c r="A13" s="209">
        <v>45700</v>
      </c>
      <c r="B13" s="51"/>
      <c r="C13" s="51"/>
      <c r="D13" s="233"/>
      <c r="E13" s="51">
        <v>9000</v>
      </c>
      <c r="F13" s="51">
        <v>9000</v>
      </c>
      <c r="G13" s="215">
        <f t="shared" si="4"/>
        <v>0</v>
      </c>
      <c r="H13" s="51"/>
      <c r="I13" s="51"/>
      <c r="J13" s="51"/>
      <c r="K13" s="51"/>
      <c r="L13" s="51"/>
      <c r="M13" s="51"/>
      <c r="N13" s="51"/>
      <c r="O13" s="51">
        <f t="shared" si="0"/>
        <v>0</v>
      </c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>
        <f t="shared" si="5"/>
        <v>0</v>
      </c>
      <c r="AR13" s="51">
        <f t="shared" ref="AR13:AR25" si="6">AR12+AQ13-AU13</f>
        <v>0</v>
      </c>
      <c r="AS13" s="217"/>
      <c r="AT13" s="217"/>
      <c r="AU13" s="217"/>
      <c r="AV13" s="217"/>
      <c r="AW13" s="51">
        <f t="shared" si="1"/>
        <v>0</v>
      </c>
      <c r="AX13" s="51"/>
      <c r="AY13" s="217"/>
      <c r="AZ13" s="217"/>
      <c r="BA13" s="217"/>
      <c r="BB13" s="217"/>
      <c r="BC13" s="51">
        <f t="shared" si="2"/>
        <v>0</v>
      </c>
      <c r="BD13" s="51"/>
      <c r="BE13" s="217"/>
      <c r="BF13" s="217"/>
      <c r="BG13" s="217"/>
      <c r="BH13" s="217"/>
      <c r="BI13" s="51">
        <f t="shared" si="3"/>
        <v>0</v>
      </c>
      <c r="BJ13" s="51"/>
    </row>
    <row r="14" spans="1:62">
      <c r="A14" s="209">
        <v>45701</v>
      </c>
      <c r="B14" s="51"/>
      <c r="C14" s="51"/>
      <c r="D14" s="233"/>
      <c r="E14" s="51"/>
      <c r="F14" s="51"/>
      <c r="G14" s="215">
        <f t="shared" si="4"/>
        <v>0</v>
      </c>
      <c r="H14" s="51"/>
      <c r="I14" s="51"/>
      <c r="J14" s="51"/>
      <c r="K14" s="51"/>
      <c r="L14" s="51"/>
      <c r="M14" s="51"/>
      <c r="N14" s="51"/>
      <c r="O14" s="51">
        <f t="shared" si="0"/>
        <v>0</v>
      </c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>
        <f t="shared" si="5"/>
        <v>0</v>
      </c>
      <c r="AR14" s="51">
        <f t="shared" si="6"/>
        <v>0</v>
      </c>
      <c r="AS14" s="217"/>
      <c r="AT14" s="217"/>
      <c r="AU14" s="217"/>
      <c r="AV14" s="217"/>
      <c r="AW14" s="51">
        <f t="shared" si="1"/>
        <v>0</v>
      </c>
      <c r="AX14" s="51"/>
      <c r="AY14" s="217"/>
      <c r="AZ14" s="217"/>
      <c r="BA14" s="217"/>
      <c r="BB14" s="217"/>
      <c r="BC14" s="51">
        <f t="shared" si="2"/>
        <v>0</v>
      </c>
      <c r="BD14" s="51"/>
      <c r="BE14" s="217"/>
      <c r="BF14" s="217"/>
      <c r="BG14" s="217"/>
      <c r="BH14" s="217"/>
      <c r="BI14" s="51">
        <f t="shared" si="3"/>
        <v>0</v>
      </c>
      <c r="BJ14" s="51"/>
    </row>
    <row r="15" spans="1:62">
      <c r="A15" s="209">
        <v>45702</v>
      </c>
      <c r="B15" s="51"/>
      <c r="C15" s="51"/>
      <c r="D15" s="233"/>
      <c r="E15" s="51"/>
      <c r="F15" s="51"/>
      <c r="G15" s="215">
        <f t="shared" si="4"/>
        <v>0</v>
      </c>
      <c r="H15" s="51"/>
      <c r="I15" s="51"/>
      <c r="J15" s="51"/>
      <c r="K15" s="51"/>
      <c r="L15" s="51"/>
      <c r="M15" s="51"/>
      <c r="N15" s="51"/>
      <c r="O15" s="51">
        <f t="shared" si="0"/>
        <v>0</v>
      </c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>
        <f t="shared" si="5"/>
        <v>0</v>
      </c>
      <c r="AR15" s="51">
        <f t="shared" si="6"/>
        <v>0</v>
      </c>
      <c r="AS15" s="217"/>
      <c r="AT15" s="217"/>
      <c r="AU15" s="217"/>
      <c r="AV15" s="217"/>
      <c r="AW15" s="51">
        <f t="shared" si="1"/>
        <v>0</v>
      </c>
      <c r="AX15" s="51"/>
      <c r="AY15" s="217"/>
      <c r="AZ15" s="217"/>
      <c r="BA15" s="217"/>
      <c r="BB15" s="217"/>
      <c r="BC15" s="51">
        <f t="shared" si="2"/>
        <v>0</v>
      </c>
      <c r="BD15" s="51"/>
      <c r="BE15" s="217"/>
      <c r="BF15" s="217"/>
      <c r="BG15" s="217"/>
      <c r="BH15" s="217"/>
      <c r="BI15" s="51">
        <f t="shared" si="3"/>
        <v>0</v>
      </c>
      <c r="BJ15" s="51"/>
    </row>
    <row r="16" spans="1:62">
      <c r="A16" s="209">
        <v>45703</v>
      </c>
      <c r="B16" s="51"/>
      <c r="C16" s="51"/>
      <c r="D16" s="233"/>
      <c r="E16" s="51"/>
      <c r="F16" s="51"/>
      <c r="G16" s="215">
        <f t="shared" si="4"/>
        <v>0</v>
      </c>
      <c r="H16" s="51"/>
      <c r="I16" s="51"/>
      <c r="J16" s="51"/>
      <c r="K16" s="51"/>
      <c r="L16" s="51"/>
      <c r="M16" s="51"/>
      <c r="N16" s="51"/>
      <c r="O16" s="51">
        <f t="shared" si="0"/>
        <v>0</v>
      </c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>
        <f t="shared" si="5"/>
        <v>0</v>
      </c>
      <c r="AR16" s="51">
        <f t="shared" si="6"/>
        <v>0</v>
      </c>
      <c r="AS16" s="217"/>
      <c r="AT16" s="217"/>
      <c r="AU16" s="217"/>
      <c r="AV16" s="217"/>
      <c r="AW16" s="51">
        <f t="shared" si="1"/>
        <v>0</v>
      </c>
      <c r="AX16" s="51"/>
      <c r="AY16" s="217"/>
      <c r="AZ16" s="217"/>
      <c r="BA16" s="217"/>
      <c r="BB16" s="217"/>
      <c r="BC16" s="51">
        <f t="shared" si="2"/>
        <v>0</v>
      </c>
      <c r="BD16" s="51"/>
      <c r="BE16" s="217"/>
      <c r="BF16" s="217"/>
      <c r="BG16" s="217"/>
      <c r="BH16" s="217"/>
      <c r="BI16" s="51">
        <f t="shared" si="3"/>
        <v>0</v>
      </c>
      <c r="BJ16" s="51"/>
    </row>
    <row r="17" spans="1:62">
      <c r="A17" s="209">
        <v>45704</v>
      </c>
      <c r="B17" s="51"/>
      <c r="C17" s="51"/>
      <c r="D17" s="233"/>
      <c r="E17" s="51"/>
      <c r="F17" s="51"/>
      <c r="G17" s="215">
        <f t="shared" si="4"/>
        <v>0</v>
      </c>
      <c r="H17" s="51"/>
      <c r="I17" s="51"/>
      <c r="J17" s="51"/>
      <c r="K17" s="51"/>
      <c r="L17" s="51"/>
      <c r="M17" s="51"/>
      <c r="N17" s="51"/>
      <c r="O17" s="51">
        <f t="shared" si="0"/>
        <v>0</v>
      </c>
      <c r="P17" s="51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51"/>
      <c r="AL17" s="51"/>
      <c r="AM17" s="51"/>
      <c r="AN17" s="51"/>
      <c r="AO17" s="51"/>
      <c r="AP17" s="51"/>
      <c r="AQ17" s="51">
        <f t="shared" si="5"/>
        <v>0</v>
      </c>
      <c r="AR17" s="51">
        <f t="shared" si="6"/>
        <v>0</v>
      </c>
      <c r="AS17" s="217"/>
      <c r="AT17" s="217"/>
      <c r="AU17" s="217"/>
      <c r="AV17" s="217"/>
      <c r="AW17" s="51">
        <f t="shared" si="1"/>
        <v>0</v>
      </c>
      <c r="AX17" s="51"/>
      <c r="AY17" s="217"/>
      <c r="AZ17" s="217"/>
      <c r="BA17" s="217"/>
      <c r="BB17" s="217"/>
      <c r="BC17" s="51">
        <f t="shared" si="2"/>
        <v>0</v>
      </c>
      <c r="BD17" s="51"/>
      <c r="BE17" s="217"/>
      <c r="BF17" s="217"/>
      <c r="BG17" s="217"/>
      <c r="BH17" s="217"/>
      <c r="BI17" s="51">
        <f t="shared" si="3"/>
        <v>0</v>
      </c>
      <c r="BJ17" s="51"/>
    </row>
    <row r="18" spans="1:62">
      <c r="A18" s="209">
        <v>45705</v>
      </c>
      <c r="B18" s="51"/>
      <c r="C18" s="51">
        <v>6000</v>
      </c>
      <c r="D18" s="233"/>
      <c r="E18" s="51"/>
      <c r="F18" s="51"/>
      <c r="G18" s="215">
        <f t="shared" si="4"/>
        <v>41958.041958041962</v>
      </c>
      <c r="H18" s="51"/>
      <c r="I18" s="51"/>
      <c r="J18" s="51"/>
      <c r="K18" s="51"/>
      <c r="L18" s="51"/>
      <c r="M18" s="51"/>
      <c r="N18" s="51"/>
      <c r="O18" s="51">
        <f t="shared" si="0"/>
        <v>0</v>
      </c>
      <c r="P18" s="51"/>
      <c r="Q18" s="217"/>
      <c r="R18" s="217"/>
      <c r="S18" s="217"/>
      <c r="T18" s="217"/>
      <c r="U18" s="217"/>
      <c r="V18" s="217"/>
      <c r="W18" s="217"/>
      <c r="X18" s="217"/>
      <c r="Y18" s="217"/>
      <c r="Z18" s="217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51"/>
      <c r="AL18" s="51"/>
      <c r="AM18" s="51"/>
      <c r="AN18" s="51"/>
      <c r="AO18" s="51"/>
      <c r="AP18" s="51"/>
      <c r="AQ18" s="51">
        <f t="shared" si="5"/>
        <v>0</v>
      </c>
      <c r="AR18" s="51">
        <f t="shared" si="6"/>
        <v>0</v>
      </c>
      <c r="AS18" s="217"/>
      <c r="AT18" s="217"/>
      <c r="AU18" s="217"/>
      <c r="AV18" s="217"/>
      <c r="AW18" s="51">
        <f t="shared" si="1"/>
        <v>0</v>
      </c>
      <c r="AX18" s="51"/>
      <c r="AY18" s="217"/>
      <c r="AZ18" s="217"/>
      <c r="BA18" s="217"/>
      <c r="BB18" s="217"/>
      <c r="BC18" s="51">
        <f t="shared" si="2"/>
        <v>0</v>
      </c>
      <c r="BD18" s="51"/>
      <c r="BE18" s="217"/>
      <c r="BF18" s="217"/>
      <c r="BG18" s="217"/>
      <c r="BH18" s="217"/>
      <c r="BI18" s="51">
        <f t="shared" si="3"/>
        <v>0</v>
      </c>
      <c r="BJ18" s="51"/>
    </row>
    <row r="19" spans="1:62">
      <c r="A19" s="209">
        <v>45706</v>
      </c>
      <c r="B19" s="51"/>
      <c r="C19" s="51"/>
      <c r="D19" s="233"/>
      <c r="E19" s="51"/>
      <c r="F19" s="51"/>
      <c r="G19" s="215">
        <f t="shared" si="4"/>
        <v>0</v>
      </c>
      <c r="H19" s="51"/>
      <c r="I19" s="51"/>
      <c r="J19" s="51"/>
      <c r="K19" s="51"/>
      <c r="L19" s="51"/>
      <c r="M19" s="51"/>
      <c r="N19" s="51"/>
      <c r="O19" s="51">
        <f t="shared" si="0"/>
        <v>0</v>
      </c>
      <c r="P19" s="51"/>
      <c r="Q19" s="217"/>
      <c r="R19" s="217"/>
      <c r="S19" s="217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51"/>
      <c r="AL19" s="51"/>
      <c r="AM19" s="51"/>
      <c r="AN19" s="51"/>
      <c r="AO19" s="51"/>
      <c r="AP19" s="51"/>
      <c r="AQ19" s="51">
        <f t="shared" si="5"/>
        <v>0</v>
      </c>
      <c r="AR19" s="51">
        <f t="shared" si="6"/>
        <v>0</v>
      </c>
      <c r="AS19" s="217"/>
      <c r="AT19" s="217"/>
      <c r="AU19" s="217"/>
      <c r="AV19" s="217"/>
      <c r="AW19" s="51">
        <f t="shared" si="1"/>
        <v>0</v>
      </c>
      <c r="AX19" s="51"/>
      <c r="AY19" s="217"/>
      <c r="AZ19" s="217"/>
      <c r="BA19" s="217"/>
      <c r="BB19" s="217"/>
      <c r="BC19" s="51">
        <f t="shared" si="2"/>
        <v>0</v>
      </c>
      <c r="BD19" s="51"/>
      <c r="BE19" s="217"/>
      <c r="BF19" s="217"/>
      <c r="BG19" s="217"/>
      <c r="BH19" s="217"/>
      <c r="BI19" s="51">
        <f t="shared" si="3"/>
        <v>0</v>
      </c>
      <c r="BJ19" s="51"/>
    </row>
    <row r="20" spans="1:62">
      <c r="A20" s="209">
        <v>45707</v>
      </c>
      <c r="B20" s="51"/>
      <c r="C20" s="51"/>
      <c r="D20" s="233"/>
      <c r="E20" s="51">
        <v>9000</v>
      </c>
      <c r="F20" s="51"/>
      <c r="G20" s="215">
        <f t="shared" si="4"/>
        <v>0</v>
      </c>
      <c r="H20" s="51"/>
      <c r="I20" s="51"/>
      <c r="J20" s="51"/>
      <c r="K20" s="51"/>
      <c r="L20" s="51"/>
      <c r="M20" s="51"/>
      <c r="N20" s="51"/>
      <c r="O20" s="51">
        <f t="shared" si="0"/>
        <v>0</v>
      </c>
      <c r="P20" s="51"/>
      <c r="Q20" s="217"/>
      <c r="R20" s="217"/>
      <c r="S20" s="217"/>
      <c r="T20" s="217"/>
      <c r="U20" s="217"/>
      <c r="V20" s="217"/>
      <c r="W20" s="217"/>
      <c r="X20" s="217"/>
      <c r="Y20" s="217"/>
      <c r="Z20" s="217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51"/>
      <c r="AL20" s="51"/>
      <c r="AM20" s="51"/>
      <c r="AN20" s="51"/>
      <c r="AO20" s="51"/>
      <c r="AP20" s="51"/>
      <c r="AQ20" s="51">
        <f t="shared" si="5"/>
        <v>0</v>
      </c>
      <c r="AR20" s="51">
        <f t="shared" si="6"/>
        <v>0</v>
      </c>
      <c r="AS20" s="217"/>
      <c r="AT20" s="217"/>
      <c r="AU20" s="217"/>
      <c r="AV20" s="217"/>
      <c r="AW20" s="51">
        <f t="shared" si="1"/>
        <v>0</v>
      </c>
      <c r="AX20" s="51"/>
      <c r="AY20" s="217"/>
      <c r="AZ20" s="217"/>
      <c r="BA20" s="217"/>
      <c r="BB20" s="217"/>
      <c r="BC20" s="51">
        <f t="shared" si="2"/>
        <v>0</v>
      </c>
      <c r="BD20" s="51"/>
      <c r="BE20" s="217"/>
      <c r="BF20" s="217"/>
      <c r="BG20" s="217"/>
      <c r="BH20" s="217"/>
      <c r="BI20" s="51">
        <f t="shared" si="3"/>
        <v>0</v>
      </c>
      <c r="BJ20" s="51"/>
    </row>
    <row r="21" spans="1:62">
      <c r="A21" s="209">
        <v>45708</v>
      </c>
      <c r="B21" s="51">
        <v>9000</v>
      </c>
      <c r="C21" s="51"/>
      <c r="D21" s="233"/>
      <c r="E21" s="51"/>
      <c r="F21" s="51"/>
      <c r="G21" s="215">
        <f t="shared" si="4"/>
        <v>62937.062937062939</v>
      </c>
      <c r="H21" s="51"/>
      <c r="I21" s="51"/>
      <c r="J21" s="51"/>
      <c r="K21" s="51"/>
      <c r="L21" s="51"/>
      <c r="M21" s="51"/>
      <c r="N21" s="51"/>
      <c r="O21" s="51">
        <f t="shared" si="0"/>
        <v>0</v>
      </c>
      <c r="P21" s="51"/>
      <c r="Q21" s="217"/>
      <c r="R21" s="217"/>
      <c r="S21" s="217"/>
      <c r="T21" s="217"/>
      <c r="U21" s="217"/>
      <c r="V21" s="217"/>
      <c r="W21" s="217"/>
      <c r="X21" s="217"/>
      <c r="Y21" s="217"/>
      <c r="Z21" s="217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51"/>
      <c r="AL21" s="51"/>
      <c r="AM21" s="51"/>
      <c r="AN21" s="51"/>
      <c r="AO21" s="51"/>
      <c r="AP21" s="51"/>
      <c r="AQ21" s="51">
        <f t="shared" si="5"/>
        <v>0</v>
      </c>
      <c r="AR21" s="51">
        <f t="shared" si="6"/>
        <v>0</v>
      </c>
      <c r="AS21" s="217"/>
      <c r="AT21" s="217"/>
      <c r="AU21" s="217"/>
      <c r="AV21" s="217"/>
      <c r="AW21" s="51">
        <f t="shared" si="1"/>
        <v>0</v>
      </c>
      <c r="AX21" s="51"/>
      <c r="AY21" s="217"/>
      <c r="AZ21" s="217"/>
      <c r="BA21" s="217"/>
      <c r="BB21" s="217"/>
      <c r="BC21" s="51">
        <f t="shared" si="2"/>
        <v>0</v>
      </c>
      <c r="BD21" s="51"/>
      <c r="BE21" s="217"/>
      <c r="BF21" s="217"/>
      <c r="BG21" s="217"/>
      <c r="BH21" s="217"/>
      <c r="BI21" s="51">
        <f t="shared" si="3"/>
        <v>0</v>
      </c>
      <c r="BJ21" s="51"/>
    </row>
    <row r="22" spans="1:62">
      <c r="A22" s="209">
        <v>45709</v>
      </c>
      <c r="B22" s="51"/>
      <c r="C22" s="51"/>
      <c r="D22" s="233"/>
      <c r="E22" s="51"/>
      <c r="F22" s="51"/>
      <c r="G22" s="215">
        <f t="shared" si="4"/>
        <v>0</v>
      </c>
      <c r="H22" s="51"/>
      <c r="I22" s="51"/>
      <c r="J22" s="51"/>
      <c r="K22" s="51"/>
      <c r="L22" s="51"/>
      <c r="M22" s="51"/>
      <c r="N22" s="51"/>
      <c r="O22" s="51">
        <f t="shared" si="0"/>
        <v>0</v>
      </c>
      <c r="P22" s="51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51"/>
      <c r="AL22" s="51"/>
      <c r="AM22" s="51"/>
      <c r="AN22" s="51"/>
      <c r="AO22" s="51"/>
      <c r="AP22" s="51"/>
      <c r="AQ22" s="51">
        <f t="shared" si="5"/>
        <v>0</v>
      </c>
      <c r="AR22" s="51">
        <f t="shared" si="6"/>
        <v>0</v>
      </c>
      <c r="AS22" s="217"/>
      <c r="AT22" s="217"/>
      <c r="AU22" s="217"/>
      <c r="AV22" s="217"/>
      <c r="AW22" s="51">
        <f t="shared" si="1"/>
        <v>0</v>
      </c>
      <c r="AX22" s="51"/>
      <c r="AY22" s="217"/>
      <c r="AZ22" s="217"/>
      <c r="BA22" s="217"/>
      <c r="BB22" s="217"/>
      <c r="BC22" s="51">
        <f t="shared" si="2"/>
        <v>0</v>
      </c>
      <c r="BD22" s="51"/>
      <c r="BE22" s="217"/>
      <c r="BF22" s="217"/>
      <c r="BG22" s="217"/>
      <c r="BH22" s="217"/>
      <c r="BI22" s="51">
        <f t="shared" si="3"/>
        <v>0</v>
      </c>
      <c r="BJ22" s="51"/>
    </row>
    <row r="23" spans="1:62">
      <c r="A23" s="209">
        <v>45710</v>
      </c>
      <c r="B23" s="51"/>
      <c r="C23" s="51"/>
      <c r="D23" s="233"/>
      <c r="E23" s="51"/>
      <c r="F23" s="51"/>
      <c r="G23" s="215">
        <f t="shared" si="4"/>
        <v>0</v>
      </c>
      <c r="H23" s="51"/>
      <c r="I23" s="51"/>
      <c r="J23" s="51"/>
      <c r="K23" s="51"/>
      <c r="L23" s="51"/>
      <c r="M23" s="51"/>
      <c r="N23" s="51"/>
      <c r="O23" s="51">
        <f t="shared" si="0"/>
        <v>0</v>
      </c>
      <c r="P23" s="51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51"/>
      <c r="AL23" s="51"/>
      <c r="AM23" s="51"/>
      <c r="AN23" s="51"/>
      <c r="AO23" s="51"/>
      <c r="AP23" s="51"/>
      <c r="AQ23" s="51">
        <f t="shared" si="5"/>
        <v>0</v>
      </c>
      <c r="AR23" s="51">
        <f t="shared" si="6"/>
        <v>0</v>
      </c>
      <c r="AS23" s="217"/>
      <c r="AT23" s="217"/>
      <c r="AU23" s="217"/>
      <c r="AV23" s="217"/>
      <c r="AW23" s="51">
        <f t="shared" si="1"/>
        <v>0</v>
      </c>
      <c r="AX23" s="51"/>
      <c r="AY23" s="217"/>
      <c r="AZ23" s="217"/>
      <c r="BA23" s="217"/>
      <c r="BB23" s="217"/>
      <c r="BC23" s="51">
        <f t="shared" si="2"/>
        <v>0</v>
      </c>
      <c r="BD23" s="51"/>
      <c r="BE23" s="217"/>
      <c r="BF23" s="217"/>
      <c r="BG23" s="217"/>
      <c r="BH23" s="217"/>
      <c r="BI23" s="51">
        <f t="shared" si="3"/>
        <v>0</v>
      </c>
      <c r="BJ23" s="51"/>
    </row>
    <row r="24" spans="1:62">
      <c r="A24" s="209">
        <v>45711</v>
      </c>
      <c r="B24" s="51"/>
      <c r="C24" s="51"/>
      <c r="D24" s="233"/>
      <c r="E24" s="51"/>
      <c r="F24" s="51"/>
      <c r="G24" s="215">
        <f t="shared" si="4"/>
        <v>0</v>
      </c>
      <c r="H24" s="51"/>
      <c r="I24" s="51"/>
      <c r="J24" s="51"/>
      <c r="K24" s="51"/>
      <c r="L24" s="51"/>
      <c r="M24" s="51"/>
      <c r="N24" s="51"/>
      <c r="O24" s="217">
        <f t="shared" si="0"/>
        <v>0</v>
      </c>
      <c r="P24" s="51"/>
      <c r="Q24" s="217"/>
      <c r="R24" s="217"/>
      <c r="S24" s="217"/>
      <c r="T24" s="217"/>
      <c r="U24" s="217"/>
      <c r="V24" s="217"/>
      <c r="W24" s="217"/>
      <c r="X24" s="217"/>
      <c r="Y24" s="217"/>
      <c r="Z24" s="217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7"/>
      <c r="AL24" s="51"/>
      <c r="AM24" s="51"/>
      <c r="AN24" s="51"/>
      <c r="AO24" s="217"/>
      <c r="AP24" s="51"/>
      <c r="AQ24" s="51">
        <f t="shared" si="5"/>
        <v>0</v>
      </c>
      <c r="AR24" s="51">
        <f t="shared" si="6"/>
        <v>0</v>
      </c>
      <c r="AS24" s="217"/>
      <c r="AT24" s="217"/>
      <c r="AU24" s="217"/>
      <c r="AV24" s="217"/>
      <c r="AW24" s="51">
        <f t="shared" si="1"/>
        <v>0</v>
      </c>
      <c r="AX24" s="51"/>
      <c r="AY24" s="217"/>
      <c r="AZ24" s="217"/>
      <c r="BA24" s="217"/>
      <c r="BB24" s="217"/>
      <c r="BC24" s="51">
        <f t="shared" si="2"/>
        <v>0</v>
      </c>
      <c r="BD24" s="51"/>
      <c r="BE24" s="217"/>
      <c r="BF24" s="217"/>
      <c r="BG24" s="217"/>
      <c r="BH24" s="217"/>
      <c r="BI24" s="51">
        <f t="shared" si="3"/>
        <v>0</v>
      </c>
      <c r="BJ24" s="51"/>
    </row>
    <row r="25" spans="1:62">
      <c r="A25" s="209">
        <v>45712</v>
      </c>
      <c r="B25" s="51"/>
      <c r="C25" s="51">
        <v>6000</v>
      </c>
      <c r="D25" s="233"/>
      <c r="E25" s="51"/>
      <c r="F25" s="51">
        <v>9000</v>
      </c>
      <c r="G25" s="215">
        <f t="shared" si="4"/>
        <v>41958.041958041962</v>
      </c>
      <c r="H25" s="51"/>
      <c r="I25" s="213">
        <v>200</v>
      </c>
      <c r="J25" s="51"/>
      <c r="K25" s="217">
        <f>I25+J25</f>
        <v>200</v>
      </c>
      <c r="L25" s="217">
        <f>K25</f>
        <v>200</v>
      </c>
      <c r="M25" s="217"/>
      <c r="N25" s="217"/>
      <c r="O25" s="217">
        <f>SUM(M25:N25)</f>
        <v>0</v>
      </c>
      <c r="P25" s="217">
        <f>O25-AY25-BA25</f>
        <v>0</v>
      </c>
      <c r="Q25" s="217"/>
      <c r="R25" s="217"/>
      <c r="S25" s="217"/>
      <c r="T25" s="217"/>
      <c r="U25" s="217"/>
      <c r="V25" s="217"/>
      <c r="W25" s="217"/>
      <c r="X25" s="217"/>
      <c r="Y25" s="217"/>
      <c r="Z25" s="217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7"/>
      <c r="AL25" s="217"/>
      <c r="AM25" s="213">
        <v>200</v>
      </c>
      <c r="AN25" s="51"/>
      <c r="AO25" s="217">
        <f>AM25+AN25</f>
        <v>200</v>
      </c>
      <c r="AP25" s="217">
        <v>200</v>
      </c>
      <c r="AQ25" s="51">
        <f t="shared" si="5"/>
        <v>200</v>
      </c>
      <c r="AR25" s="51">
        <f t="shared" si="6"/>
        <v>200</v>
      </c>
      <c r="AS25" s="217"/>
      <c r="AT25" s="217"/>
      <c r="AU25" s="217"/>
      <c r="AV25" s="217"/>
      <c r="AW25" s="51">
        <f t="shared" si="1"/>
        <v>0</v>
      </c>
      <c r="AX25" s="51"/>
      <c r="AY25" s="217"/>
      <c r="AZ25" s="217"/>
      <c r="BA25" s="217"/>
      <c r="BB25" s="217"/>
      <c r="BC25" s="51">
        <f t="shared" si="2"/>
        <v>0</v>
      </c>
      <c r="BD25" s="51"/>
      <c r="BE25" s="217"/>
      <c r="BF25" s="217"/>
      <c r="BG25" s="217"/>
      <c r="BH25" s="217"/>
      <c r="BI25" s="51">
        <f t="shared" si="3"/>
        <v>0</v>
      </c>
      <c r="BJ25" s="51"/>
    </row>
    <row r="26" spans="1:62">
      <c r="A26" s="209">
        <v>45713</v>
      </c>
      <c r="B26" s="51"/>
      <c r="C26" s="51"/>
      <c r="D26" s="233"/>
      <c r="E26" s="51"/>
      <c r="F26" s="51"/>
      <c r="G26" s="215">
        <f t="shared" si="4"/>
        <v>0</v>
      </c>
      <c r="H26" s="51"/>
      <c r="I26" s="51">
        <v>450</v>
      </c>
      <c r="J26" s="213">
        <v>200</v>
      </c>
      <c r="K26" s="217">
        <f t="shared" ref="K26:K89" si="7">I26+J26</f>
        <v>650</v>
      </c>
      <c r="L26" s="217">
        <f>L25+K26</f>
        <v>850</v>
      </c>
      <c r="M26" s="217"/>
      <c r="N26" s="217"/>
      <c r="O26" s="217">
        <f>SUM(M26:N26)</f>
        <v>0</v>
      </c>
      <c r="P26" s="217">
        <f>P25+O26-AY26-BA26</f>
        <v>0</v>
      </c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217"/>
      <c r="AL26" s="217"/>
      <c r="AM26" s="51">
        <v>450</v>
      </c>
      <c r="AN26" s="213">
        <v>200</v>
      </c>
      <c r="AO26" s="217">
        <f t="shared" ref="AO26:AO89" si="8">AM26+AN26</f>
        <v>650</v>
      </c>
      <c r="AP26" s="217">
        <f>AP25+AO26-AY26-BA26</f>
        <v>850</v>
      </c>
      <c r="AQ26" s="51">
        <f t="shared" si="5"/>
        <v>650</v>
      </c>
      <c r="AR26" s="51">
        <f>AR25+AQ26-AU26-AS26</f>
        <v>850</v>
      </c>
      <c r="AS26" s="217"/>
      <c r="AT26" s="217"/>
      <c r="AU26" s="217"/>
      <c r="AV26" s="217"/>
      <c r="AW26" s="51">
        <f t="shared" si="1"/>
        <v>0</v>
      </c>
      <c r="AX26" s="51"/>
      <c r="AY26" s="217"/>
      <c r="AZ26" s="217"/>
      <c r="BA26" s="217"/>
      <c r="BB26" s="217"/>
      <c r="BC26" s="51">
        <f t="shared" si="2"/>
        <v>0</v>
      </c>
      <c r="BD26" s="51"/>
      <c r="BE26" s="217"/>
      <c r="BF26" s="217"/>
      <c r="BG26" s="217"/>
      <c r="BH26" s="217"/>
      <c r="BI26" s="51">
        <f t="shared" si="3"/>
        <v>0</v>
      </c>
      <c r="BJ26" s="51"/>
    </row>
    <row r="27" spans="1:62">
      <c r="A27" s="209">
        <v>45714</v>
      </c>
      <c r="B27" s="51"/>
      <c r="C27" s="51"/>
      <c r="D27" s="233"/>
      <c r="E27" s="51">
        <v>9000</v>
      </c>
      <c r="F27" s="51"/>
      <c r="G27" s="215">
        <f t="shared" si="4"/>
        <v>0</v>
      </c>
      <c r="H27" s="51"/>
      <c r="I27" s="51">
        <v>450</v>
      </c>
      <c r="J27" s="51">
        <v>450</v>
      </c>
      <c r="K27" s="217">
        <f t="shared" si="7"/>
        <v>900</v>
      </c>
      <c r="L27" s="217">
        <f t="shared" ref="L27:L90" si="9">L26+K27</f>
        <v>1750</v>
      </c>
      <c r="M27" s="213">
        <v>200</v>
      </c>
      <c r="N27" s="217"/>
      <c r="O27" s="217">
        <f>M27+N27</f>
        <v>200</v>
      </c>
      <c r="P27" s="217">
        <v>200</v>
      </c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217"/>
      <c r="AL27" s="217"/>
      <c r="AM27" s="51">
        <v>450</v>
      </c>
      <c r="AN27" s="51">
        <v>450</v>
      </c>
      <c r="AO27" s="217">
        <f t="shared" si="8"/>
        <v>900</v>
      </c>
      <c r="AP27" s="217">
        <f t="shared" ref="AP27:AP90" si="10">AP26+AO27-AY27-BA27</f>
        <v>1750</v>
      </c>
      <c r="AQ27" s="51">
        <f t="shared" si="5"/>
        <v>900</v>
      </c>
      <c r="AR27" s="51">
        <f t="shared" ref="AR27:AR90" si="11">AR26+AQ27-AU27-AS27</f>
        <v>1750</v>
      </c>
      <c r="AS27" s="217"/>
      <c r="AT27" s="217"/>
      <c r="AU27" s="217"/>
      <c r="AV27" s="217"/>
      <c r="AW27" s="51">
        <f t="shared" si="1"/>
        <v>0</v>
      </c>
      <c r="AX27" s="51"/>
      <c r="AY27" s="217"/>
      <c r="AZ27" s="217"/>
      <c r="BA27" s="217"/>
      <c r="BB27" s="217"/>
      <c r="BC27" s="51">
        <f t="shared" si="2"/>
        <v>0</v>
      </c>
      <c r="BD27" s="51"/>
      <c r="BE27" s="217"/>
      <c r="BF27" s="217"/>
      <c r="BG27" s="217"/>
      <c r="BH27" s="217"/>
      <c r="BI27" s="51">
        <f t="shared" si="3"/>
        <v>0</v>
      </c>
      <c r="BJ27" s="51"/>
    </row>
    <row r="28" spans="1:62">
      <c r="A28" s="209">
        <v>45715</v>
      </c>
      <c r="B28" s="51"/>
      <c r="C28" s="51"/>
      <c r="D28" s="233"/>
      <c r="E28" s="51"/>
      <c r="F28" s="51"/>
      <c r="G28" s="215">
        <f t="shared" si="4"/>
        <v>0</v>
      </c>
      <c r="H28" s="51"/>
      <c r="I28" s="51">
        <v>450</v>
      </c>
      <c r="J28" s="51">
        <v>450</v>
      </c>
      <c r="K28" s="217">
        <f t="shared" si="7"/>
        <v>900</v>
      </c>
      <c r="L28" s="217">
        <f t="shared" si="9"/>
        <v>2650</v>
      </c>
      <c r="M28" s="51">
        <v>450</v>
      </c>
      <c r="N28" s="213">
        <v>200</v>
      </c>
      <c r="O28" s="217">
        <f t="shared" ref="O28:O91" si="12">M28+N28</f>
        <v>650</v>
      </c>
      <c r="P28" s="217">
        <f>P27+O28-BE28-BG28</f>
        <v>850</v>
      </c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217"/>
      <c r="AL28" s="217"/>
      <c r="AM28" s="51">
        <v>450</v>
      </c>
      <c r="AN28" s="51">
        <v>450</v>
      </c>
      <c r="AO28" s="217">
        <f t="shared" si="8"/>
        <v>900</v>
      </c>
      <c r="AP28" s="217">
        <f t="shared" si="10"/>
        <v>2650</v>
      </c>
      <c r="AQ28" s="51">
        <f t="shared" si="5"/>
        <v>900</v>
      </c>
      <c r="AR28" s="51">
        <f t="shared" si="11"/>
        <v>2650</v>
      </c>
      <c r="AS28" s="217"/>
      <c r="AT28" s="217"/>
      <c r="AU28" s="217"/>
      <c r="AV28" s="217"/>
      <c r="AW28" s="51">
        <f t="shared" si="1"/>
        <v>0</v>
      </c>
      <c r="AX28" s="51"/>
      <c r="AY28" s="217"/>
      <c r="AZ28" s="217"/>
      <c r="BA28" s="217"/>
      <c r="BB28" s="217"/>
      <c r="BC28" s="51">
        <f t="shared" si="2"/>
        <v>0</v>
      </c>
      <c r="BD28" s="51"/>
      <c r="BE28" s="217"/>
      <c r="BF28" s="217"/>
      <c r="BG28" s="217"/>
      <c r="BH28" s="217"/>
      <c r="BI28" s="51">
        <f t="shared" si="3"/>
        <v>0</v>
      </c>
      <c r="BJ28" s="51"/>
    </row>
    <row r="29" spans="1:62">
      <c r="A29" s="209">
        <v>45716</v>
      </c>
      <c r="B29" s="51"/>
      <c r="C29" s="51"/>
      <c r="D29" s="233"/>
      <c r="E29" s="51"/>
      <c r="F29" s="51"/>
      <c r="G29" s="215">
        <f t="shared" si="4"/>
        <v>0</v>
      </c>
      <c r="H29" s="51"/>
      <c r="I29" s="51">
        <v>450</v>
      </c>
      <c r="J29" s="51">
        <v>450</v>
      </c>
      <c r="K29" s="217">
        <f t="shared" si="7"/>
        <v>900</v>
      </c>
      <c r="L29" s="217">
        <f t="shared" si="9"/>
        <v>3550</v>
      </c>
      <c r="M29" s="51">
        <v>450</v>
      </c>
      <c r="N29" s="51">
        <v>450</v>
      </c>
      <c r="O29" s="217">
        <f t="shared" si="12"/>
        <v>900</v>
      </c>
      <c r="P29" s="217">
        <f t="shared" ref="P29:P92" si="13">P28+O29-BE29-BG29</f>
        <v>1750</v>
      </c>
      <c r="Q29" s="213">
        <v>200</v>
      </c>
      <c r="R29" s="213">
        <v>200</v>
      </c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217">
        <f>SUM(Q29:AJ29)</f>
        <v>400</v>
      </c>
      <c r="AL29" s="217">
        <v>400</v>
      </c>
      <c r="AM29" s="51">
        <v>450</v>
      </c>
      <c r="AN29" s="51">
        <v>450</v>
      </c>
      <c r="AO29" s="217">
        <f t="shared" si="8"/>
        <v>900</v>
      </c>
      <c r="AP29" s="217">
        <f t="shared" si="10"/>
        <v>3550</v>
      </c>
      <c r="AQ29" s="51">
        <f t="shared" si="5"/>
        <v>1300</v>
      </c>
      <c r="AR29" s="51">
        <f t="shared" si="11"/>
        <v>3950</v>
      </c>
      <c r="AS29" s="217"/>
      <c r="AT29" s="217"/>
      <c r="AU29" s="217"/>
      <c r="AV29" s="217"/>
      <c r="AW29" s="51">
        <f t="shared" si="1"/>
        <v>0</v>
      </c>
      <c r="AX29" s="51"/>
      <c r="AY29" s="217"/>
      <c r="AZ29" s="217"/>
      <c r="BA29" s="217"/>
      <c r="BB29" s="217"/>
      <c r="BC29" s="51">
        <f t="shared" si="2"/>
        <v>0</v>
      </c>
      <c r="BD29" s="51"/>
      <c r="BE29" s="217"/>
      <c r="BF29" s="217"/>
      <c r="BG29" s="217"/>
      <c r="BH29" s="217"/>
      <c r="BI29" s="51">
        <f t="shared" si="3"/>
        <v>0</v>
      </c>
      <c r="BJ29" s="51"/>
    </row>
    <row r="30" spans="1:62">
      <c r="A30" s="209">
        <v>45717</v>
      </c>
      <c r="B30" s="51">
        <v>9000</v>
      </c>
      <c r="C30" s="51"/>
      <c r="D30" s="233"/>
      <c r="E30" s="51"/>
      <c r="F30" s="51"/>
      <c r="G30" s="215">
        <f t="shared" si="4"/>
        <v>62937.062937062939</v>
      </c>
      <c r="H30" s="51"/>
      <c r="I30" s="51">
        <v>450</v>
      </c>
      <c r="J30" s="51">
        <v>450</v>
      </c>
      <c r="K30" s="217">
        <f t="shared" si="7"/>
        <v>900</v>
      </c>
      <c r="L30" s="217">
        <f t="shared" si="9"/>
        <v>4450</v>
      </c>
      <c r="M30" s="51">
        <v>450</v>
      </c>
      <c r="N30" s="51">
        <v>450</v>
      </c>
      <c r="O30" s="217">
        <f t="shared" si="12"/>
        <v>900</v>
      </c>
      <c r="P30" s="217">
        <f t="shared" si="13"/>
        <v>2650</v>
      </c>
      <c r="Q30" s="51">
        <v>300</v>
      </c>
      <c r="R30" s="51">
        <v>300</v>
      </c>
      <c r="S30" s="213">
        <v>200</v>
      </c>
      <c r="T30" s="213">
        <v>200</v>
      </c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217">
        <f t="shared" ref="AK30:AK93" si="14">SUM(Q30:AJ30)</f>
        <v>1000</v>
      </c>
      <c r="AL30" s="217">
        <f>AL29+AK30</f>
        <v>1400</v>
      </c>
      <c r="AM30" s="51">
        <v>450</v>
      </c>
      <c r="AN30" s="51">
        <v>450</v>
      </c>
      <c r="AO30" s="217">
        <f t="shared" si="8"/>
        <v>900</v>
      </c>
      <c r="AP30" s="217">
        <f t="shared" si="10"/>
        <v>4450</v>
      </c>
      <c r="AQ30" s="51">
        <f t="shared" si="5"/>
        <v>1900</v>
      </c>
      <c r="AR30" s="51">
        <f t="shared" si="11"/>
        <v>5850</v>
      </c>
      <c r="AS30" s="217"/>
      <c r="AT30" s="217"/>
      <c r="AU30" s="217"/>
      <c r="AV30" s="217"/>
      <c r="AW30" s="51">
        <f t="shared" si="1"/>
        <v>0</v>
      </c>
      <c r="AX30" s="51"/>
      <c r="AY30" s="217"/>
      <c r="AZ30" s="217"/>
      <c r="BA30" s="217"/>
      <c r="BB30" s="217"/>
      <c r="BC30" s="51">
        <f t="shared" si="2"/>
        <v>0</v>
      </c>
      <c r="BD30" s="51"/>
      <c r="BE30" s="217"/>
      <c r="BF30" s="217"/>
      <c r="BG30" s="217"/>
      <c r="BH30" s="217"/>
      <c r="BI30" s="51">
        <f t="shared" si="3"/>
        <v>0</v>
      </c>
      <c r="BJ30" s="51"/>
    </row>
    <row r="31" spans="1:62">
      <c r="A31" s="209">
        <v>45718</v>
      </c>
      <c r="B31" s="51"/>
      <c r="C31" s="51"/>
      <c r="D31" s="233"/>
      <c r="E31" s="51"/>
      <c r="F31" s="51"/>
      <c r="G31" s="215">
        <f t="shared" si="4"/>
        <v>0</v>
      </c>
      <c r="H31" s="51"/>
      <c r="I31" s="51">
        <v>450</v>
      </c>
      <c r="J31" s="51">
        <v>450</v>
      </c>
      <c r="K31" s="217">
        <f t="shared" si="7"/>
        <v>900</v>
      </c>
      <c r="L31" s="217">
        <f t="shared" si="9"/>
        <v>5350</v>
      </c>
      <c r="M31" s="51">
        <v>450</v>
      </c>
      <c r="N31" s="51">
        <v>450</v>
      </c>
      <c r="O31" s="217">
        <f t="shared" si="12"/>
        <v>900</v>
      </c>
      <c r="P31" s="217">
        <f t="shared" si="13"/>
        <v>3550</v>
      </c>
      <c r="Q31" s="51">
        <v>300</v>
      </c>
      <c r="R31" s="51">
        <v>300</v>
      </c>
      <c r="S31" s="51">
        <v>300</v>
      </c>
      <c r="T31" s="51">
        <v>300</v>
      </c>
      <c r="U31" s="213">
        <v>200</v>
      </c>
      <c r="V31" s="213">
        <v>200</v>
      </c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217">
        <f t="shared" si="14"/>
        <v>1600</v>
      </c>
      <c r="AL31" s="217">
        <f t="shared" ref="AL31:AL94" si="15">AL30+AK31</f>
        <v>3000</v>
      </c>
      <c r="AM31" s="51">
        <v>450</v>
      </c>
      <c r="AN31" s="51">
        <v>450</v>
      </c>
      <c r="AO31" s="217">
        <f t="shared" si="8"/>
        <v>900</v>
      </c>
      <c r="AP31" s="217">
        <f t="shared" si="10"/>
        <v>5350</v>
      </c>
      <c r="AQ31" s="51">
        <f t="shared" si="5"/>
        <v>2500</v>
      </c>
      <c r="AR31" s="51">
        <f t="shared" si="11"/>
        <v>8350</v>
      </c>
      <c r="AS31" s="217"/>
      <c r="AT31" s="217"/>
      <c r="AU31" s="217"/>
      <c r="AV31" s="217"/>
      <c r="AW31" s="51">
        <f t="shared" si="1"/>
        <v>0</v>
      </c>
      <c r="AX31" s="51"/>
      <c r="AY31" s="217"/>
      <c r="AZ31" s="217"/>
      <c r="BA31" s="217"/>
      <c r="BB31" s="217"/>
      <c r="BC31" s="51">
        <f t="shared" si="2"/>
        <v>0</v>
      </c>
      <c r="BD31" s="51"/>
      <c r="BE31" s="217"/>
      <c r="BF31" s="217"/>
      <c r="BG31" s="217"/>
      <c r="BH31" s="217"/>
      <c r="BI31" s="51">
        <f t="shared" si="3"/>
        <v>0</v>
      </c>
      <c r="BJ31" s="51"/>
    </row>
    <row r="32" spans="1:62">
      <c r="A32" s="209">
        <v>45719</v>
      </c>
      <c r="B32" s="51"/>
      <c r="C32" s="51">
        <v>6000</v>
      </c>
      <c r="D32" s="233"/>
      <c r="E32" s="51"/>
      <c r="F32" s="51"/>
      <c r="G32" s="215">
        <f t="shared" si="4"/>
        <v>41958.041958041962</v>
      </c>
      <c r="H32" s="51"/>
      <c r="I32" s="51">
        <v>450</v>
      </c>
      <c r="J32" s="51">
        <v>450</v>
      </c>
      <c r="K32" s="217">
        <f t="shared" si="7"/>
        <v>900</v>
      </c>
      <c r="L32" s="217">
        <f t="shared" si="9"/>
        <v>6250</v>
      </c>
      <c r="M32" s="51">
        <v>450</v>
      </c>
      <c r="N32" s="51">
        <v>450</v>
      </c>
      <c r="O32" s="217">
        <f t="shared" si="12"/>
        <v>900</v>
      </c>
      <c r="P32" s="217">
        <f t="shared" si="13"/>
        <v>4450</v>
      </c>
      <c r="Q32" s="51">
        <v>300</v>
      </c>
      <c r="R32" s="51">
        <v>300</v>
      </c>
      <c r="S32" s="51">
        <v>300</v>
      </c>
      <c r="T32" s="51">
        <v>300</v>
      </c>
      <c r="U32" s="51">
        <v>300</v>
      </c>
      <c r="V32" s="51">
        <v>300</v>
      </c>
      <c r="W32" s="213">
        <v>200</v>
      </c>
      <c r="X32" s="213">
        <v>200</v>
      </c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217">
        <f t="shared" si="14"/>
        <v>2200</v>
      </c>
      <c r="AL32" s="217">
        <f t="shared" si="15"/>
        <v>5200</v>
      </c>
      <c r="AM32" s="51">
        <v>450</v>
      </c>
      <c r="AN32" s="51">
        <v>450</v>
      </c>
      <c r="AO32" s="217">
        <f t="shared" si="8"/>
        <v>900</v>
      </c>
      <c r="AP32" s="217">
        <f t="shared" si="10"/>
        <v>6250</v>
      </c>
      <c r="AQ32" s="51">
        <f t="shared" si="5"/>
        <v>3100</v>
      </c>
      <c r="AR32" s="51">
        <f t="shared" si="11"/>
        <v>11450</v>
      </c>
      <c r="AS32" s="217"/>
      <c r="AT32" s="217"/>
      <c r="AU32" s="217"/>
      <c r="AV32" s="217"/>
      <c r="AW32" s="51">
        <f t="shared" si="1"/>
        <v>0</v>
      </c>
      <c r="AX32" s="51"/>
      <c r="AY32" s="217"/>
      <c r="AZ32" s="217"/>
      <c r="BA32" s="217"/>
      <c r="BB32" s="217"/>
      <c r="BC32" s="51">
        <f t="shared" si="2"/>
        <v>0</v>
      </c>
      <c r="BD32" s="51"/>
      <c r="BE32" s="217"/>
      <c r="BF32" s="217"/>
      <c r="BG32" s="217"/>
      <c r="BH32" s="217"/>
      <c r="BI32" s="51">
        <f t="shared" si="3"/>
        <v>0</v>
      </c>
      <c r="BJ32" s="51"/>
    </row>
    <row r="33" spans="1:62">
      <c r="A33" s="209">
        <v>45720</v>
      </c>
      <c r="B33" s="51"/>
      <c r="C33" s="51"/>
      <c r="D33" s="233"/>
      <c r="E33" s="51"/>
      <c r="F33" s="51"/>
      <c r="G33" s="215">
        <f t="shared" si="4"/>
        <v>0</v>
      </c>
      <c r="H33" s="51"/>
      <c r="I33" s="51">
        <v>450</v>
      </c>
      <c r="J33" s="51">
        <v>450</v>
      </c>
      <c r="K33" s="217">
        <f t="shared" si="7"/>
        <v>900</v>
      </c>
      <c r="L33" s="217">
        <f t="shared" si="9"/>
        <v>7150</v>
      </c>
      <c r="M33" s="51">
        <v>450</v>
      </c>
      <c r="N33" s="51">
        <v>450</v>
      </c>
      <c r="O33" s="217">
        <f t="shared" si="12"/>
        <v>900</v>
      </c>
      <c r="P33" s="217">
        <f t="shared" si="13"/>
        <v>5350</v>
      </c>
      <c r="Q33" s="51">
        <v>300</v>
      </c>
      <c r="R33" s="51">
        <v>300</v>
      </c>
      <c r="S33" s="51">
        <v>300</v>
      </c>
      <c r="T33" s="51">
        <v>300</v>
      </c>
      <c r="U33" s="51">
        <v>300</v>
      </c>
      <c r="V33" s="51">
        <v>300</v>
      </c>
      <c r="W33" s="51">
        <v>300</v>
      </c>
      <c r="X33" s="51">
        <v>300</v>
      </c>
      <c r="Y33" s="213">
        <v>200</v>
      </c>
      <c r="Z33" s="213">
        <v>200</v>
      </c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217">
        <f t="shared" si="14"/>
        <v>2800</v>
      </c>
      <c r="AL33" s="217">
        <f t="shared" si="15"/>
        <v>8000</v>
      </c>
      <c r="AM33" s="51">
        <v>450</v>
      </c>
      <c r="AN33" s="51">
        <v>450</v>
      </c>
      <c r="AO33" s="217">
        <f t="shared" si="8"/>
        <v>900</v>
      </c>
      <c r="AP33" s="217">
        <f t="shared" si="10"/>
        <v>7150</v>
      </c>
      <c r="AQ33" s="51">
        <f t="shared" si="5"/>
        <v>3700</v>
      </c>
      <c r="AR33" s="51">
        <f t="shared" si="11"/>
        <v>5150</v>
      </c>
      <c r="AS33" s="217">
        <v>10000</v>
      </c>
      <c r="AT33" s="231">
        <f>A33+10</f>
        <v>45730</v>
      </c>
      <c r="AU33" s="217"/>
      <c r="AV33" s="231"/>
      <c r="AW33" s="51">
        <f>AS33+AU33</f>
        <v>10000</v>
      </c>
      <c r="AX33" s="209">
        <f>AT33</f>
        <v>45730</v>
      </c>
      <c r="AY33" s="217"/>
      <c r="AZ33" s="231"/>
      <c r="BA33" s="217"/>
      <c r="BB33" s="231"/>
      <c r="BC33" s="51">
        <f>AY33+BA33</f>
        <v>0</v>
      </c>
      <c r="BD33" s="209"/>
      <c r="BE33" s="217"/>
      <c r="BF33" s="231"/>
      <c r="BG33" s="217"/>
      <c r="BH33" s="231"/>
      <c r="BI33" s="51">
        <f>BE33+BG33</f>
        <v>0</v>
      </c>
      <c r="BJ33" s="209"/>
    </row>
    <row r="34" spans="1:62">
      <c r="A34" s="209">
        <v>45721</v>
      </c>
      <c r="B34" s="51"/>
      <c r="C34" s="51"/>
      <c r="D34" s="233"/>
      <c r="E34" s="51"/>
      <c r="F34" s="51">
        <v>9000</v>
      </c>
      <c r="G34" s="215">
        <f t="shared" si="4"/>
        <v>0</v>
      </c>
      <c r="H34" s="51"/>
      <c r="I34" s="51">
        <v>450</v>
      </c>
      <c r="J34" s="51">
        <v>450</v>
      </c>
      <c r="K34" s="217">
        <f t="shared" si="7"/>
        <v>900</v>
      </c>
      <c r="L34" s="217">
        <f t="shared" si="9"/>
        <v>8050</v>
      </c>
      <c r="M34" s="214">
        <v>200</v>
      </c>
      <c r="N34" s="51">
        <v>450</v>
      </c>
      <c r="O34" s="217">
        <f t="shared" si="12"/>
        <v>650</v>
      </c>
      <c r="P34" s="217">
        <f t="shared" si="13"/>
        <v>6000</v>
      </c>
      <c r="Q34" s="51">
        <v>300</v>
      </c>
      <c r="R34" s="51">
        <v>300</v>
      </c>
      <c r="S34" s="51">
        <v>300</v>
      </c>
      <c r="T34" s="51">
        <v>300</v>
      </c>
      <c r="U34" s="51">
        <v>300</v>
      </c>
      <c r="V34" s="51">
        <v>300</v>
      </c>
      <c r="W34" s="51">
        <v>300</v>
      </c>
      <c r="X34" s="51">
        <v>300</v>
      </c>
      <c r="Y34" s="51">
        <v>300</v>
      </c>
      <c r="Z34" s="51">
        <v>300</v>
      </c>
      <c r="AA34" s="213">
        <v>200</v>
      </c>
      <c r="AB34" s="213">
        <v>200</v>
      </c>
      <c r="AC34" s="51"/>
      <c r="AD34" s="51"/>
      <c r="AE34" s="51"/>
      <c r="AF34" s="51"/>
      <c r="AG34" s="51"/>
      <c r="AH34" s="51"/>
      <c r="AI34" s="51"/>
      <c r="AJ34" s="51"/>
      <c r="AK34" s="217">
        <f t="shared" si="14"/>
        <v>3400</v>
      </c>
      <c r="AL34" s="217">
        <f t="shared" si="15"/>
        <v>11400</v>
      </c>
      <c r="AM34" s="51">
        <v>450</v>
      </c>
      <c r="AN34" s="51">
        <v>450</v>
      </c>
      <c r="AO34" s="217">
        <f t="shared" si="8"/>
        <v>900</v>
      </c>
      <c r="AP34" s="217">
        <f t="shared" si="10"/>
        <v>8050</v>
      </c>
      <c r="AQ34" s="51">
        <f t="shared" si="5"/>
        <v>4300</v>
      </c>
      <c r="AR34" s="51">
        <f t="shared" si="11"/>
        <v>9450</v>
      </c>
      <c r="AS34" s="217"/>
      <c r="AT34" s="217"/>
      <c r="AU34" s="217"/>
      <c r="AV34" s="217"/>
      <c r="AW34" s="51">
        <f t="shared" ref="AW34:AW97" si="16">AS34+AU34</f>
        <v>0</v>
      </c>
      <c r="AX34" s="209"/>
      <c r="AY34" s="217"/>
      <c r="AZ34" s="217"/>
      <c r="BA34" s="217"/>
      <c r="BB34" s="217"/>
      <c r="BC34" s="51">
        <f t="shared" ref="BC34:BC89" si="17">AY34+BA34</f>
        <v>0</v>
      </c>
      <c r="BD34" s="209"/>
      <c r="BE34" s="217"/>
      <c r="BF34" s="217"/>
      <c r="BG34" s="217"/>
      <c r="BH34" s="217"/>
      <c r="BI34" s="51">
        <f t="shared" ref="BI34:BI47" si="18">BE34+BG34</f>
        <v>0</v>
      </c>
      <c r="BJ34" s="209"/>
    </row>
    <row r="35" spans="1:62">
      <c r="A35" s="209">
        <v>45722</v>
      </c>
      <c r="B35" s="51"/>
      <c r="C35" s="51"/>
      <c r="D35" s="233"/>
      <c r="E35" s="51"/>
      <c r="F35" s="51"/>
      <c r="G35" s="215">
        <f t="shared" si="4"/>
        <v>0</v>
      </c>
      <c r="H35" s="51"/>
      <c r="I35" s="51">
        <v>450</v>
      </c>
      <c r="J35" s="51">
        <v>450</v>
      </c>
      <c r="K35" s="217">
        <f t="shared" si="7"/>
        <v>900</v>
      </c>
      <c r="L35" s="217">
        <f t="shared" si="9"/>
        <v>8950</v>
      </c>
      <c r="M35" s="51">
        <v>450</v>
      </c>
      <c r="N35" s="214">
        <v>200</v>
      </c>
      <c r="O35" s="217">
        <f t="shared" si="12"/>
        <v>650</v>
      </c>
      <c r="P35" s="217">
        <f t="shared" si="13"/>
        <v>6650</v>
      </c>
      <c r="Q35" s="51">
        <v>300</v>
      </c>
      <c r="R35" s="51">
        <v>300</v>
      </c>
      <c r="S35" s="51">
        <v>300</v>
      </c>
      <c r="T35" s="51">
        <v>300</v>
      </c>
      <c r="U35" s="51">
        <v>300</v>
      </c>
      <c r="V35" s="51">
        <v>300</v>
      </c>
      <c r="W35" s="51">
        <v>300</v>
      </c>
      <c r="X35" s="51">
        <v>300</v>
      </c>
      <c r="Y35" s="51">
        <v>300</v>
      </c>
      <c r="Z35" s="51">
        <v>300</v>
      </c>
      <c r="AA35" s="51">
        <v>300</v>
      </c>
      <c r="AB35" s="51">
        <v>300</v>
      </c>
      <c r="AC35" s="213">
        <v>200</v>
      </c>
      <c r="AD35" s="213">
        <v>200</v>
      </c>
      <c r="AE35" s="51"/>
      <c r="AF35" s="51"/>
      <c r="AG35" s="51"/>
      <c r="AH35" s="51"/>
      <c r="AI35" s="51"/>
      <c r="AJ35" s="51"/>
      <c r="AK35" s="217">
        <f t="shared" si="14"/>
        <v>4000</v>
      </c>
      <c r="AL35" s="217">
        <f t="shared" si="15"/>
        <v>15400</v>
      </c>
      <c r="AM35" s="51">
        <v>450</v>
      </c>
      <c r="AN35" s="51">
        <v>450</v>
      </c>
      <c r="AO35" s="217">
        <f t="shared" si="8"/>
        <v>900</v>
      </c>
      <c r="AP35" s="217">
        <f t="shared" si="10"/>
        <v>8950</v>
      </c>
      <c r="AQ35" s="51">
        <f t="shared" si="5"/>
        <v>4900</v>
      </c>
      <c r="AR35" s="51">
        <f t="shared" si="11"/>
        <v>14350</v>
      </c>
      <c r="AS35" s="217"/>
      <c r="AT35" s="217"/>
      <c r="AU35" s="217"/>
      <c r="AV35" s="217"/>
      <c r="AW35" s="51">
        <f t="shared" si="16"/>
        <v>0</v>
      </c>
      <c r="AX35" s="209"/>
      <c r="AY35" s="217"/>
      <c r="AZ35" s="217"/>
      <c r="BA35" s="217"/>
      <c r="BB35" s="217"/>
      <c r="BC35" s="51">
        <f t="shared" si="17"/>
        <v>0</v>
      </c>
      <c r="BD35" s="209"/>
      <c r="BE35" s="217"/>
      <c r="BF35" s="217"/>
      <c r="BG35" s="217"/>
      <c r="BH35" s="217"/>
      <c r="BI35" s="51">
        <f t="shared" si="18"/>
        <v>0</v>
      </c>
      <c r="BJ35" s="209"/>
    </row>
    <row r="36" spans="1:62">
      <c r="A36" s="209">
        <v>45723</v>
      </c>
      <c r="B36" s="51"/>
      <c r="C36" s="51"/>
      <c r="D36" s="233"/>
      <c r="E36" s="51"/>
      <c r="F36" s="51"/>
      <c r="G36" s="215">
        <f t="shared" si="4"/>
        <v>0</v>
      </c>
      <c r="H36" s="51"/>
      <c r="I36" s="214">
        <v>200</v>
      </c>
      <c r="J36" s="51">
        <v>450</v>
      </c>
      <c r="K36" s="217">
        <f t="shared" si="7"/>
        <v>650</v>
      </c>
      <c r="L36" s="217">
        <f t="shared" si="9"/>
        <v>9600</v>
      </c>
      <c r="M36" s="51">
        <v>450</v>
      </c>
      <c r="N36" s="51">
        <v>450</v>
      </c>
      <c r="O36" s="217">
        <f t="shared" si="12"/>
        <v>900</v>
      </c>
      <c r="P36" s="217">
        <f t="shared" si="13"/>
        <v>7550</v>
      </c>
      <c r="Q36" s="51">
        <v>300</v>
      </c>
      <c r="R36" s="51">
        <v>300</v>
      </c>
      <c r="S36" s="51">
        <v>300</v>
      </c>
      <c r="T36" s="51">
        <v>300</v>
      </c>
      <c r="U36" s="51">
        <v>300</v>
      </c>
      <c r="V36" s="51">
        <v>300</v>
      </c>
      <c r="W36" s="51">
        <v>300</v>
      </c>
      <c r="X36" s="51">
        <v>300</v>
      </c>
      <c r="Y36" s="51">
        <v>300</v>
      </c>
      <c r="Z36" s="51">
        <v>300</v>
      </c>
      <c r="AA36" s="51">
        <v>300</v>
      </c>
      <c r="AB36" s="51">
        <v>300</v>
      </c>
      <c r="AC36" s="51">
        <v>300</v>
      </c>
      <c r="AD36" s="51">
        <v>300</v>
      </c>
      <c r="AE36" s="213">
        <v>200</v>
      </c>
      <c r="AF36" s="51"/>
      <c r="AG36" s="51"/>
      <c r="AH36" s="51"/>
      <c r="AI36" s="51"/>
      <c r="AJ36" s="51"/>
      <c r="AK36" s="217">
        <f t="shared" si="14"/>
        <v>4400</v>
      </c>
      <c r="AL36" s="217">
        <f t="shared" si="15"/>
        <v>19800</v>
      </c>
      <c r="AM36" s="214">
        <v>200</v>
      </c>
      <c r="AN36" s="51">
        <v>450</v>
      </c>
      <c r="AO36" s="217">
        <f t="shared" si="8"/>
        <v>650</v>
      </c>
      <c r="AP36" s="217">
        <f t="shared" si="10"/>
        <v>9600</v>
      </c>
      <c r="AQ36" s="51">
        <f t="shared" si="5"/>
        <v>5050</v>
      </c>
      <c r="AR36" s="51">
        <f t="shared" si="11"/>
        <v>19400</v>
      </c>
      <c r="AS36" s="217"/>
      <c r="AT36" s="217"/>
      <c r="AU36" s="217"/>
      <c r="AV36" s="217"/>
      <c r="AW36" s="51">
        <f t="shared" si="16"/>
        <v>0</v>
      </c>
      <c r="AX36" s="209"/>
      <c r="AY36" s="217"/>
      <c r="AZ36" s="217"/>
      <c r="BA36" s="217"/>
      <c r="BB36" s="217"/>
      <c r="BC36" s="51">
        <f t="shared" si="17"/>
        <v>0</v>
      </c>
      <c r="BD36" s="209"/>
      <c r="BE36" s="217"/>
      <c r="BF36" s="217"/>
      <c r="BG36" s="217"/>
      <c r="BH36" s="217"/>
      <c r="BI36" s="51">
        <f t="shared" si="18"/>
        <v>0</v>
      </c>
      <c r="BJ36" s="209"/>
    </row>
    <row r="37" spans="1:62">
      <c r="A37" s="209">
        <v>45724</v>
      </c>
      <c r="B37" s="51"/>
      <c r="C37" s="51"/>
      <c r="D37" s="233"/>
      <c r="E37" s="51">
        <v>9000</v>
      </c>
      <c r="F37" s="51"/>
      <c r="G37" s="215">
        <f t="shared" si="4"/>
        <v>0</v>
      </c>
      <c r="H37" s="51"/>
      <c r="I37" s="51">
        <v>450</v>
      </c>
      <c r="J37" s="214">
        <v>200</v>
      </c>
      <c r="K37" s="217">
        <f t="shared" si="7"/>
        <v>650</v>
      </c>
      <c r="L37" s="217">
        <f t="shared" si="9"/>
        <v>10250</v>
      </c>
      <c r="M37" s="51">
        <v>450</v>
      </c>
      <c r="N37" s="51">
        <v>450</v>
      </c>
      <c r="O37" s="217">
        <f t="shared" si="12"/>
        <v>900</v>
      </c>
      <c r="P37" s="217">
        <f t="shared" si="13"/>
        <v>8450</v>
      </c>
      <c r="Q37" s="51">
        <v>300</v>
      </c>
      <c r="R37" s="51">
        <v>300</v>
      </c>
      <c r="S37" s="51">
        <v>300</v>
      </c>
      <c r="T37" s="51">
        <v>300</v>
      </c>
      <c r="U37" s="51">
        <v>300</v>
      </c>
      <c r="V37" s="51">
        <v>300</v>
      </c>
      <c r="W37" s="51">
        <v>300</v>
      </c>
      <c r="X37" s="51">
        <v>300</v>
      </c>
      <c r="Y37" s="51">
        <v>300</v>
      </c>
      <c r="Z37" s="51">
        <v>300</v>
      </c>
      <c r="AA37" s="51">
        <v>300</v>
      </c>
      <c r="AB37" s="51">
        <v>300</v>
      </c>
      <c r="AC37" s="51">
        <v>300</v>
      </c>
      <c r="AD37" s="51">
        <v>300</v>
      </c>
      <c r="AE37" s="51">
        <v>300</v>
      </c>
      <c r="AF37" s="213">
        <v>200</v>
      </c>
      <c r="AG37" s="51"/>
      <c r="AH37" s="51"/>
      <c r="AI37" s="51"/>
      <c r="AJ37" s="51"/>
      <c r="AK37" s="217">
        <f t="shared" si="14"/>
        <v>4700</v>
      </c>
      <c r="AL37" s="217">
        <f t="shared" si="15"/>
        <v>24500</v>
      </c>
      <c r="AM37" s="51">
        <v>450</v>
      </c>
      <c r="AN37" s="214">
        <v>200</v>
      </c>
      <c r="AO37" s="217">
        <f t="shared" si="8"/>
        <v>650</v>
      </c>
      <c r="AP37" s="217">
        <f t="shared" si="10"/>
        <v>10250</v>
      </c>
      <c r="AQ37" s="51">
        <f t="shared" si="5"/>
        <v>5350</v>
      </c>
      <c r="AR37" s="51">
        <f t="shared" si="11"/>
        <v>24750</v>
      </c>
      <c r="AS37" s="217"/>
      <c r="AT37" s="231"/>
      <c r="AU37" s="217"/>
      <c r="AV37" s="231"/>
      <c r="AW37" s="51">
        <f t="shared" si="16"/>
        <v>0</v>
      </c>
      <c r="AX37" s="209"/>
      <c r="AY37" s="217"/>
      <c r="AZ37" s="231"/>
      <c r="BA37" s="217"/>
      <c r="BB37" s="231"/>
      <c r="BC37" s="51">
        <f t="shared" si="17"/>
        <v>0</v>
      </c>
      <c r="BD37" s="209"/>
      <c r="BE37" s="217"/>
      <c r="BF37" s="231"/>
      <c r="BG37" s="217"/>
      <c r="BH37" s="231"/>
      <c r="BI37" s="51">
        <f t="shared" si="18"/>
        <v>0</v>
      </c>
      <c r="BJ37" s="209"/>
    </row>
    <row r="38" spans="1:62">
      <c r="A38" s="209">
        <v>45725</v>
      </c>
      <c r="B38" s="51"/>
      <c r="C38" s="51"/>
      <c r="D38" s="233"/>
      <c r="E38" s="51"/>
      <c r="F38" s="51"/>
      <c r="G38" s="215">
        <f t="shared" si="4"/>
        <v>0</v>
      </c>
      <c r="H38" s="51"/>
      <c r="I38" s="51">
        <v>450</v>
      </c>
      <c r="J38" s="51">
        <v>450</v>
      </c>
      <c r="K38" s="217">
        <f t="shared" si="7"/>
        <v>900</v>
      </c>
      <c r="L38" s="217">
        <f t="shared" si="9"/>
        <v>11150</v>
      </c>
      <c r="M38" s="51">
        <v>450</v>
      </c>
      <c r="N38" s="51">
        <v>450</v>
      </c>
      <c r="O38" s="217">
        <f t="shared" si="12"/>
        <v>900</v>
      </c>
      <c r="P38" s="217">
        <f t="shared" si="13"/>
        <v>9350</v>
      </c>
      <c r="Q38" s="51">
        <v>300</v>
      </c>
      <c r="R38" s="51">
        <v>300</v>
      </c>
      <c r="S38" s="51">
        <v>300</v>
      </c>
      <c r="T38" s="51">
        <v>300</v>
      </c>
      <c r="U38" s="51">
        <v>300</v>
      </c>
      <c r="V38" s="51">
        <v>300</v>
      </c>
      <c r="W38" s="51">
        <v>300</v>
      </c>
      <c r="X38" s="51">
        <v>300</v>
      </c>
      <c r="Y38" s="51">
        <v>300</v>
      </c>
      <c r="Z38" s="51">
        <v>300</v>
      </c>
      <c r="AA38" s="51">
        <v>300</v>
      </c>
      <c r="AB38" s="51">
        <v>300</v>
      </c>
      <c r="AC38" s="51">
        <v>300</v>
      </c>
      <c r="AD38" s="51">
        <v>300</v>
      </c>
      <c r="AE38" s="51">
        <v>300</v>
      </c>
      <c r="AF38" s="51">
        <v>300</v>
      </c>
      <c r="AG38" s="213">
        <v>200</v>
      </c>
      <c r="AH38" s="51"/>
      <c r="AI38" s="51"/>
      <c r="AJ38" s="51"/>
      <c r="AK38" s="217">
        <f t="shared" si="14"/>
        <v>5000</v>
      </c>
      <c r="AL38" s="217">
        <f t="shared" si="15"/>
        <v>29500</v>
      </c>
      <c r="AM38" s="51">
        <v>450</v>
      </c>
      <c r="AN38" s="51">
        <v>450</v>
      </c>
      <c r="AO38" s="217">
        <f t="shared" si="8"/>
        <v>900</v>
      </c>
      <c r="AP38" s="217">
        <f t="shared" si="10"/>
        <v>11150</v>
      </c>
      <c r="AQ38" s="51">
        <f t="shared" si="5"/>
        <v>5900</v>
      </c>
      <c r="AR38" s="51">
        <f t="shared" si="11"/>
        <v>30650</v>
      </c>
      <c r="AS38" s="217"/>
      <c r="AT38" s="217"/>
      <c r="AU38" s="217"/>
      <c r="AV38" s="217"/>
      <c r="AW38" s="51">
        <f t="shared" si="16"/>
        <v>0</v>
      </c>
      <c r="AX38" s="209"/>
      <c r="AY38" s="217"/>
      <c r="AZ38" s="217"/>
      <c r="BA38" s="217"/>
      <c r="BB38" s="217"/>
      <c r="BC38" s="51">
        <f t="shared" si="17"/>
        <v>0</v>
      </c>
      <c r="BD38" s="209"/>
      <c r="BE38" s="217"/>
      <c r="BF38" s="217"/>
      <c r="BG38" s="217"/>
      <c r="BH38" s="217"/>
      <c r="BI38" s="51">
        <f t="shared" si="18"/>
        <v>0</v>
      </c>
      <c r="BJ38" s="209"/>
    </row>
    <row r="39" spans="1:62">
      <c r="A39" s="209">
        <v>45726</v>
      </c>
      <c r="B39" s="51"/>
      <c r="C39" s="51">
        <v>6000</v>
      </c>
      <c r="D39" s="233"/>
      <c r="E39" s="51"/>
      <c r="F39" s="51"/>
      <c r="G39" s="215">
        <f t="shared" si="4"/>
        <v>41958.041958041962</v>
      </c>
      <c r="H39" s="51"/>
      <c r="I39" s="51">
        <v>450</v>
      </c>
      <c r="J39" s="51">
        <v>450</v>
      </c>
      <c r="K39" s="217">
        <f t="shared" si="7"/>
        <v>900</v>
      </c>
      <c r="L39" s="217">
        <f t="shared" si="9"/>
        <v>12050</v>
      </c>
      <c r="M39" s="51">
        <v>450</v>
      </c>
      <c r="N39" s="51">
        <v>450</v>
      </c>
      <c r="O39" s="217">
        <f t="shared" si="12"/>
        <v>900</v>
      </c>
      <c r="P39" s="217">
        <f t="shared" si="13"/>
        <v>10250</v>
      </c>
      <c r="Q39" s="51">
        <v>300</v>
      </c>
      <c r="R39" s="51">
        <v>300</v>
      </c>
      <c r="S39" s="51">
        <v>300</v>
      </c>
      <c r="T39" s="51">
        <v>300</v>
      </c>
      <c r="U39" s="51">
        <v>300</v>
      </c>
      <c r="V39" s="51">
        <v>300</v>
      </c>
      <c r="W39" s="51">
        <v>300</v>
      </c>
      <c r="X39" s="51">
        <v>300</v>
      </c>
      <c r="Y39" s="51">
        <v>300</v>
      </c>
      <c r="Z39" s="51">
        <v>300</v>
      </c>
      <c r="AA39" s="51">
        <v>300</v>
      </c>
      <c r="AB39" s="51">
        <v>300</v>
      </c>
      <c r="AC39" s="51">
        <v>300</v>
      </c>
      <c r="AD39" s="51">
        <v>300</v>
      </c>
      <c r="AE39" s="51">
        <v>300</v>
      </c>
      <c r="AF39" s="51">
        <v>300</v>
      </c>
      <c r="AG39" s="51">
        <v>300</v>
      </c>
      <c r="AH39" s="213">
        <v>200</v>
      </c>
      <c r="AI39" s="51"/>
      <c r="AJ39" s="51"/>
      <c r="AK39" s="217">
        <f t="shared" si="14"/>
        <v>5300</v>
      </c>
      <c r="AL39" s="217">
        <f t="shared" si="15"/>
        <v>34800</v>
      </c>
      <c r="AM39" s="51">
        <v>450</v>
      </c>
      <c r="AN39" s="51">
        <v>450</v>
      </c>
      <c r="AO39" s="217">
        <f t="shared" si="8"/>
        <v>900</v>
      </c>
      <c r="AP39" s="217">
        <f t="shared" si="10"/>
        <v>2050</v>
      </c>
      <c r="AQ39" s="51">
        <f t="shared" si="5"/>
        <v>6200</v>
      </c>
      <c r="AR39" s="51">
        <f t="shared" si="11"/>
        <v>11850</v>
      </c>
      <c r="AS39" s="217">
        <v>25000</v>
      </c>
      <c r="AT39" s="231">
        <f>A39+12</f>
        <v>45738</v>
      </c>
      <c r="AU39" s="217"/>
      <c r="AV39" s="231"/>
      <c r="AW39" s="51">
        <f t="shared" si="16"/>
        <v>25000</v>
      </c>
      <c r="AX39" s="209">
        <f>AT39</f>
        <v>45738</v>
      </c>
      <c r="AY39" s="217">
        <v>10000</v>
      </c>
      <c r="AZ39" s="231">
        <f>A39+12</f>
        <v>45738</v>
      </c>
      <c r="BA39" s="217"/>
      <c r="BB39" s="217"/>
      <c r="BC39" s="51">
        <f t="shared" si="17"/>
        <v>10000</v>
      </c>
      <c r="BD39" s="209">
        <f>AZ39</f>
        <v>45738</v>
      </c>
      <c r="BE39" s="217"/>
      <c r="BF39" s="231"/>
      <c r="BG39" s="217"/>
      <c r="BH39" s="217"/>
      <c r="BI39" s="51">
        <f t="shared" si="18"/>
        <v>0</v>
      </c>
      <c r="BJ39" s="209"/>
    </row>
    <row r="40" spans="1:62">
      <c r="A40" s="209">
        <v>45727</v>
      </c>
      <c r="B40" s="51"/>
      <c r="C40" s="51"/>
      <c r="D40" s="233"/>
      <c r="E40" s="51"/>
      <c r="F40" s="51"/>
      <c r="G40" s="215">
        <f t="shared" si="4"/>
        <v>0</v>
      </c>
      <c r="H40" s="51"/>
      <c r="I40" s="51">
        <v>450</v>
      </c>
      <c r="J40" s="51">
        <v>450</v>
      </c>
      <c r="K40" s="217">
        <f t="shared" si="7"/>
        <v>900</v>
      </c>
      <c r="L40" s="217">
        <f t="shared" si="9"/>
        <v>12950</v>
      </c>
      <c r="M40" s="51">
        <v>450</v>
      </c>
      <c r="N40" s="51">
        <v>450</v>
      </c>
      <c r="O40" s="217">
        <f t="shared" si="12"/>
        <v>900</v>
      </c>
      <c r="P40" s="217">
        <f t="shared" si="13"/>
        <v>1150</v>
      </c>
      <c r="Q40" s="213">
        <v>200</v>
      </c>
      <c r="R40" s="213">
        <v>200</v>
      </c>
      <c r="S40" s="51">
        <v>300</v>
      </c>
      <c r="T40" s="51">
        <v>300</v>
      </c>
      <c r="U40" s="51">
        <v>300</v>
      </c>
      <c r="V40" s="51">
        <v>300</v>
      </c>
      <c r="W40" s="51">
        <v>300</v>
      </c>
      <c r="X40" s="51">
        <v>300</v>
      </c>
      <c r="Y40" s="51">
        <v>300</v>
      </c>
      <c r="Z40" s="51">
        <v>300</v>
      </c>
      <c r="AA40" s="51">
        <v>300</v>
      </c>
      <c r="AB40" s="51">
        <v>300</v>
      </c>
      <c r="AC40" s="51">
        <v>300</v>
      </c>
      <c r="AD40" s="51">
        <v>300</v>
      </c>
      <c r="AE40" s="51">
        <v>300</v>
      </c>
      <c r="AF40" s="51">
        <v>300</v>
      </c>
      <c r="AG40" s="51">
        <v>300</v>
      </c>
      <c r="AH40" s="51">
        <v>300</v>
      </c>
      <c r="AI40" s="213">
        <v>200</v>
      </c>
      <c r="AJ40" s="51"/>
      <c r="AK40" s="217">
        <f t="shared" si="14"/>
        <v>5400</v>
      </c>
      <c r="AL40" s="217">
        <f t="shared" si="15"/>
        <v>40200</v>
      </c>
      <c r="AM40" s="51">
        <v>450</v>
      </c>
      <c r="AN40" s="51">
        <v>450</v>
      </c>
      <c r="AO40" s="217">
        <f t="shared" si="8"/>
        <v>900</v>
      </c>
      <c r="AP40" s="217">
        <f t="shared" si="10"/>
        <v>2950</v>
      </c>
      <c r="AQ40" s="51">
        <f t="shared" si="5"/>
        <v>6300</v>
      </c>
      <c r="AR40" s="51">
        <f t="shared" si="11"/>
        <v>18150</v>
      </c>
      <c r="AS40" s="217"/>
      <c r="AT40" s="217"/>
      <c r="AU40" s="217"/>
      <c r="AV40" s="231"/>
      <c r="AW40" s="51">
        <f t="shared" si="16"/>
        <v>0</v>
      </c>
      <c r="AX40" s="209"/>
      <c r="AY40" s="217"/>
      <c r="AZ40" s="231"/>
      <c r="BA40" s="217"/>
      <c r="BB40" s="231"/>
      <c r="BC40" s="51">
        <f t="shared" si="17"/>
        <v>0</v>
      </c>
      <c r="BD40" s="209"/>
      <c r="BE40" s="217">
        <v>10000</v>
      </c>
      <c r="BF40" s="231">
        <f>A40+12</f>
        <v>45739</v>
      </c>
      <c r="BG40" s="217"/>
      <c r="BH40" s="231"/>
      <c r="BI40" s="51">
        <f t="shared" si="18"/>
        <v>10000</v>
      </c>
      <c r="BJ40" s="209">
        <f>BF40</f>
        <v>45739</v>
      </c>
    </row>
    <row r="41" spans="1:62">
      <c r="A41" s="209">
        <v>45728</v>
      </c>
      <c r="B41" s="51"/>
      <c r="C41" s="51"/>
      <c r="D41" s="233"/>
      <c r="E41" s="51"/>
      <c r="F41" s="51">
        <v>9000</v>
      </c>
      <c r="G41" s="215">
        <f t="shared" si="4"/>
        <v>0</v>
      </c>
      <c r="H41" s="51"/>
      <c r="I41" s="51">
        <v>450</v>
      </c>
      <c r="J41" s="51">
        <v>450</v>
      </c>
      <c r="K41" s="217">
        <f t="shared" si="7"/>
        <v>900</v>
      </c>
      <c r="L41" s="217">
        <f t="shared" si="9"/>
        <v>13850</v>
      </c>
      <c r="M41" s="51">
        <v>450</v>
      </c>
      <c r="N41" s="51">
        <v>450</v>
      </c>
      <c r="O41" s="217">
        <f t="shared" si="12"/>
        <v>900</v>
      </c>
      <c r="P41" s="217">
        <f t="shared" si="13"/>
        <v>2050</v>
      </c>
      <c r="Q41" s="51">
        <v>300</v>
      </c>
      <c r="R41" s="51">
        <v>300</v>
      </c>
      <c r="S41" s="213">
        <v>200</v>
      </c>
      <c r="T41" s="213">
        <v>200</v>
      </c>
      <c r="U41" s="51">
        <v>300</v>
      </c>
      <c r="V41" s="51">
        <v>300</v>
      </c>
      <c r="W41" s="51">
        <v>300</v>
      </c>
      <c r="X41" s="51">
        <v>300</v>
      </c>
      <c r="Y41" s="51">
        <v>300</v>
      </c>
      <c r="Z41" s="51">
        <v>300</v>
      </c>
      <c r="AA41" s="51">
        <v>300</v>
      </c>
      <c r="AB41" s="51">
        <v>300</v>
      </c>
      <c r="AC41" s="51">
        <v>300</v>
      </c>
      <c r="AD41" s="51">
        <v>300</v>
      </c>
      <c r="AE41" s="51">
        <v>300</v>
      </c>
      <c r="AF41" s="51">
        <v>300</v>
      </c>
      <c r="AG41" s="51">
        <v>300</v>
      </c>
      <c r="AH41" s="51">
        <v>300</v>
      </c>
      <c r="AI41" s="51">
        <v>300</v>
      </c>
      <c r="AJ41" s="213">
        <v>200</v>
      </c>
      <c r="AK41" s="217">
        <f t="shared" si="14"/>
        <v>5700</v>
      </c>
      <c r="AL41" s="217">
        <f t="shared" si="15"/>
        <v>45900</v>
      </c>
      <c r="AM41" s="51">
        <v>450</v>
      </c>
      <c r="AN41" s="51">
        <v>450</v>
      </c>
      <c r="AO41" s="217">
        <f t="shared" si="8"/>
        <v>900</v>
      </c>
      <c r="AP41" s="217">
        <f t="shared" si="10"/>
        <v>3850</v>
      </c>
      <c r="AQ41" s="51">
        <f t="shared" si="5"/>
        <v>6600</v>
      </c>
      <c r="AR41" s="51">
        <f t="shared" si="11"/>
        <v>24750</v>
      </c>
      <c r="AS41" s="217"/>
      <c r="AT41" s="217"/>
      <c r="AU41" s="217"/>
      <c r="AV41" s="217"/>
      <c r="AW41" s="51">
        <f t="shared" si="16"/>
        <v>0</v>
      </c>
      <c r="AX41" s="209"/>
      <c r="AY41" s="217"/>
      <c r="AZ41" s="231"/>
      <c r="BA41" s="217"/>
      <c r="BB41" s="217"/>
      <c r="BC41" s="51">
        <f t="shared" si="17"/>
        <v>0</v>
      </c>
      <c r="BD41" s="209"/>
      <c r="BE41" s="217"/>
      <c r="BF41" s="231"/>
      <c r="BG41" s="217"/>
      <c r="BH41" s="217"/>
      <c r="BI41" s="51">
        <f t="shared" si="18"/>
        <v>0</v>
      </c>
      <c r="BJ41" s="209"/>
    </row>
    <row r="42" spans="1:62">
      <c r="A42" s="209">
        <v>45729</v>
      </c>
      <c r="B42" s="51"/>
      <c r="C42" s="51"/>
      <c r="D42" s="233"/>
      <c r="E42" s="51"/>
      <c r="F42" s="51"/>
      <c r="G42" s="215">
        <f t="shared" si="4"/>
        <v>0</v>
      </c>
      <c r="H42" s="51"/>
      <c r="I42" s="51">
        <v>450</v>
      </c>
      <c r="J42" s="51">
        <v>450</v>
      </c>
      <c r="K42" s="217">
        <f t="shared" si="7"/>
        <v>900</v>
      </c>
      <c r="L42" s="217">
        <f t="shared" si="9"/>
        <v>14750</v>
      </c>
      <c r="M42" s="51">
        <v>450</v>
      </c>
      <c r="N42" s="51">
        <v>450</v>
      </c>
      <c r="O42" s="217">
        <f t="shared" si="12"/>
        <v>900</v>
      </c>
      <c r="P42" s="217">
        <f t="shared" si="13"/>
        <v>2950</v>
      </c>
      <c r="Q42" s="51">
        <v>300</v>
      </c>
      <c r="R42" s="51">
        <v>300</v>
      </c>
      <c r="S42" s="51">
        <v>300</v>
      </c>
      <c r="T42" s="51">
        <v>300</v>
      </c>
      <c r="U42" s="213">
        <v>200</v>
      </c>
      <c r="V42" s="213">
        <v>200</v>
      </c>
      <c r="W42" s="51">
        <v>300</v>
      </c>
      <c r="X42" s="51">
        <v>300</v>
      </c>
      <c r="Y42" s="51">
        <v>300</v>
      </c>
      <c r="Z42" s="51">
        <v>300</v>
      </c>
      <c r="AA42" s="51">
        <v>300</v>
      </c>
      <c r="AB42" s="51">
        <v>300</v>
      </c>
      <c r="AC42" s="51">
        <v>300</v>
      </c>
      <c r="AD42" s="51">
        <v>300</v>
      </c>
      <c r="AE42" s="51">
        <v>300</v>
      </c>
      <c r="AF42" s="51">
        <v>300</v>
      </c>
      <c r="AG42" s="51">
        <v>300</v>
      </c>
      <c r="AH42" s="51">
        <v>300</v>
      </c>
      <c r="AI42" s="51">
        <v>300</v>
      </c>
      <c r="AJ42" s="51">
        <v>300</v>
      </c>
      <c r="AK42" s="217">
        <f t="shared" si="14"/>
        <v>5800</v>
      </c>
      <c r="AL42" s="217">
        <f t="shared" si="15"/>
        <v>51700</v>
      </c>
      <c r="AM42" s="51">
        <v>450</v>
      </c>
      <c r="AN42" s="51">
        <v>450</v>
      </c>
      <c r="AO42" s="217">
        <f t="shared" si="8"/>
        <v>900</v>
      </c>
      <c r="AP42" s="217">
        <f t="shared" si="10"/>
        <v>4750</v>
      </c>
      <c r="AQ42" s="51">
        <f t="shared" si="5"/>
        <v>6700</v>
      </c>
      <c r="AR42" s="51">
        <f t="shared" si="11"/>
        <v>31450</v>
      </c>
      <c r="AS42" s="217"/>
      <c r="AT42" s="217"/>
      <c r="AU42" s="217"/>
      <c r="AV42" s="217"/>
      <c r="AW42" s="51">
        <f t="shared" si="16"/>
        <v>0</v>
      </c>
      <c r="AX42" s="209"/>
      <c r="AY42" s="217"/>
      <c r="AZ42" s="231"/>
      <c r="BA42" s="217"/>
      <c r="BB42" s="217"/>
      <c r="BC42" s="51">
        <f t="shared" si="17"/>
        <v>0</v>
      </c>
      <c r="BD42" s="209"/>
      <c r="BE42" s="217"/>
      <c r="BF42" s="231"/>
      <c r="BG42" s="217"/>
      <c r="BH42" s="217"/>
      <c r="BI42" s="51">
        <f t="shared" si="18"/>
        <v>0</v>
      </c>
      <c r="BJ42" s="209"/>
    </row>
    <row r="43" spans="1:62">
      <c r="A43" s="209">
        <v>45730</v>
      </c>
      <c r="B43" s="51"/>
      <c r="C43" s="51"/>
      <c r="D43" s="233"/>
      <c r="E43" s="51">
        <v>9000</v>
      </c>
      <c r="F43" s="51"/>
      <c r="G43" s="215">
        <f t="shared" si="4"/>
        <v>0</v>
      </c>
      <c r="H43" s="51"/>
      <c r="I43" s="51">
        <v>450</v>
      </c>
      <c r="J43" s="51">
        <v>450</v>
      </c>
      <c r="K43" s="217">
        <f t="shared" si="7"/>
        <v>900</v>
      </c>
      <c r="L43" s="217">
        <f t="shared" si="9"/>
        <v>15650</v>
      </c>
      <c r="M43" s="51">
        <v>450</v>
      </c>
      <c r="N43" s="51">
        <v>450</v>
      </c>
      <c r="O43" s="217">
        <f t="shared" si="12"/>
        <v>900</v>
      </c>
      <c r="P43" s="217">
        <f t="shared" si="13"/>
        <v>3850</v>
      </c>
      <c r="Q43" s="51">
        <v>300</v>
      </c>
      <c r="R43" s="51">
        <v>300</v>
      </c>
      <c r="S43" s="51">
        <v>300</v>
      </c>
      <c r="T43" s="51">
        <v>300</v>
      </c>
      <c r="U43" s="51">
        <v>300</v>
      </c>
      <c r="V43" s="51">
        <v>300</v>
      </c>
      <c r="W43" s="213">
        <v>200</v>
      </c>
      <c r="X43" s="213">
        <v>200</v>
      </c>
      <c r="Y43" s="51">
        <v>300</v>
      </c>
      <c r="Z43" s="51">
        <v>300</v>
      </c>
      <c r="AA43" s="51">
        <v>300</v>
      </c>
      <c r="AB43" s="51">
        <v>300</v>
      </c>
      <c r="AC43" s="51">
        <v>300</v>
      </c>
      <c r="AD43" s="51">
        <v>300</v>
      </c>
      <c r="AE43" s="51">
        <v>300</v>
      </c>
      <c r="AF43" s="51">
        <v>300</v>
      </c>
      <c r="AG43" s="51">
        <v>300</v>
      </c>
      <c r="AH43" s="51">
        <v>300</v>
      </c>
      <c r="AI43" s="51">
        <v>300</v>
      </c>
      <c r="AJ43" s="51">
        <v>300</v>
      </c>
      <c r="AK43" s="217">
        <f t="shared" si="14"/>
        <v>5800</v>
      </c>
      <c r="AL43" s="217">
        <f t="shared" si="15"/>
        <v>57500</v>
      </c>
      <c r="AM43" s="51">
        <v>450</v>
      </c>
      <c r="AN43" s="51">
        <v>450</v>
      </c>
      <c r="AO43" s="217">
        <f t="shared" si="8"/>
        <v>900</v>
      </c>
      <c r="AP43" s="217">
        <f t="shared" si="10"/>
        <v>5650</v>
      </c>
      <c r="AQ43" s="51">
        <f t="shared" si="5"/>
        <v>6700</v>
      </c>
      <c r="AR43" s="51">
        <f t="shared" si="11"/>
        <v>13150</v>
      </c>
      <c r="AS43" s="217"/>
      <c r="AT43" s="231"/>
      <c r="AU43" s="217">
        <v>25000</v>
      </c>
      <c r="AV43" s="231">
        <f>A43+12</f>
        <v>45742</v>
      </c>
      <c r="AW43" s="51">
        <f t="shared" si="16"/>
        <v>25000</v>
      </c>
      <c r="AX43" s="209">
        <f>AV43</f>
        <v>45742</v>
      </c>
      <c r="AY43" s="217"/>
      <c r="AZ43" s="231"/>
      <c r="BA43" s="217"/>
      <c r="BB43" s="231"/>
      <c r="BC43" s="51">
        <f t="shared" si="17"/>
        <v>0</v>
      </c>
      <c r="BD43" s="209"/>
      <c r="BE43" s="217"/>
      <c r="BF43" s="231"/>
      <c r="BG43" s="217"/>
      <c r="BH43" s="231"/>
      <c r="BI43" s="51">
        <f t="shared" si="18"/>
        <v>0</v>
      </c>
      <c r="BJ43" s="209"/>
    </row>
    <row r="44" spans="1:62">
      <c r="A44" s="209">
        <v>45731</v>
      </c>
      <c r="B44" s="51">
        <v>8000</v>
      </c>
      <c r="C44" s="51"/>
      <c r="D44" s="233"/>
      <c r="E44" s="51"/>
      <c r="F44" s="51"/>
      <c r="G44" s="215">
        <f t="shared" si="4"/>
        <v>55944.055944055952</v>
      </c>
      <c r="H44" s="51"/>
      <c r="I44" s="51">
        <v>450</v>
      </c>
      <c r="J44" s="51">
        <v>450</v>
      </c>
      <c r="K44" s="217">
        <f t="shared" si="7"/>
        <v>900</v>
      </c>
      <c r="L44" s="217">
        <f t="shared" si="9"/>
        <v>16550</v>
      </c>
      <c r="M44" s="51">
        <v>450</v>
      </c>
      <c r="N44" s="51">
        <v>450</v>
      </c>
      <c r="O44" s="217">
        <f t="shared" si="12"/>
        <v>900</v>
      </c>
      <c r="P44" s="217">
        <f t="shared" si="13"/>
        <v>4750</v>
      </c>
      <c r="Q44" s="51">
        <v>300</v>
      </c>
      <c r="R44" s="51">
        <v>300</v>
      </c>
      <c r="S44" s="51">
        <v>300</v>
      </c>
      <c r="T44" s="51">
        <v>300</v>
      </c>
      <c r="U44" s="51">
        <v>300</v>
      </c>
      <c r="V44" s="51">
        <v>300</v>
      </c>
      <c r="W44" s="51">
        <v>300</v>
      </c>
      <c r="X44" s="51">
        <v>300</v>
      </c>
      <c r="Y44" s="213">
        <v>200</v>
      </c>
      <c r="Z44" s="213">
        <v>200</v>
      </c>
      <c r="AA44" s="51">
        <v>300</v>
      </c>
      <c r="AB44" s="51">
        <v>300</v>
      </c>
      <c r="AC44" s="51">
        <v>300</v>
      </c>
      <c r="AD44" s="51">
        <v>300</v>
      </c>
      <c r="AE44" s="51">
        <v>300</v>
      </c>
      <c r="AF44" s="51">
        <v>300</v>
      </c>
      <c r="AG44" s="51">
        <v>300</v>
      </c>
      <c r="AH44" s="51">
        <v>300</v>
      </c>
      <c r="AI44" s="51">
        <v>300</v>
      </c>
      <c r="AJ44" s="51">
        <v>300</v>
      </c>
      <c r="AK44" s="217">
        <f t="shared" si="14"/>
        <v>5800</v>
      </c>
      <c r="AL44" s="217">
        <f t="shared" si="15"/>
        <v>63300</v>
      </c>
      <c r="AM44" s="51">
        <v>450</v>
      </c>
      <c r="AN44" s="51">
        <v>450</v>
      </c>
      <c r="AO44" s="217">
        <f t="shared" si="8"/>
        <v>900</v>
      </c>
      <c r="AP44" s="217">
        <f t="shared" si="10"/>
        <v>6550</v>
      </c>
      <c r="AQ44" s="51">
        <f t="shared" si="5"/>
        <v>6700</v>
      </c>
      <c r="AR44" s="51">
        <f t="shared" si="11"/>
        <v>19850</v>
      </c>
      <c r="AS44" s="217"/>
      <c r="AT44" s="217"/>
      <c r="AU44" s="217"/>
      <c r="AV44" s="217"/>
      <c r="AW44" s="51">
        <f t="shared" si="16"/>
        <v>0</v>
      </c>
      <c r="AX44" s="209"/>
      <c r="AY44" s="217"/>
      <c r="AZ44" s="231"/>
      <c r="BA44" s="217"/>
      <c r="BB44" s="231"/>
      <c r="BC44" s="51">
        <f t="shared" si="17"/>
        <v>0</v>
      </c>
      <c r="BD44" s="209"/>
      <c r="BE44" s="217"/>
      <c r="BF44" s="231"/>
      <c r="BG44" s="217"/>
      <c r="BH44" s="217"/>
      <c r="BI44" s="51">
        <f t="shared" si="18"/>
        <v>0</v>
      </c>
      <c r="BJ44" s="209"/>
    </row>
    <row r="45" spans="1:62">
      <c r="A45" s="209">
        <v>45732</v>
      </c>
      <c r="B45" s="51"/>
      <c r="C45" s="51"/>
      <c r="D45" s="233"/>
      <c r="E45" s="51"/>
      <c r="F45" s="51"/>
      <c r="G45" s="215">
        <f t="shared" si="4"/>
        <v>0</v>
      </c>
      <c r="H45" s="51"/>
      <c r="I45" s="51">
        <v>450</v>
      </c>
      <c r="J45" s="51">
        <v>450</v>
      </c>
      <c r="K45" s="217">
        <f t="shared" si="7"/>
        <v>900</v>
      </c>
      <c r="L45" s="217">
        <f t="shared" si="9"/>
        <v>17450</v>
      </c>
      <c r="M45" s="214">
        <v>200</v>
      </c>
      <c r="N45" s="51">
        <v>450</v>
      </c>
      <c r="O45" s="217">
        <f t="shared" si="12"/>
        <v>650</v>
      </c>
      <c r="P45" s="217">
        <f t="shared" si="13"/>
        <v>5400</v>
      </c>
      <c r="Q45" s="51">
        <v>300</v>
      </c>
      <c r="R45" s="51">
        <v>300</v>
      </c>
      <c r="S45" s="51">
        <v>300</v>
      </c>
      <c r="T45" s="51">
        <v>300</v>
      </c>
      <c r="U45" s="51">
        <v>300</v>
      </c>
      <c r="V45" s="51">
        <v>300</v>
      </c>
      <c r="W45" s="51">
        <v>300</v>
      </c>
      <c r="X45" s="51">
        <v>300</v>
      </c>
      <c r="Y45" s="51">
        <v>300</v>
      </c>
      <c r="Z45" s="51">
        <v>300</v>
      </c>
      <c r="AA45" s="213">
        <v>200</v>
      </c>
      <c r="AB45" s="213">
        <v>200</v>
      </c>
      <c r="AC45" s="51">
        <v>300</v>
      </c>
      <c r="AD45" s="51">
        <v>300</v>
      </c>
      <c r="AE45" s="51">
        <v>300</v>
      </c>
      <c r="AF45" s="51">
        <v>300</v>
      </c>
      <c r="AG45" s="51">
        <v>300</v>
      </c>
      <c r="AH45" s="51">
        <v>300</v>
      </c>
      <c r="AI45" s="51">
        <v>300</v>
      </c>
      <c r="AJ45" s="51">
        <v>300</v>
      </c>
      <c r="AK45" s="217">
        <f t="shared" si="14"/>
        <v>5800</v>
      </c>
      <c r="AL45" s="217">
        <f t="shared" si="15"/>
        <v>69100</v>
      </c>
      <c r="AM45" s="51">
        <v>450</v>
      </c>
      <c r="AN45" s="51">
        <v>450</v>
      </c>
      <c r="AO45" s="217">
        <f t="shared" si="8"/>
        <v>900</v>
      </c>
      <c r="AP45" s="217">
        <f t="shared" si="10"/>
        <v>7450</v>
      </c>
      <c r="AQ45" s="51">
        <f t="shared" si="5"/>
        <v>6700</v>
      </c>
      <c r="AR45" s="51">
        <f t="shared" si="11"/>
        <v>26550</v>
      </c>
      <c r="AS45" s="217"/>
      <c r="AT45" s="217"/>
      <c r="AU45" s="217"/>
      <c r="AV45" s="217"/>
      <c r="AW45" s="51">
        <f t="shared" si="16"/>
        <v>0</v>
      </c>
      <c r="AX45" s="209"/>
      <c r="AY45" s="217"/>
      <c r="AZ45" s="231"/>
      <c r="BA45" s="217"/>
      <c r="BB45" s="217"/>
      <c r="BC45" s="51">
        <f t="shared" si="17"/>
        <v>0</v>
      </c>
      <c r="BD45" s="209"/>
      <c r="BE45" s="217"/>
      <c r="BF45" s="231"/>
      <c r="BG45" s="217"/>
      <c r="BH45" s="217"/>
      <c r="BI45" s="51">
        <f t="shared" si="18"/>
        <v>0</v>
      </c>
      <c r="BJ45" s="209"/>
    </row>
    <row r="46" spans="1:62">
      <c r="A46" s="209">
        <v>45733</v>
      </c>
      <c r="B46" s="51"/>
      <c r="C46" s="51">
        <v>5000</v>
      </c>
      <c r="D46" s="233"/>
      <c r="E46" s="51"/>
      <c r="F46" s="51"/>
      <c r="G46" s="215">
        <f t="shared" si="4"/>
        <v>34965.034965034967</v>
      </c>
      <c r="H46" s="51"/>
      <c r="I46" s="51">
        <v>450</v>
      </c>
      <c r="J46" s="51">
        <v>450</v>
      </c>
      <c r="K46" s="217">
        <f t="shared" si="7"/>
        <v>900</v>
      </c>
      <c r="L46" s="217">
        <f t="shared" si="9"/>
        <v>18350</v>
      </c>
      <c r="M46" s="51">
        <v>450</v>
      </c>
      <c r="N46" s="214">
        <v>200</v>
      </c>
      <c r="O46" s="217">
        <f t="shared" si="12"/>
        <v>650</v>
      </c>
      <c r="P46" s="217">
        <f t="shared" si="13"/>
        <v>6050</v>
      </c>
      <c r="Q46" s="51">
        <v>300</v>
      </c>
      <c r="R46" s="51">
        <v>300</v>
      </c>
      <c r="S46" s="51">
        <v>300</v>
      </c>
      <c r="T46" s="51">
        <v>300</v>
      </c>
      <c r="U46" s="51">
        <v>300</v>
      </c>
      <c r="V46" s="51">
        <v>300</v>
      </c>
      <c r="W46" s="51">
        <v>300</v>
      </c>
      <c r="X46" s="51">
        <v>300</v>
      </c>
      <c r="Y46" s="51">
        <v>300</v>
      </c>
      <c r="Z46" s="51">
        <v>300</v>
      </c>
      <c r="AA46" s="51">
        <v>300</v>
      </c>
      <c r="AB46" s="51">
        <v>300</v>
      </c>
      <c r="AC46" s="213">
        <v>200</v>
      </c>
      <c r="AD46" s="213">
        <v>200</v>
      </c>
      <c r="AE46" s="51">
        <v>300</v>
      </c>
      <c r="AF46" s="51">
        <v>300</v>
      </c>
      <c r="AG46" s="51">
        <v>300</v>
      </c>
      <c r="AH46" s="51">
        <v>300</v>
      </c>
      <c r="AI46" s="51">
        <v>300</v>
      </c>
      <c r="AJ46" s="51">
        <v>300</v>
      </c>
      <c r="AK46" s="217">
        <f t="shared" si="14"/>
        <v>5800</v>
      </c>
      <c r="AL46" s="217">
        <f t="shared" si="15"/>
        <v>74900</v>
      </c>
      <c r="AM46" s="51">
        <v>450</v>
      </c>
      <c r="AN46" s="51">
        <v>450</v>
      </c>
      <c r="AO46" s="217">
        <f t="shared" si="8"/>
        <v>900</v>
      </c>
      <c r="AP46" s="217">
        <f t="shared" si="10"/>
        <v>8350</v>
      </c>
      <c r="AQ46" s="51">
        <f t="shared" si="5"/>
        <v>6700</v>
      </c>
      <c r="AR46" s="51">
        <f t="shared" si="11"/>
        <v>33250</v>
      </c>
      <c r="AS46" s="217"/>
      <c r="AT46" s="217"/>
      <c r="AU46" s="217"/>
      <c r="AV46" s="231"/>
      <c r="AW46" s="51">
        <f t="shared" si="16"/>
        <v>0</v>
      </c>
      <c r="AX46" s="209"/>
      <c r="AY46" s="217"/>
      <c r="AZ46" s="231"/>
      <c r="BA46" s="217"/>
      <c r="BB46" s="231"/>
      <c r="BC46" s="51">
        <f t="shared" si="17"/>
        <v>0</v>
      </c>
      <c r="BD46" s="209"/>
      <c r="BE46" s="217"/>
      <c r="BF46" s="231"/>
      <c r="BG46" s="217"/>
      <c r="BH46" s="231"/>
      <c r="BI46" s="51">
        <f t="shared" si="18"/>
        <v>0</v>
      </c>
      <c r="BJ46" s="209"/>
    </row>
    <row r="47" spans="1:62">
      <c r="A47" s="209">
        <v>45734</v>
      </c>
      <c r="B47" s="51"/>
      <c r="C47" s="51"/>
      <c r="D47" s="233"/>
      <c r="E47" s="51"/>
      <c r="F47" s="51"/>
      <c r="G47" s="215">
        <f t="shared" si="4"/>
        <v>0</v>
      </c>
      <c r="H47" s="51"/>
      <c r="I47" s="214">
        <v>200</v>
      </c>
      <c r="J47" s="51">
        <v>450</v>
      </c>
      <c r="K47" s="217">
        <f t="shared" si="7"/>
        <v>650</v>
      </c>
      <c r="L47" s="217">
        <f t="shared" si="9"/>
        <v>19000</v>
      </c>
      <c r="M47" s="51">
        <v>450</v>
      </c>
      <c r="N47" s="51">
        <v>450</v>
      </c>
      <c r="O47" s="217">
        <f t="shared" si="12"/>
        <v>900</v>
      </c>
      <c r="P47" s="217">
        <f t="shared" si="13"/>
        <v>6950</v>
      </c>
      <c r="Q47" s="51">
        <v>300</v>
      </c>
      <c r="R47" s="51">
        <v>300</v>
      </c>
      <c r="S47" s="51">
        <v>300</v>
      </c>
      <c r="T47" s="51">
        <v>300</v>
      </c>
      <c r="U47" s="51">
        <v>300</v>
      </c>
      <c r="V47" s="51">
        <v>300</v>
      </c>
      <c r="W47" s="51">
        <v>300</v>
      </c>
      <c r="X47" s="51">
        <v>300</v>
      </c>
      <c r="Y47" s="51">
        <v>300</v>
      </c>
      <c r="Z47" s="51">
        <v>300</v>
      </c>
      <c r="AA47" s="51">
        <v>300</v>
      </c>
      <c r="AB47" s="51">
        <v>300</v>
      </c>
      <c r="AC47" s="51">
        <v>300</v>
      </c>
      <c r="AD47" s="51">
        <v>300</v>
      </c>
      <c r="AE47" s="213">
        <v>200</v>
      </c>
      <c r="AF47" s="51">
        <v>300</v>
      </c>
      <c r="AG47" s="51">
        <v>300</v>
      </c>
      <c r="AH47" s="51">
        <v>300</v>
      </c>
      <c r="AI47" s="51">
        <v>300</v>
      </c>
      <c r="AJ47" s="51">
        <v>300</v>
      </c>
      <c r="AK47" s="217">
        <f t="shared" si="14"/>
        <v>5900</v>
      </c>
      <c r="AL47" s="217">
        <f t="shared" si="15"/>
        <v>80800</v>
      </c>
      <c r="AM47" s="214">
        <v>200</v>
      </c>
      <c r="AN47" s="51">
        <v>450</v>
      </c>
      <c r="AO47" s="217">
        <f t="shared" si="8"/>
        <v>650</v>
      </c>
      <c r="AP47" s="217">
        <f t="shared" si="10"/>
        <v>9000</v>
      </c>
      <c r="AQ47" s="51">
        <f t="shared" si="5"/>
        <v>6550</v>
      </c>
      <c r="AR47" s="51">
        <f t="shared" si="11"/>
        <v>14800</v>
      </c>
      <c r="AS47" s="217">
        <v>25000</v>
      </c>
      <c r="AT47" s="231">
        <f>A47+12</f>
        <v>45746</v>
      </c>
      <c r="AU47" s="217"/>
      <c r="AV47" s="217"/>
      <c r="AW47" s="51">
        <f t="shared" si="16"/>
        <v>25000</v>
      </c>
      <c r="AX47" s="209">
        <f>AT47</f>
        <v>45746</v>
      </c>
      <c r="AY47" s="217"/>
      <c r="AZ47" s="231"/>
      <c r="BA47" s="217"/>
      <c r="BB47" s="217"/>
      <c r="BC47" s="51">
        <f t="shared" si="17"/>
        <v>0</v>
      </c>
      <c r="BD47" s="209"/>
      <c r="BE47" s="217"/>
      <c r="BF47" s="231"/>
      <c r="BG47" s="217"/>
      <c r="BH47" s="217"/>
      <c r="BI47" s="51">
        <f t="shared" si="18"/>
        <v>0</v>
      </c>
      <c r="BJ47" s="209"/>
    </row>
    <row r="48" spans="1:62">
      <c r="A48" s="209">
        <v>45735</v>
      </c>
      <c r="B48" s="51"/>
      <c r="C48" s="51"/>
      <c r="D48" s="233"/>
      <c r="E48" s="51"/>
      <c r="F48" s="51"/>
      <c r="G48" s="215">
        <f t="shared" si="4"/>
        <v>0</v>
      </c>
      <c r="H48" s="51"/>
      <c r="I48" s="51">
        <v>450</v>
      </c>
      <c r="J48" s="214">
        <v>200</v>
      </c>
      <c r="K48" s="217">
        <f t="shared" si="7"/>
        <v>650</v>
      </c>
      <c r="L48" s="217">
        <f t="shared" si="9"/>
        <v>19650</v>
      </c>
      <c r="M48" s="51">
        <v>450</v>
      </c>
      <c r="N48" s="51">
        <v>450</v>
      </c>
      <c r="O48" s="217">
        <f t="shared" si="12"/>
        <v>900</v>
      </c>
      <c r="P48" s="217">
        <f t="shared" si="13"/>
        <v>7850</v>
      </c>
      <c r="Q48" s="51">
        <v>300</v>
      </c>
      <c r="R48" s="51">
        <v>300</v>
      </c>
      <c r="S48" s="51">
        <v>300</v>
      </c>
      <c r="T48" s="51">
        <v>300</v>
      </c>
      <c r="U48" s="51">
        <v>300</v>
      </c>
      <c r="V48" s="51">
        <v>300</v>
      </c>
      <c r="W48" s="51">
        <v>300</v>
      </c>
      <c r="X48" s="51">
        <v>300</v>
      </c>
      <c r="Y48" s="51">
        <v>300</v>
      </c>
      <c r="Z48" s="51">
        <v>300</v>
      </c>
      <c r="AA48" s="51">
        <v>300</v>
      </c>
      <c r="AB48" s="51">
        <v>300</v>
      </c>
      <c r="AC48" s="51">
        <v>300</v>
      </c>
      <c r="AD48" s="51">
        <v>300</v>
      </c>
      <c r="AE48" s="51">
        <v>300</v>
      </c>
      <c r="AF48" s="213">
        <v>200</v>
      </c>
      <c r="AG48" s="51">
        <v>300</v>
      </c>
      <c r="AH48" s="51">
        <v>300</v>
      </c>
      <c r="AI48" s="51">
        <v>300</v>
      </c>
      <c r="AJ48" s="51">
        <v>300</v>
      </c>
      <c r="AK48" s="217">
        <f t="shared" si="14"/>
        <v>5900</v>
      </c>
      <c r="AL48" s="217">
        <f t="shared" si="15"/>
        <v>86700</v>
      </c>
      <c r="AM48" s="51">
        <v>450</v>
      </c>
      <c r="AN48" s="214">
        <v>200</v>
      </c>
      <c r="AO48" s="217">
        <f t="shared" si="8"/>
        <v>650</v>
      </c>
      <c r="AP48" s="217">
        <f t="shared" si="10"/>
        <v>9650</v>
      </c>
      <c r="AQ48" s="51">
        <f t="shared" si="5"/>
        <v>6550</v>
      </c>
      <c r="AR48" s="51">
        <f t="shared" si="11"/>
        <v>21350</v>
      </c>
      <c r="AS48" s="217"/>
      <c r="AT48" s="231"/>
      <c r="AU48" s="217"/>
      <c r="AV48" s="217"/>
      <c r="AW48" s="51">
        <f t="shared" si="16"/>
        <v>0</v>
      </c>
      <c r="AX48" s="209"/>
      <c r="AY48" s="217"/>
      <c r="AZ48" s="231"/>
      <c r="BA48" s="217"/>
      <c r="BB48" s="231"/>
      <c r="BC48" s="51">
        <f>AY48+BA48</f>
        <v>0</v>
      </c>
      <c r="BD48" s="209"/>
      <c r="BE48" s="217"/>
      <c r="BF48" s="231"/>
      <c r="BG48" s="217"/>
      <c r="BH48" s="231"/>
      <c r="BI48" s="51">
        <f>BE48+BG48</f>
        <v>0</v>
      </c>
      <c r="BJ48" s="209"/>
    </row>
    <row r="49" spans="1:62">
      <c r="A49" s="209">
        <v>45736</v>
      </c>
      <c r="B49" s="51"/>
      <c r="C49" s="51"/>
      <c r="D49" s="233"/>
      <c r="E49" s="51"/>
      <c r="F49" s="51">
        <v>9000</v>
      </c>
      <c r="G49" s="215">
        <f t="shared" si="4"/>
        <v>0</v>
      </c>
      <c r="H49" s="51"/>
      <c r="I49" s="51">
        <v>450</v>
      </c>
      <c r="J49" s="51">
        <v>450</v>
      </c>
      <c r="K49" s="217">
        <f t="shared" si="7"/>
        <v>900</v>
      </c>
      <c r="L49" s="217">
        <f t="shared" si="9"/>
        <v>20550</v>
      </c>
      <c r="M49" s="51">
        <v>450</v>
      </c>
      <c r="N49" s="51">
        <v>450</v>
      </c>
      <c r="O49" s="217">
        <f t="shared" si="12"/>
        <v>900</v>
      </c>
      <c r="P49" s="217">
        <f t="shared" si="13"/>
        <v>8750</v>
      </c>
      <c r="Q49" s="51">
        <v>300</v>
      </c>
      <c r="R49" s="51">
        <v>300</v>
      </c>
      <c r="S49" s="51">
        <v>300</v>
      </c>
      <c r="T49" s="51">
        <v>300</v>
      </c>
      <c r="U49" s="51">
        <v>300</v>
      </c>
      <c r="V49" s="51">
        <v>300</v>
      </c>
      <c r="W49" s="51">
        <v>300</v>
      </c>
      <c r="X49" s="51">
        <v>300</v>
      </c>
      <c r="Y49" s="51">
        <v>300</v>
      </c>
      <c r="Z49" s="51">
        <v>300</v>
      </c>
      <c r="AA49" s="51">
        <v>300</v>
      </c>
      <c r="AB49" s="51">
        <v>300</v>
      </c>
      <c r="AC49" s="51">
        <v>300</v>
      </c>
      <c r="AD49" s="51">
        <v>300</v>
      </c>
      <c r="AE49" s="51">
        <v>300</v>
      </c>
      <c r="AF49" s="51">
        <v>300</v>
      </c>
      <c r="AG49" s="213">
        <v>200</v>
      </c>
      <c r="AH49" s="51">
        <v>300</v>
      </c>
      <c r="AI49" s="51">
        <v>300</v>
      </c>
      <c r="AJ49" s="51">
        <v>300</v>
      </c>
      <c r="AK49" s="217">
        <f t="shared" si="14"/>
        <v>5900</v>
      </c>
      <c r="AL49" s="217">
        <f t="shared" si="15"/>
        <v>92600</v>
      </c>
      <c r="AM49" s="51">
        <v>450</v>
      </c>
      <c r="AN49" s="51">
        <v>450</v>
      </c>
      <c r="AO49" s="217">
        <f t="shared" si="8"/>
        <v>900</v>
      </c>
      <c r="AP49" s="217">
        <f t="shared" si="10"/>
        <v>10550</v>
      </c>
      <c r="AQ49" s="51">
        <f t="shared" si="5"/>
        <v>6800</v>
      </c>
      <c r="AR49" s="51">
        <f t="shared" si="11"/>
        <v>28150</v>
      </c>
      <c r="AS49" s="217"/>
      <c r="AT49" s="217"/>
      <c r="AU49" s="217"/>
      <c r="AV49" s="217"/>
      <c r="AW49" s="51">
        <f t="shared" si="16"/>
        <v>0</v>
      </c>
      <c r="AX49" s="209"/>
      <c r="AY49" s="217"/>
      <c r="AZ49" s="231"/>
      <c r="BA49" s="217"/>
      <c r="BB49" s="217"/>
      <c r="BC49" s="51">
        <f t="shared" si="17"/>
        <v>0</v>
      </c>
      <c r="BD49" s="209"/>
      <c r="BE49" s="217"/>
      <c r="BF49" s="231"/>
      <c r="BG49" s="217"/>
      <c r="BH49" s="217"/>
      <c r="BI49" s="51">
        <f t="shared" ref="BI49:BI89" si="19">BE49+BG49</f>
        <v>0</v>
      </c>
      <c r="BJ49" s="209"/>
    </row>
    <row r="50" spans="1:62">
      <c r="A50" s="209">
        <v>45737</v>
      </c>
      <c r="B50" s="51"/>
      <c r="C50" s="51"/>
      <c r="D50" s="233"/>
      <c r="E50" s="51"/>
      <c r="F50" s="51"/>
      <c r="G50" s="215">
        <f t="shared" si="4"/>
        <v>0</v>
      </c>
      <c r="H50" s="51"/>
      <c r="I50" s="51">
        <v>450</v>
      </c>
      <c r="J50" s="51">
        <v>450</v>
      </c>
      <c r="K50" s="217">
        <f t="shared" si="7"/>
        <v>900</v>
      </c>
      <c r="L50" s="217">
        <f t="shared" si="9"/>
        <v>21450</v>
      </c>
      <c r="M50" s="51">
        <v>450</v>
      </c>
      <c r="N50" s="51">
        <v>450</v>
      </c>
      <c r="O50" s="217">
        <f t="shared" si="12"/>
        <v>900</v>
      </c>
      <c r="P50" s="217">
        <f t="shared" si="13"/>
        <v>9650</v>
      </c>
      <c r="Q50" s="51">
        <v>300</v>
      </c>
      <c r="R50" s="51">
        <v>300</v>
      </c>
      <c r="S50" s="51">
        <v>300</v>
      </c>
      <c r="T50" s="51">
        <v>300</v>
      </c>
      <c r="U50" s="51">
        <v>300</v>
      </c>
      <c r="V50" s="51">
        <v>300</v>
      </c>
      <c r="W50" s="51">
        <v>300</v>
      </c>
      <c r="X50" s="51">
        <v>300</v>
      </c>
      <c r="Y50" s="51">
        <v>300</v>
      </c>
      <c r="Z50" s="51">
        <v>300</v>
      </c>
      <c r="AA50" s="51">
        <v>300</v>
      </c>
      <c r="AB50" s="51">
        <v>300</v>
      </c>
      <c r="AC50" s="51">
        <v>300</v>
      </c>
      <c r="AD50" s="51">
        <v>300</v>
      </c>
      <c r="AE50" s="51">
        <v>300</v>
      </c>
      <c r="AF50" s="51">
        <v>300</v>
      </c>
      <c r="AG50" s="51">
        <v>300</v>
      </c>
      <c r="AH50" s="213">
        <v>200</v>
      </c>
      <c r="AI50" s="51">
        <v>300</v>
      </c>
      <c r="AJ50" s="51">
        <v>300</v>
      </c>
      <c r="AK50" s="217">
        <f t="shared" si="14"/>
        <v>5900</v>
      </c>
      <c r="AL50" s="217">
        <f t="shared" si="15"/>
        <v>98500</v>
      </c>
      <c r="AM50" s="51">
        <v>450</v>
      </c>
      <c r="AN50" s="51">
        <v>450</v>
      </c>
      <c r="AO50" s="217">
        <f t="shared" si="8"/>
        <v>900</v>
      </c>
      <c r="AP50" s="217">
        <f t="shared" si="10"/>
        <v>11450</v>
      </c>
      <c r="AQ50" s="51">
        <f t="shared" si="5"/>
        <v>6800</v>
      </c>
      <c r="AR50" s="51">
        <f t="shared" si="11"/>
        <v>34950</v>
      </c>
      <c r="AS50" s="217"/>
      <c r="AT50" s="217"/>
      <c r="AU50" s="217"/>
      <c r="AV50" s="217"/>
      <c r="AW50" s="51">
        <f t="shared" si="16"/>
        <v>0</v>
      </c>
      <c r="AX50" s="209"/>
      <c r="AY50" s="217"/>
      <c r="AZ50" s="231"/>
      <c r="BA50" s="217"/>
      <c r="BB50" s="217"/>
      <c r="BC50" s="51">
        <f t="shared" si="17"/>
        <v>0</v>
      </c>
      <c r="BD50" s="209"/>
      <c r="BE50" s="217"/>
      <c r="BF50" s="231"/>
      <c r="BG50" s="217"/>
      <c r="BH50" s="217"/>
      <c r="BI50" s="51">
        <f t="shared" si="19"/>
        <v>0</v>
      </c>
      <c r="BJ50" s="209"/>
    </row>
    <row r="51" spans="1:62">
      <c r="A51" s="209">
        <v>45738</v>
      </c>
      <c r="B51" s="51"/>
      <c r="C51" s="51"/>
      <c r="D51" s="233"/>
      <c r="E51" s="51">
        <v>5000</v>
      </c>
      <c r="F51" s="51"/>
      <c r="G51" s="215">
        <f t="shared" si="4"/>
        <v>0</v>
      </c>
      <c r="H51" s="51"/>
      <c r="I51" s="51">
        <v>450</v>
      </c>
      <c r="J51" s="51">
        <v>450</v>
      </c>
      <c r="K51" s="217">
        <f t="shared" si="7"/>
        <v>900</v>
      </c>
      <c r="L51" s="217">
        <f t="shared" si="9"/>
        <v>22350</v>
      </c>
      <c r="M51" s="51">
        <v>450</v>
      </c>
      <c r="N51" s="51">
        <v>450</v>
      </c>
      <c r="O51" s="217">
        <f t="shared" si="12"/>
        <v>900</v>
      </c>
      <c r="P51" s="217">
        <f t="shared" si="13"/>
        <v>10550</v>
      </c>
      <c r="Q51" s="213">
        <v>200</v>
      </c>
      <c r="R51" s="213">
        <v>200</v>
      </c>
      <c r="S51" s="51">
        <v>300</v>
      </c>
      <c r="T51" s="51">
        <v>300</v>
      </c>
      <c r="U51" s="51">
        <v>300</v>
      </c>
      <c r="V51" s="51">
        <v>300</v>
      </c>
      <c r="W51" s="51">
        <v>300</v>
      </c>
      <c r="X51" s="51">
        <v>300</v>
      </c>
      <c r="Y51" s="51">
        <v>300</v>
      </c>
      <c r="Z51" s="51">
        <v>300</v>
      </c>
      <c r="AA51" s="51">
        <v>300</v>
      </c>
      <c r="AB51" s="51">
        <v>300</v>
      </c>
      <c r="AC51" s="51">
        <v>300</v>
      </c>
      <c r="AD51" s="51">
        <v>300</v>
      </c>
      <c r="AE51" s="51">
        <v>300</v>
      </c>
      <c r="AF51" s="51">
        <v>300</v>
      </c>
      <c r="AG51" s="51">
        <v>300</v>
      </c>
      <c r="AH51" s="51">
        <v>300</v>
      </c>
      <c r="AI51" s="213">
        <v>200</v>
      </c>
      <c r="AJ51" s="51">
        <v>300</v>
      </c>
      <c r="AK51" s="217">
        <f t="shared" si="14"/>
        <v>5700</v>
      </c>
      <c r="AL51" s="217">
        <f t="shared" si="15"/>
        <v>104200</v>
      </c>
      <c r="AM51" s="51">
        <v>450</v>
      </c>
      <c r="AN51" s="51">
        <v>450</v>
      </c>
      <c r="AO51" s="217">
        <f t="shared" si="8"/>
        <v>900</v>
      </c>
      <c r="AP51" s="217">
        <f t="shared" si="10"/>
        <v>12350</v>
      </c>
      <c r="AQ51" s="51">
        <f t="shared" si="5"/>
        <v>6600</v>
      </c>
      <c r="AR51" s="51">
        <f t="shared" si="11"/>
        <v>16550</v>
      </c>
      <c r="AS51" s="217"/>
      <c r="AT51" s="217"/>
      <c r="AU51" s="217">
        <v>25000</v>
      </c>
      <c r="AV51" s="231">
        <f>A51+12</f>
        <v>45750</v>
      </c>
      <c r="AW51" s="51">
        <f t="shared" si="16"/>
        <v>25000</v>
      </c>
      <c r="AX51" s="209">
        <f>AV51</f>
        <v>45750</v>
      </c>
      <c r="AY51" s="217"/>
      <c r="AZ51" s="231"/>
      <c r="BA51" s="217"/>
      <c r="BB51" s="231"/>
      <c r="BC51" s="51">
        <f t="shared" si="17"/>
        <v>0</v>
      </c>
      <c r="BD51" s="209"/>
      <c r="BE51" s="217"/>
      <c r="BF51" s="231"/>
      <c r="BG51" s="217"/>
      <c r="BH51" s="231"/>
      <c r="BI51" s="51">
        <f t="shared" si="19"/>
        <v>0</v>
      </c>
      <c r="BJ51" s="209"/>
    </row>
    <row r="52" spans="1:62">
      <c r="A52" s="209">
        <v>45739</v>
      </c>
      <c r="B52" s="51"/>
      <c r="C52" s="51"/>
      <c r="D52" s="233"/>
      <c r="E52" s="51"/>
      <c r="F52" s="51"/>
      <c r="G52" s="215">
        <f t="shared" si="4"/>
        <v>0</v>
      </c>
      <c r="H52" s="51"/>
      <c r="I52" s="51">
        <v>450</v>
      </c>
      <c r="J52" s="51">
        <v>450</v>
      </c>
      <c r="K52" s="217">
        <f t="shared" si="7"/>
        <v>900</v>
      </c>
      <c r="L52" s="217">
        <f t="shared" si="9"/>
        <v>23250</v>
      </c>
      <c r="M52" s="51">
        <v>450</v>
      </c>
      <c r="N52" s="51">
        <v>450</v>
      </c>
      <c r="O52" s="217">
        <f t="shared" si="12"/>
        <v>900</v>
      </c>
      <c r="P52" s="217">
        <f t="shared" si="13"/>
        <v>11450</v>
      </c>
      <c r="Q52" s="51">
        <v>300</v>
      </c>
      <c r="R52" s="51">
        <v>300</v>
      </c>
      <c r="S52" s="213">
        <v>200</v>
      </c>
      <c r="T52" s="213">
        <v>200</v>
      </c>
      <c r="U52" s="51">
        <v>300</v>
      </c>
      <c r="V52" s="51">
        <v>300</v>
      </c>
      <c r="W52" s="51">
        <v>300</v>
      </c>
      <c r="X52" s="51">
        <v>300</v>
      </c>
      <c r="Y52" s="51">
        <v>300</v>
      </c>
      <c r="Z52" s="51">
        <v>300</v>
      </c>
      <c r="AA52" s="51">
        <v>300</v>
      </c>
      <c r="AB52" s="51">
        <v>300</v>
      </c>
      <c r="AC52" s="51">
        <v>300</v>
      </c>
      <c r="AD52" s="51">
        <v>300</v>
      </c>
      <c r="AE52" s="51">
        <v>300</v>
      </c>
      <c r="AF52" s="51">
        <v>300</v>
      </c>
      <c r="AG52" s="51">
        <v>300</v>
      </c>
      <c r="AH52" s="51">
        <v>300</v>
      </c>
      <c r="AI52" s="51">
        <v>300</v>
      </c>
      <c r="AJ52" s="213">
        <v>200</v>
      </c>
      <c r="AK52" s="217">
        <f t="shared" si="14"/>
        <v>5700</v>
      </c>
      <c r="AL52" s="217">
        <f t="shared" si="15"/>
        <v>109900</v>
      </c>
      <c r="AM52" s="51">
        <v>450</v>
      </c>
      <c r="AN52" s="51">
        <v>450</v>
      </c>
      <c r="AO52" s="217">
        <f t="shared" si="8"/>
        <v>900</v>
      </c>
      <c r="AP52" s="217">
        <f t="shared" si="10"/>
        <v>3250</v>
      </c>
      <c r="AQ52" s="51">
        <f t="shared" si="5"/>
        <v>6600</v>
      </c>
      <c r="AR52" s="51">
        <f t="shared" si="11"/>
        <v>23150</v>
      </c>
      <c r="AS52" s="217"/>
      <c r="AT52" s="217"/>
      <c r="AU52" s="217"/>
      <c r="AV52" s="217"/>
      <c r="AW52" s="51">
        <f t="shared" si="16"/>
        <v>0</v>
      </c>
      <c r="AX52" s="209"/>
      <c r="AY52" s="217"/>
      <c r="AZ52" s="231"/>
      <c r="BA52" s="217">
        <v>10000</v>
      </c>
      <c r="BB52" s="231">
        <f>A52+12</f>
        <v>45751</v>
      </c>
      <c r="BC52" s="51">
        <f t="shared" si="17"/>
        <v>10000</v>
      </c>
      <c r="BD52" s="209">
        <f>BB52</f>
        <v>45751</v>
      </c>
      <c r="BE52" s="217"/>
      <c r="BF52" s="231"/>
      <c r="BG52" s="217"/>
      <c r="BH52" s="217"/>
      <c r="BI52" s="51">
        <f t="shared" si="19"/>
        <v>0</v>
      </c>
      <c r="BJ52" s="209"/>
    </row>
    <row r="53" spans="1:62">
      <c r="A53" s="209">
        <v>45740</v>
      </c>
      <c r="B53" s="51"/>
      <c r="C53" s="51"/>
      <c r="D53" s="233"/>
      <c r="E53" s="51"/>
      <c r="F53" s="51"/>
      <c r="G53" s="215">
        <f t="shared" si="4"/>
        <v>0</v>
      </c>
      <c r="H53" s="51"/>
      <c r="I53" s="51">
        <v>450</v>
      </c>
      <c r="J53" s="51">
        <v>450</v>
      </c>
      <c r="K53" s="217">
        <f t="shared" si="7"/>
        <v>900</v>
      </c>
      <c r="L53" s="217">
        <f t="shared" si="9"/>
        <v>24150</v>
      </c>
      <c r="M53" s="51">
        <v>450</v>
      </c>
      <c r="N53" s="51">
        <v>450</v>
      </c>
      <c r="O53" s="217">
        <f t="shared" si="12"/>
        <v>900</v>
      </c>
      <c r="P53" s="217">
        <f t="shared" si="13"/>
        <v>2350</v>
      </c>
      <c r="Q53" s="51">
        <v>300</v>
      </c>
      <c r="R53" s="51">
        <v>300</v>
      </c>
      <c r="S53" s="51">
        <v>300</v>
      </c>
      <c r="T53" s="51">
        <v>300</v>
      </c>
      <c r="U53" s="213">
        <v>200</v>
      </c>
      <c r="V53" s="213">
        <v>200</v>
      </c>
      <c r="W53" s="51">
        <v>300</v>
      </c>
      <c r="X53" s="51">
        <v>300</v>
      </c>
      <c r="Y53" s="51">
        <v>300</v>
      </c>
      <c r="Z53" s="51">
        <v>300</v>
      </c>
      <c r="AA53" s="51">
        <v>300</v>
      </c>
      <c r="AB53" s="51">
        <v>300</v>
      </c>
      <c r="AC53" s="51">
        <v>300</v>
      </c>
      <c r="AD53" s="51">
        <v>300</v>
      </c>
      <c r="AE53" s="51">
        <v>300</v>
      </c>
      <c r="AF53" s="51">
        <v>300</v>
      </c>
      <c r="AG53" s="51">
        <v>300</v>
      </c>
      <c r="AH53" s="51">
        <v>300</v>
      </c>
      <c r="AI53" s="51">
        <v>300</v>
      </c>
      <c r="AJ53" s="51">
        <v>300</v>
      </c>
      <c r="AK53" s="217">
        <f t="shared" si="14"/>
        <v>5800</v>
      </c>
      <c r="AL53" s="217">
        <f t="shared" si="15"/>
        <v>115700</v>
      </c>
      <c r="AM53" s="51">
        <v>450</v>
      </c>
      <c r="AN53" s="51">
        <v>450</v>
      </c>
      <c r="AO53" s="217">
        <f t="shared" si="8"/>
        <v>900</v>
      </c>
      <c r="AP53" s="217">
        <f t="shared" si="10"/>
        <v>4150</v>
      </c>
      <c r="AQ53" s="51">
        <f t="shared" si="5"/>
        <v>6700</v>
      </c>
      <c r="AR53" s="51">
        <f t="shared" si="11"/>
        <v>29850</v>
      </c>
      <c r="AS53" s="217"/>
      <c r="AT53" s="231"/>
      <c r="AU53" s="217"/>
      <c r="AV53" s="217"/>
      <c r="AW53" s="51">
        <f t="shared" si="16"/>
        <v>0</v>
      </c>
      <c r="AX53" s="209"/>
      <c r="AY53" s="217"/>
      <c r="AZ53" s="231"/>
      <c r="BA53" s="217"/>
      <c r="BB53" s="217"/>
      <c r="BC53" s="51">
        <f t="shared" si="17"/>
        <v>0</v>
      </c>
      <c r="BD53" s="209"/>
      <c r="BE53" s="217"/>
      <c r="BF53" s="231"/>
      <c r="BG53" s="217">
        <v>10000</v>
      </c>
      <c r="BH53" s="231">
        <f>A53+12</f>
        <v>45752</v>
      </c>
      <c r="BI53" s="51">
        <f t="shared" si="19"/>
        <v>10000</v>
      </c>
      <c r="BJ53" s="209">
        <f>BH53</f>
        <v>45752</v>
      </c>
    </row>
    <row r="54" spans="1:62">
      <c r="A54" s="209">
        <v>45741</v>
      </c>
      <c r="B54" s="51"/>
      <c r="C54" s="51"/>
      <c r="D54" s="233"/>
      <c r="E54" s="51"/>
      <c r="F54" s="51"/>
      <c r="G54" s="215">
        <f t="shared" si="4"/>
        <v>0</v>
      </c>
      <c r="H54" s="51"/>
      <c r="I54" s="51">
        <v>450</v>
      </c>
      <c r="J54" s="51">
        <v>450</v>
      </c>
      <c r="K54" s="217">
        <f t="shared" si="7"/>
        <v>900</v>
      </c>
      <c r="L54" s="217">
        <f t="shared" si="9"/>
        <v>25050</v>
      </c>
      <c r="M54" s="51">
        <v>450</v>
      </c>
      <c r="N54" s="51">
        <v>450</v>
      </c>
      <c r="O54" s="217">
        <f t="shared" si="12"/>
        <v>900</v>
      </c>
      <c r="P54" s="217">
        <f t="shared" si="13"/>
        <v>3250</v>
      </c>
      <c r="Q54" s="51">
        <v>300</v>
      </c>
      <c r="R54" s="51">
        <v>300</v>
      </c>
      <c r="S54" s="51">
        <v>300</v>
      </c>
      <c r="T54" s="51">
        <v>300</v>
      </c>
      <c r="U54" s="51">
        <v>300</v>
      </c>
      <c r="V54" s="51">
        <v>300</v>
      </c>
      <c r="W54" s="213">
        <v>200</v>
      </c>
      <c r="X54" s="213">
        <v>200</v>
      </c>
      <c r="Y54" s="51">
        <v>300</v>
      </c>
      <c r="Z54" s="51">
        <v>300</v>
      </c>
      <c r="AA54" s="51">
        <v>300</v>
      </c>
      <c r="AB54" s="51">
        <v>300</v>
      </c>
      <c r="AC54" s="51">
        <v>300</v>
      </c>
      <c r="AD54" s="51">
        <v>300</v>
      </c>
      <c r="AE54" s="51">
        <v>300</v>
      </c>
      <c r="AF54" s="51">
        <v>300</v>
      </c>
      <c r="AG54" s="51">
        <v>300</v>
      </c>
      <c r="AH54" s="51">
        <v>300</v>
      </c>
      <c r="AI54" s="51">
        <v>300</v>
      </c>
      <c r="AJ54" s="51">
        <v>300</v>
      </c>
      <c r="AK54" s="217">
        <f t="shared" si="14"/>
        <v>5800</v>
      </c>
      <c r="AL54" s="217">
        <f t="shared" si="15"/>
        <v>121500</v>
      </c>
      <c r="AM54" s="51">
        <v>450</v>
      </c>
      <c r="AN54" s="51">
        <v>450</v>
      </c>
      <c r="AO54" s="217">
        <f t="shared" si="8"/>
        <v>900</v>
      </c>
      <c r="AP54" s="217">
        <f t="shared" si="10"/>
        <v>5050</v>
      </c>
      <c r="AQ54" s="51">
        <f t="shared" si="5"/>
        <v>6700</v>
      </c>
      <c r="AR54" s="51">
        <f t="shared" si="11"/>
        <v>36550</v>
      </c>
      <c r="AS54" s="217"/>
      <c r="AT54" s="217"/>
      <c r="AU54" s="217"/>
      <c r="AV54" s="217"/>
      <c r="AW54" s="51">
        <f t="shared" si="16"/>
        <v>0</v>
      </c>
      <c r="AX54" s="209"/>
      <c r="AY54" s="217"/>
      <c r="AZ54" s="231"/>
      <c r="BA54" s="217"/>
      <c r="BB54" s="217"/>
      <c r="BC54" s="51">
        <f t="shared" si="17"/>
        <v>0</v>
      </c>
      <c r="BD54" s="209"/>
      <c r="BE54" s="217"/>
      <c r="BF54" s="231"/>
      <c r="BG54" s="217"/>
      <c r="BH54" s="217"/>
      <c r="BI54" s="51">
        <f t="shared" si="19"/>
        <v>0</v>
      </c>
      <c r="BJ54" s="209"/>
    </row>
    <row r="55" spans="1:62">
      <c r="A55" s="209">
        <v>45742</v>
      </c>
      <c r="B55" s="51"/>
      <c r="C55" s="51"/>
      <c r="D55" s="233"/>
      <c r="E55" s="51"/>
      <c r="F55" s="51"/>
      <c r="G55" s="215">
        <f t="shared" si="4"/>
        <v>0</v>
      </c>
      <c r="H55" s="51"/>
      <c r="I55" s="51">
        <v>450</v>
      </c>
      <c r="J55" s="51">
        <v>450</v>
      </c>
      <c r="K55" s="217">
        <f t="shared" si="7"/>
        <v>900</v>
      </c>
      <c r="L55" s="217">
        <f t="shared" si="9"/>
        <v>25950</v>
      </c>
      <c r="M55" s="51">
        <v>450</v>
      </c>
      <c r="N55" s="51">
        <v>450</v>
      </c>
      <c r="O55" s="217">
        <f t="shared" si="12"/>
        <v>900</v>
      </c>
      <c r="P55" s="217">
        <f t="shared" si="13"/>
        <v>4150</v>
      </c>
      <c r="Q55" s="51">
        <v>300</v>
      </c>
      <c r="R55" s="51">
        <v>300</v>
      </c>
      <c r="S55" s="51">
        <v>300</v>
      </c>
      <c r="T55" s="51">
        <v>300</v>
      </c>
      <c r="U55" s="51">
        <v>300</v>
      </c>
      <c r="V55" s="51">
        <v>300</v>
      </c>
      <c r="W55" s="51">
        <v>300</v>
      </c>
      <c r="X55" s="51">
        <v>300</v>
      </c>
      <c r="Y55" s="213">
        <v>200</v>
      </c>
      <c r="Z55" s="213">
        <v>200</v>
      </c>
      <c r="AA55" s="51">
        <v>300</v>
      </c>
      <c r="AB55" s="51">
        <v>300</v>
      </c>
      <c r="AC55" s="51">
        <v>300</v>
      </c>
      <c r="AD55" s="51">
        <v>300</v>
      </c>
      <c r="AE55" s="51">
        <v>300</v>
      </c>
      <c r="AF55" s="51">
        <v>300</v>
      </c>
      <c r="AG55" s="51">
        <v>300</v>
      </c>
      <c r="AH55" s="51">
        <v>300</v>
      </c>
      <c r="AI55" s="51">
        <v>300</v>
      </c>
      <c r="AJ55" s="51">
        <v>300</v>
      </c>
      <c r="AK55" s="217">
        <f t="shared" si="14"/>
        <v>5800</v>
      </c>
      <c r="AL55" s="217">
        <f t="shared" si="15"/>
        <v>127300</v>
      </c>
      <c r="AM55" s="51">
        <v>450</v>
      </c>
      <c r="AN55" s="51">
        <v>450</v>
      </c>
      <c r="AO55" s="217">
        <f t="shared" si="8"/>
        <v>900</v>
      </c>
      <c r="AP55" s="217">
        <f t="shared" si="10"/>
        <v>5950</v>
      </c>
      <c r="AQ55" s="51">
        <f t="shared" si="5"/>
        <v>6700</v>
      </c>
      <c r="AR55" s="51">
        <f t="shared" si="11"/>
        <v>18250</v>
      </c>
      <c r="AS55" s="217">
        <v>25000</v>
      </c>
      <c r="AT55" s="231">
        <f>A55+12</f>
        <v>45754</v>
      </c>
      <c r="AU55" s="217"/>
      <c r="AV55" s="217"/>
      <c r="AW55" s="51">
        <f t="shared" si="16"/>
        <v>25000</v>
      </c>
      <c r="AX55" s="209">
        <f>AT55</f>
        <v>45754</v>
      </c>
      <c r="AY55" s="217"/>
      <c r="AZ55" s="231"/>
      <c r="BA55" s="217"/>
      <c r="BB55" s="217"/>
      <c r="BC55" s="51">
        <f t="shared" si="17"/>
        <v>0</v>
      </c>
      <c r="BD55" s="209"/>
      <c r="BE55" s="217"/>
      <c r="BF55" s="231"/>
      <c r="BG55" s="217"/>
      <c r="BH55" s="217"/>
      <c r="BI55" s="51">
        <f t="shared" si="19"/>
        <v>0</v>
      </c>
      <c r="BJ55" s="209"/>
    </row>
    <row r="56" spans="1:62">
      <c r="A56" s="209">
        <v>45743</v>
      </c>
      <c r="B56" s="51"/>
      <c r="C56" s="51"/>
      <c r="D56" s="233"/>
      <c r="E56" s="51"/>
      <c r="F56" s="51"/>
      <c r="G56" s="215">
        <f t="shared" si="4"/>
        <v>0</v>
      </c>
      <c r="H56" s="51"/>
      <c r="I56" s="51">
        <v>450</v>
      </c>
      <c r="J56" s="51">
        <v>450</v>
      </c>
      <c r="K56" s="217">
        <f t="shared" si="7"/>
        <v>900</v>
      </c>
      <c r="L56" s="217">
        <f t="shared" si="9"/>
        <v>26850</v>
      </c>
      <c r="M56" s="51">
        <v>450</v>
      </c>
      <c r="N56" s="51">
        <v>450</v>
      </c>
      <c r="O56" s="217">
        <f t="shared" si="12"/>
        <v>900</v>
      </c>
      <c r="P56" s="217">
        <f t="shared" si="13"/>
        <v>5050</v>
      </c>
      <c r="Q56" s="51">
        <v>300</v>
      </c>
      <c r="R56" s="51">
        <v>300</v>
      </c>
      <c r="S56" s="51">
        <v>300</v>
      </c>
      <c r="T56" s="51">
        <v>300</v>
      </c>
      <c r="U56" s="51">
        <v>300</v>
      </c>
      <c r="V56" s="51">
        <v>300</v>
      </c>
      <c r="W56" s="51">
        <v>300</v>
      </c>
      <c r="X56" s="51">
        <v>300</v>
      </c>
      <c r="Y56" s="51">
        <v>300</v>
      </c>
      <c r="Z56" s="51">
        <v>300</v>
      </c>
      <c r="AA56" s="213">
        <v>200</v>
      </c>
      <c r="AB56" s="213">
        <v>200</v>
      </c>
      <c r="AC56" s="51">
        <v>300</v>
      </c>
      <c r="AD56" s="51">
        <v>300</v>
      </c>
      <c r="AE56" s="51">
        <v>300</v>
      </c>
      <c r="AF56" s="51">
        <v>300</v>
      </c>
      <c r="AG56" s="51">
        <v>300</v>
      </c>
      <c r="AH56" s="51">
        <v>300</v>
      </c>
      <c r="AI56" s="51">
        <v>300</v>
      </c>
      <c r="AJ56" s="51">
        <v>300</v>
      </c>
      <c r="AK56" s="217">
        <f t="shared" si="14"/>
        <v>5800</v>
      </c>
      <c r="AL56" s="217">
        <f t="shared" si="15"/>
        <v>133100</v>
      </c>
      <c r="AM56" s="51">
        <v>450</v>
      </c>
      <c r="AN56" s="51">
        <v>450</v>
      </c>
      <c r="AO56" s="217">
        <f t="shared" si="8"/>
        <v>900</v>
      </c>
      <c r="AP56" s="217">
        <f t="shared" si="10"/>
        <v>6850</v>
      </c>
      <c r="AQ56" s="51">
        <f t="shared" si="5"/>
        <v>6700</v>
      </c>
      <c r="AR56" s="51">
        <f t="shared" si="11"/>
        <v>24950</v>
      </c>
      <c r="AS56" s="217"/>
      <c r="AT56" s="217"/>
      <c r="AU56" s="217"/>
      <c r="AV56" s="231"/>
      <c r="AW56" s="51">
        <f t="shared" si="16"/>
        <v>0</v>
      </c>
      <c r="AX56" s="209"/>
      <c r="AY56" s="217"/>
      <c r="AZ56" s="217"/>
      <c r="BA56" s="217"/>
      <c r="BB56" s="231"/>
      <c r="BC56" s="51">
        <f t="shared" si="17"/>
        <v>0</v>
      </c>
      <c r="BD56" s="209"/>
      <c r="BE56" s="217"/>
      <c r="BF56" s="217"/>
      <c r="BG56" s="217"/>
      <c r="BH56" s="231"/>
      <c r="BI56" s="51">
        <f t="shared" si="19"/>
        <v>0</v>
      </c>
      <c r="BJ56" s="209"/>
    </row>
    <row r="57" spans="1:62">
      <c r="A57" s="209">
        <v>45744</v>
      </c>
      <c r="B57" s="51"/>
      <c r="C57" s="51"/>
      <c r="D57" s="233"/>
      <c r="E57" s="51"/>
      <c r="F57" s="51"/>
      <c r="G57" s="215">
        <f t="shared" si="4"/>
        <v>0</v>
      </c>
      <c r="H57" s="51"/>
      <c r="I57" s="51">
        <v>450</v>
      </c>
      <c r="J57" s="51">
        <v>450</v>
      </c>
      <c r="K57" s="217">
        <f t="shared" si="7"/>
        <v>900</v>
      </c>
      <c r="L57" s="217">
        <f t="shared" si="9"/>
        <v>27750</v>
      </c>
      <c r="M57" s="214">
        <v>200</v>
      </c>
      <c r="N57" s="51">
        <v>450</v>
      </c>
      <c r="O57" s="217">
        <f t="shared" si="12"/>
        <v>650</v>
      </c>
      <c r="P57" s="217">
        <f t="shared" si="13"/>
        <v>5700</v>
      </c>
      <c r="Q57" s="51">
        <v>300</v>
      </c>
      <c r="R57" s="51">
        <v>300</v>
      </c>
      <c r="S57" s="51">
        <v>300</v>
      </c>
      <c r="T57" s="51">
        <v>300</v>
      </c>
      <c r="U57" s="51">
        <v>300</v>
      </c>
      <c r="V57" s="51">
        <v>300</v>
      </c>
      <c r="W57" s="51">
        <v>300</v>
      </c>
      <c r="X57" s="51">
        <v>300</v>
      </c>
      <c r="Y57" s="51">
        <v>300</v>
      </c>
      <c r="Z57" s="51">
        <v>300</v>
      </c>
      <c r="AA57" s="51">
        <v>300</v>
      </c>
      <c r="AB57" s="51">
        <v>300</v>
      </c>
      <c r="AC57" s="213">
        <v>200</v>
      </c>
      <c r="AD57" s="213">
        <v>200</v>
      </c>
      <c r="AE57" s="51">
        <v>300</v>
      </c>
      <c r="AF57" s="51">
        <v>300</v>
      </c>
      <c r="AG57" s="51">
        <v>300</v>
      </c>
      <c r="AH57" s="51">
        <v>300</v>
      </c>
      <c r="AI57" s="51">
        <v>300</v>
      </c>
      <c r="AJ57" s="51">
        <v>300</v>
      </c>
      <c r="AK57" s="217">
        <f t="shared" si="14"/>
        <v>5800</v>
      </c>
      <c r="AL57" s="217">
        <f t="shared" si="15"/>
        <v>138900</v>
      </c>
      <c r="AM57" s="51">
        <v>450</v>
      </c>
      <c r="AN57" s="51">
        <v>450</v>
      </c>
      <c r="AO57" s="217">
        <f t="shared" si="8"/>
        <v>900</v>
      </c>
      <c r="AP57" s="217">
        <f t="shared" si="10"/>
        <v>7750</v>
      </c>
      <c r="AQ57" s="51">
        <f t="shared" si="5"/>
        <v>6700</v>
      </c>
      <c r="AR57" s="51">
        <f t="shared" si="11"/>
        <v>31650</v>
      </c>
      <c r="AS57" s="217"/>
      <c r="AT57" s="217"/>
      <c r="AU57" s="217"/>
      <c r="AV57" s="217"/>
      <c r="AW57" s="51">
        <f t="shared" si="16"/>
        <v>0</v>
      </c>
      <c r="AX57" s="209"/>
      <c r="AY57" s="217"/>
      <c r="AZ57" s="217"/>
      <c r="BA57" s="217"/>
      <c r="BB57" s="217"/>
      <c r="BC57" s="51">
        <f t="shared" si="17"/>
        <v>0</v>
      </c>
      <c r="BD57" s="209"/>
      <c r="BE57" s="217"/>
      <c r="BF57" s="217"/>
      <c r="BG57" s="217"/>
      <c r="BH57" s="217"/>
      <c r="BI57" s="51">
        <f t="shared" si="19"/>
        <v>0</v>
      </c>
      <c r="BJ57" s="209"/>
    </row>
    <row r="58" spans="1:62">
      <c r="A58" s="209">
        <v>45745</v>
      </c>
      <c r="B58" s="51"/>
      <c r="C58" s="51"/>
      <c r="D58" s="233"/>
      <c r="E58" s="51"/>
      <c r="F58" s="51"/>
      <c r="G58" s="215">
        <f t="shared" si="4"/>
        <v>0</v>
      </c>
      <c r="H58" s="51"/>
      <c r="I58" s="51">
        <v>450</v>
      </c>
      <c r="J58" s="51">
        <v>450</v>
      </c>
      <c r="K58" s="217">
        <f t="shared" si="7"/>
        <v>900</v>
      </c>
      <c r="L58" s="217">
        <f t="shared" si="9"/>
        <v>28650</v>
      </c>
      <c r="M58" s="51">
        <v>450</v>
      </c>
      <c r="N58" s="214">
        <v>200</v>
      </c>
      <c r="O58" s="217">
        <f t="shared" si="12"/>
        <v>650</v>
      </c>
      <c r="P58" s="217">
        <f t="shared" si="13"/>
        <v>6350</v>
      </c>
      <c r="Q58" s="51">
        <v>300</v>
      </c>
      <c r="R58" s="51">
        <v>300</v>
      </c>
      <c r="S58" s="51">
        <v>300</v>
      </c>
      <c r="T58" s="51">
        <v>300</v>
      </c>
      <c r="U58" s="51">
        <v>300</v>
      </c>
      <c r="V58" s="51">
        <v>300</v>
      </c>
      <c r="W58" s="51">
        <v>300</v>
      </c>
      <c r="X58" s="51">
        <v>300</v>
      </c>
      <c r="Y58" s="51">
        <v>300</v>
      </c>
      <c r="Z58" s="51">
        <v>300</v>
      </c>
      <c r="AA58" s="51">
        <v>300</v>
      </c>
      <c r="AB58" s="51">
        <v>300</v>
      </c>
      <c r="AC58" s="51">
        <v>300</v>
      </c>
      <c r="AD58" s="51">
        <v>300</v>
      </c>
      <c r="AE58" s="213">
        <v>200</v>
      </c>
      <c r="AF58" s="51">
        <v>300</v>
      </c>
      <c r="AG58" s="51">
        <v>300</v>
      </c>
      <c r="AH58" s="51">
        <v>300</v>
      </c>
      <c r="AI58" s="51">
        <v>300</v>
      </c>
      <c r="AJ58" s="51">
        <v>300</v>
      </c>
      <c r="AK58" s="217">
        <f t="shared" si="14"/>
        <v>5900</v>
      </c>
      <c r="AL58" s="217">
        <f t="shared" si="15"/>
        <v>144800</v>
      </c>
      <c r="AM58" s="51">
        <v>450</v>
      </c>
      <c r="AN58" s="51">
        <v>450</v>
      </c>
      <c r="AO58" s="217">
        <f t="shared" si="8"/>
        <v>900</v>
      </c>
      <c r="AP58" s="217">
        <f t="shared" si="10"/>
        <v>8650</v>
      </c>
      <c r="AQ58" s="51">
        <f t="shared" si="5"/>
        <v>6800</v>
      </c>
      <c r="AR58" s="51">
        <f t="shared" si="11"/>
        <v>13450</v>
      </c>
      <c r="AS58" s="217"/>
      <c r="AT58" s="217"/>
      <c r="AU58" s="217">
        <v>25000</v>
      </c>
      <c r="AV58" s="231">
        <f>A58+12</f>
        <v>45757</v>
      </c>
      <c r="AW58" s="51">
        <f t="shared" si="16"/>
        <v>25000</v>
      </c>
      <c r="AX58" s="209">
        <f>AV58</f>
        <v>45757</v>
      </c>
      <c r="AY58" s="217"/>
      <c r="AZ58" s="217"/>
      <c r="BA58" s="217"/>
      <c r="BB58" s="231"/>
      <c r="BC58" s="51">
        <f t="shared" si="17"/>
        <v>0</v>
      </c>
      <c r="BD58" s="209"/>
      <c r="BE58" s="217"/>
      <c r="BF58" s="217"/>
      <c r="BG58" s="217"/>
      <c r="BH58" s="231"/>
      <c r="BI58" s="51">
        <f t="shared" si="19"/>
        <v>0</v>
      </c>
      <c r="BJ58" s="209"/>
    </row>
    <row r="59" spans="1:62">
      <c r="A59" s="209">
        <v>45746</v>
      </c>
      <c r="B59" s="51"/>
      <c r="C59" s="51"/>
      <c r="D59" s="233"/>
      <c r="E59" s="51"/>
      <c r="F59" s="51"/>
      <c r="G59" s="215">
        <f t="shared" si="4"/>
        <v>0</v>
      </c>
      <c r="H59" s="51"/>
      <c r="I59" s="214">
        <v>200</v>
      </c>
      <c r="J59" s="51">
        <v>450</v>
      </c>
      <c r="K59" s="217">
        <f t="shared" si="7"/>
        <v>650</v>
      </c>
      <c r="L59" s="217">
        <f t="shared" si="9"/>
        <v>29300</v>
      </c>
      <c r="M59" s="51">
        <v>450</v>
      </c>
      <c r="N59" s="51">
        <v>450</v>
      </c>
      <c r="O59" s="217">
        <f t="shared" si="12"/>
        <v>900</v>
      </c>
      <c r="P59" s="217">
        <f t="shared" si="13"/>
        <v>7250</v>
      </c>
      <c r="Q59" s="51">
        <v>300</v>
      </c>
      <c r="R59" s="51">
        <v>300</v>
      </c>
      <c r="S59" s="51">
        <v>300</v>
      </c>
      <c r="T59" s="51">
        <v>300</v>
      </c>
      <c r="U59" s="51">
        <v>300</v>
      </c>
      <c r="V59" s="51">
        <v>300</v>
      </c>
      <c r="W59" s="51">
        <v>300</v>
      </c>
      <c r="X59" s="51">
        <v>300</v>
      </c>
      <c r="Y59" s="51">
        <v>300</v>
      </c>
      <c r="Z59" s="51">
        <v>300</v>
      </c>
      <c r="AA59" s="51">
        <v>300</v>
      </c>
      <c r="AB59" s="51">
        <v>300</v>
      </c>
      <c r="AC59" s="51">
        <v>300</v>
      </c>
      <c r="AD59" s="51">
        <v>300</v>
      </c>
      <c r="AE59" s="51">
        <v>300</v>
      </c>
      <c r="AF59" s="213">
        <v>200</v>
      </c>
      <c r="AG59" s="51">
        <v>300</v>
      </c>
      <c r="AH59" s="51">
        <v>300</v>
      </c>
      <c r="AI59" s="51">
        <v>300</v>
      </c>
      <c r="AJ59" s="51">
        <v>300</v>
      </c>
      <c r="AK59" s="217">
        <f t="shared" si="14"/>
        <v>5900</v>
      </c>
      <c r="AL59" s="217">
        <f t="shared" si="15"/>
        <v>150700</v>
      </c>
      <c r="AM59" s="214">
        <v>200</v>
      </c>
      <c r="AN59" s="51">
        <v>450</v>
      </c>
      <c r="AO59" s="217">
        <f t="shared" si="8"/>
        <v>650</v>
      </c>
      <c r="AP59" s="217">
        <f t="shared" si="10"/>
        <v>9300</v>
      </c>
      <c r="AQ59" s="51">
        <f t="shared" si="5"/>
        <v>6550</v>
      </c>
      <c r="AR59" s="51">
        <f t="shared" si="11"/>
        <v>20000</v>
      </c>
      <c r="AS59" s="217"/>
      <c r="AT59" s="231"/>
      <c r="AU59" s="217"/>
      <c r="AV59" s="217"/>
      <c r="AW59" s="51">
        <f t="shared" si="16"/>
        <v>0</v>
      </c>
      <c r="AX59" s="209"/>
      <c r="AY59" s="217"/>
      <c r="AZ59" s="231"/>
      <c r="BA59" s="217"/>
      <c r="BB59" s="217"/>
      <c r="BC59" s="51">
        <f t="shared" si="17"/>
        <v>0</v>
      </c>
      <c r="BD59" s="209"/>
      <c r="BE59" s="217"/>
      <c r="BF59" s="231"/>
      <c r="BG59" s="217"/>
      <c r="BH59" s="217"/>
      <c r="BI59" s="51">
        <f t="shared" si="19"/>
        <v>0</v>
      </c>
      <c r="BJ59" s="209"/>
    </row>
    <row r="60" spans="1:62">
      <c r="A60" s="209">
        <v>45747</v>
      </c>
      <c r="B60" s="51"/>
      <c r="C60" s="51"/>
      <c r="D60" s="208"/>
      <c r="E60" s="51"/>
      <c r="F60" s="51"/>
      <c r="G60" s="215">
        <f t="shared" si="4"/>
        <v>0</v>
      </c>
      <c r="H60" s="51"/>
      <c r="I60" s="51">
        <v>450</v>
      </c>
      <c r="J60" s="214">
        <v>200</v>
      </c>
      <c r="K60" s="217">
        <f t="shared" si="7"/>
        <v>650</v>
      </c>
      <c r="L60" s="217">
        <f t="shared" si="9"/>
        <v>29950</v>
      </c>
      <c r="M60" s="51">
        <v>450</v>
      </c>
      <c r="N60" s="51">
        <v>450</v>
      </c>
      <c r="O60" s="217">
        <f t="shared" si="12"/>
        <v>900</v>
      </c>
      <c r="P60" s="217">
        <f t="shared" si="13"/>
        <v>8150</v>
      </c>
      <c r="Q60" s="51">
        <v>300</v>
      </c>
      <c r="R60" s="51">
        <v>300</v>
      </c>
      <c r="S60" s="51">
        <v>300</v>
      </c>
      <c r="T60" s="51">
        <v>300</v>
      </c>
      <c r="U60" s="51">
        <v>300</v>
      </c>
      <c r="V60" s="51">
        <v>300</v>
      </c>
      <c r="W60" s="51">
        <v>300</v>
      </c>
      <c r="X60" s="51">
        <v>300</v>
      </c>
      <c r="Y60" s="51">
        <v>300</v>
      </c>
      <c r="Z60" s="51">
        <v>300</v>
      </c>
      <c r="AA60" s="51">
        <v>300</v>
      </c>
      <c r="AB60" s="51">
        <v>300</v>
      </c>
      <c r="AC60" s="51">
        <v>300</v>
      </c>
      <c r="AD60" s="51">
        <v>300</v>
      </c>
      <c r="AE60" s="51">
        <v>300</v>
      </c>
      <c r="AF60" s="51">
        <v>300</v>
      </c>
      <c r="AG60" s="213">
        <v>200</v>
      </c>
      <c r="AH60" s="51">
        <v>300</v>
      </c>
      <c r="AI60" s="51">
        <v>300</v>
      </c>
      <c r="AJ60" s="51">
        <v>300</v>
      </c>
      <c r="AK60" s="217">
        <f t="shared" si="14"/>
        <v>5900</v>
      </c>
      <c r="AL60" s="217">
        <f t="shared" si="15"/>
        <v>156600</v>
      </c>
      <c r="AM60" s="51">
        <v>450</v>
      </c>
      <c r="AN60" s="214">
        <v>200</v>
      </c>
      <c r="AO60" s="217">
        <f t="shared" si="8"/>
        <v>650</v>
      </c>
      <c r="AP60" s="217">
        <f t="shared" si="10"/>
        <v>9950</v>
      </c>
      <c r="AQ60" s="51">
        <f t="shared" si="5"/>
        <v>6550</v>
      </c>
      <c r="AR60" s="51">
        <f t="shared" si="11"/>
        <v>26550</v>
      </c>
      <c r="AS60" s="217"/>
      <c r="AT60" s="217"/>
      <c r="AU60" s="217"/>
      <c r="AV60" s="217"/>
      <c r="AW60" s="51">
        <f t="shared" si="16"/>
        <v>0</v>
      </c>
      <c r="AX60" s="209"/>
      <c r="AY60" s="217"/>
      <c r="AZ60" s="217"/>
      <c r="BA60" s="217"/>
      <c r="BB60" s="217"/>
      <c r="BC60" s="51">
        <f t="shared" si="17"/>
        <v>0</v>
      </c>
      <c r="BD60" s="209"/>
      <c r="BE60" s="217"/>
      <c r="BF60" s="217"/>
      <c r="BG60" s="217"/>
      <c r="BH60" s="217"/>
      <c r="BI60" s="51">
        <f t="shared" si="19"/>
        <v>0</v>
      </c>
      <c r="BJ60" s="209"/>
    </row>
    <row r="61" spans="1:62">
      <c r="A61" s="209">
        <v>45748</v>
      </c>
      <c r="B61" s="51"/>
      <c r="C61" s="51"/>
      <c r="D61" s="208"/>
      <c r="E61" s="51"/>
      <c r="F61" s="51"/>
      <c r="G61" s="215">
        <f t="shared" si="4"/>
        <v>0</v>
      </c>
      <c r="H61" s="51"/>
      <c r="I61" s="51">
        <v>450</v>
      </c>
      <c r="J61" s="51">
        <v>450</v>
      </c>
      <c r="K61" s="217">
        <f t="shared" si="7"/>
        <v>900</v>
      </c>
      <c r="L61" s="217">
        <f t="shared" si="9"/>
        <v>30850</v>
      </c>
      <c r="M61" s="51">
        <v>450</v>
      </c>
      <c r="N61" s="51">
        <v>450</v>
      </c>
      <c r="O61" s="217">
        <f t="shared" si="12"/>
        <v>900</v>
      </c>
      <c r="P61" s="217">
        <f t="shared" si="13"/>
        <v>9050</v>
      </c>
      <c r="Q61" s="51">
        <v>300</v>
      </c>
      <c r="R61" s="51">
        <v>300</v>
      </c>
      <c r="S61" s="51">
        <v>300</v>
      </c>
      <c r="T61" s="51">
        <v>300</v>
      </c>
      <c r="U61" s="51">
        <v>300</v>
      </c>
      <c r="V61" s="51">
        <v>300</v>
      </c>
      <c r="W61" s="51">
        <v>300</v>
      </c>
      <c r="X61" s="51">
        <v>300</v>
      </c>
      <c r="Y61" s="51">
        <v>300</v>
      </c>
      <c r="Z61" s="51">
        <v>300</v>
      </c>
      <c r="AA61" s="51">
        <v>300</v>
      </c>
      <c r="AB61" s="51">
        <v>300</v>
      </c>
      <c r="AC61" s="51">
        <v>300</v>
      </c>
      <c r="AD61" s="51">
        <v>300</v>
      </c>
      <c r="AE61" s="51">
        <v>300</v>
      </c>
      <c r="AF61" s="51">
        <v>300</v>
      </c>
      <c r="AG61" s="51">
        <v>300</v>
      </c>
      <c r="AH61" s="213">
        <v>200</v>
      </c>
      <c r="AI61" s="51">
        <v>300</v>
      </c>
      <c r="AJ61" s="51">
        <v>300</v>
      </c>
      <c r="AK61" s="217">
        <f t="shared" si="14"/>
        <v>5900</v>
      </c>
      <c r="AL61" s="217">
        <f t="shared" si="15"/>
        <v>162500</v>
      </c>
      <c r="AM61" s="51">
        <v>450</v>
      </c>
      <c r="AN61" s="51">
        <v>450</v>
      </c>
      <c r="AO61" s="217">
        <f t="shared" si="8"/>
        <v>900</v>
      </c>
      <c r="AP61" s="217">
        <f t="shared" si="10"/>
        <v>10850</v>
      </c>
      <c r="AQ61" s="51">
        <f t="shared" si="5"/>
        <v>6800</v>
      </c>
      <c r="AR61" s="51">
        <f t="shared" si="11"/>
        <v>33350</v>
      </c>
      <c r="AS61" s="217"/>
      <c r="AT61" s="217"/>
      <c r="AU61" s="217"/>
      <c r="AV61" s="217"/>
      <c r="AW61" s="51">
        <f t="shared" si="16"/>
        <v>0</v>
      </c>
      <c r="AX61" s="209"/>
      <c r="AY61" s="217"/>
      <c r="AZ61" s="217"/>
      <c r="BA61" s="217"/>
      <c r="BB61" s="217"/>
      <c r="BC61" s="51">
        <f t="shared" si="17"/>
        <v>0</v>
      </c>
      <c r="BD61" s="209"/>
      <c r="BE61" s="217"/>
      <c r="BF61" s="217"/>
      <c r="BG61" s="217"/>
      <c r="BH61" s="217"/>
      <c r="BI61" s="51">
        <f t="shared" si="19"/>
        <v>0</v>
      </c>
      <c r="BJ61" s="209"/>
    </row>
    <row r="62" spans="1:62">
      <c r="A62" s="209">
        <v>45749</v>
      </c>
      <c r="B62" s="51"/>
      <c r="C62" s="51"/>
      <c r="D62" s="208"/>
      <c r="E62" s="51"/>
      <c r="F62" s="51"/>
      <c r="G62" s="215">
        <f t="shared" si="4"/>
        <v>0</v>
      </c>
      <c r="H62" s="51"/>
      <c r="I62" s="51">
        <v>450</v>
      </c>
      <c r="J62" s="51">
        <v>450</v>
      </c>
      <c r="K62" s="217">
        <f t="shared" si="7"/>
        <v>900</v>
      </c>
      <c r="L62" s="217">
        <f t="shared" si="9"/>
        <v>31750</v>
      </c>
      <c r="M62" s="51">
        <v>450</v>
      </c>
      <c r="N62" s="51">
        <v>450</v>
      </c>
      <c r="O62" s="217">
        <f t="shared" si="12"/>
        <v>900</v>
      </c>
      <c r="P62" s="217">
        <f t="shared" si="13"/>
        <v>9950</v>
      </c>
      <c r="Q62" s="213">
        <v>200</v>
      </c>
      <c r="R62" s="213">
        <v>200</v>
      </c>
      <c r="S62" s="51">
        <v>300</v>
      </c>
      <c r="T62" s="51">
        <v>300</v>
      </c>
      <c r="U62" s="51">
        <v>300</v>
      </c>
      <c r="V62" s="51">
        <v>300</v>
      </c>
      <c r="W62" s="51">
        <v>300</v>
      </c>
      <c r="X62" s="51">
        <v>300</v>
      </c>
      <c r="Y62" s="51">
        <v>300</v>
      </c>
      <c r="Z62" s="51">
        <v>300</v>
      </c>
      <c r="AA62" s="51">
        <v>300</v>
      </c>
      <c r="AB62" s="51">
        <v>300</v>
      </c>
      <c r="AC62" s="51">
        <v>300</v>
      </c>
      <c r="AD62" s="51">
        <v>300</v>
      </c>
      <c r="AE62" s="51">
        <v>300</v>
      </c>
      <c r="AF62" s="51">
        <v>300</v>
      </c>
      <c r="AG62" s="51">
        <v>300</v>
      </c>
      <c r="AH62" s="51">
        <v>300</v>
      </c>
      <c r="AI62" s="213">
        <v>200</v>
      </c>
      <c r="AJ62" s="51">
        <v>300</v>
      </c>
      <c r="AK62" s="217">
        <f t="shared" si="14"/>
        <v>5700</v>
      </c>
      <c r="AL62" s="217">
        <f t="shared" si="15"/>
        <v>168200</v>
      </c>
      <c r="AM62" s="51">
        <v>450</v>
      </c>
      <c r="AN62" s="51">
        <v>450</v>
      </c>
      <c r="AO62" s="217">
        <f t="shared" si="8"/>
        <v>900</v>
      </c>
      <c r="AP62" s="217">
        <f t="shared" si="10"/>
        <v>11750</v>
      </c>
      <c r="AQ62" s="51">
        <f t="shared" si="5"/>
        <v>6600</v>
      </c>
      <c r="AR62" s="51">
        <f t="shared" si="11"/>
        <v>39950</v>
      </c>
      <c r="AS62" s="217"/>
      <c r="AT62" s="217"/>
      <c r="AU62" s="217"/>
      <c r="AV62" s="231"/>
      <c r="AW62" s="51">
        <f t="shared" si="16"/>
        <v>0</v>
      </c>
      <c r="AX62" s="209"/>
      <c r="AY62" s="217"/>
      <c r="AZ62" s="217"/>
      <c r="BA62" s="217"/>
      <c r="BB62" s="231"/>
      <c r="BC62" s="51">
        <f t="shared" si="17"/>
        <v>0</v>
      </c>
      <c r="BD62" s="209"/>
      <c r="BE62" s="217"/>
      <c r="BF62" s="217"/>
      <c r="BG62" s="217"/>
      <c r="BH62" s="231"/>
      <c r="BI62" s="51">
        <f t="shared" si="19"/>
        <v>0</v>
      </c>
      <c r="BJ62" s="209"/>
    </row>
    <row r="63" spans="1:62">
      <c r="A63" s="209">
        <v>45750</v>
      </c>
      <c r="B63" s="51"/>
      <c r="C63" s="51"/>
      <c r="D63" s="208"/>
      <c r="E63" s="51"/>
      <c r="F63" s="51"/>
      <c r="G63" s="215">
        <f t="shared" si="4"/>
        <v>0</v>
      </c>
      <c r="H63" s="51"/>
      <c r="I63" s="51">
        <v>450</v>
      </c>
      <c r="J63" s="51">
        <v>450</v>
      </c>
      <c r="K63" s="217">
        <f t="shared" si="7"/>
        <v>900</v>
      </c>
      <c r="L63" s="217">
        <f t="shared" si="9"/>
        <v>32650</v>
      </c>
      <c r="M63" s="51">
        <v>450</v>
      </c>
      <c r="N63" s="51">
        <v>450</v>
      </c>
      <c r="O63" s="217">
        <f t="shared" si="12"/>
        <v>900</v>
      </c>
      <c r="P63" s="217">
        <f t="shared" si="13"/>
        <v>10850</v>
      </c>
      <c r="Q63" s="51">
        <v>300</v>
      </c>
      <c r="R63" s="51">
        <v>300</v>
      </c>
      <c r="S63" s="213">
        <v>200</v>
      </c>
      <c r="T63" s="213">
        <v>200</v>
      </c>
      <c r="U63" s="51">
        <v>300</v>
      </c>
      <c r="V63" s="51">
        <v>300</v>
      </c>
      <c r="W63" s="51">
        <v>300</v>
      </c>
      <c r="X63" s="51">
        <v>300</v>
      </c>
      <c r="Y63" s="51">
        <v>300</v>
      </c>
      <c r="Z63" s="51">
        <v>300</v>
      </c>
      <c r="AA63" s="51">
        <v>300</v>
      </c>
      <c r="AB63" s="51">
        <v>300</v>
      </c>
      <c r="AC63" s="51">
        <v>300</v>
      </c>
      <c r="AD63" s="51">
        <v>300</v>
      </c>
      <c r="AE63" s="51">
        <v>300</v>
      </c>
      <c r="AF63" s="51">
        <v>300</v>
      </c>
      <c r="AG63" s="51">
        <v>300</v>
      </c>
      <c r="AH63" s="51">
        <v>300</v>
      </c>
      <c r="AI63" s="51">
        <v>300</v>
      </c>
      <c r="AJ63" s="213">
        <v>200</v>
      </c>
      <c r="AK63" s="217">
        <f t="shared" si="14"/>
        <v>5700</v>
      </c>
      <c r="AL63" s="217">
        <f t="shared" si="15"/>
        <v>173900</v>
      </c>
      <c r="AM63" s="51">
        <v>450</v>
      </c>
      <c r="AN63" s="51">
        <v>450</v>
      </c>
      <c r="AO63" s="217">
        <f t="shared" si="8"/>
        <v>900</v>
      </c>
      <c r="AP63" s="217">
        <f t="shared" si="10"/>
        <v>2650</v>
      </c>
      <c r="AQ63" s="51">
        <f t="shared" si="5"/>
        <v>6600</v>
      </c>
      <c r="AR63" s="51">
        <f t="shared" si="11"/>
        <v>21550</v>
      </c>
      <c r="AS63" s="217">
        <v>25000</v>
      </c>
      <c r="AT63" s="231">
        <f>A63+12</f>
        <v>45762</v>
      </c>
      <c r="AU63" s="217"/>
      <c r="AV63" s="217"/>
      <c r="AW63" s="51">
        <f t="shared" si="16"/>
        <v>25000</v>
      </c>
      <c r="AX63" s="209">
        <f>AT63</f>
        <v>45762</v>
      </c>
      <c r="AY63" s="217">
        <v>10000</v>
      </c>
      <c r="AZ63" s="231">
        <f>A63+12</f>
        <v>45762</v>
      </c>
      <c r="BA63" s="217"/>
      <c r="BB63" s="217"/>
      <c r="BC63" s="51">
        <f t="shared" si="17"/>
        <v>10000</v>
      </c>
      <c r="BD63" s="209">
        <f>AZ63</f>
        <v>45762</v>
      </c>
      <c r="BE63" s="217"/>
      <c r="BF63" s="231"/>
      <c r="BG63" s="217"/>
      <c r="BH63" s="217"/>
      <c r="BI63" s="51">
        <f t="shared" si="19"/>
        <v>0</v>
      </c>
      <c r="BJ63" s="209"/>
    </row>
    <row r="64" spans="1:62">
      <c r="A64" s="209">
        <v>45751</v>
      </c>
      <c r="B64" s="51"/>
      <c r="C64" s="51"/>
      <c r="D64" s="208"/>
      <c r="E64" s="51"/>
      <c r="F64" s="51"/>
      <c r="G64" s="215">
        <f t="shared" si="4"/>
        <v>0</v>
      </c>
      <c r="H64" s="51"/>
      <c r="I64" s="51">
        <v>450</v>
      </c>
      <c r="J64" s="51">
        <v>450</v>
      </c>
      <c r="K64" s="217">
        <f t="shared" si="7"/>
        <v>900</v>
      </c>
      <c r="L64" s="217">
        <f t="shared" si="9"/>
        <v>33550</v>
      </c>
      <c r="M64" s="51">
        <v>450</v>
      </c>
      <c r="N64" s="51">
        <v>450</v>
      </c>
      <c r="O64" s="217">
        <f t="shared" si="12"/>
        <v>900</v>
      </c>
      <c r="P64" s="217">
        <f t="shared" si="13"/>
        <v>11750</v>
      </c>
      <c r="Q64" s="51">
        <v>300</v>
      </c>
      <c r="R64" s="51">
        <v>300</v>
      </c>
      <c r="S64" s="51">
        <v>300</v>
      </c>
      <c r="T64" s="51">
        <v>300</v>
      </c>
      <c r="U64" s="213">
        <v>200</v>
      </c>
      <c r="V64" s="213">
        <v>200</v>
      </c>
      <c r="W64" s="51">
        <v>300</v>
      </c>
      <c r="X64" s="51">
        <v>300</v>
      </c>
      <c r="Y64" s="51">
        <v>300</v>
      </c>
      <c r="Z64" s="51">
        <v>300</v>
      </c>
      <c r="AA64" s="51">
        <v>300</v>
      </c>
      <c r="AB64" s="51">
        <v>300</v>
      </c>
      <c r="AC64" s="51">
        <v>300</v>
      </c>
      <c r="AD64" s="51">
        <v>300</v>
      </c>
      <c r="AE64" s="51">
        <v>300</v>
      </c>
      <c r="AF64" s="51">
        <v>300</v>
      </c>
      <c r="AG64" s="51">
        <v>300</v>
      </c>
      <c r="AH64" s="51">
        <v>300</v>
      </c>
      <c r="AI64" s="51">
        <v>300</v>
      </c>
      <c r="AJ64" s="51">
        <v>300</v>
      </c>
      <c r="AK64" s="217">
        <f t="shared" si="14"/>
        <v>5800</v>
      </c>
      <c r="AL64" s="217">
        <f t="shared" si="15"/>
        <v>179700</v>
      </c>
      <c r="AM64" s="51">
        <v>450</v>
      </c>
      <c r="AN64" s="51">
        <v>450</v>
      </c>
      <c r="AO64" s="217">
        <f t="shared" si="8"/>
        <v>900</v>
      </c>
      <c r="AP64" s="217">
        <f t="shared" si="10"/>
        <v>3550</v>
      </c>
      <c r="AQ64" s="51">
        <f t="shared" si="5"/>
        <v>6700</v>
      </c>
      <c r="AR64" s="51">
        <f t="shared" si="11"/>
        <v>28250</v>
      </c>
      <c r="AS64" s="217"/>
      <c r="AT64" s="217"/>
      <c r="AU64" s="217"/>
      <c r="AV64" s="217"/>
      <c r="AW64" s="51">
        <f t="shared" si="16"/>
        <v>0</v>
      </c>
      <c r="AX64" s="209"/>
      <c r="AY64" s="217"/>
      <c r="AZ64" s="217"/>
      <c r="BA64" s="217"/>
      <c r="BB64" s="217"/>
      <c r="BC64" s="51">
        <f t="shared" si="17"/>
        <v>0</v>
      </c>
      <c r="BD64" s="209"/>
      <c r="BE64" s="217"/>
      <c r="BF64" s="217"/>
      <c r="BG64" s="217"/>
      <c r="BH64" s="217"/>
      <c r="BI64" s="51">
        <f t="shared" si="19"/>
        <v>0</v>
      </c>
      <c r="BJ64" s="209"/>
    </row>
    <row r="65" spans="1:62">
      <c r="A65" s="209">
        <v>45752</v>
      </c>
      <c r="B65" s="51"/>
      <c r="C65" s="51"/>
      <c r="D65" s="208"/>
      <c r="E65" s="51"/>
      <c r="F65" s="51"/>
      <c r="G65" s="215">
        <f t="shared" si="4"/>
        <v>0</v>
      </c>
      <c r="H65" s="51"/>
      <c r="I65" s="51">
        <v>450</v>
      </c>
      <c r="J65" s="51">
        <v>450</v>
      </c>
      <c r="K65" s="217">
        <f t="shared" si="7"/>
        <v>900</v>
      </c>
      <c r="L65" s="217">
        <f t="shared" si="9"/>
        <v>34450</v>
      </c>
      <c r="M65" s="51">
        <v>450</v>
      </c>
      <c r="N65" s="51">
        <v>450</v>
      </c>
      <c r="O65" s="217">
        <f t="shared" si="12"/>
        <v>900</v>
      </c>
      <c r="P65" s="217">
        <f t="shared" si="13"/>
        <v>2650</v>
      </c>
      <c r="Q65" s="51">
        <v>300</v>
      </c>
      <c r="R65" s="51">
        <v>300</v>
      </c>
      <c r="S65" s="51">
        <v>300</v>
      </c>
      <c r="T65" s="51">
        <v>300</v>
      </c>
      <c r="U65" s="51">
        <v>300</v>
      </c>
      <c r="V65" s="51">
        <v>300</v>
      </c>
      <c r="W65" s="213">
        <v>200</v>
      </c>
      <c r="X65" s="213">
        <v>200</v>
      </c>
      <c r="Y65" s="51">
        <v>300</v>
      </c>
      <c r="Z65" s="51">
        <v>300</v>
      </c>
      <c r="AA65" s="51">
        <v>300</v>
      </c>
      <c r="AB65" s="51">
        <v>300</v>
      </c>
      <c r="AC65" s="51">
        <v>300</v>
      </c>
      <c r="AD65" s="51">
        <v>300</v>
      </c>
      <c r="AE65" s="51">
        <v>300</v>
      </c>
      <c r="AF65" s="51">
        <v>300</v>
      </c>
      <c r="AG65" s="51">
        <v>300</v>
      </c>
      <c r="AH65" s="51">
        <v>300</v>
      </c>
      <c r="AI65" s="51">
        <v>300</v>
      </c>
      <c r="AJ65" s="51">
        <v>300</v>
      </c>
      <c r="AK65" s="217">
        <f t="shared" si="14"/>
        <v>5800</v>
      </c>
      <c r="AL65" s="217">
        <f t="shared" si="15"/>
        <v>185500</v>
      </c>
      <c r="AM65" s="51">
        <v>450</v>
      </c>
      <c r="AN65" s="51">
        <v>450</v>
      </c>
      <c r="AO65" s="217">
        <f t="shared" si="8"/>
        <v>900</v>
      </c>
      <c r="AP65" s="217">
        <f t="shared" si="10"/>
        <v>4450</v>
      </c>
      <c r="AQ65" s="51">
        <f t="shared" si="5"/>
        <v>6700</v>
      </c>
      <c r="AR65" s="51">
        <f t="shared" si="11"/>
        <v>34950</v>
      </c>
      <c r="AS65" s="217"/>
      <c r="AT65" s="231"/>
      <c r="AU65" s="217"/>
      <c r="AV65" s="217"/>
      <c r="AW65" s="51">
        <f t="shared" si="16"/>
        <v>0</v>
      </c>
      <c r="AX65" s="209"/>
      <c r="AY65" s="217"/>
      <c r="AZ65" s="231"/>
      <c r="BA65" s="217"/>
      <c r="BB65" s="217"/>
      <c r="BC65" s="51">
        <f t="shared" si="17"/>
        <v>0</v>
      </c>
      <c r="BD65" s="209"/>
      <c r="BE65" s="217">
        <v>10000</v>
      </c>
      <c r="BF65" s="231">
        <f>A65+12</f>
        <v>45764</v>
      </c>
      <c r="BG65" s="217"/>
      <c r="BH65" s="217"/>
      <c r="BI65" s="51">
        <f t="shared" si="19"/>
        <v>10000</v>
      </c>
      <c r="BJ65" s="209">
        <f>BF65</f>
        <v>45764</v>
      </c>
    </row>
    <row r="66" spans="1:62">
      <c r="A66" s="209">
        <v>45753</v>
      </c>
      <c r="B66" s="51"/>
      <c r="C66" s="51"/>
      <c r="D66" s="208"/>
      <c r="E66" s="51"/>
      <c r="F66" s="51"/>
      <c r="G66" s="215">
        <f t="shared" si="4"/>
        <v>0</v>
      </c>
      <c r="H66" s="51"/>
      <c r="I66" s="51">
        <v>450</v>
      </c>
      <c r="J66" s="51">
        <v>450</v>
      </c>
      <c r="K66" s="217">
        <f t="shared" si="7"/>
        <v>900</v>
      </c>
      <c r="L66" s="217">
        <f t="shared" si="9"/>
        <v>35350</v>
      </c>
      <c r="M66" s="51">
        <v>450</v>
      </c>
      <c r="N66" s="51">
        <v>450</v>
      </c>
      <c r="O66" s="217">
        <f t="shared" si="12"/>
        <v>900</v>
      </c>
      <c r="P66" s="217">
        <f t="shared" si="13"/>
        <v>3550</v>
      </c>
      <c r="Q66" s="51">
        <v>300</v>
      </c>
      <c r="R66" s="51">
        <v>300</v>
      </c>
      <c r="S66" s="51">
        <v>300</v>
      </c>
      <c r="T66" s="51">
        <v>300</v>
      </c>
      <c r="U66" s="51">
        <v>300</v>
      </c>
      <c r="V66" s="51">
        <v>300</v>
      </c>
      <c r="W66" s="51">
        <v>300</v>
      </c>
      <c r="X66" s="51">
        <v>300</v>
      </c>
      <c r="Y66" s="213">
        <v>200</v>
      </c>
      <c r="Z66" s="213">
        <v>200</v>
      </c>
      <c r="AA66" s="51">
        <v>300</v>
      </c>
      <c r="AB66" s="51">
        <v>300</v>
      </c>
      <c r="AC66" s="51">
        <v>300</v>
      </c>
      <c r="AD66" s="51">
        <v>300</v>
      </c>
      <c r="AE66" s="51">
        <v>300</v>
      </c>
      <c r="AF66" s="51">
        <v>300</v>
      </c>
      <c r="AG66" s="51">
        <v>300</v>
      </c>
      <c r="AH66" s="51">
        <v>300</v>
      </c>
      <c r="AI66" s="51">
        <v>300</v>
      </c>
      <c r="AJ66" s="51">
        <v>300</v>
      </c>
      <c r="AK66" s="217">
        <f t="shared" si="14"/>
        <v>5800</v>
      </c>
      <c r="AL66" s="217">
        <f t="shared" si="15"/>
        <v>191300</v>
      </c>
      <c r="AM66" s="51">
        <v>450</v>
      </c>
      <c r="AN66" s="51">
        <v>450</v>
      </c>
      <c r="AO66" s="217">
        <f t="shared" si="8"/>
        <v>900</v>
      </c>
      <c r="AP66" s="217">
        <f t="shared" si="10"/>
        <v>5350</v>
      </c>
      <c r="AQ66" s="51">
        <f t="shared" si="5"/>
        <v>6700</v>
      </c>
      <c r="AR66" s="51">
        <f t="shared" si="11"/>
        <v>16650</v>
      </c>
      <c r="AS66" s="217"/>
      <c r="AT66" s="217"/>
      <c r="AU66" s="217">
        <v>25000</v>
      </c>
      <c r="AV66" s="231">
        <f>A66+12</f>
        <v>45765</v>
      </c>
      <c r="AW66" s="51">
        <f t="shared" si="16"/>
        <v>25000</v>
      </c>
      <c r="AX66" s="209">
        <f>AV66</f>
        <v>45765</v>
      </c>
      <c r="AY66" s="217"/>
      <c r="AZ66" s="217"/>
      <c r="BA66" s="217"/>
      <c r="BB66" s="217"/>
      <c r="BC66" s="51">
        <f t="shared" si="17"/>
        <v>0</v>
      </c>
      <c r="BD66" s="209"/>
      <c r="BE66" s="217"/>
      <c r="BF66" s="217"/>
      <c r="BG66" s="217"/>
      <c r="BH66" s="217"/>
      <c r="BI66" s="51">
        <f t="shared" si="19"/>
        <v>0</v>
      </c>
      <c r="BJ66" s="209"/>
    </row>
    <row r="67" spans="1:62">
      <c r="A67" s="209">
        <v>45754</v>
      </c>
      <c r="B67" s="51"/>
      <c r="C67" s="51"/>
      <c r="D67" s="208"/>
      <c r="E67" s="51"/>
      <c r="F67" s="51"/>
      <c r="G67" s="215">
        <f t="shared" si="4"/>
        <v>0</v>
      </c>
      <c r="H67" s="51"/>
      <c r="I67" s="51">
        <v>450</v>
      </c>
      <c r="J67" s="51">
        <v>450</v>
      </c>
      <c r="K67" s="217">
        <f t="shared" si="7"/>
        <v>900</v>
      </c>
      <c r="L67" s="217">
        <f t="shared" si="9"/>
        <v>36250</v>
      </c>
      <c r="M67" s="51">
        <v>450</v>
      </c>
      <c r="N67" s="51">
        <v>450</v>
      </c>
      <c r="O67" s="217">
        <f t="shared" si="12"/>
        <v>900</v>
      </c>
      <c r="P67" s="217">
        <f t="shared" si="13"/>
        <v>4450</v>
      </c>
      <c r="Q67" s="51">
        <v>300</v>
      </c>
      <c r="R67" s="51">
        <v>300</v>
      </c>
      <c r="S67" s="51">
        <v>300</v>
      </c>
      <c r="T67" s="51">
        <v>300</v>
      </c>
      <c r="U67" s="51">
        <v>300</v>
      </c>
      <c r="V67" s="51">
        <v>300</v>
      </c>
      <c r="W67" s="51">
        <v>300</v>
      </c>
      <c r="X67" s="51">
        <v>300</v>
      </c>
      <c r="Y67" s="51">
        <v>300</v>
      </c>
      <c r="Z67" s="51">
        <v>300</v>
      </c>
      <c r="AA67" s="213">
        <v>200</v>
      </c>
      <c r="AB67" s="213">
        <v>200</v>
      </c>
      <c r="AC67" s="51">
        <v>300</v>
      </c>
      <c r="AD67" s="51">
        <v>300</v>
      </c>
      <c r="AE67" s="51">
        <v>300</v>
      </c>
      <c r="AF67" s="51">
        <v>300</v>
      </c>
      <c r="AG67" s="51">
        <v>300</v>
      </c>
      <c r="AH67" s="51">
        <v>300</v>
      </c>
      <c r="AI67" s="51">
        <v>300</v>
      </c>
      <c r="AJ67" s="51">
        <v>300</v>
      </c>
      <c r="AK67" s="217">
        <f t="shared" si="14"/>
        <v>5800</v>
      </c>
      <c r="AL67" s="217">
        <f t="shared" si="15"/>
        <v>197100</v>
      </c>
      <c r="AM67" s="51">
        <v>450</v>
      </c>
      <c r="AN67" s="51">
        <v>450</v>
      </c>
      <c r="AO67" s="217">
        <f t="shared" si="8"/>
        <v>900</v>
      </c>
      <c r="AP67" s="217">
        <f t="shared" si="10"/>
        <v>6250</v>
      </c>
      <c r="AQ67" s="51">
        <f t="shared" si="5"/>
        <v>6700</v>
      </c>
      <c r="AR67" s="51">
        <f t="shared" si="11"/>
        <v>23350</v>
      </c>
      <c r="AS67" s="217"/>
      <c r="AT67" s="217"/>
      <c r="AU67" s="217"/>
      <c r="AV67" s="217"/>
      <c r="AW67" s="51">
        <f t="shared" si="16"/>
        <v>0</v>
      </c>
      <c r="AX67" s="209"/>
      <c r="AY67" s="217"/>
      <c r="AZ67" s="217"/>
      <c r="BA67" s="217"/>
      <c r="BB67" s="217"/>
      <c r="BC67" s="51">
        <f t="shared" si="17"/>
        <v>0</v>
      </c>
      <c r="BD67" s="209"/>
      <c r="BE67" s="217"/>
      <c r="BF67" s="217"/>
      <c r="BG67" s="217"/>
      <c r="BH67" s="217"/>
      <c r="BI67" s="51">
        <f t="shared" si="19"/>
        <v>0</v>
      </c>
      <c r="BJ67" s="209"/>
    </row>
    <row r="68" spans="1:62">
      <c r="A68" s="209">
        <v>45755</v>
      </c>
      <c r="B68" s="51"/>
      <c r="C68" s="51"/>
      <c r="D68" s="208"/>
      <c r="E68" s="51"/>
      <c r="F68" s="51"/>
      <c r="G68" s="215">
        <f t="shared" si="4"/>
        <v>0</v>
      </c>
      <c r="H68" s="51"/>
      <c r="I68" s="51">
        <v>450</v>
      </c>
      <c r="J68" s="51">
        <v>450</v>
      </c>
      <c r="K68" s="217">
        <f t="shared" si="7"/>
        <v>900</v>
      </c>
      <c r="L68" s="217">
        <f t="shared" si="9"/>
        <v>37150</v>
      </c>
      <c r="M68" s="51">
        <v>450</v>
      </c>
      <c r="N68" s="51">
        <v>450</v>
      </c>
      <c r="O68" s="217">
        <f t="shared" si="12"/>
        <v>900</v>
      </c>
      <c r="P68" s="217">
        <f t="shared" si="13"/>
        <v>5350</v>
      </c>
      <c r="Q68" s="51">
        <v>300</v>
      </c>
      <c r="R68" s="51">
        <v>300</v>
      </c>
      <c r="S68" s="51">
        <v>300</v>
      </c>
      <c r="T68" s="51">
        <v>300</v>
      </c>
      <c r="U68" s="51">
        <v>300</v>
      </c>
      <c r="V68" s="51">
        <v>300</v>
      </c>
      <c r="W68" s="51">
        <v>300</v>
      </c>
      <c r="X68" s="51">
        <v>300</v>
      </c>
      <c r="Y68" s="51">
        <v>300</v>
      </c>
      <c r="Z68" s="51">
        <v>300</v>
      </c>
      <c r="AA68" s="51">
        <v>300</v>
      </c>
      <c r="AB68" s="51">
        <v>300</v>
      </c>
      <c r="AC68" s="213">
        <v>200</v>
      </c>
      <c r="AD68" s="213">
        <v>200</v>
      </c>
      <c r="AE68" s="51">
        <v>300</v>
      </c>
      <c r="AF68" s="51">
        <v>300</v>
      </c>
      <c r="AG68" s="51">
        <v>300</v>
      </c>
      <c r="AH68" s="51">
        <v>300</v>
      </c>
      <c r="AI68" s="51">
        <v>300</v>
      </c>
      <c r="AJ68" s="51">
        <v>300</v>
      </c>
      <c r="AK68" s="217">
        <f t="shared" si="14"/>
        <v>5800</v>
      </c>
      <c r="AL68" s="217">
        <f t="shared" si="15"/>
        <v>202900</v>
      </c>
      <c r="AM68" s="51">
        <v>450</v>
      </c>
      <c r="AN68" s="51">
        <v>450</v>
      </c>
      <c r="AO68" s="217">
        <f t="shared" si="8"/>
        <v>900</v>
      </c>
      <c r="AP68" s="217">
        <f t="shared" si="10"/>
        <v>7150</v>
      </c>
      <c r="AQ68" s="51">
        <f t="shared" si="5"/>
        <v>6700</v>
      </c>
      <c r="AR68" s="51">
        <f t="shared" si="11"/>
        <v>30050</v>
      </c>
      <c r="AS68" s="217"/>
      <c r="AT68" s="217"/>
      <c r="AU68" s="217"/>
      <c r="AV68" s="231"/>
      <c r="AW68" s="51">
        <f t="shared" si="16"/>
        <v>0</v>
      </c>
      <c r="AX68" s="209"/>
      <c r="AY68" s="217"/>
      <c r="AZ68" s="217"/>
      <c r="BA68" s="217"/>
      <c r="BB68" s="231"/>
      <c r="BC68" s="51">
        <f t="shared" si="17"/>
        <v>0</v>
      </c>
      <c r="BD68" s="209"/>
      <c r="BE68" s="217"/>
      <c r="BF68" s="217"/>
      <c r="BG68" s="217"/>
      <c r="BH68" s="231"/>
      <c r="BI68" s="51">
        <f t="shared" si="19"/>
        <v>0</v>
      </c>
      <c r="BJ68" s="209"/>
    </row>
    <row r="69" spans="1:62">
      <c r="A69" s="209">
        <v>45756</v>
      </c>
      <c r="B69" s="51"/>
      <c r="C69" s="51"/>
      <c r="D69" s="208"/>
      <c r="E69" s="51"/>
      <c r="F69" s="51"/>
      <c r="G69" s="215">
        <f t="shared" si="4"/>
        <v>0</v>
      </c>
      <c r="H69" s="51"/>
      <c r="I69" s="51">
        <v>450</v>
      </c>
      <c r="J69" s="51">
        <v>450</v>
      </c>
      <c r="K69" s="217">
        <f t="shared" si="7"/>
        <v>900</v>
      </c>
      <c r="L69" s="217">
        <f t="shared" si="9"/>
        <v>38050</v>
      </c>
      <c r="M69" s="214">
        <v>200</v>
      </c>
      <c r="N69" s="51">
        <v>450</v>
      </c>
      <c r="O69" s="217">
        <f t="shared" si="12"/>
        <v>650</v>
      </c>
      <c r="P69" s="217">
        <f t="shared" si="13"/>
        <v>6000</v>
      </c>
      <c r="Q69" s="51">
        <v>300</v>
      </c>
      <c r="R69" s="51">
        <v>300</v>
      </c>
      <c r="S69" s="51">
        <v>300</v>
      </c>
      <c r="T69" s="51">
        <v>300</v>
      </c>
      <c r="U69" s="51">
        <v>300</v>
      </c>
      <c r="V69" s="51">
        <v>300</v>
      </c>
      <c r="W69" s="51">
        <v>300</v>
      </c>
      <c r="X69" s="51">
        <v>300</v>
      </c>
      <c r="Y69" s="51">
        <v>300</v>
      </c>
      <c r="Z69" s="51">
        <v>300</v>
      </c>
      <c r="AA69" s="51">
        <v>300</v>
      </c>
      <c r="AB69" s="51">
        <v>300</v>
      </c>
      <c r="AC69" s="51">
        <v>300</v>
      </c>
      <c r="AD69" s="51">
        <v>300</v>
      </c>
      <c r="AE69" s="213">
        <v>200</v>
      </c>
      <c r="AF69" s="51">
        <v>300</v>
      </c>
      <c r="AG69" s="51">
        <v>300</v>
      </c>
      <c r="AH69" s="51">
        <v>300</v>
      </c>
      <c r="AI69" s="51">
        <v>300</v>
      </c>
      <c r="AJ69" s="51">
        <v>300</v>
      </c>
      <c r="AK69" s="217">
        <f t="shared" si="14"/>
        <v>5900</v>
      </c>
      <c r="AL69" s="217">
        <f t="shared" si="15"/>
        <v>208800</v>
      </c>
      <c r="AM69" s="51">
        <v>450</v>
      </c>
      <c r="AN69" s="51">
        <v>450</v>
      </c>
      <c r="AO69" s="217">
        <f t="shared" si="8"/>
        <v>900</v>
      </c>
      <c r="AP69" s="217">
        <f t="shared" si="10"/>
        <v>8050</v>
      </c>
      <c r="AQ69" s="51">
        <f t="shared" si="5"/>
        <v>6800</v>
      </c>
      <c r="AR69" s="51">
        <f t="shared" si="11"/>
        <v>11850</v>
      </c>
      <c r="AS69" s="217">
        <v>25000</v>
      </c>
      <c r="AT69" s="231">
        <f>A69+12</f>
        <v>45768</v>
      </c>
      <c r="AU69" s="217"/>
      <c r="AV69" s="217"/>
      <c r="AW69" s="51">
        <f t="shared" si="16"/>
        <v>25000</v>
      </c>
      <c r="AX69" s="209">
        <f>AT69</f>
        <v>45768</v>
      </c>
      <c r="AY69" s="217"/>
      <c r="AZ69" s="217"/>
      <c r="BA69" s="217"/>
      <c r="BB69" s="217"/>
      <c r="BC69" s="51">
        <f t="shared" si="17"/>
        <v>0</v>
      </c>
      <c r="BD69" s="209"/>
      <c r="BE69" s="217"/>
      <c r="BF69" s="217"/>
      <c r="BG69" s="217"/>
      <c r="BH69" s="217"/>
      <c r="BI69" s="51">
        <f t="shared" si="19"/>
        <v>0</v>
      </c>
      <c r="BJ69" s="209"/>
    </row>
    <row r="70" spans="1:62">
      <c r="A70" s="209">
        <v>45757</v>
      </c>
      <c r="B70" s="51"/>
      <c r="C70" s="51"/>
      <c r="D70" s="208"/>
      <c r="E70" s="51"/>
      <c r="F70" s="51"/>
      <c r="G70" s="215">
        <f t="shared" si="4"/>
        <v>0</v>
      </c>
      <c r="H70" s="51"/>
      <c r="I70" s="51">
        <v>450</v>
      </c>
      <c r="J70" s="51">
        <v>450</v>
      </c>
      <c r="K70" s="217">
        <f t="shared" si="7"/>
        <v>900</v>
      </c>
      <c r="L70" s="217">
        <f t="shared" si="9"/>
        <v>38950</v>
      </c>
      <c r="M70" s="51">
        <v>450</v>
      </c>
      <c r="N70" s="214">
        <v>200</v>
      </c>
      <c r="O70" s="217">
        <f t="shared" si="12"/>
        <v>650</v>
      </c>
      <c r="P70" s="217">
        <f t="shared" si="13"/>
        <v>6650</v>
      </c>
      <c r="Q70" s="51">
        <v>300</v>
      </c>
      <c r="R70" s="51">
        <v>300</v>
      </c>
      <c r="S70" s="51">
        <v>300</v>
      </c>
      <c r="T70" s="51">
        <v>300</v>
      </c>
      <c r="U70" s="51">
        <v>300</v>
      </c>
      <c r="V70" s="51">
        <v>300</v>
      </c>
      <c r="W70" s="51">
        <v>300</v>
      </c>
      <c r="X70" s="51">
        <v>300</v>
      </c>
      <c r="Y70" s="51">
        <v>300</v>
      </c>
      <c r="Z70" s="51">
        <v>300</v>
      </c>
      <c r="AA70" s="51">
        <v>300</v>
      </c>
      <c r="AB70" s="51">
        <v>300</v>
      </c>
      <c r="AC70" s="51">
        <v>300</v>
      </c>
      <c r="AD70" s="51">
        <v>300</v>
      </c>
      <c r="AE70" s="51">
        <v>300</v>
      </c>
      <c r="AF70" s="213">
        <v>200</v>
      </c>
      <c r="AG70" s="51">
        <v>300</v>
      </c>
      <c r="AH70" s="51">
        <v>300</v>
      </c>
      <c r="AI70" s="51">
        <v>300</v>
      </c>
      <c r="AJ70" s="51">
        <v>300</v>
      </c>
      <c r="AK70" s="217">
        <f t="shared" si="14"/>
        <v>5900</v>
      </c>
      <c r="AL70" s="217">
        <f t="shared" si="15"/>
        <v>214700</v>
      </c>
      <c r="AM70" s="51">
        <v>450</v>
      </c>
      <c r="AN70" s="51">
        <v>450</v>
      </c>
      <c r="AO70" s="217">
        <f t="shared" si="8"/>
        <v>900</v>
      </c>
      <c r="AP70" s="217">
        <f t="shared" si="10"/>
        <v>8950</v>
      </c>
      <c r="AQ70" s="51">
        <f t="shared" si="5"/>
        <v>6800</v>
      </c>
      <c r="AR70" s="51">
        <f t="shared" si="11"/>
        <v>18650</v>
      </c>
      <c r="AS70" s="217"/>
      <c r="AT70" s="217"/>
      <c r="AU70" s="217"/>
      <c r="AV70" s="217"/>
      <c r="AW70" s="51">
        <f t="shared" si="16"/>
        <v>0</v>
      </c>
      <c r="AX70" s="209"/>
      <c r="AY70" s="217"/>
      <c r="AZ70" s="217"/>
      <c r="BA70" s="217"/>
      <c r="BB70" s="217"/>
      <c r="BC70" s="51">
        <f t="shared" si="17"/>
        <v>0</v>
      </c>
      <c r="BD70" s="209"/>
      <c r="BE70" s="217"/>
      <c r="BF70" s="217"/>
      <c r="BG70" s="217"/>
      <c r="BH70" s="217"/>
      <c r="BI70" s="51">
        <f t="shared" si="19"/>
        <v>0</v>
      </c>
      <c r="BJ70" s="209"/>
    </row>
    <row r="71" spans="1:62">
      <c r="A71" s="209">
        <v>45758</v>
      </c>
      <c r="B71" s="51"/>
      <c r="C71" s="51"/>
      <c r="D71" s="208"/>
      <c r="E71" s="51"/>
      <c r="F71" s="51"/>
      <c r="G71" s="215">
        <f t="shared" si="4"/>
        <v>0</v>
      </c>
      <c r="H71" s="51"/>
      <c r="I71" s="214">
        <v>200</v>
      </c>
      <c r="J71" s="51">
        <v>450</v>
      </c>
      <c r="K71" s="217">
        <f t="shared" si="7"/>
        <v>650</v>
      </c>
      <c r="L71" s="217">
        <f t="shared" si="9"/>
        <v>39600</v>
      </c>
      <c r="M71" s="51">
        <v>450</v>
      </c>
      <c r="N71" s="51">
        <v>450</v>
      </c>
      <c r="O71" s="217">
        <f t="shared" si="12"/>
        <v>900</v>
      </c>
      <c r="P71" s="217">
        <f t="shared" si="13"/>
        <v>7550</v>
      </c>
      <c r="Q71" s="51">
        <v>300</v>
      </c>
      <c r="R71" s="51">
        <v>300</v>
      </c>
      <c r="S71" s="51">
        <v>300</v>
      </c>
      <c r="T71" s="51">
        <v>300</v>
      </c>
      <c r="U71" s="51">
        <v>300</v>
      </c>
      <c r="V71" s="51">
        <v>300</v>
      </c>
      <c r="W71" s="51">
        <v>300</v>
      </c>
      <c r="X71" s="51">
        <v>300</v>
      </c>
      <c r="Y71" s="51">
        <v>300</v>
      </c>
      <c r="Z71" s="51">
        <v>300</v>
      </c>
      <c r="AA71" s="51">
        <v>300</v>
      </c>
      <c r="AB71" s="51">
        <v>300</v>
      </c>
      <c r="AC71" s="51">
        <v>300</v>
      </c>
      <c r="AD71" s="51">
        <v>300</v>
      </c>
      <c r="AE71" s="51">
        <v>300</v>
      </c>
      <c r="AF71" s="51">
        <v>300</v>
      </c>
      <c r="AG71" s="213">
        <v>200</v>
      </c>
      <c r="AH71" s="51">
        <v>300</v>
      </c>
      <c r="AI71" s="51">
        <v>300</v>
      </c>
      <c r="AJ71" s="51">
        <v>300</v>
      </c>
      <c r="AK71" s="217">
        <f t="shared" si="14"/>
        <v>5900</v>
      </c>
      <c r="AL71" s="217">
        <f t="shared" si="15"/>
        <v>220600</v>
      </c>
      <c r="AM71" s="51">
        <v>450</v>
      </c>
      <c r="AN71" s="51">
        <v>450</v>
      </c>
      <c r="AO71" s="217">
        <f t="shared" si="8"/>
        <v>900</v>
      </c>
      <c r="AP71" s="217">
        <f t="shared" si="10"/>
        <v>9850</v>
      </c>
      <c r="AQ71" s="51">
        <f t="shared" si="5"/>
        <v>6550</v>
      </c>
      <c r="AR71" s="51">
        <f t="shared" si="11"/>
        <v>25200</v>
      </c>
      <c r="AS71" s="217"/>
      <c r="AT71" s="217"/>
      <c r="AU71" s="217"/>
      <c r="AV71" s="217"/>
      <c r="AW71" s="51">
        <f t="shared" si="16"/>
        <v>0</v>
      </c>
      <c r="AX71" s="209"/>
      <c r="AY71" s="217"/>
      <c r="AZ71" s="217"/>
      <c r="BA71" s="217"/>
      <c r="BB71" s="231"/>
      <c r="BC71" s="51">
        <f t="shared" si="17"/>
        <v>0</v>
      </c>
      <c r="BD71" s="209"/>
      <c r="BE71" s="217"/>
      <c r="BF71" s="217"/>
      <c r="BG71" s="217"/>
      <c r="BH71" s="231"/>
      <c r="BI71" s="51">
        <f t="shared" si="19"/>
        <v>0</v>
      </c>
      <c r="BJ71" s="209"/>
    </row>
    <row r="72" spans="1:62">
      <c r="A72" s="209">
        <v>45759</v>
      </c>
      <c r="B72" s="51"/>
      <c r="C72" s="51"/>
      <c r="D72" s="208"/>
      <c r="E72" s="51"/>
      <c r="F72" s="51"/>
      <c r="G72" s="215">
        <f t="shared" si="4"/>
        <v>0</v>
      </c>
      <c r="H72" s="51"/>
      <c r="I72" s="51">
        <v>450</v>
      </c>
      <c r="J72" s="214">
        <v>200</v>
      </c>
      <c r="K72" s="217">
        <f t="shared" si="7"/>
        <v>650</v>
      </c>
      <c r="L72" s="217">
        <f t="shared" si="9"/>
        <v>40250</v>
      </c>
      <c r="M72" s="51">
        <v>450</v>
      </c>
      <c r="N72" s="51">
        <v>450</v>
      </c>
      <c r="O72" s="217">
        <f t="shared" si="12"/>
        <v>900</v>
      </c>
      <c r="P72" s="217">
        <f t="shared" si="13"/>
        <v>8450</v>
      </c>
      <c r="Q72" s="51">
        <v>300</v>
      </c>
      <c r="R72" s="51">
        <v>300</v>
      </c>
      <c r="S72" s="51">
        <v>300</v>
      </c>
      <c r="T72" s="51">
        <v>300</v>
      </c>
      <c r="U72" s="51">
        <v>300</v>
      </c>
      <c r="V72" s="51">
        <v>300</v>
      </c>
      <c r="W72" s="51">
        <v>300</v>
      </c>
      <c r="X72" s="51">
        <v>300</v>
      </c>
      <c r="Y72" s="51">
        <v>300</v>
      </c>
      <c r="Z72" s="51">
        <v>300</v>
      </c>
      <c r="AA72" s="51">
        <v>300</v>
      </c>
      <c r="AB72" s="51">
        <v>300</v>
      </c>
      <c r="AC72" s="51">
        <v>300</v>
      </c>
      <c r="AD72" s="51">
        <v>300</v>
      </c>
      <c r="AE72" s="51">
        <v>300</v>
      </c>
      <c r="AF72" s="51">
        <v>300</v>
      </c>
      <c r="AG72" s="51">
        <v>300</v>
      </c>
      <c r="AH72" s="213">
        <v>200</v>
      </c>
      <c r="AI72" s="51">
        <v>300</v>
      </c>
      <c r="AJ72" s="51">
        <v>300</v>
      </c>
      <c r="AK72" s="217">
        <f t="shared" si="14"/>
        <v>5900</v>
      </c>
      <c r="AL72" s="217">
        <f t="shared" si="15"/>
        <v>226500</v>
      </c>
      <c r="AM72" s="51">
        <v>450</v>
      </c>
      <c r="AN72" s="51">
        <v>450</v>
      </c>
      <c r="AO72" s="217">
        <f t="shared" si="8"/>
        <v>900</v>
      </c>
      <c r="AP72" s="217">
        <f t="shared" si="10"/>
        <v>10750</v>
      </c>
      <c r="AQ72" s="51">
        <f t="shared" si="5"/>
        <v>6550</v>
      </c>
      <c r="AR72" s="51">
        <f t="shared" si="11"/>
        <v>31750</v>
      </c>
      <c r="AS72" s="217"/>
      <c r="AT72" s="231"/>
      <c r="AU72" s="217"/>
      <c r="AV72" s="217"/>
      <c r="AW72" s="51">
        <f t="shared" si="16"/>
        <v>0</v>
      </c>
      <c r="AX72" s="209"/>
      <c r="AY72" s="217"/>
      <c r="AZ72" s="231"/>
      <c r="BA72" s="217"/>
      <c r="BB72" s="217"/>
      <c r="BC72" s="51">
        <f t="shared" si="17"/>
        <v>0</v>
      </c>
      <c r="BD72" s="209"/>
      <c r="BE72" s="217"/>
      <c r="BF72" s="231"/>
      <c r="BG72" s="217"/>
      <c r="BH72" s="217"/>
      <c r="BI72" s="51">
        <f t="shared" si="19"/>
        <v>0</v>
      </c>
      <c r="BJ72" s="209"/>
    </row>
    <row r="73" spans="1:62">
      <c r="A73" s="209">
        <v>45760</v>
      </c>
      <c r="B73" s="51"/>
      <c r="C73" s="51"/>
      <c r="D73" s="208"/>
      <c r="E73" s="51"/>
      <c r="F73" s="51"/>
      <c r="G73" s="215">
        <f t="shared" si="4"/>
        <v>0</v>
      </c>
      <c r="H73" s="51"/>
      <c r="I73" s="51">
        <v>450</v>
      </c>
      <c r="J73" s="51">
        <v>450</v>
      </c>
      <c r="K73" s="217">
        <f t="shared" si="7"/>
        <v>900</v>
      </c>
      <c r="L73" s="217">
        <f t="shared" si="9"/>
        <v>41150</v>
      </c>
      <c r="M73" s="51">
        <v>450</v>
      </c>
      <c r="N73" s="51">
        <v>450</v>
      </c>
      <c r="O73" s="217">
        <f t="shared" si="12"/>
        <v>900</v>
      </c>
      <c r="P73" s="217">
        <f t="shared" si="13"/>
        <v>9350</v>
      </c>
      <c r="Q73" s="213">
        <v>200</v>
      </c>
      <c r="R73" s="213">
        <v>200</v>
      </c>
      <c r="S73" s="51">
        <v>300</v>
      </c>
      <c r="T73" s="51">
        <v>300</v>
      </c>
      <c r="U73" s="51">
        <v>300</v>
      </c>
      <c r="V73" s="51">
        <v>300</v>
      </c>
      <c r="W73" s="51">
        <v>300</v>
      </c>
      <c r="X73" s="51">
        <v>300</v>
      </c>
      <c r="Y73" s="51">
        <v>300</v>
      </c>
      <c r="Z73" s="51">
        <v>300</v>
      </c>
      <c r="AA73" s="51">
        <v>300</v>
      </c>
      <c r="AB73" s="51">
        <v>300</v>
      </c>
      <c r="AC73" s="51">
        <v>300</v>
      </c>
      <c r="AD73" s="51">
        <v>300</v>
      </c>
      <c r="AE73" s="51">
        <v>300</v>
      </c>
      <c r="AF73" s="51">
        <v>300</v>
      </c>
      <c r="AG73" s="51">
        <v>300</v>
      </c>
      <c r="AH73" s="51">
        <v>300</v>
      </c>
      <c r="AI73" s="213">
        <v>200</v>
      </c>
      <c r="AJ73" s="51">
        <v>300</v>
      </c>
      <c r="AK73" s="217">
        <f t="shared" si="14"/>
        <v>5700</v>
      </c>
      <c r="AL73" s="217">
        <f t="shared" si="15"/>
        <v>232200</v>
      </c>
      <c r="AM73" s="214">
        <v>200</v>
      </c>
      <c r="AN73" s="51">
        <v>450</v>
      </c>
      <c r="AO73" s="217">
        <f t="shared" si="8"/>
        <v>650</v>
      </c>
      <c r="AP73" s="217">
        <f t="shared" si="10"/>
        <v>11400</v>
      </c>
      <c r="AQ73" s="51">
        <f t="shared" si="5"/>
        <v>6600</v>
      </c>
      <c r="AR73" s="51">
        <f t="shared" si="11"/>
        <v>13350</v>
      </c>
      <c r="AS73" s="217"/>
      <c r="AT73" s="231"/>
      <c r="AU73" s="51">
        <v>25000</v>
      </c>
      <c r="AV73" s="231">
        <f>A73+12</f>
        <v>45772</v>
      </c>
      <c r="AW73" s="51">
        <f t="shared" si="16"/>
        <v>25000</v>
      </c>
      <c r="AX73" s="209">
        <f>AV73</f>
        <v>45772</v>
      </c>
      <c r="AY73" s="217"/>
      <c r="AZ73" s="231"/>
      <c r="BA73" s="217"/>
      <c r="BB73" s="217"/>
      <c r="BC73" s="51">
        <f t="shared" si="17"/>
        <v>0</v>
      </c>
      <c r="BD73" s="209"/>
      <c r="BE73" s="217"/>
      <c r="BF73" s="231"/>
      <c r="BG73" s="217"/>
      <c r="BH73" s="217"/>
      <c r="BI73" s="51">
        <f t="shared" si="19"/>
        <v>0</v>
      </c>
      <c r="BJ73" s="209"/>
    </row>
    <row r="74" spans="1:62">
      <c r="A74" s="209">
        <v>45761</v>
      </c>
      <c r="B74" s="51"/>
      <c r="C74" s="51"/>
      <c r="D74" s="208"/>
      <c r="E74" s="51"/>
      <c r="F74" s="51"/>
      <c r="G74" s="215">
        <f t="shared" si="4"/>
        <v>0</v>
      </c>
      <c r="H74" s="51"/>
      <c r="I74" s="51">
        <v>450</v>
      </c>
      <c r="J74" s="51">
        <v>450</v>
      </c>
      <c r="K74" s="217">
        <f t="shared" si="7"/>
        <v>900</v>
      </c>
      <c r="L74" s="217">
        <f t="shared" si="9"/>
        <v>42050</v>
      </c>
      <c r="M74" s="51">
        <v>450</v>
      </c>
      <c r="N74" s="51">
        <v>450</v>
      </c>
      <c r="O74" s="217">
        <f t="shared" si="12"/>
        <v>900</v>
      </c>
      <c r="P74" s="217">
        <f t="shared" si="13"/>
        <v>10250</v>
      </c>
      <c r="Q74" s="51">
        <v>300</v>
      </c>
      <c r="R74" s="51">
        <v>300</v>
      </c>
      <c r="S74" s="213">
        <v>200</v>
      </c>
      <c r="T74" s="213">
        <v>200</v>
      </c>
      <c r="U74" s="51">
        <v>300</v>
      </c>
      <c r="V74" s="51">
        <v>300</v>
      </c>
      <c r="W74" s="51">
        <v>300</v>
      </c>
      <c r="X74" s="51">
        <v>300</v>
      </c>
      <c r="Y74" s="51">
        <v>300</v>
      </c>
      <c r="Z74" s="51">
        <v>300</v>
      </c>
      <c r="AA74" s="51">
        <v>300</v>
      </c>
      <c r="AB74" s="51">
        <v>300</v>
      </c>
      <c r="AC74" s="51">
        <v>300</v>
      </c>
      <c r="AD74" s="51">
        <v>300</v>
      </c>
      <c r="AE74" s="51">
        <v>300</v>
      </c>
      <c r="AF74" s="51">
        <v>300</v>
      </c>
      <c r="AG74" s="51">
        <v>300</v>
      </c>
      <c r="AH74" s="51">
        <v>300</v>
      </c>
      <c r="AI74" s="51">
        <v>300</v>
      </c>
      <c r="AJ74" s="213">
        <v>200</v>
      </c>
      <c r="AK74" s="217">
        <f t="shared" si="14"/>
        <v>5700</v>
      </c>
      <c r="AL74" s="217">
        <f t="shared" si="15"/>
        <v>237900</v>
      </c>
      <c r="AM74" s="51">
        <v>450</v>
      </c>
      <c r="AN74" s="214">
        <v>200</v>
      </c>
      <c r="AO74" s="217">
        <f t="shared" si="8"/>
        <v>650</v>
      </c>
      <c r="AP74" s="217">
        <f t="shared" si="10"/>
        <v>2050</v>
      </c>
      <c r="AQ74" s="51">
        <f t="shared" si="5"/>
        <v>6600</v>
      </c>
      <c r="AR74" s="51">
        <f t="shared" si="11"/>
        <v>19950</v>
      </c>
      <c r="AS74" s="217"/>
      <c r="AT74" s="217"/>
      <c r="AU74" s="217"/>
      <c r="AV74" s="217"/>
      <c r="AW74" s="51">
        <f t="shared" si="16"/>
        <v>0</v>
      </c>
      <c r="AX74" s="209"/>
      <c r="AY74" s="217"/>
      <c r="AZ74" s="217"/>
      <c r="BA74" s="217">
        <v>10000</v>
      </c>
      <c r="BB74" s="231">
        <f>A74+12</f>
        <v>45773</v>
      </c>
      <c r="BC74" s="51">
        <f t="shared" si="17"/>
        <v>10000</v>
      </c>
      <c r="BD74" s="209">
        <f>BB74</f>
        <v>45773</v>
      </c>
      <c r="BE74" s="217"/>
      <c r="BF74" s="217"/>
      <c r="BG74" s="217"/>
      <c r="BH74" s="217"/>
      <c r="BI74" s="51">
        <f t="shared" si="19"/>
        <v>0</v>
      </c>
      <c r="BJ74" s="209"/>
    </row>
    <row r="75" spans="1:62">
      <c r="A75" s="209">
        <v>45762</v>
      </c>
      <c r="B75" s="51"/>
      <c r="C75" s="51"/>
      <c r="D75" s="208"/>
      <c r="E75" s="51"/>
      <c r="F75" s="51"/>
      <c r="G75" s="215">
        <f t="shared" si="4"/>
        <v>0</v>
      </c>
      <c r="H75" s="51"/>
      <c r="I75" s="51">
        <v>450</v>
      </c>
      <c r="J75" s="51">
        <v>450</v>
      </c>
      <c r="K75" s="217">
        <f t="shared" si="7"/>
        <v>900</v>
      </c>
      <c r="L75" s="217">
        <f t="shared" si="9"/>
        <v>42950</v>
      </c>
      <c r="M75" s="51">
        <v>450</v>
      </c>
      <c r="N75" s="51">
        <v>450</v>
      </c>
      <c r="O75" s="217">
        <f t="shared" si="12"/>
        <v>900</v>
      </c>
      <c r="P75" s="217">
        <f t="shared" si="13"/>
        <v>11150</v>
      </c>
      <c r="Q75" s="51">
        <v>300</v>
      </c>
      <c r="R75" s="51">
        <v>300</v>
      </c>
      <c r="S75" s="51">
        <v>300</v>
      </c>
      <c r="T75" s="51">
        <v>300</v>
      </c>
      <c r="U75" s="213">
        <v>200</v>
      </c>
      <c r="V75" s="213">
        <v>200</v>
      </c>
      <c r="W75" s="51">
        <v>300</v>
      </c>
      <c r="X75" s="51">
        <v>300</v>
      </c>
      <c r="Y75" s="51">
        <v>300</v>
      </c>
      <c r="Z75" s="51">
        <v>300</v>
      </c>
      <c r="AA75" s="51">
        <v>300</v>
      </c>
      <c r="AB75" s="51">
        <v>300</v>
      </c>
      <c r="AC75" s="51">
        <v>300</v>
      </c>
      <c r="AD75" s="51">
        <v>300</v>
      </c>
      <c r="AE75" s="51">
        <v>300</v>
      </c>
      <c r="AF75" s="51">
        <v>300</v>
      </c>
      <c r="AG75" s="51">
        <v>300</v>
      </c>
      <c r="AH75" s="51">
        <v>300</v>
      </c>
      <c r="AI75" s="51">
        <v>300</v>
      </c>
      <c r="AJ75" s="51">
        <v>300</v>
      </c>
      <c r="AK75" s="217">
        <f t="shared" si="14"/>
        <v>5800</v>
      </c>
      <c r="AL75" s="217">
        <f t="shared" si="15"/>
        <v>243700</v>
      </c>
      <c r="AM75" s="51">
        <v>450</v>
      </c>
      <c r="AN75" s="51">
        <v>450</v>
      </c>
      <c r="AO75" s="217">
        <f t="shared" si="8"/>
        <v>900</v>
      </c>
      <c r="AP75" s="217">
        <f t="shared" si="10"/>
        <v>2950</v>
      </c>
      <c r="AQ75" s="51">
        <f t="shared" si="5"/>
        <v>6700</v>
      </c>
      <c r="AR75" s="51">
        <f t="shared" si="11"/>
        <v>26650</v>
      </c>
      <c r="AS75" s="217"/>
      <c r="AT75" s="217"/>
      <c r="AU75" s="217"/>
      <c r="AV75" s="231"/>
      <c r="AW75" s="51">
        <f t="shared" si="16"/>
        <v>0</v>
      </c>
      <c r="AX75" s="209"/>
      <c r="AY75" s="217"/>
      <c r="AZ75" s="217"/>
      <c r="BA75" s="217"/>
      <c r="BB75" s="231"/>
      <c r="BC75" s="51">
        <f t="shared" si="17"/>
        <v>0</v>
      </c>
      <c r="BD75" s="209"/>
      <c r="BE75" s="217"/>
      <c r="BF75" s="217"/>
      <c r="BG75" s="217"/>
      <c r="BH75" s="231"/>
      <c r="BI75" s="51">
        <f t="shared" si="19"/>
        <v>0</v>
      </c>
      <c r="BJ75" s="209"/>
    </row>
    <row r="76" spans="1:62">
      <c r="A76" s="209">
        <v>45763</v>
      </c>
      <c r="B76" s="51"/>
      <c r="C76" s="51"/>
      <c r="D76" s="208"/>
      <c r="E76" s="51"/>
      <c r="F76" s="51"/>
      <c r="G76" s="215">
        <f t="shared" ref="G76:G81" si="20">(B76+C76)/0.143</f>
        <v>0</v>
      </c>
      <c r="H76" s="51"/>
      <c r="I76" s="51">
        <v>450</v>
      </c>
      <c r="J76" s="51">
        <v>450</v>
      </c>
      <c r="K76" s="217">
        <f t="shared" si="7"/>
        <v>900</v>
      </c>
      <c r="L76" s="217">
        <f t="shared" si="9"/>
        <v>43850</v>
      </c>
      <c r="M76" s="51">
        <v>450</v>
      </c>
      <c r="N76" s="51">
        <v>450</v>
      </c>
      <c r="O76" s="217">
        <f t="shared" si="12"/>
        <v>900</v>
      </c>
      <c r="P76" s="217">
        <f t="shared" si="13"/>
        <v>12050</v>
      </c>
      <c r="Q76" s="51">
        <v>300</v>
      </c>
      <c r="R76" s="51">
        <v>300</v>
      </c>
      <c r="S76" s="51">
        <v>300</v>
      </c>
      <c r="T76" s="51">
        <v>300</v>
      </c>
      <c r="U76" s="51">
        <v>300</v>
      </c>
      <c r="V76" s="51">
        <v>300</v>
      </c>
      <c r="W76" s="213">
        <v>200</v>
      </c>
      <c r="X76" s="213">
        <v>200</v>
      </c>
      <c r="Y76" s="51">
        <v>300</v>
      </c>
      <c r="Z76" s="51">
        <v>300</v>
      </c>
      <c r="AA76" s="51">
        <v>300</v>
      </c>
      <c r="AB76" s="51">
        <v>300</v>
      </c>
      <c r="AC76" s="51">
        <v>300</v>
      </c>
      <c r="AD76" s="51">
        <v>300</v>
      </c>
      <c r="AE76" s="51">
        <v>300</v>
      </c>
      <c r="AF76" s="51">
        <v>300</v>
      </c>
      <c r="AG76" s="51">
        <v>300</v>
      </c>
      <c r="AH76" s="51">
        <v>300</v>
      </c>
      <c r="AI76" s="51">
        <v>300</v>
      </c>
      <c r="AJ76" s="51">
        <v>300</v>
      </c>
      <c r="AK76" s="217">
        <f t="shared" si="14"/>
        <v>5800</v>
      </c>
      <c r="AL76" s="217">
        <f t="shared" si="15"/>
        <v>249500</v>
      </c>
      <c r="AM76" s="51">
        <v>450</v>
      </c>
      <c r="AN76" s="51">
        <v>450</v>
      </c>
      <c r="AO76" s="217">
        <f t="shared" si="8"/>
        <v>900</v>
      </c>
      <c r="AP76" s="217">
        <f t="shared" si="10"/>
        <v>3850</v>
      </c>
      <c r="AQ76" s="51">
        <f t="shared" ref="AQ76:AQ113" si="21">AK76+K76</f>
        <v>6700</v>
      </c>
      <c r="AR76" s="51">
        <f t="shared" si="11"/>
        <v>8350</v>
      </c>
      <c r="AS76" s="217">
        <v>25000</v>
      </c>
      <c r="AT76" s="231">
        <f>A76+12</f>
        <v>45775</v>
      </c>
      <c r="AU76" s="217"/>
      <c r="AV76" s="217"/>
      <c r="AW76" s="51">
        <f t="shared" si="16"/>
        <v>25000</v>
      </c>
      <c r="AX76" s="209">
        <f>AT76</f>
        <v>45775</v>
      </c>
      <c r="AY76" s="217"/>
      <c r="AZ76" s="217"/>
      <c r="BA76" s="217"/>
      <c r="BB76" s="231"/>
      <c r="BC76" s="51">
        <f t="shared" si="17"/>
        <v>0</v>
      </c>
      <c r="BD76" s="209"/>
      <c r="BE76" s="217"/>
      <c r="BF76" s="217"/>
      <c r="BG76" s="217"/>
      <c r="BH76" s="217"/>
      <c r="BI76" s="51">
        <f t="shared" si="19"/>
        <v>0</v>
      </c>
      <c r="BJ76" s="209"/>
    </row>
    <row r="77" spans="1:62">
      <c r="A77" s="209">
        <v>45764</v>
      </c>
      <c r="B77" s="51"/>
      <c r="C77" s="51"/>
      <c r="D77" s="208"/>
      <c r="E77" s="51"/>
      <c r="F77" s="51"/>
      <c r="G77" s="215">
        <f t="shared" si="20"/>
        <v>0</v>
      </c>
      <c r="H77" s="51"/>
      <c r="I77" s="51">
        <v>450</v>
      </c>
      <c r="J77" s="51">
        <v>450</v>
      </c>
      <c r="K77" s="217">
        <f t="shared" si="7"/>
        <v>900</v>
      </c>
      <c r="L77" s="217">
        <f t="shared" si="9"/>
        <v>44750</v>
      </c>
      <c r="M77" s="51">
        <v>450</v>
      </c>
      <c r="N77" s="51">
        <v>450</v>
      </c>
      <c r="O77" s="217">
        <f t="shared" si="12"/>
        <v>900</v>
      </c>
      <c r="P77" s="217">
        <f t="shared" si="13"/>
        <v>2950</v>
      </c>
      <c r="Q77" s="51">
        <v>300</v>
      </c>
      <c r="R77" s="51">
        <v>300</v>
      </c>
      <c r="S77" s="51">
        <v>300</v>
      </c>
      <c r="T77" s="51">
        <v>300</v>
      </c>
      <c r="U77" s="51">
        <v>300</v>
      </c>
      <c r="V77" s="51">
        <v>300</v>
      </c>
      <c r="W77" s="51">
        <v>300</v>
      </c>
      <c r="X77" s="51">
        <v>300</v>
      </c>
      <c r="Y77" s="213">
        <v>200</v>
      </c>
      <c r="Z77" s="213">
        <v>200</v>
      </c>
      <c r="AA77" s="51">
        <v>300</v>
      </c>
      <c r="AB77" s="51">
        <v>300</v>
      </c>
      <c r="AC77" s="51">
        <v>300</v>
      </c>
      <c r="AD77" s="51">
        <v>300</v>
      </c>
      <c r="AE77" s="51">
        <v>300</v>
      </c>
      <c r="AF77" s="51">
        <v>300</v>
      </c>
      <c r="AG77" s="51">
        <v>300</v>
      </c>
      <c r="AH77" s="51">
        <v>300</v>
      </c>
      <c r="AI77" s="51">
        <v>300</v>
      </c>
      <c r="AJ77" s="51">
        <v>300</v>
      </c>
      <c r="AK77" s="217">
        <f t="shared" si="14"/>
        <v>5800</v>
      </c>
      <c r="AL77" s="217">
        <f t="shared" si="15"/>
        <v>255300</v>
      </c>
      <c r="AM77" s="51">
        <v>450</v>
      </c>
      <c r="AN77" s="51">
        <v>450</v>
      </c>
      <c r="AO77" s="217">
        <f t="shared" si="8"/>
        <v>900</v>
      </c>
      <c r="AP77" s="217">
        <f t="shared" si="10"/>
        <v>4750</v>
      </c>
      <c r="AQ77" s="51">
        <f t="shared" si="21"/>
        <v>6700</v>
      </c>
      <c r="AR77" s="51">
        <f t="shared" si="11"/>
        <v>15050</v>
      </c>
      <c r="AS77" s="217"/>
      <c r="AT77" s="217"/>
      <c r="AU77" s="217"/>
      <c r="AV77" s="217"/>
      <c r="AW77" s="51">
        <f t="shared" si="16"/>
        <v>0</v>
      </c>
      <c r="AX77" s="209"/>
      <c r="AY77" s="217"/>
      <c r="AZ77" s="217"/>
      <c r="BA77" s="217"/>
      <c r="BB77" s="217"/>
      <c r="BC77" s="51">
        <f t="shared" si="17"/>
        <v>0</v>
      </c>
      <c r="BD77" s="209"/>
      <c r="BE77" s="217"/>
      <c r="BF77" s="217"/>
      <c r="BG77" s="217">
        <v>10000</v>
      </c>
      <c r="BH77" s="231">
        <f>A77+12</f>
        <v>45776</v>
      </c>
      <c r="BI77" s="51">
        <f t="shared" si="19"/>
        <v>10000</v>
      </c>
      <c r="BJ77" s="209">
        <f>BH77</f>
        <v>45776</v>
      </c>
    </row>
    <row r="78" spans="1:62">
      <c r="A78" s="209">
        <v>45765</v>
      </c>
      <c r="B78" s="51"/>
      <c r="C78" s="51"/>
      <c r="D78" s="208"/>
      <c r="E78" s="51"/>
      <c r="F78" s="51"/>
      <c r="G78" s="215">
        <f t="shared" si="20"/>
        <v>0</v>
      </c>
      <c r="H78" s="51"/>
      <c r="I78" s="51">
        <v>450</v>
      </c>
      <c r="J78" s="51">
        <v>450</v>
      </c>
      <c r="K78" s="217">
        <f t="shared" si="7"/>
        <v>900</v>
      </c>
      <c r="L78" s="217">
        <f t="shared" si="9"/>
        <v>45650</v>
      </c>
      <c r="M78" s="51">
        <v>450</v>
      </c>
      <c r="N78" s="51">
        <v>450</v>
      </c>
      <c r="O78" s="217">
        <f t="shared" si="12"/>
        <v>900</v>
      </c>
      <c r="P78" s="217">
        <f t="shared" si="13"/>
        <v>3850</v>
      </c>
      <c r="Q78" s="51">
        <v>300</v>
      </c>
      <c r="R78" s="51">
        <v>300</v>
      </c>
      <c r="S78" s="51">
        <v>300</v>
      </c>
      <c r="T78" s="51">
        <v>300</v>
      </c>
      <c r="U78" s="51">
        <v>300</v>
      </c>
      <c r="V78" s="51">
        <v>300</v>
      </c>
      <c r="W78" s="51">
        <v>300</v>
      </c>
      <c r="X78" s="51">
        <v>300</v>
      </c>
      <c r="Y78" s="51">
        <v>300</v>
      </c>
      <c r="Z78" s="51">
        <v>300</v>
      </c>
      <c r="AA78" s="213">
        <v>200</v>
      </c>
      <c r="AB78" s="213">
        <v>200</v>
      </c>
      <c r="AC78" s="51">
        <v>300</v>
      </c>
      <c r="AD78" s="51">
        <v>300</v>
      </c>
      <c r="AE78" s="51">
        <v>300</v>
      </c>
      <c r="AF78" s="51">
        <v>300</v>
      </c>
      <c r="AG78" s="51">
        <v>300</v>
      </c>
      <c r="AH78" s="51">
        <v>300</v>
      </c>
      <c r="AI78" s="51">
        <v>300</v>
      </c>
      <c r="AJ78" s="51">
        <v>300</v>
      </c>
      <c r="AK78" s="217">
        <f t="shared" si="14"/>
        <v>5800</v>
      </c>
      <c r="AL78" s="217">
        <f t="shared" si="15"/>
        <v>261100</v>
      </c>
      <c r="AM78" s="51">
        <v>450</v>
      </c>
      <c r="AN78" s="51">
        <v>450</v>
      </c>
      <c r="AO78" s="217">
        <f t="shared" si="8"/>
        <v>900</v>
      </c>
      <c r="AP78" s="217">
        <f t="shared" si="10"/>
        <v>5650</v>
      </c>
      <c r="AQ78" s="51">
        <f t="shared" si="21"/>
        <v>6700</v>
      </c>
      <c r="AR78" s="51">
        <f t="shared" si="11"/>
        <v>21750</v>
      </c>
      <c r="AS78" s="51"/>
      <c r="AT78" s="51"/>
      <c r="AU78" s="51"/>
      <c r="AV78" s="231"/>
      <c r="AW78" s="51">
        <f t="shared" si="16"/>
        <v>0</v>
      </c>
      <c r="AX78" s="209"/>
      <c r="AY78" s="51"/>
      <c r="AZ78" s="51"/>
      <c r="BA78" s="51"/>
      <c r="BB78" s="231"/>
      <c r="BC78" s="51">
        <f t="shared" si="17"/>
        <v>0</v>
      </c>
      <c r="BD78" s="209"/>
      <c r="BE78" s="51"/>
      <c r="BF78" s="51"/>
      <c r="BG78" s="51"/>
      <c r="BH78" s="231"/>
      <c r="BI78" s="51">
        <f t="shared" si="19"/>
        <v>0</v>
      </c>
      <c r="BJ78" s="209"/>
    </row>
    <row r="79" spans="1:62">
      <c r="A79" s="209">
        <v>45766</v>
      </c>
      <c r="B79" s="51"/>
      <c r="C79" s="51"/>
      <c r="D79" s="208"/>
      <c r="E79" s="51"/>
      <c r="F79" s="51"/>
      <c r="G79" s="215">
        <f t="shared" si="20"/>
        <v>0</v>
      </c>
      <c r="H79" s="51"/>
      <c r="I79" s="51">
        <v>450</v>
      </c>
      <c r="J79" s="51">
        <v>450</v>
      </c>
      <c r="K79" s="217">
        <f t="shared" si="7"/>
        <v>900</v>
      </c>
      <c r="L79" s="217">
        <f t="shared" si="9"/>
        <v>46550</v>
      </c>
      <c r="M79" s="51">
        <v>450</v>
      </c>
      <c r="N79" s="51">
        <v>450</v>
      </c>
      <c r="O79" s="217">
        <f t="shared" si="12"/>
        <v>900</v>
      </c>
      <c r="P79" s="217">
        <f t="shared" si="13"/>
        <v>4750</v>
      </c>
      <c r="Q79" s="51">
        <v>300</v>
      </c>
      <c r="R79" s="51">
        <v>300</v>
      </c>
      <c r="S79" s="51">
        <v>300</v>
      </c>
      <c r="T79" s="51">
        <v>300</v>
      </c>
      <c r="U79" s="51">
        <v>300</v>
      </c>
      <c r="V79" s="51">
        <v>300</v>
      </c>
      <c r="W79" s="51">
        <v>300</v>
      </c>
      <c r="X79" s="51">
        <v>300</v>
      </c>
      <c r="Y79" s="51">
        <v>300</v>
      </c>
      <c r="Z79" s="51">
        <v>300</v>
      </c>
      <c r="AA79" s="51">
        <v>300</v>
      </c>
      <c r="AB79" s="51">
        <v>300</v>
      </c>
      <c r="AC79" s="213"/>
      <c r="AD79" s="213"/>
      <c r="AE79" s="51">
        <v>300</v>
      </c>
      <c r="AF79" s="51">
        <v>300</v>
      </c>
      <c r="AG79" s="51">
        <v>300</v>
      </c>
      <c r="AH79" s="51">
        <v>300</v>
      </c>
      <c r="AI79" s="51">
        <v>300</v>
      </c>
      <c r="AJ79" s="51">
        <v>300</v>
      </c>
      <c r="AK79" s="217">
        <f t="shared" si="14"/>
        <v>5400</v>
      </c>
      <c r="AL79" s="217">
        <f t="shared" si="15"/>
        <v>266500</v>
      </c>
      <c r="AM79" s="51">
        <v>450</v>
      </c>
      <c r="AN79" s="51">
        <v>450</v>
      </c>
      <c r="AO79" s="217">
        <f t="shared" si="8"/>
        <v>900</v>
      </c>
      <c r="AP79" s="217">
        <f t="shared" si="10"/>
        <v>6550</v>
      </c>
      <c r="AQ79" s="51">
        <f t="shared" si="21"/>
        <v>6300</v>
      </c>
      <c r="AR79" s="51">
        <f t="shared" si="11"/>
        <v>28050</v>
      </c>
      <c r="AS79" s="51"/>
      <c r="AT79" s="231"/>
      <c r="AU79" s="51"/>
      <c r="AV79" s="51"/>
      <c r="AW79" s="51">
        <f t="shared" si="16"/>
        <v>0</v>
      </c>
      <c r="AX79" s="209"/>
      <c r="AY79" s="51"/>
      <c r="AZ79" s="231"/>
      <c r="BA79" s="51"/>
      <c r="BB79" s="51"/>
      <c r="BC79" s="51">
        <f t="shared" si="17"/>
        <v>0</v>
      </c>
      <c r="BD79" s="209"/>
      <c r="BE79" s="51"/>
      <c r="BF79" s="231"/>
      <c r="BG79" s="51"/>
      <c r="BH79" s="51"/>
      <c r="BI79" s="51">
        <f t="shared" si="19"/>
        <v>0</v>
      </c>
      <c r="BJ79" s="209"/>
    </row>
    <row r="80" spans="1:62">
      <c r="A80" s="209">
        <v>45767</v>
      </c>
      <c r="B80" s="51"/>
      <c r="C80" s="51"/>
      <c r="D80" s="208"/>
      <c r="E80" s="51"/>
      <c r="F80" s="51"/>
      <c r="G80" s="215">
        <f t="shared" si="20"/>
        <v>0</v>
      </c>
      <c r="H80" s="51"/>
      <c r="I80" s="51">
        <v>450</v>
      </c>
      <c r="J80" s="51">
        <v>450</v>
      </c>
      <c r="K80" s="217">
        <f t="shared" si="7"/>
        <v>900</v>
      </c>
      <c r="L80" s="217">
        <f t="shared" si="9"/>
        <v>47450</v>
      </c>
      <c r="M80" s="214">
        <v>200</v>
      </c>
      <c r="N80" s="51">
        <v>450</v>
      </c>
      <c r="O80" s="217">
        <f t="shared" si="12"/>
        <v>650</v>
      </c>
      <c r="P80" s="217">
        <f t="shared" si="13"/>
        <v>5400</v>
      </c>
      <c r="Q80" s="51">
        <v>300</v>
      </c>
      <c r="R80" s="51">
        <v>300</v>
      </c>
      <c r="S80" s="51">
        <v>100</v>
      </c>
      <c r="T80" s="51">
        <v>100</v>
      </c>
      <c r="U80" s="51">
        <v>300</v>
      </c>
      <c r="V80" s="51">
        <v>300</v>
      </c>
      <c r="W80" s="51">
        <v>300</v>
      </c>
      <c r="X80" s="51">
        <v>300</v>
      </c>
      <c r="Y80" s="51">
        <v>300</v>
      </c>
      <c r="Z80" s="51">
        <v>300</v>
      </c>
      <c r="AA80" s="51">
        <v>300</v>
      </c>
      <c r="AB80" s="51">
        <v>300</v>
      </c>
      <c r="AC80" s="51"/>
      <c r="AD80" s="51"/>
      <c r="AE80" s="213"/>
      <c r="AF80" s="51">
        <v>300</v>
      </c>
      <c r="AG80" s="51">
        <v>300</v>
      </c>
      <c r="AH80" s="51">
        <v>300</v>
      </c>
      <c r="AI80" s="51">
        <v>300</v>
      </c>
      <c r="AJ80" s="51">
        <v>300</v>
      </c>
      <c r="AK80" s="217">
        <f t="shared" si="14"/>
        <v>4700</v>
      </c>
      <c r="AL80" s="217">
        <f t="shared" si="15"/>
        <v>271200</v>
      </c>
      <c r="AM80" s="51">
        <v>450</v>
      </c>
      <c r="AN80" s="51">
        <v>450</v>
      </c>
      <c r="AO80" s="217">
        <f t="shared" si="8"/>
        <v>900</v>
      </c>
      <c r="AP80" s="217">
        <f t="shared" si="10"/>
        <v>7450</v>
      </c>
      <c r="AQ80" s="51">
        <f t="shared" si="21"/>
        <v>5600</v>
      </c>
      <c r="AR80" s="51">
        <f t="shared" si="11"/>
        <v>8650</v>
      </c>
      <c r="AS80" s="51"/>
      <c r="AT80" s="51"/>
      <c r="AU80" s="51">
        <v>25000</v>
      </c>
      <c r="AV80" s="231">
        <f>A80+12</f>
        <v>45779</v>
      </c>
      <c r="AW80" s="51">
        <f t="shared" si="16"/>
        <v>25000</v>
      </c>
      <c r="AX80" s="209">
        <f>AV80</f>
        <v>45779</v>
      </c>
      <c r="AY80" s="51"/>
      <c r="AZ80" s="51"/>
      <c r="BA80" s="51"/>
      <c r="BB80" s="51"/>
      <c r="BC80" s="51">
        <f t="shared" si="17"/>
        <v>0</v>
      </c>
      <c r="BD80" s="209"/>
      <c r="BE80" s="51"/>
      <c r="BF80" s="51"/>
      <c r="BG80" s="51"/>
      <c r="BH80" s="51"/>
      <c r="BI80" s="51">
        <f t="shared" si="19"/>
        <v>0</v>
      </c>
      <c r="BJ80" s="209"/>
    </row>
    <row r="81" spans="1:62">
      <c r="A81" s="209">
        <v>45768</v>
      </c>
      <c r="B81" s="51"/>
      <c r="C81" s="51"/>
      <c r="D81" s="208"/>
      <c r="E81" s="51"/>
      <c r="F81" s="51"/>
      <c r="G81" s="215">
        <f t="shared" si="20"/>
        <v>0</v>
      </c>
      <c r="H81" s="51"/>
      <c r="I81" s="51">
        <v>450</v>
      </c>
      <c r="J81" s="51">
        <v>450</v>
      </c>
      <c r="K81" s="217">
        <f t="shared" si="7"/>
        <v>900</v>
      </c>
      <c r="L81" s="217">
        <f t="shared" si="9"/>
        <v>48350</v>
      </c>
      <c r="M81" s="51">
        <v>450</v>
      </c>
      <c r="N81" s="214">
        <v>200</v>
      </c>
      <c r="O81" s="217">
        <f t="shared" si="12"/>
        <v>650</v>
      </c>
      <c r="P81" s="217">
        <f t="shared" si="13"/>
        <v>6050</v>
      </c>
      <c r="Q81" s="51">
        <v>300</v>
      </c>
      <c r="R81" s="51">
        <v>300</v>
      </c>
      <c r="S81" s="51"/>
      <c r="T81" s="51"/>
      <c r="U81" s="51">
        <v>100</v>
      </c>
      <c r="V81" s="51">
        <v>100</v>
      </c>
      <c r="W81" s="51">
        <v>100</v>
      </c>
      <c r="X81" s="51">
        <v>100</v>
      </c>
      <c r="Y81" s="51">
        <v>300</v>
      </c>
      <c r="Z81" s="51">
        <v>300</v>
      </c>
      <c r="AA81" s="51">
        <v>300</v>
      </c>
      <c r="AB81" s="51">
        <v>300</v>
      </c>
      <c r="AC81" s="51"/>
      <c r="AD81" s="51"/>
      <c r="AE81" s="51"/>
      <c r="AF81" s="213"/>
      <c r="AG81" s="51">
        <v>300</v>
      </c>
      <c r="AH81" s="51">
        <v>300</v>
      </c>
      <c r="AI81" s="51">
        <v>300</v>
      </c>
      <c r="AJ81" s="51">
        <v>300</v>
      </c>
      <c r="AK81" s="217">
        <f t="shared" si="14"/>
        <v>3400</v>
      </c>
      <c r="AL81" s="217">
        <f t="shared" si="15"/>
        <v>274600</v>
      </c>
      <c r="AM81" s="51"/>
      <c r="AN81" s="51"/>
      <c r="AO81" s="217">
        <f t="shared" si="8"/>
        <v>0</v>
      </c>
      <c r="AP81" s="217">
        <f t="shared" si="10"/>
        <v>0</v>
      </c>
      <c r="AQ81" s="51">
        <f t="shared" si="21"/>
        <v>4300</v>
      </c>
      <c r="AR81" s="51">
        <f t="shared" si="11"/>
        <v>12950</v>
      </c>
      <c r="AS81" s="217"/>
      <c r="AT81" s="231"/>
      <c r="AU81" s="51"/>
      <c r="AV81" s="51"/>
      <c r="AW81" s="51">
        <f t="shared" si="16"/>
        <v>0</v>
      </c>
      <c r="AX81" s="209"/>
      <c r="AY81" s="51">
        <v>7450</v>
      </c>
      <c r="AZ81" s="231">
        <f>A81+12</f>
        <v>45780</v>
      </c>
      <c r="BA81" s="51"/>
      <c r="BB81" s="51"/>
      <c r="BC81" s="51">
        <f t="shared" si="17"/>
        <v>7450</v>
      </c>
      <c r="BD81" s="209">
        <f>AZ81</f>
        <v>45780</v>
      </c>
      <c r="BE81" s="51"/>
      <c r="BF81" s="51"/>
      <c r="BG81" s="51"/>
      <c r="BH81" s="51"/>
      <c r="BI81" s="51">
        <f t="shared" si="19"/>
        <v>0</v>
      </c>
      <c r="BJ81" s="209"/>
    </row>
    <row r="82" spans="1:62">
      <c r="A82" s="209">
        <v>45769</v>
      </c>
      <c r="B82" s="51"/>
      <c r="C82" s="51"/>
      <c r="D82" s="208"/>
      <c r="E82" s="51"/>
      <c r="F82" s="51"/>
      <c r="G82" s="215"/>
      <c r="H82" s="51"/>
      <c r="I82" s="51">
        <v>450</v>
      </c>
      <c r="J82" s="51">
        <v>450</v>
      </c>
      <c r="K82" s="217">
        <f t="shared" si="7"/>
        <v>900</v>
      </c>
      <c r="L82" s="217">
        <f t="shared" si="9"/>
        <v>49250</v>
      </c>
      <c r="M82" s="51">
        <v>450</v>
      </c>
      <c r="N82" s="51">
        <v>450</v>
      </c>
      <c r="O82" s="217">
        <f t="shared" si="12"/>
        <v>900</v>
      </c>
      <c r="P82" s="217">
        <f t="shared" si="13"/>
        <v>6950</v>
      </c>
      <c r="Q82" s="51">
        <v>300</v>
      </c>
      <c r="R82" s="51">
        <v>300</v>
      </c>
      <c r="S82" s="51"/>
      <c r="T82" s="51"/>
      <c r="U82" s="51"/>
      <c r="V82" s="51"/>
      <c r="W82" s="51"/>
      <c r="X82" s="51"/>
      <c r="Y82" s="51">
        <v>100</v>
      </c>
      <c r="Z82" s="51">
        <v>100</v>
      </c>
      <c r="AA82" s="51">
        <v>300</v>
      </c>
      <c r="AB82" s="51">
        <v>300</v>
      </c>
      <c r="AC82" s="51"/>
      <c r="AD82" s="51"/>
      <c r="AE82" s="51"/>
      <c r="AF82" s="51"/>
      <c r="AG82" s="213"/>
      <c r="AH82" s="51">
        <v>300</v>
      </c>
      <c r="AI82" s="51">
        <v>300</v>
      </c>
      <c r="AJ82" s="51">
        <v>300</v>
      </c>
      <c r="AK82" s="217">
        <f t="shared" si="14"/>
        <v>2300</v>
      </c>
      <c r="AL82" s="217">
        <f t="shared" si="15"/>
        <v>276900</v>
      </c>
      <c r="AM82" s="51"/>
      <c r="AN82" s="51"/>
      <c r="AO82" s="217">
        <f t="shared" si="8"/>
        <v>0</v>
      </c>
      <c r="AP82" s="217">
        <f t="shared" si="10"/>
        <v>0</v>
      </c>
      <c r="AQ82" s="51">
        <f t="shared" si="21"/>
        <v>3200</v>
      </c>
      <c r="AR82" s="51">
        <f t="shared" si="11"/>
        <v>16150</v>
      </c>
      <c r="AS82" s="51"/>
      <c r="AT82" s="51"/>
      <c r="AU82" s="51"/>
      <c r="AV82" s="51"/>
      <c r="AW82" s="51">
        <f t="shared" si="16"/>
        <v>0</v>
      </c>
      <c r="AX82" s="209"/>
      <c r="AY82" s="51"/>
      <c r="AZ82" s="51"/>
      <c r="BA82" s="51"/>
      <c r="BB82" s="51"/>
      <c r="BC82" s="51">
        <f t="shared" si="17"/>
        <v>0</v>
      </c>
      <c r="BD82" s="209"/>
      <c r="BE82" s="51"/>
      <c r="BF82" s="51"/>
      <c r="BG82" s="51"/>
      <c r="BH82" s="51"/>
      <c r="BI82" s="51">
        <f t="shared" si="19"/>
        <v>0</v>
      </c>
      <c r="BJ82" s="209"/>
    </row>
    <row r="83" spans="1:62">
      <c r="A83" s="209">
        <v>45770</v>
      </c>
      <c r="B83" s="51"/>
      <c r="C83" s="51"/>
      <c r="D83" s="208"/>
      <c r="E83" s="51"/>
      <c r="F83" s="51"/>
      <c r="G83" s="215"/>
      <c r="H83" s="51"/>
      <c r="I83" s="214">
        <v>200</v>
      </c>
      <c r="J83" s="51">
        <v>450</v>
      </c>
      <c r="K83" s="217">
        <f t="shared" si="7"/>
        <v>650</v>
      </c>
      <c r="L83" s="217">
        <f t="shared" si="9"/>
        <v>49900</v>
      </c>
      <c r="M83" s="51">
        <v>450</v>
      </c>
      <c r="N83" s="51">
        <v>450</v>
      </c>
      <c r="O83" s="217">
        <f t="shared" si="12"/>
        <v>900</v>
      </c>
      <c r="P83" s="217">
        <f t="shared" si="13"/>
        <v>7850</v>
      </c>
      <c r="Q83" s="51">
        <v>100</v>
      </c>
      <c r="R83" s="51">
        <v>300</v>
      </c>
      <c r="S83" s="51"/>
      <c r="T83" s="51"/>
      <c r="U83" s="51"/>
      <c r="V83" s="51"/>
      <c r="W83" s="51"/>
      <c r="X83" s="51"/>
      <c r="Y83" s="51"/>
      <c r="Z83" s="51"/>
      <c r="AA83" s="51">
        <v>100</v>
      </c>
      <c r="AB83" s="51">
        <v>100</v>
      </c>
      <c r="AC83" s="51"/>
      <c r="AD83" s="51"/>
      <c r="AE83" s="51"/>
      <c r="AF83" s="51"/>
      <c r="AG83" s="51"/>
      <c r="AH83" s="213"/>
      <c r="AI83" s="51">
        <v>300</v>
      </c>
      <c r="AJ83" s="51">
        <v>300</v>
      </c>
      <c r="AK83" s="217">
        <f t="shared" si="14"/>
        <v>1200</v>
      </c>
      <c r="AL83" s="217">
        <f t="shared" si="15"/>
        <v>278100</v>
      </c>
      <c r="AM83" s="51"/>
      <c r="AN83" s="51"/>
      <c r="AO83" s="217">
        <f t="shared" si="8"/>
        <v>0</v>
      </c>
      <c r="AP83" s="217">
        <f t="shared" si="10"/>
        <v>0</v>
      </c>
      <c r="AQ83" s="51">
        <f t="shared" si="21"/>
        <v>1850</v>
      </c>
      <c r="AR83" s="51">
        <f t="shared" si="11"/>
        <v>3000</v>
      </c>
      <c r="AS83" s="51">
        <v>15000</v>
      </c>
      <c r="AT83" s="231">
        <f>A83+12</f>
        <v>45782</v>
      </c>
      <c r="AU83" s="51"/>
      <c r="AV83" s="51"/>
      <c r="AW83" s="51">
        <f t="shared" si="16"/>
        <v>15000</v>
      </c>
      <c r="AX83" s="209">
        <f>AT83</f>
        <v>45782</v>
      </c>
      <c r="AY83" s="51"/>
      <c r="AZ83" s="231"/>
      <c r="BA83" s="51"/>
      <c r="BB83" s="51"/>
      <c r="BC83" s="51">
        <f t="shared" si="17"/>
        <v>0</v>
      </c>
      <c r="BD83" s="209"/>
      <c r="BE83" s="51"/>
      <c r="BF83" s="231"/>
      <c r="BG83" s="51"/>
      <c r="BH83" s="51"/>
      <c r="BI83" s="51">
        <f t="shared" si="19"/>
        <v>0</v>
      </c>
      <c r="BJ83" s="209"/>
    </row>
    <row r="84" spans="1:62">
      <c r="A84" s="209">
        <v>45771</v>
      </c>
      <c r="B84" s="51"/>
      <c r="C84" s="51"/>
      <c r="D84" s="208"/>
      <c r="E84" s="51"/>
      <c r="F84" s="51"/>
      <c r="G84" s="215"/>
      <c r="H84" s="51"/>
      <c r="I84" s="51">
        <v>450</v>
      </c>
      <c r="J84" s="214">
        <v>200</v>
      </c>
      <c r="K84" s="217">
        <f t="shared" si="7"/>
        <v>650</v>
      </c>
      <c r="L84" s="217">
        <f t="shared" si="9"/>
        <v>50550</v>
      </c>
      <c r="M84" s="51">
        <v>450</v>
      </c>
      <c r="N84" s="51">
        <v>450</v>
      </c>
      <c r="O84" s="217">
        <f t="shared" si="12"/>
        <v>900</v>
      </c>
      <c r="P84" s="217">
        <f t="shared" si="13"/>
        <v>8750</v>
      </c>
      <c r="Q84" s="213"/>
      <c r="R84" s="51">
        <v>300</v>
      </c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213"/>
      <c r="AJ84" s="51">
        <v>300</v>
      </c>
      <c r="AK84" s="217">
        <f t="shared" si="14"/>
        <v>600</v>
      </c>
      <c r="AL84" s="217">
        <f t="shared" si="15"/>
        <v>278700</v>
      </c>
      <c r="AM84" s="51"/>
      <c r="AN84" s="51"/>
      <c r="AO84" s="217">
        <f t="shared" si="8"/>
        <v>0</v>
      </c>
      <c r="AP84" s="217">
        <f t="shared" si="10"/>
        <v>0</v>
      </c>
      <c r="AQ84" s="51">
        <f t="shared" si="21"/>
        <v>1250</v>
      </c>
      <c r="AR84" s="51">
        <f t="shared" si="11"/>
        <v>4250</v>
      </c>
      <c r="AS84" s="51"/>
      <c r="AT84" s="51"/>
      <c r="AU84" s="51"/>
      <c r="AV84" s="231"/>
      <c r="AW84" s="51">
        <f t="shared" si="16"/>
        <v>0</v>
      </c>
      <c r="AX84" s="209"/>
      <c r="AY84" s="51"/>
      <c r="AZ84" s="51"/>
      <c r="BA84" s="51"/>
      <c r="BB84" s="231"/>
      <c r="BC84" s="51">
        <f t="shared" si="17"/>
        <v>0</v>
      </c>
      <c r="BD84" s="209"/>
      <c r="BE84" s="51"/>
      <c r="BF84" s="51"/>
      <c r="BG84" s="51"/>
      <c r="BH84" s="231"/>
      <c r="BI84" s="51">
        <f t="shared" si="19"/>
        <v>0</v>
      </c>
      <c r="BJ84" s="209"/>
    </row>
    <row r="85" spans="1:62">
      <c r="A85" s="209">
        <v>45772</v>
      </c>
      <c r="B85" s="51"/>
      <c r="C85" s="51"/>
      <c r="D85" s="208"/>
      <c r="E85" s="51"/>
      <c r="F85" s="51"/>
      <c r="G85" s="215"/>
      <c r="H85" s="51"/>
      <c r="I85" s="51">
        <v>450</v>
      </c>
      <c r="J85" s="51">
        <v>450</v>
      </c>
      <c r="K85" s="217">
        <f t="shared" si="7"/>
        <v>900</v>
      </c>
      <c r="L85" s="217">
        <f t="shared" si="9"/>
        <v>51450</v>
      </c>
      <c r="M85" s="51">
        <v>450</v>
      </c>
      <c r="N85" s="51">
        <v>450</v>
      </c>
      <c r="O85" s="217">
        <f t="shared" si="12"/>
        <v>900</v>
      </c>
      <c r="P85" s="217">
        <f t="shared" si="13"/>
        <v>9650</v>
      </c>
      <c r="Q85" s="51"/>
      <c r="R85" s="213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217">
        <f t="shared" si="14"/>
        <v>0</v>
      </c>
      <c r="AL85" s="217">
        <f t="shared" si="15"/>
        <v>278700</v>
      </c>
      <c r="AM85" s="51"/>
      <c r="AN85" s="51"/>
      <c r="AO85" s="217">
        <f t="shared" si="8"/>
        <v>0</v>
      </c>
      <c r="AP85" s="217">
        <f t="shared" si="10"/>
        <v>0</v>
      </c>
      <c r="AQ85" s="51">
        <f t="shared" si="21"/>
        <v>900</v>
      </c>
      <c r="AR85" s="51">
        <f t="shared" si="11"/>
        <v>5150</v>
      </c>
      <c r="AS85" s="51"/>
      <c r="AT85" s="51"/>
      <c r="AU85" s="51"/>
      <c r="AV85" s="51"/>
      <c r="AW85" s="51">
        <f t="shared" si="16"/>
        <v>0</v>
      </c>
      <c r="AX85" s="209"/>
      <c r="AY85" s="51"/>
      <c r="AZ85" s="51"/>
      <c r="BA85" s="51"/>
      <c r="BB85" s="51"/>
      <c r="BC85" s="51">
        <f t="shared" si="17"/>
        <v>0</v>
      </c>
      <c r="BD85" s="209"/>
      <c r="BE85" s="51"/>
      <c r="BF85" s="51"/>
      <c r="BG85" s="51"/>
      <c r="BH85" s="51"/>
      <c r="BI85" s="51">
        <f t="shared" si="19"/>
        <v>0</v>
      </c>
      <c r="BJ85" s="209"/>
    </row>
    <row r="86" spans="1:62">
      <c r="A86" s="209">
        <v>45773</v>
      </c>
      <c r="B86" s="51"/>
      <c r="C86" s="51"/>
      <c r="D86" s="208"/>
      <c r="E86" s="51"/>
      <c r="F86" s="51"/>
      <c r="G86" s="215"/>
      <c r="H86" s="51"/>
      <c r="I86" s="51">
        <v>450</v>
      </c>
      <c r="J86" s="51">
        <v>450</v>
      </c>
      <c r="K86" s="217">
        <f t="shared" si="7"/>
        <v>900</v>
      </c>
      <c r="L86" s="217">
        <f t="shared" si="9"/>
        <v>52350</v>
      </c>
      <c r="M86" s="51">
        <v>450</v>
      </c>
      <c r="N86" s="51">
        <v>450</v>
      </c>
      <c r="O86" s="217">
        <f t="shared" si="12"/>
        <v>900</v>
      </c>
      <c r="P86" s="217">
        <f t="shared" si="13"/>
        <v>10550</v>
      </c>
      <c r="Q86" s="51"/>
      <c r="R86" s="51"/>
      <c r="S86" s="213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217">
        <f t="shared" si="14"/>
        <v>0</v>
      </c>
      <c r="AL86" s="217">
        <f t="shared" si="15"/>
        <v>278700</v>
      </c>
      <c r="AM86" s="51"/>
      <c r="AN86" s="51"/>
      <c r="AO86" s="217">
        <f t="shared" si="8"/>
        <v>0</v>
      </c>
      <c r="AP86" s="217">
        <f t="shared" si="10"/>
        <v>0</v>
      </c>
      <c r="AQ86" s="51">
        <f t="shared" si="21"/>
        <v>900</v>
      </c>
      <c r="AR86" s="51">
        <f t="shared" si="11"/>
        <v>6050</v>
      </c>
      <c r="AS86" s="51"/>
      <c r="AT86" s="51"/>
      <c r="AU86" s="51"/>
      <c r="AV86" s="51"/>
      <c r="AW86" s="51">
        <f t="shared" si="16"/>
        <v>0</v>
      </c>
      <c r="AX86" s="209"/>
      <c r="AY86" s="51"/>
      <c r="AZ86" s="51"/>
      <c r="BA86" s="51"/>
      <c r="BB86" s="51"/>
      <c r="BC86" s="51">
        <f t="shared" si="17"/>
        <v>0</v>
      </c>
      <c r="BD86" s="209"/>
      <c r="BE86" s="51"/>
      <c r="BF86" s="51"/>
      <c r="BG86" s="51"/>
      <c r="BH86" s="51"/>
      <c r="BI86" s="51">
        <f t="shared" si="19"/>
        <v>0</v>
      </c>
      <c r="BJ86" s="209"/>
    </row>
    <row r="87" spans="1:62">
      <c r="A87" s="209">
        <v>45774</v>
      </c>
      <c r="B87" s="51"/>
      <c r="C87" s="51"/>
      <c r="D87" s="208"/>
      <c r="E87" s="51"/>
      <c r="F87" s="51"/>
      <c r="G87" s="215"/>
      <c r="H87" s="51"/>
      <c r="I87" s="51">
        <v>450</v>
      </c>
      <c r="J87" s="51">
        <v>450</v>
      </c>
      <c r="K87" s="217">
        <f t="shared" si="7"/>
        <v>900</v>
      </c>
      <c r="L87" s="217">
        <f t="shared" si="9"/>
        <v>53250</v>
      </c>
      <c r="M87" s="51">
        <v>450</v>
      </c>
      <c r="N87" s="51">
        <v>450</v>
      </c>
      <c r="O87" s="217">
        <f t="shared" si="12"/>
        <v>900</v>
      </c>
      <c r="P87" s="217">
        <f t="shared" si="13"/>
        <v>11450</v>
      </c>
      <c r="Q87" s="51"/>
      <c r="R87" s="51"/>
      <c r="S87" s="51"/>
      <c r="T87" s="51"/>
      <c r="U87" s="217"/>
      <c r="V87" s="217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217">
        <f t="shared" si="14"/>
        <v>0</v>
      </c>
      <c r="AL87" s="217">
        <f t="shared" si="15"/>
        <v>278700</v>
      </c>
      <c r="AM87" s="51"/>
      <c r="AN87" s="51"/>
      <c r="AO87" s="217">
        <f t="shared" si="8"/>
        <v>0</v>
      </c>
      <c r="AP87" s="217">
        <f t="shared" si="10"/>
        <v>0</v>
      </c>
      <c r="AQ87" s="51">
        <f t="shared" si="21"/>
        <v>900</v>
      </c>
      <c r="AR87" s="51">
        <f t="shared" si="11"/>
        <v>6950</v>
      </c>
      <c r="AS87" s="51"/>
      <c r="AT87" s="51"/>
      <c r="AU87" s="51"/>
      <c r="AV87" s="51"/>
      <c r="AW87" s="51">
        <f t="shared" si="16"/>
        <v>0</v>
      </c>
      <c r="AX87" s="209"/>
      <c r="AY87" s="51"/>
      <c r="AZ87" s="51"/>
      <c r="BA87" s="51"/>
      <c r="BB87" s="51"/>
      <c r="BC87" s="51">
        <f t="shared" si="17"/>
        <v>0</v>
      </c>
      <c r="BD87" s="209"/>
      <c r="BE87" s="51"/>
      <c r="BF87" s="51"/>
      <c r="BG87" s="51"/>
      <c r="BH87" s="51"/>
      <c r="BI87" s="51">
        <f t="shared" si="19"/>
        <v>0</v>
      </c>
      <c r="BJ87" s="209"/>
    </row>
    <row r="88" spans="1:62">
      <c r="A88" s="209">
        <v>45775</v>
      </c>
      <c r="B88" s="51"/>
      <c r="C88" s="51"/>
      <c r="D88" s="208"/>
      <c r="E88" s="51"/>
      <c r="F88" s="51"/>
      <c r="G88" s="215"/>
      <c r="H88" s="51"/>
      <c r="I88" s="51">
        <v>450</v>
      </c>
      <c r="J88" s="51">
        <v>450</v>
      </c>
      <c r="K88" s="217">
        <f t="shared" si="7"/>
        <v>900</v>
      </c>
      <c r="L88" s="217">
        <f t="shared" si="9"/>
        <v>54150</v>
      </c>
      <c r="M88" s="51">
        <v>450</v>
      </c>
      <c r="N88" s="51">
        <v>450</v>
      </c>
      <c r="O88" s="217">
        <f t="shared" si="12"/>
        <v>900</v>
      </c>
      <c r="P88" s="217">
        <f t="shared" si="13"/>
        <v>12350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217">
        <f t="shared" si="14"/>
        <v>0</v>
      </c>
      <c r="AL88" s="217">
        <f t="shared" si="15"/>
        <v>278700</v>
      </c>
      <c r="AM88" s="51"/>
      <c r="AN88" s="51"/>
      <c r="AO88" s="217">
        <f t="shared" si="8"/>
        <v>0</v>
      </c>
      <c r="AP88" s="217">
        <f t="shared" si="10"/>
        <v>0</v>
      </c>
      <c r="AQ88" s="51">
        <f t="shared" si="21"/>
        <v>900</v>
      </c>
      <c r="AR88" s="51">
        <f t="shared" si="11"/>
        <v>7850</v>
      </c>
      <c r="AS88" s="51"/>
      <c r="AT88" s="51"/>
      <c r="AU88" s="51"/>
      <c r="AV88" s="231"/>
      <c r="AW88" s="51">
        <f t="shared" si="16"/>
        <v>0</v>
      </c>
      <c r="AX88" s="209"/>
      <c r="AY88" s="51"/>
      <c r="AZ88" s="51"/>
      <c r="BA88" s="51"/>
      <c r="BB88" s="231"/>
      <c r="BC88" s="51">
        <f t="shared" si="17"/>
        <v>0</v>
      </c>
      <c r="BD88" s="209"/>
      <c r="BE88" s="51"/>
      <c r="BF88" s="51"/>
      <c r="BG88" s="51"/>
      <c r="BH88" s="231"/>
      <c r="BI88" s="51">
        <f t="shared" si="19"/>
        <v>0</v>
      </c>
      <c r="BJ88" s="209"/>
    </row>
    <row r="89" spans="1:62">
      <c r="A89" s="209">
        <v>45776</v>
      </c>
      <c r="B89" s="51"/>
      <c r="C89" s="51"/>
      <c r="D89" s="208"/>
      <c r="E89" s="51"/>
      <c r="F89" s="51"/>
      <c r="G89" s="215">
        <f>(B89+C89)/0.143</f>
        <v>0</v>
      </c>
      <c r="H89" s="51"/>
      <c r="I89" s="51">
        <v>450</v>
      </c>
      <c r="J89" s="51">
        <v>450</v>
      </c>
      <c r="K89" s="217">
        <f t="shared" si="7"/>
        <v>900</v>
      </c>
      <c r="L89" s="217">
        <f t="shared" si="9"/>
        <v>55050</v>
      </c>
      <c r="M89" s="51">
        <v>450</v>
      </c>
      <c r="N89" s="51">
        <v>450</v>
      </c>
      <c r="O89" s="217">
        <f t="shared" si="12"/>
        <v>900</v>
      </c>
      <c r="P89" s="217">
        <f t="shared" si="13"/>
        <v>3250</v>
      </c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217">
        <f t="shared" si="14"/>
        <v>0</v>
      </c>
      <c r="AL89" s="217">
        <f t="shared" si="15"/>
        <v>278700</v>
      </c>
      <c r="AM89" s="51"/>
      <c r="AN89" s="51"/>
      <c r="AO89" s="217">
        <f t="shared" si="8"/>
        <v>0</v>
      </c>
      <c r="AP89" s="217">
        <f t="shared" si="10"/>
        <v>0</v>
      </c>
      <c r="AQ89" s="51">
        <f t="shared" si="21"/>
        <v>900</v>
      </c>
      <c r="AR89" s="51">
        <f t="shared" si="11"/>
        <v>8750</v>
      </c>
      <c r="AS89" s="51"/>
      <c r="AT89" s="51"/>
      <c r="AU89" s="51"/>
      <c r="AV89" s="51"/>
      <c r="AW89" s="51">
        <f t="shared" si="16"/>
        <v>0</v>
      </c>
      <c r="AX89" s="209"/>
      <c r="AY89" s="51"/>
      <c r="AZ89" s="231"/>
      <c r="BA89" s="51"/>
      <c r="BB89" s="231">
        <f>A89+12</f>
        <v>45788</v>
      </c>
      <c r="BC89" s="51">
        <f t="shared" si="17"/>
        <v>0</v>
      </c>
      <c r="BD89" s="209">
        <f>BB89</f>
        <v>45788</v>
      </c>
      <c r="BE89" s="51">
        <v>10000</v>
      </c>
      <c r="BF89" s="231">
        <f>A89+12</f>
        <v>45788</v>
      </c>
      <c r="BG89" s="51"/>
      <c r="BH89" s="231"/>
      <c r="BI89" s="51">
        <f t="shared" si="19"/>
        <v>10000</v>
      </c>
      <c r="BJ89" s="209">
        <f>BF89</f>
        <v>45788</v>
      </c>
    </row>
    <row r="90" spans="1:62">
      <c r="A90" s="209">
        <v>45777</v>
      </c>
      <c r="B90" s="51"/>
      <c r="C90" s="51"/>
      <c r="D90" s="208"/>
      <c r="E90" s="51"/>
      <c r="F90" s="51"/>
      <c r="G90" s="215"/>
      <c r="H90" s="51"/>
      <c r="I90" s="51">
        <v>450</v>
      </c>
      <c r="J90" s="51">
        <v>450</v>
      </c>
      <c r="K90" s="217">
        <f>I90+J90</f>
        <v>900</v>
      </c>
      <c r="L90" s="217">
        <f t="shared" si="9"/>
        <v>55950</v>
      </c>
      <c r="M90" s="214">
        <v>200</v>
      </c>
      <c r="N90" s="214">
        <v>200</v>
      </c>
      <c r="O90" s="217">
        <f t="shared" si="12"/>
        <v>400</v>
      </c>
      <c r="P90" s="217">
        <f t="shared" si="13"/>
        <v>3650</v>
      </c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217">
        <f t="shared" si="14"/>
        <v>0</v>
      </c>
      <c r="AL90" s="217">
        <f t="shared" si="15"/>
        <v>278700</v>
      </c>
      <c r="AM90" s="51"/>
      <c r="AN90" s="51"/>
      <c r="AO90" s="217">
        <f t="shared" ref="AO90:AO113" si="22">AM90+AN90</f>
        <v>0</v>
      </c>
      <c r="AP90" s="217">
        <f t="shared" si="10"/>
        <v>0</v>
      </c>
      <c r="AQ90" s="51">
        <f t="shared" si="21"/>
        <v>900</v>
      </c>
      <c r="AR90" s="51">
        <f t="shared" si="11"/>
        <v>9650</v>
      </c>
      <c r="AS90" s="51"/>
      <c r="AT90" s="231"/>
      <c r="AU90" s="51"/>
      <c r="AV90" s="51"/>
      <c r="AW90" s="51">
        <f>AS90+AU90</f>
        <v>0</v>
      </c>
      <c r="AX90" s="209"/>
      <c r="AY90" s="51"/>
      <c r="AZ90" s="231"/>
      <c r="BA90" s="51"/>
      <c r="BB90" s="51"/>
      <c r="BC90" s="51">
        <f>AY90+BA90</f>
        <v>0</v>
      </c>
      <c r="BD90" s="209"/>
      <c r="BE90" s="51"/>
      <c r="BF90" s="231"/>
      <c r="BG90" s="51"/>
      <c r="BH90" s="51"/>
      <c r="BI90" s="51">
        <f>BE90+BG90</f>
        <v>0</v>
      </c>
      <c r="BJ90" s="209"/>
    </row>
    <row r="91" spans="1:62">
      <c r="A91" s="209">
        <v>45778</v>
      </c>
      <c r="B91" s="51"/>
      <c r="C91" s="51"/>
      <c r="D91" s="208"/>
      <c r="E91" s="51"/>
      <c r="F91" s="51"/>
      <c r="G91" s="215"/>
      <c r="H91" s="51"/>
      <c r="I91" s="51"/>
      <c r="J91" s="51"/>
      <c r="K91" s="217"/>
      <c r="L91" s="217">
        <f t="shared" ref="L91:L113" si="23">L90+K91</f>
        <v>55950</v>
      </c>
      <c r="M91" s="51">
        <v>450</v>
      </c>
      <c r="N91" s="51">
        <v>450</v>
      </c>
      <c r="O91" s="217">
        <f t="shared" si="12"/>
        <v>900</v>
      </c>
      <c r="P91" s="217">
        <f t="shared" si="13"/>
        <v>4550</v>
      </c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217">
        <f t="shared" si="14"/>
        <v>0</v>
      </c>
      <c r="AL91" s="217">
        <f t="shared" si="15"/>
        <v>278700</v>
      </c>
      <c r="AM91" s="51"/>
      <c r="AN91" s="51"/>
      <c r="AO91" s="217">
        <f t="shared" si="22"/>
        <v>0</v>
      </c>
      <c r="AP91" s="217">
        <f t="shared" ref="AP91:AP113" si="24">AP90+AO91-AY91-BA91</f>
        <v>0</v>
      </c>
      <c r="AQ91" s="51">
        <f t="shared" si="21"/>
        <v>0</v>
      </c>
      <c r="AR91" s="51">
        <f t="shared" ref="AR91:AR113" si="25">AR90+AQ91-AU91-AS91</f>
        <v>0</v>
      </c>
      <c r="AS91" s="51"/>
      <c r="AT91" s="231"/>
      <c r="AU91" s="51">
        <v>9650</v>
      </c>
      <c r="AV91" s="231">
        <f>A91+12</f>
        <v>45790</v>
      </c>
      <c r="AW91" s="51">
        <f t="shared" si="16"/>
        <v>9650</v>
      </c>
      <c r="AX91" s="209">
        <f>AV91</f>
        <v>45790</v>
      </c>
      <c r="AY91" s="51"/>
      <c r="AZ91" s="231"/>
      <c r="BA91" s="51"/>
      <c r="BB91" s="51"/>
      <c r="BC91" s="51">
        <f t="shared" ref="BC91:BC109" si="26">AY91+BA91</f>
        <v>0</v>
      </c>
      <c r="BD91" s="209"/>
      <c r="BE91" s="51"/>
      <c r="BF91" s="231"/>
      <c r="BG91" s="51"/>
      <c r="BH91" s="51"/>
      <c r="BI91" s="51">
        <f t="shared" ref="BI91:BI109" si="27">BE91+BG91</f>
        <v>0</v>
      </c>
      <c r="BJ91" s="209"/>
    </row>
    <row r="92" spans="1:62">
      <c r="A92" s="209">
        <v>45779</v>
      </c>
      <c r="B92" s="51"/>
      <c r="C92" s="51"/>
      <c r="D92" s="208"/>
      <c r="E92" s="51"/>
      <c r="F92" s="51"/>
      <c r="G92" s="215"/>
      <c r="H92" s="51"/>
      <c r="I92" s="51"/>
      <c r="J92" s="51"/>
      <c r="K92" s="217"/>
      <c r="L92" s="217">
        <f t="shared" si="23"/>
        <v>55950</v>
      </c>
      <c r="M92" s="51">
        <v>450</v>
      </c>
      <c r="N92" s="51">
        <v>450</v>
      </c>
      <c r="O92" s="217">
        <f t="shared" ref="O92:O113" si="28">M92+N92</f>
        <v>900</v>
      </c>
      <c r="P92" s="217">
        <f t="shared" si="13"/>
        <v>5450</v>
      </c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217">
        <f t="shared" si="14"/>
        <v>0</v>
      </c>
      <c r="AL92" s="217">
        <f t="shared" si="15"/>
        <v>278700</v>
      </c>
      <c r="AM92" s="51"/>
      <c r="AN92" s="51"/>
      <c r="AO92" s="217">
        <f t="shared" si="22"/>
        <v>0</v>
      </c>
      <c r="AP92" s="217">
        <f t="shared" si="24"/>
        <v>0</v>
      </c>
      <c r="AQ92" s="51">
        <f t="shared" si="21"/>
        <v>0</v>
      </c>
      <c r="AR92" s="51">
        <f t="shared" si="25"/>
        <v>0</v>
      </c>
      <c r="AS92" s="51"/>
      <c r="AT92" s="51"/>
      <c r="AU92" s="51"/>
      <c r="AV92" s="51"/>
      <c r="AW92" s="51">
        <f t="shared" si="16"/>
        <v>0</v>
      </c>
      <c r="AX92" s="209"/>
      <c r="AY92" s="51"/>
      <c r="AZ92" s="51"/>
      <c r="BA92" s="51"/>
      <c r="BB92" s="51"/>
      <c r="BC92" s="51">
        <f t="shared" si="26"/>
        <v>0</v>
      </c>
      <c r="BD92" s="209"/>
      <c r="BE92" s="51"/>
      <c r="BF92" s="51"/>
      <c r="BG92" s="51"/>
      <c r="BH92" s="51"/>
      <c r="BI92" s="51">
        <f t="shared" si="27"/>
        <v>0</v>
      </c>
      <c r="BJ92" s="209"/>
    </row>
    <row r="93" spans="1:62">
      <c r="A93" s="209">
        <v>45780</v>
      </c>
      <c r="B93" s="51"/>
      <c r="C93" s="51"/>
      <c r="D93" s="208"/>
      <c r="E93" s="51"/>
      <c r="F93" s="51"/>
      <c r="G93" s="215"/>
      <c r="H93" s="51"/>
      <c r="I93" s="51"/>
      <c r="J93" s="51"/>
      <c r="K93" s="217"/>
      <c r="L93" s="217">
        <f t="shared" si="23"/>
        <v>55950</v>
      </c>
      <c r="M93" s="51">
        <v>450</v>
      </c>
      <c r="N93" s="51">
        <v>450</v>
      </c>
      <c r="O93" s="217">
        <f t="shared" si="28"/>
        <v>900</v>
      </c>
      <c r="P93" s="217">
        <f t="shared" ref="P93:P113" si="29">P92+O93-BE93-BG93</f>
        <v>6350</v>
      </c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217">
        <f t="shared" si="14"/>
        <v>0</v>
      </c>
      <c r="AL93" s="217">
        <f t="shared" si="15"/>
        <v>278700</v>
      </c>
      <c r="AM93" s="51"/>
      <c r="AN93" s="51"/>
      <c r="AO93" s="217">
        <f t="shared" si="22"/>
        <v>0</v>
      </c>
      <c r="AP93" s="217">
        <f t="shared" si="24"/>
        <v>0</v>
      </c>
      <c r="AQ93" s="51">
        <f t="shared" si="21"/>
        <v>0</v>
      </c>
      <c r="AR93" s="51">
        <f t="shared" si="25"/>
        <v>0</v>
      </c>
      <c r="AS93" s="51"/>
      <c r="AT93" s="231"/>
      <c r="AU93" s="51"/>
      <c r="AV93" s="51"/>
      <c r="AW93" s="51">
        <f t="shared" si="16"/>
        <v>0</v>
      </c>
      <c r="AX93" s="209"/>
      <c r="AY93" s="51"/>
      <c r="AZ93" s="231"/>
      <c r="BA93" s="51"/>
      <c r="BB93" s="51"/>
      <c r="BC93" s="51">
        <f t="shared" si="26"/>
        <v>0</v>
      </c>
      <c r="BD93" s="209"/>
      <c r="BE93" s="51"/>
      <c r="BF93" s="231"/>
      <c r="BG93" s="51"/>
      <c r="BH93" s="51"/>
      <c r="BI93" s="51">
        <f t="shared" si="27"/>
        <v>0</v>
      </c>
      <c r="BJ93" s="209"/>
    </row>
    <row r="94" spans="1:62">
      <c r="A94" s="209">
        <v>45781</v>
      </c>
      <c r="B94" s="51"/>
      <c r="C94" s="51"/>
      <c r="D94" s="208"/>
      <c r="E94" s="51"/>
      <c r="F94" s="51"/>
      <c r="G94" s="215"/>
      <c r="H94" s="51"/>
      <c r="I94" s="51"/>
      <c r="J94" s="51"/>
      <c r="K94" s="217"/>
      <c r="L94" s="217">
        <f t="shared" si="23"/>
        <v>55950</v>
      </c>
      <c r="M94" s="51">
        <v>450</v>
      </c>
      <c r="N94" s="51">
        <v>450</v>
      </c>
      <c r="O94" s="217">
        <f t="shared" si="28"/>
        <v>900</v>
      </c>
      <c r="P94" s="217">
        <f t="shared" si="29"/>
        <v>7250</v>
      </c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217">
        <f t="shared" ref="AK94:AK110" si="30">SUM(Q94:AJ94)</f>
        <v>0</v>
      </c>
      <c r="AL94" s="217">
        <f t="shared" si="15"/>
        <v>278700</v>
      </c>
      <c r="AM94" s="51"/>
      <c r="AN94" s="51"/>
      <c r="AO94" s="217">
        <f t="shared" si="22"/>
        <v>0</v>
      </c>
      <c r="AP94" s="217">
        <f t="shared" si="24"/>
        <v>0</v>
      </c>
      <c r="AQ94" s="51">
        <f t="shared" si="21"/>
        <v>0</v>
      </c>
      <c r="AR94" s="51">
        <f t="shared" si="25"/>
        <v>0</v>
      </c>
      <c r="AS94" s="51"/>
      <c r="AT94" s="51"/>
      <c r="AU94" s="51"/>
      <c r="AV94" s="51"/>
      <c r="AW94" s="51">
        <f t="shared" si="16"/>
        <v>0</v>
      </c>
      <c r="AX94" s="209"/>
      <c r="AY94" s="51"/>
      <c r="AZ94" s="51"/>
      <c r="BA94" s="51"/>
      <c r="BB94" s="51"/>
      <c r="BC94" s="51">
        <f t="shared" si="26"/>
        <v>0</v>
      </c>
      <c r="BD94" s="209"/>
      <c r="BE94" s="51"/>
      <c r="BF94" s="51"/>
      <c r="BG94" s="51"/>
      <c r="BH94" s="51"/>
      <c r="BI94" s="51">
        <f t="shared" si="27"/>
        <v>0</v>
      </c>
      <c r="BJ94" s="209"/>
    </row>
    <row r="95" spans="1:62">
      <c r="A95" s="209">
        <v>45782</v>
      </c>
      <c r="B95" s="51"/>
      <c r="C95" s="51"/>
      <c r="D95" s="208"/>
      <c r="E95" s="51"/>
      <c r="F95" s="51"/>
      <c r="G95" s="215"/>
      <c r="H95" s="51"/>
      <c r="I95" s="51"/>
      <c r="J95" s="51"/>
      <c r="K95" s="217"/>
      <c r="L95" s="217">
        <f t="shared" si="23"/>
        <v>55950</v>
      </c>
      <c r="M95" s="51"/>
      <c r="N95" s="51"/>
      <c r="O95" s="217">
        <f t="shared" si="28"/>
        <v>0</v>
      </c>
      <c r="P95" s="217">
        <f t="shared" si="29"/>
        <v>0</v>
      </c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217">
        <f t="shared" si="30"/>
        <v>0</v>
      </c>
      <c r="AL95" s="217">
        <f t="shared" ref="AL95:AL113" si="31">AL94+AK95</f>
        <v>278700</v>
      </c>
      <c r="AM95" s="51"/>
      <c r="AN95" s="51"/>
      <c r="AO95" s="217">
        <f t="shared" si="22"/>
        <v>0</v>
      </c>
      <c r="AP95" s="217">
        <f t="shared" si="24"/>
        <v>0</v>
      </c>
      <c r="AQ95" s="51">
        <f t="shared" si="21"/>
        <v>0</v>
      </c>
      <c r="AR95" s="51">
        <f t="shared" si="25"/>
        <v>0</v>
      </c>
      <c r="AS95" s="51"/>
      <c r="AT95" s="51"/>
      <c r="AU95" s="51"/>
      <c r="AV95" s="51"/>
      <c r="AW95" s="51">
        <f t="shared" si="16"/>
        <v>0</v>
      </c>
      <c r="AX95" s="209"/>
      <c r="AY95" s="51"/>
      <c r="AZ95" s="51"/>
      <c r="BA95" s="51"/>
      <c r="BB95" s="51"/>
      <c r="BC95" s="51">
        <f t="shared" si="26"/>
        <v>0</v>
      </c>
      <c r="BD95" s="209"/>
      <c r="BE95" s="51"/>
      <c r="BF95" s="51"/>
      <c r="BG95" s="51">
        <v>7250</v>
      </c>
      <c r="BH95" s="231">
        <f>A95+12</f>
        <v>45794</v>
      </c>
      <c r="BI95" s="51">
        <f t="shared" si="27"/>
        <v>7250</v>
      </c>
      <c r="BJ95" s="209">
        <f>BH95</f>
        <v>45794</v>
      </c>
    </row>
    <row r="96" spans="1:62">
      <c r="A96" s="209">
        <v>45783</v>
      </c>
      <c r="B96" s="51"/>
      <c r="C96" s="51"/>
      <c r="D96" s="208"/>
      <c r="E96" s="51"/>
      <c r="F96" s="51"/>
      <c r="G96" s="215"/>
      <c r="H96" s="51"/>
      <c r="I96" s="51"/>
      <c r="J96" s="51"/>
      <c r="K96" s="217"/>
      <c r="L96" s="217">
        <f t="shared" si="23"/>
        <v>55950</v>
      </c>
      <c r="M96" s="51"/>
      <c r="N96" s="51"/>
      <c r="O96" s="217">
        <f t="shared" si="28"/>
        <v>0</v>
      </c>
      <c r="P96" s="217">
        <f t="shared" si="29"/>
        <v>0</v>
      </c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217">
        <f t="shared" si="30"/>
        <v>0</v>
      </c>
      <c r="AL96" s="217">
        <f t="shared" si="31"/>
        <v>278700</v>
      </c>
      <c r="AM96" s="51"/>
      <c r="AN96" s="51"/>
      <c r="AO96" s="217">
        <f t="shared" si="22"/>
        <v>0</v>
      </c>
      <c r="AP96" s="217">
        <f t="shared" si="24"/>
        <v>0</v>
      </c>
      <c r="AQ96" s="51">
        <f t="shared" si="21"/>
        <v>0</v>
      </c>
      <c r="AR96" s="51">
        <f t="shared" si="25"/>
        <v>0</v>
      </c>
      <c r="AS96" s="51"/>
      <c r="AT96" s="51"/>
      <c r="AU96" s="51"/>
      <c r="AV96" s="51"/>
      <c r="AW96" s="51">
        <f t="shared" si="16"/>
        <v>0</v>
      </c>
      <c r="AX96" s="209"/>
      <c r="AY96" s="51"/>
      <c r="AZ96" s="51"/>
      <c r="BA96" s="51"/>
      <c r="BB96" s="51"/>
      <c r="BC96" s="51">
        <f t="shared" si="26"/>
        <v>0</v>
      </c>
      <c r="BD96" s="209"/>
      <c r="BE96" s="51"/>
      <c r="BF96" s="51"/>
      <c r="BG96" s="51"/>
      <c r="BH96" s="51"/>
      <c r="BI96" s="51">
        <f t="shared" si="27"/>
        <v>0</v>
      </c>
      <c r="BJ96" s="209"/>
    </row>
    <row r="97" spans="1:62">
      <c r="A97" s="209">
        <v>45784</v>
      </c>
      <c r="B97" s="51"/>
      <c r="C97" s="51"/>
      <c r="D97" s="208"/>
      <c r="E97" s="51"/>
      <c r="F97" s="51"/>
      <c r="G97" s="215"/>
      <c r="H97" s="51"/>
      <c r="I97" s="51"/>
      <c r="J97" s="51"/>
      <c r="K97" s="217"/>
      <c r="L97" s="217">
        <f t="shared" si="23"/>
        <v>55950</v>
      </c>
      <c r="M97" s="51"/>
      <c r="N97" s="51"/>
      <c r="O97" s="217">
        <f t="shared" si="28"/>
        <v>0</v>
      </c>
      <c r="P97" s="217">
        <f t="shared" si="29"/>
        <v>0</v>
      </c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217">
        <f t="shared" si="30"/>
        <v>0</v>
      </c>
      <c r="AL97" s="217">
        <f t="shared" si="31"/>
        <v>278700</v>
      </c>
      <c r="AM97" s="51"/>
      <c r="AN97" s="51"/>
      <c r="AO97" s="217">
        <f t="shared" si="22"/>
        <v>0</v>
      </c>
      <c r="AP97" s="217">
        <f t="shared" si="24"/>
        <v>0</v>
      </c>
      <c r="AQ97" s="51">
        <f t="shared" si="21"/>
        <v>0</v>
      </c>
      <c r="AR97" s="51">
        <f t="shared" si="25"/>
        <v>0</v>
      </c>
      <c r="AS97" s="51"/>
      <c r="AT97" s="51"/>
      <c r="AU97" s="51"/>
      <c r="AV97" s="51"/>
      <c r="AW97" s="51">
        <f t="shared" si="16"/>
        <v>0</v>
      </c>
      <c r="AX97" s="209"/>
      <c r="AY97" s="51"/>
      <c r="AZ97" s="51"/>
      <c r="BA97" s="51"/>
      <c r="BB97" s="51"/>
      <c r="BC97" s="51">
        <f t="shared" si="26"/>
        <v>0</v>
      </c>
      <c r="BD97" s="209"/>
      <c r="BE97" s="51"/>
      <c r="BF97" s="51"/>
      <c r="BG97" s="51"/>
      <c r="BH97" s="51"/>
      <c r="BI97" s="51">
        <f t="shared" si="27"/>
        <v>0</v>
      </c>
      <c r="BJ97" s="209"/>
    </row>
    <row r="98" spans="1:62">
      <c r="A98" s="209">
        <v>45785</v>
      </c>
      <c r="B98" s="51"/>
      <c r="C98" s="51"/>
      <c r="D98" s="208"/>
      <c r="E98" s="51"/>
      <c r="F98" s="51"/>
      <c r="G98" s="215"/>
      <c r="H98" s="51"/>
      <c r="I98" s="51"/>
      <c r="J98" s="51"/>
      <c r="K98" s="217"/>
      <c r="L98" s="217">
        <f t="shared" si="23"/>
        <v>55950</v>
      </c>
      <c r="M98" s="51"/>
      <c r="N98" s="51"/>
      <c r="O98" s="217">
        <f t="shared" si="28"/>
        <v>0</v>
      </c>
      <c r="P98" s="217">
        <f t="shared" si="29"/>
        <v>0</v>
      </c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217">
        <f t="shared" si="30"/>
        <v>0</v>
      </c>
      <c r="AL98" s="217">
        <f t="shared" si="31"/>
        <v>278700</v>
      </c>
      <c r="AM98" s="51"/>
      <c r="AN98" s="51"/>
      <c r="AO98" s="217">
        <f t="shared" si="22"/>
        <v>0</v>
      </c>
      <c r="AP98" s="217">
        <f t="shared" si="24"/>
        <v>0</v>
      </c>
      <c r="AQ98" s="51">
        <f t="shared" si="21"/>
        <v>0</v>
      </c>
      <c r="AR98" s="51">
        <f t="shared" si="25"/>
        <v>0</v>
      </c>
      <c r="AS98" s="51"/>
      <c r="AT98" s="51"/>
      <c r="AU98" s="51"/>
      <c r="AV98" s="51"/>
      <c r="AW98" s="51">
        <f t="shared" ref="AW98:AW109" si="32">AS98+AU98</f>
        <v>0</v>
      </c>
      <c r="AX98" s="209"/>
      <c r="AY98" s="51"/>
      <c r="AZ98" s="51"/>
      <c r="BA98" s="51"/>
      <c r="BB98" s="51"/>
      <c r="BC98" s="51">
        <f t="shared" si="26"/>
        <v>0</v>
      </c>
      <c r="BD98" s="209"/>
      <c r="BE98" s="51"/>
      <c r="BF98" s="51"/>
      <c r="BG98" s="51"/>
      <c r="BH98" s="51"/>
      <c r="BI98" s="51">
        <f t="shared" si="27"/>
        <v>0</v>
      </c>
      <c r="BJ98" s="209"/>
    </row>
    <row r="99" spans="1:62">
      <c r="A99" s="209">
        <v>45786</v>
      </c>
      <c r="B99" s="51"/>
      <c r="C99" s="51"/>
      <c r="D99" s="208"/>
      <c r="E99" s="51"/>
      <c r="F99" s="51"/>
      <c r="G99" s="215"/>
      <c r="H99" s="51"/>
      <c r="I99" s="51"/>
      <c r="J99" s="51"/>
      <c r="K99" s="51"/>
      <c r="L99" s="217">
        <f t="shared" si="23"/>
        <v>55950</v>
      </c>
      <c r="M99" s="51"/>
      <c r="N99" s="51"/>
      <c r="O99" s="217">
        <f t="shared" si="28"/>
        <v>0</v>
      </c>
      <c r="P99" s="217">
        <f t="shared" si="29"/>
        <v>0</v>
      </c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217">
        <f t="shared" si="30"/>
        <v>0</v>
      </c>
      <c r="AL99" s="217">
        <f t="shared" si="31"/>
        <v>278700</v>
      </c>
      <c r="AM99" s="51"/>
      <c r="AN99" s="51"/>
      <c r="AO99" s="217">
        <f t="shared" si="22"/>
        <v>0</v>
      </c>
      <c r="AP99" s="217">
        <f t="shared" si="24"/>
        <v>0</v>
      </c>
      <c r="AQ99" s="51">
        <f t="shared" si="21"/>
        <v>0</v>
      </c>
      <c r="AR99" s="51">
        <f t="shared" si="25"/>
        <v>0</v>
      </c>
      <c r="AS99" s="51"/>
      <c r="AT99" s="51"/>
      <c r="AU99" s="51"/>
      <c r="AV99" s="231"/>
      <c r="AW99" s="51">
        <f t="shared" si="32"/>
        <v>0</v>
      </c>
      <c r="AX99" s="209"/>
      <c r="AY99" s="51"/>
      <c r="AZ99" s="231">
        <f>A99+12</f>
        <v>45798</v>
      </c>
      <c r="BA99" s="51"/>
      <c r="BB99" s="231"/>
      <c r="BC99" s="51">
        <f t="shared" si="26"/>
        <v>0</v>
      </c>
      <c r="BD99" s="209">
        <f>AZ99</f>
        <v>45798</v>
      </c>
      <c r="BE99" s="51"/>
      <c r="BF99" s="231"/>
      <c r="BG99" s="51"/>
      <c r="BH99" s="231"/>
      <c r="BI99" s="51">
        <f t="shared" si="27"/>
        <v>0</v>
      </c>
      <c r="BJ99" s="209"/>
    </row>
    <row r="100" spans="1:62">
      <c r="A100" s="209">
        <v>45787</v>
      </c>
      <c r="B100" s="51"/>
      <c r="C100" s="51"/>
      <c r="D100" s="208"/>
      <c r="E100" s="51"/>
      <c r="F100" s="51"/>
      <c r="G100" s="215"/>
      <c r="H100" s="51"/>
      <c r="I100" s="51"/>
      <c r="J100" s="51"/>
      <c r="K100" s="51"/>
      <c r="L100" s="217">
        <f t="shared" si="23"/>
        <v>55950</v>
      </c>
      <c r="M100" s="51"/>
      <c r="N100" s="51"/>
      <c r="O100" s="217">
        <f t="shared" si="28"/>
        <v>0</v>
      </c>
      <c r="P100" s="217">
        <f t="shared" si="29"/>
        <v>0</v>
      </c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217">
        <f t="shared" si="30"/>
        <v>0</v>
      </c>
      <c r="AL100" s="217">
        <f t="shared" si="31"/>
        <v>278700</v>
      </c>
      <c r="AM100" s="51"/>
      <c r="AN100" s="51"/>
      <c r="AO100" s="217">
        <f t="shared" si="22"/>
        <v>0</v>
      </c>
      <c r="AP100" s="217">
        <f t="shared" si="24"/>
        <v>0</v>
      </c>
      <c r="AQ100" s="51">
        <f t="shared" si="21"/>
        <v>0</v>
      </c>
      <c r="AR100" s="51">
        <f t="shared" si="25"/>
        <v>0</v>
      </c>
      <c r="AS100" s="51"/>
      <c r="AT100" s="51"/>
      <c r="AU100" s="51"/>
      <c r="AV100" s="51"/>
      <c r="AW100" s="51">
        <f t="shared" si="32"/>
        <v>0</v>
      </c>
      <c r="AX100" s="209"/>
      <c r="AY100" s="51"/>
      <c r="AZ100" s="51"/>
      <c r="BA100" s="51"/>
      <c r="BB100" s="51"/>
      <c r="BC100" s="51">
        <f t="shared" si="26"/>
        <v>0</v>
      </c>
      <c r="BD100" s="209"/>
      <c r="BE100" s="51"/>
      <c r="BF100" s="51"/>
      <c r="BG100" s="51"/>
      <c r="BH100" s="51"/>
      <c r="BI100" s="51">
        <f t="shared" si="27"/>
        <v>0</v>
      </c>
      <c r="BJ100" s="209"/>
    </row>
    <row r="101" spans="1:62">
      <c r="A101" s="209">
        <v>45788</v>
      </c>
      <c r="B101" s="51"/>
      <c r="C101" s="51"/>
      <c r="D101" s="208"/>
      <c r="E101" s="51"/>
      <c r="F101" s="51"/>
      <c r="G101" s="215"/>
      <c r="H101" s="51"/>
      <c r="I101" s="51"/>
      <c r="J101" s="51"/>
      <c r="K101" s="51"/>
      <c r="L101" s="217">
        <f t="shared" si="23"/>
        <v>55950</v>
      </c>
      <c r="M101" s="51"/>
      <c r="N101" s="51"/>
      <c r="O101" s="217">
        <f t="shared" si="28"/>
        <v>0</v>
      </c>
      <c r="P101" s="217">
        <f t="shared" si="29"/>
        <v>0</v>
      </c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217">
        <f t="shared" si="30"/>
        <v>0</v>
      </c>
      <c r="AL101" s="217">
        <f t="shared" si="31"/>
        <v>278700</v>
      </c>
      <c r="AM101" s="51"/>
      <c r="AN101" s="51"/>
      <c r="AO101" s="217">
        <f t="shared" si="22"/>
        <v>0</v>
      </c>
      <c r="AP101" s="217">
        <f t="shared" si="24"/>
        <v>0</v>
      </c>
      <c r="AQ101" s="51">
        <f t="shared" si="21"/>
        <v>0</v>
      </c>
      <c r="AR101" s="51">
        <f t="shared" si="25"/>
        <v>0</v>
      </c>
      <c r="AS101" s="51"/>
      <c r="AT101" s="51"/>
      <c r="AU101" s="51"/>
      <c r="AV101" s="51"/>
      <c r="AW101" s="51">
        <f t="shared" si="32"/>
        <v>0</v>
      </c>
      <c r="AX101" s="209"/>
      <c r="AY101" s="51"/>
      <c r="AZ101" s="51"/>
      <c r="BA101" s="51"/>
      <c r="BB101" s="51"/>
      <c r="BC101" s="51">
        <f t="shared" si="26"/>
        <v>0</v>
      </c>
      <c r="BD101" s="209"/>
      <c r="BE101" s="51"/>
      <c r="BF101" s="51"/>
      <c r="BG101" s="51"/>
      <c r="BH101" s="51"/>
      <c r="BI101" s="51">
        <f t="shared" si="27"/>
        <v>0</v>
      </c>
      <c r="BJ101" s="209"/>
    </row>
    <row r="102" spans="1:62">
      <c r="A102" s="209">
        <v>45789</v>
      </c>
      <c r="B102" s="51"/>
      <c r="C102" s="51"/>
      <c r="D102" s="208"/>
      <c r="E102" s="51"/>
      <c r="F102" s="51"/>
      <c r="G102" s="215"/>
      <c r="H102" s="51"/>
      <c r="I102" s="51"/>
      <c r="J102" s="51"/>
      <c r="K102" s="51"/>
      <c r="L102" s="217">
        <f t="shared" si="23"/>
        <v>55950</v>
      </c>
      <c r="M102" s="51"/>
      <c r="N102" s="51"/>
      <c r="O102" s="217">
        <f t="shared" si="28"/>
        <v>0</v>
      </c>
      <c r="P102" s="217">
        <f t="shared" si="29"/>
        <v>0</v>
      </c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217">
        <f t="shared" si="30"/>
        <v>0</v>
      </c>
      <c r="AL102" s="217">
        <f t="shared" si="31"/>
        <v>278700</v>
      </c>
      <c r="AM102" s="51"/>
      <c r="AN102" s="51"/>
      <c r="AO102" s="217">
        <f t="shared" si="22"/>
        <v>0</v>
      </c>
      <c r="AP102" s="217">
        <f t="shared" si="24"/>
        <v>0</v>
      </c>
      <c r="AQ102" s="51">
        <f t="shared" si="21"/>
        <v>0</v>
      </c>
      <c r="AR102" s="51">
        <f t="shared" si="25"/>
        <v>0</v>
      </c>
      <c r="AS102" s="51"/>
      <c r="AT102" s="51"/>
      <c r="AU102" s="51"/>
      <c r="AV102" s="51"/>
      <c r="AW102" s="51">
        <f t="shared" si="32"/>
        <v>0</v>
      </c>
      <c r="AX102" s="209"/>
      <c r="AY102" s="51"/>
      <c r="AZ102" s="51"/>
      <c r="BA102" s="51"/>
      <c r="BB102" s="51"/>
      <c r="BC102" s="51">
        <f t="shared" si="26"/>
        <v>0</v>
      </c>
      <c r="BD102" s="209"/>
      <c r="BE102" s="51"/>
      <c r="BF102" s="51"/>
      <c r="BG102" s="51"/>
      <c r="BH102" s="51"/>
      <c r="BI102" s="51">
        <f t="shared" si="27"/>
        <v>0</v>
      </c>
      <c r="BJ102" s="209"/>
    </row>
    <row r="103" spans="1:62">
      <c r="A103" s="209">
        <v>45790</v>
      </c>
      <c r="B103" s="51"/>
      <c r="C103" s="51"/>
      <c r="D103" s="208"/>
      <c r="E103" s="51"/>
      <c r="F103" s="51"/>
      <c r="G103" s="215"/>
      <c r="H103" s="51"/>
      <c r="I103" s="51"/>
      <c r="J103" s="51"/>
      <c r="K103" s="51"/>
      <c r="L103" s="217">
        <f t="shared" si="23"/>
        <v>55950</v>
      </c>
      <c r="M103" s="51"/>
      <c r="N103" s="51"/>
      <c r="O103" s="217">
        <f t="shared" si="28"/>
        <v>0</v>
      </c>
      <c r="P103" s="217">
        <f t="shared" si="29"/>
        <v>0</v>
      </c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217">
        <f t="shared" si="30"/>
        <v>0</v>
      </c>
      <c r="AL103" s="217">
        <f t="shared" si="31"/>
        <v>278700</v>
      </c>
      <c r="AM103" s="51"/>
      <c r="AN103" s="51"/>
      <c r="AO103" s="217">
        <f t="shared" si="22"/>
        <v>0</v>
      </c>
      <c r="AP103" s="217">
        <f t="shared" si="24"/>
        <v>0</v>
      </c>
      <c r="AQ103" s="51">
        <f t="shared" si="21"/>
        <v>0</v>
      </c>
      <c r="AR103" s="51">
        <f t="shared" si="25"/>
        <v>0</v>
      </c>
      <c r="AS103" s="51"/>
      <c r="AT103" s="51"/>
      <c r="AU103" s="51"/>
      <c r="AV103" s="51"/>
      <c r="AW103" s="51">
        <f t="shared" si="32"/>
        <v>0</v>
      </c>
      <c r="AX103" s="209"/>
      <c r="AY103" s="51"/>
      <c r="AZ103" s="51"/>
      <c r="BA103" s="51"/>
      <c r="BB103" s="51"/>
      <c r="BC103" s="51">
        <f t="shared" si="26"/>
        <v>0</v>
      </c>
      <c r="BD103" s="209"/>
      <c r="BE103" s="51"/>
      <c r="BF103" s="51"/>
      <c r="BG103" s="51"/>
      <c r="BH103" s="51"/>
      <c r="BI103" s="51">
        <f t="shared" si="27"/>
        <v>0</v>
      </c>
      <c r="BJ103" s="209"/>
    </row>
    <row r="104" spans="1:62">
      <c r="A104" s="209">
        <v>45791</v>
      </c>
      <c r="B104" s="51"/>
      <c r="C104" s="51"/>
      <c r="D104" s="208"/>
      <c r="E104" s="51"/>
      <c r="F104" s="51"/>
      <c r="G104" s="215"/>
      <c r="H104" s="51"/>
      <c r="I104" s="51"/>
      <c r="J104" s="51"/>
      <c r="K104" s="51"/>
      <c r="L104" s="217">
        <f t="shared" si="23"/>
        <v>55950</v>
      </c>
      <c r="M104" s="51"/>
      <c r="N104" s="51"/>
      <c r="O104" s="217">
        <f t="shared" si="28"/>
        <v>0</v>
      </c>
      <c r="P104" s="217">
        <f t="shared" si="29"/>
        <v>0</v>
      </c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217">
        <f t="shared" si="30"/>
        <v>0</v>
      </c>
      <c r="AL104" s="217">
        <f t="shared" si="31"/>
        <v>278700</v>
      </c>
      <c r="AM104" s="51"/>
      <c r="AN104" s="51"/>
      <c r="AO104" s="217">
        <f t="shared" si="22"/>
        <v>0</v>
      </c>
      <c r="AP104" s="217">
        <f t="shared" si="24"/>
        <v>0</v>
      </c>
      <c r="AQ104" s="51">
        <f t="shared" si="21"/>
        <v>0</v>
      </c>
      <c r="AR104" s="51">
        <f t="shared" si="25"/>
        <v>0</v>
      </c>
      <c r="AS104" s="51"/>
      <c r="AT104" s="51"/>
      <c r="AU104" s="51"/>
      <c r="AV104" s="51"/>
      <c r="AW104" s="51">
        <f t="shared" si="32"/>
        <v>0</v>
      </c>
      <c r="AX104" s="209"/>
      <c r="AY104" s="51"/>
      <c r="AZ104" s="51"/>
      <c r="BA104" s="51"/>
      <c r="BB104" s="51"/>
      <c r="BC104" s="51">
        <f t="shared" si="26"/>
        <v>0</v>
      </c>
      <c r="BD104" s="209"/>
      <c r="BE104" s="51"/>
      <c r="BF104" s="51"/>
      <c r="BG104" s="51"/>
      <c r="BH104" s="51"/>
      <c r="BI104" s="51">
        <f t="shared" si="27"/>
        <v>0</v>
      </c>
      <c r="BJ104" s="209"/>
    </row>
    <row r="105" spans="1:62">
      <c r="A105" s="209">
        <v>45792</v>
      </c>
      <c r="B105" s="51"/>
      <c r="C105" s="51"/>
      <c r="D105" s="208"/>
      <c r="E105" s="51"/>
      <c r="F105" s="51"/>
      <c r="G105" s="215"/>
      <c r="H105" s="51"/>
      <c r="I105" s="51"/>
      <c r="J105" s="51"/>
      <c r="K105" s="51"/>
      <c r="L105" s="217">
        <f t="shared" si="23"/>
        <v>55950</v>
      </c>
      <c r="M105" s="51"/>
      <c r="N105" s="51"/>
      <c r="O105" s="217">
        <f t="shared" si="28"/>
        <v>0</v>
      </c>
      <c r="P105" s="217">
        <f t="shared" si="29"/>
        <v>0</v>
      </c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217">
        <f t="shared" si="30"/>
        <v>0</v>
      </c>
      <c r="AL105" s="217">
        <f t="shared" si="31"/>
        <v>278700</v>
      </c>
      <c r="AM105" s="51"/>
      <c r="AN105" s="51"/>
      <c r="AO105" s="217">
        <f t="shared" si="22"/>
        <v>0</v>
      </c>
      <c r="AP105" s="217">
        <f t="shared" si="24"/>
        <v>0</v>
      </c>
      <c r="AQ105" s="51">
        <f t="shared" si="21"/>
        <v>0</v>
      </c>
      <c r="AR105" s="51">
        <f t="shared" si="25"/>
        <v>0</v>
      </c>
      <c r="AS105" s="51"/>
      <c r="AT105" s="51"/>
      <c r="AU105" s="51"/>
      <c r="AV105" s="51"/>
      <c r="AW105" s="51">
        <f t="shared" si="32"/>
        <v>0</v>
      </c>
      <c r="AX105" s="209"/>
      <c r="AY105" s="51"/>
      <c r="AZ105" s="51"/>
      <c r="BA105" s="51"/>
      <c r="BB105" s="51"/>
      <c r="BC105" s="51">
        <f t="shared" si="26"/>
        <v>0</v>
      </c>
      <c r="BD105" s="209"/>
      <c r="BE105" s="51"/>
      <c r="BF105" s="51"/>
      <c r="BG105" s="51"/>
      <c r="BH105" s="51"/>
      <c r="BI105" s="51">
        <f t="shared" si="27"/>
        <v>0</v>
      </c>
      <c r="BJ105" s="209"/>
    </row>
    <row r="106" spans="1:62">
      <c r="A106" s="209">
        <v>45793</v>
      </c>
      <c r="B106" s="51"/>
      <c r="C106" s="51"/>
      <c r="D106" s="208"/>
      <c r="E106" s="51"/>
      <c r="F106" s="51"/>
      <c r="G106" s="215"/>
      <c r="H106" s="51"/>
      <c r="I106" s="51"/>
      <c r="J106" s="51"/>
      <c r="K106" s="51"/>
      <c r="L106" s="217">
        <f t="shared" si="23"/>
        <v>55950</v>
      </c>
      <c r="M106" s="51"/>
      <c r="N106" s="51"/>
      <c r="O106" s="217">
        <f t="shared" si="28"/>
        <v>0</v>
      </c>
      <c r="P106" s="217">
        <f t="shared" si="29"/>
        <v>0</v>
      </c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217">
        <f t="shared" si="30"/>
        <v>0</v>
      </c>
      <c r="AL106" s="217">
        <f t="shared" si="31"/>
        <v>278700</v>
      </c>
      <c r="AM106" s="51"/>
      <c r="AN106" s="51"/>
      <c r="AO106" s="217">
        <f t="shared" si="22"/>
        <v>0</v>
      </c>
      <c r="AP106" s="217">
        <f t="shared" si="24"/>
        <v>0</v>
      </c>
      <c r="AQ106" s="51">
        <f t="shared" si="21"/>
        <v>0</v>
      </c>
      <c r="AR106" s="51">
        <f t="shared" si="25"/>
        <v>0</v>
      </c>
      <c r="AS106" s="51"/>
      <c r="AT106" s="51"/>
      <c r="AU106" s="51"/>
      <c r="AV106" s="51"/>
      <c r="AW106" s="51">
        <f t="shared" si="32"/>
        <v>0</v>
      </c>
      <c r="AX106" s="209"/>
      <c r="AY106" s="51"/>
      <c r="AZ106" s="51"/>
      <c r="BA106" s="51"/>
      <c r="BB106" s="51"/>
      <c r="BC106" s="51">
        <f t="shared" si="26"/>
        <v>0</v>
      </c>
      <c r="BD106" s="209"/>
      <c r="BE106" s="51"/>
      <c r="BF106" s="51"/>
      <c r="BG106" s="51"/>
      <c r="BH106" s="51"/>
      <c r="BI106" s="51">
        <f t="shared" si="27"/>
        <v>0</v>
      </c>
      <c r="BJ106" s="209"/>
    </row>
    <row r="107" spans="1:62">
      <c r="A107" s="209">
        <v>45794</v>
      </c>
      <c r="B107" s="51"/>
      <c r="C107" s="51"/>
      <c r="D107" s="208"/>
      <c r="E107" s="51"/>
      <c r="F107" s="51"/>
      <c r="G107" s="215"/>
      <c r="H107" s="51"/>
      <c r="I107" s="51"/>
      <c r="J107" s="51"/>
      <c r="K107" s="51"/>
      <c r="L107" s="217">
        <f t="shared" si="23"/>
        <v>55950</v>
      </c>
      <c r="M107" s="51"/>
      <c r="N107" s="51"/>
      <c r="O107" s="217">
        <f t="shared" si="28"/>
        <v>0</v>
      </c>
      <c r="P107" s="217">
        <f t="shared" si="29"/>
        <v>0</v>
      </c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217">
        <f t="shared" si="30"/>
        <v>0</v>
      </c>
      <c r="AL107" s="217">
        <f t="shared" si="31"/>
        <v>278700</v>
      </c>
      <c r="AM107" s="51"/>
      <c r="AN107" s="51"/>
      <c r="AO107" s="217">
        <f t="shared" si="22"/>
        <v>0</v>
      </c>
      <c r="AP107" s="217">
        <f t="shared" si="24"/>
        <v>0</v>
      </c>
      <c r="AQ107" s="51">
        <f t="shared" si="21"/>
        <v>0</v>
      </c>
      <c r="AR107" s="51">
        <f t="shared" si="25"/>
        <v>0</v>
      </c>
      <c r="AS107" s="51"/>
      <c r="AT107" s="51"/>
      <c r="AU107" s="51"/>
      <c r="AV107" s="51"/>
      <c r="AW107" s="51">
        <f t="shared" si="32"/>
        <v>0</v>
      </c>
      <c r="AX107" s="209"/>
      <c r="AY107" s="51"/>
      <c r="AZ107" s="51"/>
      <c r="BA107" s="51"/>
      <c r="BB107" s="51"/>
      <c r="BC107" s="51">
        <f t="shared" si="26"/>
        <v>0</v>
      </c>
      <c r="BD107" s="209"/>
      <c r="BE107" s="51"/>
      <c r="BF107" s="51"/>
      <c r="BG107" s="51"/>
      <c r="BH107" s="51"/>
      <c r="BI107" s="51">
        <f t="shared" si="27"/>
        <v>0</v>
      </c>
      <c r="BJ107" s="209"/>
    </row>
    <row r="108" spans="1:62">
      <c r="A108" s="209">
        <v>45795</v>
      </c>
      <c r="B108" s="51"/>
      <c r="C108" s="51"/>
      <c r="D108" s="208"/>
      <c r="E108" s="51"/>
      <c r="F108" s="51"/>
      <c r="G108" s="215"/>
      <c r="H108" s="51"/>
      <c r="I108" s="51"/>
      <c r="J108" s="51"/>
      <c r="K108" s="51"/>
      <c r="L108" s="217">
        <f t="shared" si="23"/>
        <v>55950</v>
      </c>
      <c r="M108" s="51"/>
      <c r="N108" s="51"/>
      <c r="O108" s="217">
        <f t="shared" si="28"/>
        <v>0</v>
      </c>
      <c r="P108" s="217">
        <f t="shared" si="29"/>
        <v>0</v>
      </c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217">
        <f t="shared" si="30"/>
        <v>0</v>
      </c>
      <c r="AL108" s="217">
        <f t="shared" si="31"/>
        <v>278700</v>
      </c>
      <c r="AM108" s="51"/>
      <c r="AN108" s="51"/>
      <c r="AO108" s="217">
        <f t="shared" si="22"/>
        <v>0</v>
      </c>
      <c r="AP108" s="217">
        <f t="shared" si="24"/>
        <v>0</v>
      </c>
      <c r="AQ108" s="51">
        <f t="shared" si="21"/>
        <v>0</v>
      </c>
      <c r="AR108" s="51">
        <f t="shared" si="25"/>
        <v>0</v>
      </c>
      <c r="AS108" s="51"/>
      <c r="AT108" s="51"/>
      <c r="AU108" s="51"/>
      <c r="AV108" s="51"/>
      <c r="AW108" s="51">
        <f t="shared" si="32"/>
        <v>0</v>
      </c>
      <c r="AX108" s="209"/>
      <c r="AY108" s="51"/>
      <c r="AZ108" s="51"/>
      <c r="BA108" s="51"/>
      <c r="BB108" s="51"/>
      <c r="BC108" s="51">
        <f t="shared" si="26"/>
        <v>0</v>
      </c>
      <c r="BD108" s="209"/>
      <c r="BE108" s="51"/>
      <c r="BF108" s="51"/>
      <c r="BG108" s="51"/>
      <c r="BH108" s="51"/>
      <c r="BI108" s="51">
        <f t="shared" si="27"/>
        <v>0</v>
      </c>
      <c r="BJ108" s="209"/>
    </row>
    <row r="109" spans="1:62">
      <c r="A109" s="209">
        <v>45796</v>
      </c>
      <c r="B109" s="51"/>
      <c r="C109" s="51"/>
      <c r="D109" s="208"/>
      <c r="E109" s="51"/>
      <c r="F109" s="51"/>
      <c r="G109" s="215"/>
      <c r="H109" s="51"/>
      <c r="I109" s="51"/>
      <c r="J109" s="51"/>
      <c r="K109" s="51"/>
      <c r="L109" s="217">
        <f t="shared" si="23"/>
        <v>55950</v>
      </c>
      <c r="M109" s="51"/>
      <c r="N109" s="51"/>
      <c r="O109" s="217">
        <f t="shared" si="28"/>
        <v>0</v>
      </c>
      <c r="P109" s="217">
        <f t="shared" si="29"/>
        <v>0</v>
      </c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217">
        <f t="shared" si="30"/>
        <v>0</v>
      </c>
      <c r="AL109" s="217">
        <f t="shared" si="31"/>
        <v>278700</v>
      </c>
      <c r="AM109" s="51"/>
      <c r="AN109" s="51"/>
      <c r="AO109" s="217">
        <f t="shared" si="22"/>
        <v>0</v>
      </c>
      <c r="AP109" s="217">
        <f t="shared" si="24"/>
        <v>0</v>
      </c>
      <c r="AQ109" s="51">
        <f t="shared" si="21"/>
        <v>0</v>
      </c>
      <c r="AR109" s="51">
        <f t="shared" si="25"/>
        <v>0</v>
      </c>
      <c r="AS109" s="51"/>
      <c r="AT109" s="51"/>
      <c r="AU109" s="51"/>
      <c r="AV109" s="51"/>
      <c r="AW109" s="51">
        <f t="shared" si="32"/>
        <v>0</v>
      </c>
      <c r="AX109" s="209"/>
      <c r="AY109" s="51"/>
      <c r="AZ109" s="51"/>
      <c r="BA109" s="51"/>
      <c r="BB109" s="51"/>
      <c r="BC109" s="51">
        <f t="shared" si="26"/>
        <v>0</v>
      </c>
      <c r="BD109" s="209"/>
      <c r="BE109" s="51"/>
      <c r="BF109" s="51"/>
      <c r="BG109" s="51"/>
      <c r="BH109" s="51"/>
      <c r="BI109" s="51">
        <f t="shared" si="27"/>
        <v>0</v>
      </c>
      <c r="BJ109" s="209"/>
    </row>
    <row r="110" spans="1:62">
      <c r="A110" s="209">
        <v>45797</v>
      </c>
      <c r="B110" s="51"/>
      <c r="C110" s="51"/>
      <c r="D110" s="208"/>
      <c r="E110" s="51"/>
      <c r="F110" s="51"/>
      <c r="G110" s="215"/>
      <c r="H110" s="51"/>
      <c r="I110" s="51"/>
      <c r="J110" s="51"/>
      <c r="K110" s="51"/>
      <c r="L110" s="217">
        <f t="shared" si="23"/>
        <v>55950</v>
      </c>
      <c r="M110" s="51"/>
      <c r="N110" s="51"/>
      <c r="O110" s="217">
        <f t="shared" si="28"/>
        <v>0</v>
      </c>
      <c r="P110" s="217">
        <f t="shared" si="29"/>
        <v>0</v>
      </c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217">
        <f t="shared" si="30"/>
        <v>0</v>
      </c>
      <c r="AL110" s="217">
        <f t="shared" si="31"/>
        <v>278700</v>
      </c>
      <c r="AM110" s="51"/>
      <c r="AN110" s="51"/>
      <c r="AO110" s="217">
        <f t="shared" si="22"/>
        <v>0</v>
      </c>
      <c r="AP110" s="217">
        <f t="shared" si="24"/>
        <v>0</v>
      </c>
      <c r="AQ110" s="51">
        <f t="shared" si="21"/>
        <v>0</v>
      </c>
      <c r="AR110" s="51">
        <f t="shared" si="25"/>
        <v>0</v>
      </c>
      <c r="AS110" s="51"/>
      <c r="AT110" s="51"/>
      <c r="AU110" s="51"/>
      <c r="AV110" s="51"/>
      <c r="AW110" s="51">
        <f>AS110+AU110</f>
        <v>0</v>
      </c>
      <c r="AX110" s="209"/>
      <c r="AY110" s="51"/>
      <c r="AZ110" s="51"/>
      <c r="BA110" s="51"/>
      <c r="BB110" s="51"/>
      <c r="BC110" s="51">
        <f>AY110+BA110</f>
        <v>0</v>
      </c>
      <c r="BD110" s="209"/>
      <c r="BE110" s="51"/>
      <c r="BF110" s="51"/>
      <c r="BG110" s="51"/>
      <c r="BH110" s="51"/>
      <c r="BI110" s="51">
        <f>BE110+BG110</f>
        <v>0</v>
      </c>
      <c r="BJ110" s="209"/>
    </row>
    <row r="111" spans="1:62">
      <c r="A111" s="209">
        <v>45798</v>
      </c>
      <c r="B111" s="51"/>
      <c r="C111" s="51"/>
      <c r="D111" s="208"/>
      <c r="E111" s="51"/>
      <c r="F111" s="51"/>
      <c r="G111" s="215"/>
      <c r="H111" s="51"/>
      <c r="I111" s="51"/>
      <c r="J111" s="51"/>
      <c r="K111" s="51"/>
      <c r="L111" s="217">
        <f t="shared" si="23"/>
        <v>55950</v>
      </c>
      <c r="M111" s="51"/>
      <c r="N111" s="51"/>
      <c r="O111" s="217">
        <f t="shared" si="28"/>
        <v>0</v>
      </c>
      <c r="P111" s="217">
        <f t="shared" si="29"/>
        <v>0</v>
      </c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217">
        <f t="shared" si="31"/>
        <v>278700</v>
      </c>
      <c r="AM111" s="51"/>
      <c r="AN111" s="51"/>
      <c r="AO111" s="217">
        <f t="shared" si="22"/>
        <v>0</v>
      </c>
      <c r="AP111" s="217">
        <f t="shared" si="24"/>
        <v>0</v>
      </c>
      <c r="AQ111" s="51">
        <f t="shared" si="21"/>
        <v>0</v>
      </c>
      <c r="AR111" s="51">
        <f t="shared" si="25"/>
        <v>0</v>
      </c>
      <c r="AS111" s="51"/>
      <c r="AT111" s="51"/>
      <c r="AU111" s="51"/>
      <c r="AV111" s="51"/>
      <c r="AW111" s="51">
        <f>AS111+AU111</f>
        <v>0</v>
      </c>
      <c r="AX111" s="209"/>
      <c r="AY111" s="51"/>
      <c r="AZ111" s="51"/>
      <c r="BA111" s="51"/>
      <c r="BB111" s="51"/>
      <c r="BC111" s="51">
        <f>AY111+BA111</f>
        <v>0</v>
      </c>
      <c r="BD111" s="209"/>
      <c r="BE111" s="51"/>
      <c r="BF111" s="51"/>
      <c r="BG111" s="51"/>
      <c r="BH111" s="51"/>
      <c r="BI111" s="51">
        <f>BE111+BG111</f>
        <v>0</v>
      </c>
      <c r="BJ111" s="209"/>
    </row>
    <row r="112" spans="1:62">
      <c r="A112" s="209">
        <v>45799</v>
      </c>
      <c r="B112" s="51"/>
      <c r="C112" s="51"/>
      <c r="D112" s="208"/>
      <c r="E112" s="51"/>
      <c r="F112" s="51"/>
      <c r="G112" s="215"/>
      <c r="H112" s="51"/>
      <c r="I112" s="51"/>
      <c r="J112" s="51"/>
      <c r="K112" s="51"/>
      <c r="L112" s="217">
        <f t="shared" si="23"/>
        <v>55950</v>
      </c>
      <c r="M112" s="51"/>
      <c r="N112" s="51"/>
      <c r="O112" s="217">
        <f t="shared" si="28"/>
        <v>0</v>
      </c>
      <c r="P112" s="217">
        <f t="shared" si="29"/>
        <v>0</v>
      </c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217">
        <f t="shared" si="31"/>
        <v>278700</v>
      </c>
      <c r="AM112" s="51"/>
      <c r="AN112" s="51"/>
      <c r="AO112" s="217">
        <f t="shared" si="22"/>
        <v>0</v>
      </c>
      <c r="AP112" s="217">
        <f t="shared" si="24"/>
        <v>0</v>
      </c>
      <c r="AQ112" s="51">
        <f t="shared" si="21"/>
        <v>0</v>
      </c>
      <c r="AR112" s="51">
        <f t="shared" si="25"/>
        <v>0</v>
      </c>
      <c r="AS112" s="51"/>
      <c r="AT112" s="51"/>
      <c r="AU112" s="51"/>
      <c r="AV112" s="51"/>
      <c r="AW112" s="51">
        <f>AS112+AU112</f>
        <v>0</v>
      </c>
      <c r="AX112" s="209"/>
      <c r="AY112" s="51"/>
      <c r="AZ112" s="51"/>
      <c r="BA112" s="51"/>
      <c r="BB112" s="51"/>
      <c r="BC112" s="51">
        <f>AY112+BA112</f>
        <v>0</v>
      </c>
      <c r="BD112" s="209"/>
      <c r="BE112" s="51"/>
      <c r="BF112" s="51"/>
      <c r="BG112" s="51"/>
      <c r="BH112" s="51"/>
      <c r="BI112" s="51">
        <f>BE112+BG112</f>
        <v>0</v>
      </c>
      <c r="BJ112" s="209"/>
    </row>
    <row r="113" spans="1:62">
      <c r="A113" s="209">
        <v>45800</v>
      </c>
      <c r="B113" s="51"/>
      <c r="C113" s="51"/>
      <c r="D113" s="208"/>
      <c r="E113" s="51"/>
      <c r="F113" s="51"/>
      <c r="G113" s="215"/>
      <c r="H113" s="51"/>
      <c r="I113" s="51"/>
      <c r="J113" s="51"/>
      <c r="K113" s="51"/>
      <c r="L113" s="217">
        <f t="shared" si="23"/>
        <v>55950</v>
      </c>
      <c r="M113" s="51"/>
      <c r="N113" s="51"/>
      <c r="O113" s="217">
        <f t="shared" si="28"/>
        <v>0</v>
      </c>
      <c r="P113" s="217">
        <f t="shared" si="29"/>
        <v>0</v>
      </c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217">
        <f t="shared" si="31"/>
        <v>278700</v>
      </c>
      <c r="AM113" s="51"/>
      <c r="AN113" s="51"/>
      <c r="AO113" s="217">
        <f t="shared" si="22"/>
        <v>0</v>
      </c>
      <c r="AP113" s="217">
        <f t="shared" si="24"/>
        <v>0</v>
      </c>
      <c r="AQ113" s="51">
        <f t="shared" si="21"/>
        <v>0</v>
      </c>
      <c r="AR113" s="51">
        <f t="shared" si="25"/>
        <v>0</v>
      </c>
      <c r="AS113" s="51"/>
      <c r="AT113" s="51"/>
      <c r="AU113" s="51"/>
      <c r="AV113" s="51"/>
      <c r="AW113" s="51">
        <f>AS113+AU113</f>
        <v>0</v>
      </c>
      <c r="AX113" s="209"/>
      <c r="AY113" s="51"/>
      <c r="AZ113" s="51"/>
      <c r="BA113" s="51"/>
      <c r="BB113" s="51"/>
      <c r="BC113" s="51">
        <f>AY113+BA113</f>
        <v>0</v>
      </c>
      <c r="BD113" s="209"/>
      <c r="BE113" s="51"/>
      <c r="BF113" s="51"/>
      <c r="BG113" s="51"/>
      <c r="BH113" s="51"/>
      <c r="BI113" s="51">
        <f>BE113+BG113</f>
        <v>0</v>
      </c>
      <c r="BJ113" s="209"/>
    </row>
    <row r="114" spans="1:62" ht="23">
      <c r="A114" s="210" t="s">
        <v>739</v>
      </c>
      <c r="B114" s="211">
        <f t="shared" ref="B114:H114" si="33">SUM(B11:B89)</f>
        <v>35000</v>
      </c>
      <c r="C114" s="211">
        <f t="shared" si="33"/>
        <v>35000</v>
      </c>
      <c r="D114" s="211">
        <f t="shared" si="33"/>
        <v>0</v>
      </c>
      <c r="E114" s="211">
        <f t="shared" si="33"/>
        <v>50000</v>
      </c>
      <c r="F114" s="211">
        <f t="shared" si="33"/>
        <v>45000</v>
      </c>
      <c r="G114" s="211">
        <f t="shared" si="33"/>
        <v>489510.48951048957</v>
      </c>
      <c r="H114" s="211">
        <f t="shared" si="33"/>
        <v>0</v>
      </c>
      <c r="I114" s="211">
        <f t="shared" ref="I114:N114" si="34">SUM(I11:I113)</f>
        <v>28200</v>
      </c>
      <c r="J114" s="211">
        <f t="shared" si="34"/>
        <v>27750</v>
      </c>
      <c r="K114" s="211">
        <f>SUM(K11:K113)</f>
        <v>55950</v>
      </c>
      <c r="L114" s="211"/>
      <c r="M114" s="211">
        <f t="shared" si="34"/>
        <v>28850</v>
      </c>
      <c r="N114" s="211">
        <f t="shared" si="34"/>
        <v>28400</v>
      </c>
      <c r="O114" s="211">
        <f>SUM(O11:O113)</f>
        <v>57250</v>
      </c>
      <c r="P114" s="211"/>
      <c r="Q114" s="211">
        <f t="shared" ref="Q114:AO114" si="35">SUM(Q11:Q113)</f>
        <v>15800</v>
      </c>
      <c r="R114" s="211">
        <f t="shared" si="35"/>
        <v>16300</v>
      </c>
      <c r="S114" s="211">
        <f t="shared" si="35"/>
        <v>14600</v>
      </c>
      <c r="T114" s="211">
        <f t="shared" si="35"/>
        <v>14600</v>
      </c>
      <c r="U114" s="211">
        <f t="shared" si="35"/>
        <v>14600</v>
      </c>
      <c r="V114" s="211">
        <f t="shared" si="35"/>
        <v>14600</v>
      </c>
      <c r="W114" s="211">
        <f t="shared" si="35"/>
        <v>14300</v>
      </c>
      <c r="X114" s="211">
        <f t="shared" si="35"/>
        <v>14300</v>
      </c>
      <c r="Y114" s="211">
        <f t="shared" si="35"/>
        <v>14300</v>
      </c>
      <c r="Z114" s="211">
        <f t="shared" si="35"/>
        <v>14300</v>
      </c>
      <c r="AA114" s="211">
        <f t="shared" si="35"/>
        <v>14300</v>
      </c>
      <c r="AB114" s="211">
        <f t="shared" si="35"/>
        <v>14300</v>
      </c>
      <c r="AC114" s="211">
        <f t="shared" si="35"/>
        <v>12800</v>
      </c>
      <c r="AD114" s="211">
        <f t="shared" si="35"/>
        <v>12800</v>
      </c>
      <c r="AE114" s="211">
        <f t="shared" si="35"/>
        <v>12800</v>
      </c>
      <c r="AF114" s="211">
        <f t="shared" si="35"/>
        <v>12800</v>
      </c>
      <c r="AG114" s="211">
        <f t="shared" si="35"/>
        <v>12800</v>
      </c>
      <c r="AH114" s="211">
        <f t="shared" si="35"/>
        <v>12800</v>
      </c>
      <c r="AI114" s="211">
        <f t="shared" si="35"/>
        <v>12800</v>
      </c>
      <c r="AJ114" s="211">
        <f t="shared" si="35"/>
        <v>12800</v>
      </c>
      <c r="AK114" s="211">
        <f>SUM(AK11:AK113)</f>
        <v>278700</v>
      </c>
      <c r="AL114" s="211"/>
      <c r="AM114" s="211">
        <f t="shared" si="35"/>
        <v>23950</v>
      </c>
      <c r="AN114" s="211">
        <f t="shared" si="35"/>
        <v>23500</v>
      </c>
      <c r="AO114" s="211">
        <f t="shared" si="35"/>
        <v>47450</v>
      </c>
      <c r="AP114" s="211"/>
      <c r="AQ114" s="211"/>
      <c r="AR114" s="211"/>
      <c r="AS114" s="211">
        <f>SUM(AS11:AS113)</f>
        <v>175000</v>
      </c>
      <c r="AT114" s="211"/>
      <c r="AU114" s="211">
        <f>SUM(AU11:AU113)</f>
        <v>159650</v>
      </c>
      <c r="AV114" s="211"/>
      <c r="AW114" s="211">
        <f>SUM(AW11:AW113)</f>
        <v>334650</v>
      </c>
      <c r="AX114" s="51"/>
      <c r="AY114" s="211">
        <f>SUM(AY11:AY113)</f>
        <v>27450</v>
      </c>
      <c r="AZ114" s="211"/>
      <c r="BA114" s="211">
        <f>SUM(BA11:BA113)</f>
        <v>20000</v>
      </c>
      <c r="BB114" s="211"/>
      <c r="BC114" s="211">
        <f>SUM(BC11:BC113)</f>
        <v>47450</v>
      </c>
      <c r="BD114" s="51"/>
      <c r="BE114" s="211">
        <f>SUM(BE11:BE113)</f>
        <v>30000</v>
      </c>
      <c r="BF114" s="211"/>
      <c r="BG114" s="211">
        <f>SUM(BG11:BG113)</f>
        <v>27250</v>
      </c>
      <c r="BH114" s="211"/>
      <c r="BI114" s="211">
        <f>SUM(BI11:BI113)</f>
        <v>57250</v>
      </c>
      <c r="BJ114" s="51"/>
    </row>
  </sheetData>
  <dataConsolidate link="1"/>
  <mergeCells count="9">
    <mergeCell ref="A6:P6"/>
    <mergeCell ref="A7:F7"/>
    <mergeCell ref="I7:AO7"/>
    <mergeCell ref="BE7:BI7"/>
    <mergeCell ref="AQ9:AR9"/>
    <mergeCell ref="AY7:BC7"/>
    <mergeCell ref="AS7:AW7"/>
    <mergeCell ref="E8:F8"/>
    <mergeCell ref="B8:C8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K114"/>
  <sheetViews>
    <sheetView workbookViewId="0">
      <pane xSplit="1" ySplit="9" topLeftCell="Y33" activePane="bottomRight" state="frozen"/>
      <selection pane="topRight" activeCell="B1" sqref="B1"/>
      <selection pane="bottomLeft" activeCell="A6" sqref="A6"/>
      <selection pane="bottomRight" activeCell="E66" sqref="E66"/>
    </sheetView>
  </sheetViews>
  <sheetFormatPr defaultRowHeight="14" outlineLevelCol="1"/>
  <cols>
    <col min="1" max="1" width="13.4140625" customWidth="1" outlineLevel="1"/>
    <col min="2" max="5" width="8.58203125" customWidth="1" outlineLevel="1"/>
    <col min="6" max="6" width="12.1640625" customWidth="1" outlineLevel="1"/>
    <col min="7" max="7" width="10.4140625" customWidth="1" outlineLevel="1"/>
    <col min="8" max="8" width="8.58203125" customWidth="1" outlineLevel="1"/>
    <col min="12" max="12" width="12.1640625" customWidth="1"/>
    <col min="15" max="15" width="10.4140625" customWidth="1"/>
    <col min="16" max="16" width="12" customWidth="1"/>
    <col min="17" max="36" width="9.1640625" customWidth="1" outlineLevel="1"/>
    <col min="37" max="37" width="14.4140625" customWidth="1" outlineLevel="1"/>
    <col min="38" max="38" width="13.58203125" customWidth="1" outlineLevel="1"/>
    <col min="39" max="40" width="9.1640625" customWidth="1" outlineLevel="1"/>
    <col min="41" max="41" width="14.4140625" customWidth="1" outlineLevel="1"/>
    <col min="42" max="42" width="13.1640625" customWidth="1"/>
    <col min="43" max="44" width="13.1640625" customWidth="1" outlineLevel="1"/>
    <col min="45" max="45" width="11.58203125" customWidth="1" outlineLevel="1"/>
    <col min="46" max="46" width="9.1640625" customWidth="1" outlineLevel="1"/>
    <col min="47" max="47" width="11.4140625" customWidth="1" outlineLevel="1"/>
    <col min="48" max="48" width="11.58203125" customWidth="1" outlineLevel="1"/>
    <col min="49" max="49" width="11.4140625" customWidth="1" outlineLevel="1"/>
    <col min="50" max="50" width="9.1640625" customWidth="1" outlineLevel="1"/>
    <col min="51" max="51" width="11.58203125" customWidth="1" outlineLevel="1" collapsed="1"/>
    <col min="52" max="52" width="9.1640625" customWidth="1" outlineLevel="1"/>
    <col min="53" max="53" width="11.4140625" customWidth="1" outlineLevel="1"/>
    <col min="54" max="54" width="11.58203125" customWidth="1" outlineLevel="1"/>
    <col min="55" max="55" width="11.4140625" customWidth="1" outlineLevel="1"/>
    <col min="56" max="56" width="9.1640625" customWidth="1" outlineLevel="1"/>
    <col min="59" max="60" width="11.83203125" bestFit="1" customWidth="1"/>
    <col min="61" max="61" width="10.58203125" customWidth="1"/>
  </cols>
  <sheetData>
    <row r="1" spans="1:63">
      <c r="A1" s="206" t="s">
        <v>22</v>
      </c>
      <c r="B1" s="206" t="s">
        <v>739</v>
      </c>
    </row>
    <row r="2" spans="1:63">
      <c r="A2" s="205" t="s">
        <v>740</v>
      </c>
      <c r="B2" s="205">
        <v>333371</v>
      </c>
    </row>
    <row r="3" spans="1:63">
      <c r="A3" s="205" t="s">
        <v>741</v>
      </c>
      <c r="B3" s="205">
        <v>46922</v>
      </c>
    </row>
    <row r="4" spans="1:63">
      <c r="A4" s="205" t="s">
        <v>742</v>
      </c>
      <c r="B4" s="205">
        <v>56667</v>
      </c>
    </row>
    <row r="5" spans="1:63">
      <c r="A5" s="205" t="s">
        <v>739</v>
      </c>
      <c r="B5" s="205">
        <f>SUM(B2:B4)</f>
        <v>436960</v>
      </c>
    </row>
    <row r="6" spans="1:63" ht="23">
      <c r="A6" s="407" t="s">
        <v>694</v>
      </c>
      <c r="B6" s="408"/>
      <c r="C6" s="408"/>
      <c r="D6" s="408"/>
      <c r="E6" s="408"/>
      <c r="F6" s="408"/>
      <c r="G6" s="408"/>
      <c r="H6" s="408"/>
      <c r="I6" s="408"/>
      <c r="J6" s="408"/>
      <c r="K6" s="408"/>
      <c r="L6" s="408"/>
      <c r="M6" s="408"/>
      <c r="N6" s="408"/>
      <c r="O6" s="408"/>
      <c r="P6" s="409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30"/>
      <c r="AM6" s="210"/>
      <c r="AN6" s="210"/>
      <c r="AO6" s="210"/>
      <c r="AP6" s="230"/>
      <c r="AQ6" s="230"/>
      <c r="AR6" s="230"/>
      <c r="AS6" s="75">
        <f>+SUBTOTAL(9,AS11:AS113)</f>
        <v>175000</v>
      </c>
      <c r="AT6" s="75">
        <f t="shared" ref="AT6:BI6" si="0">+SUBTOTAL(9,AT11:AT113)</f>
        <v>366055</v>
      </c>
      <c r="AU6" s="75">
        <f t="shared" si="0"/>
        <v>159650</v>
      </c>
      <c r="AV6" s="75">
        <f t="shared" si="0"/>
        <v>320355</v>
      </c>
      <c r="AW6" s="75">
        <f t="shared" si="0"/>
        <v>334650</v>
      </c>
      <c r="AX6" s="75"/>
      <c r="AY6" s="75">
        <f t="shared" si="0"/>
        <v>20000</v>
      </c>
      <c r="AZ6" s="75">
        <f t="shared" si="0"/>
        <v>91500</v>
      </c>
      <c r="BA6" s="75">
        <f t="shared" si="0"/>
        <v>0</v>
      </c>
      <c r="BB6" s="75">
        <f t="shared" si="0"/>
        <v>0</v>
      </c>
      <c r="BC6" s="75">
        <f t="shared" si="0"/>
        <v>20000</v>
      </c>
      <c r="BD6" s="75"/>
      <c r="BE6" s="75">
        <f t="shared" si="0"/>
        <v>0</v>
      </c>
      <c r="BF6" s="75">
        <f t="shared" si="0"/>
        <v>0</v>
      </c>
      <c r="BG6" s="75">
        <f t="shared" si="0"/>
        <v>0</v>
      </c>
      <c r="BH6" s="75">
        <f t="shared" si="0"/>
        <v>0</v>
      </c>
      <c r="BI6" s="75">
        <f t="shared" si="0"/>
        <v>0</v>
      </c>
      <c r="BJ6" s="75"/>
    </row>
    <row r="7" spans="1:63" ht="20">
      <c r="A7" s="410" t="s">
        <v>695</v>
      </c>
      <c r="B7" s="411"/>
      <c r="C7" s="411"/>
      <c r="D7" s="411"/>
      <c r="E7" s="411"/>
      <c r="F7" s="412"/>
      <c r="G7" s="211"/>
      <c r="H7" s="211"/>
      <c r="I7" s="413" t="s">
        <v>743</v>
      </c>
      <c r="J7" s="414"/>
      <c r="K7" s="414"/>
      <c r="L7" s="414"/>
      <c r="M7" s="414"/>
      <c r="N7" s="414"/>
      <c r="O7" s="414"/>
      <c r="P7" s="414"/>
      <c r="Q7" s="414"/>
      <c r="R7" s="414"/>
      <c r="S7" s="414"/>
      <c r="T7" s="414"/>
      <c r="U7" s="414"/>
      <c r="V7" s="414"/>
      <c r="W7" s="414"/>
      <c r="X7" s="414"/>
      <c r="Y7" s="414"/>
      <c r="Z7" s="414"/>
      <c r="AA7" s="414"/>
      <c r="AB7" s="414"/>
      <c r="AC7" s="414"/>
      <c r="AD7" s="414"/>
      <c r="AE7" s="414"/>
      <c r="AF7" s="414"/>
      <c r="AG7" s="414"/>
      <c r="AH7" s="414"/>
      <c r="AI7" s="414"/>
      <c r="AJ7" s="414"/>
      <c r="AK7" s="414"/>
      <c r="AL7" s="414"/>
      <c r="AM7" s="414"/>
      <c r="AN7" s="414"/>
      <c r="AO7" s="415"/>
      <c r="AP7" s="229"/>
      <c r="AQ7" s="229"/>
      <c r="AR7" s="229"/>
      <c r="AS7" s="400" t="s">
        <v>696</v>
      </c>
      <c r="AT7" s="400"/>
      <c r="AU7" s="400"/>
      <c r="AV7" s="400"/>
      <c r="AW7" s="400"/>
      <c r="AX7" s="51"/>
      <c r="AY7" s="400" t="s">
        <v>696</v>
      </c>
      <c r="AZ7" s="400"/>
      <c r="BA7" s="400"/>
      <c r="BB7" s="400"/>
      <c r="BC7" s="400"/>
      <c r="BD7" s="51"/>
      <c r="BE7" s="400" t="s">
        <v>696</v>
      </c>
      <c r="BF7" s="400"/>
      <c r="BG7" s="400"/>
      <c r="BH7" s="400"/>
      <c r="BI7" s="400"/>
      <c r="BJ7" s="51"/>
    </row>
    <row r="8" spans="1:63" ht="42">
      <c r="A8" s="212" t="s">
        <v>697</v>
      </c>
      <c r="B8" s="401" t="s">
        <v>698</v>
      </c>
      <c r="C8" s="402"/>
      <c r="D8" s="232"/>
      <c r="E8" s="401" t="s">
        <v>84</v>
      </c>
      <c r="F8" s="402"/>
      <c r="G8" s="212" t="s">
        <v>699</v>
      </c>
      <c r="H8" s="203" t="s">
        <v>700</v>
      </c>
      <c r="I8" s="212" t="s">
        <v>701</v>
      </c>
      <c r="J8" s="212" t="s">
        <v>702</v>
      </c>
      <c r="K8" s="212" t="s">
        <v>726</v>
      </c>
      <c r="L8" s="212" t="s">
        <v>727</v>
      </c>
      <c r="M8" s="212" t="s">
        <v>703</v>
      </c>
      <c r="N8" s="212" t="s">
        <v>704</v>
      </c>
      <c r="O8" s="212" t="s">
        <v>726</v>
      </c>
      <c r="P8" s="212" t="s">
        <v>727</v>
      </c>
      <c r="Q8" s="212" t="s">
        <v>701</v>
      </c>
      <c r="R8" s="212" t="s">
        <v>702</v>
      </c>
      <c r="S8" s="212" t="s">
        <v>703</v>
      </c>
      <c r="T8" s="212" t="s">
        <v>704</v>
      </c>
      <c r="U8" s="212" t="s">
        <v>705</v>
      </c>
      <c r="V8" s="212" t="s">
        <v>706</v>
      </c>
      <c r="W8" s="212" t="s">
        <v>707</v>
      </c>
      <c r="X8" s="212" t="s">
        <v>708</v>
      </c>
      <c r="Y8" s="212" t="s">
        <v>709</v>
      </c>
      <c r="Z8" s="212" t="s">
        <v>710</v>
      </c>
      <c r="AA8" s="212" t="s">
        <v>711</v>
      </c>
      <c r="AB8" s="212" t="s">
        <v>712</v>
      </c>
      <c r="AC8" s="212" t="s">
        <v>713</v>
      </c>
      <c r="AD8" s="212" t="s">
        <v>714</v>
      </c>
      <c r="AE8" s="212" t="s">
        <v>715</v>
      </c>
      <c r="AF8" s="212" t="s">
        <v>716</v>
      </c>
      <c r="AG8" s="212" t="s">
        <v>717</v>
      </c>
      <c r="AH8" s="212" t="s">
        <v>718</v>
      </c>
      <c r="AI8" s="212" t="s">
        <v>719</v>
      </c>
      <c r="AJ8" s="212" t="s">
        <v>720</v>
      </c>
      <c r="AK8" s="212" t="s">
        <v>726</v>
      </c>
      <c r="AL8" s="212" t="s">
        <v>727</v>
      </c>
      <c r="AM8" s="212" t="s">
        <v>717</v>
      </c>
      <c r="AN8" s="212" t="s">
        <v>718</v>
      </c>
      <c r="AO8" s="212" t="s">
        <v>726</v>
      </c>
      <c r="AP8" s="212" t="s">
        <v>727</v>
      </c>
      <c r="AQ8" s="212" t="s">
        <v>726</v>
      </c>
      <c r="AR8" s="235" t="s">
        <v>744</v>
      </c>
      <c r="AS8" s="212" t="s">
        <v>397</v>
      </c>
      <c r="AT8" s="212" t="s">
        <v>397</v>
      </c>
      <c r="AU8" s="212" t="s">
        <v>401</v>
      </c>
      <c r="AV8" s="212" t="s">
        <v>401</v>
      </c>
      <c r="AW8" s="212" t="s">
        <v>745</v>
      </c>
      <c r="AX8" s="203" t="s">
        <v>746</v>
      </c>
      <c r="AY8" s="212" t="s">
        <v>397</v>
      </c>
      <c r="AZ8" s="212" t="s">
        <v>397</v>
      </c>
      <c r="BA8" s="212" t="s">
        <v>401</v>
      </c>
      <c r="BB8" s="212" t="s">
        <v>401</v>
      </c>
      <c r="BC8" s="212" t="s">
        <v>745</v>
      </c>
      <c r="BD8" s="203" t="s">
        <v>746</v>
      </c>
      <c r="BE8" s="212" t="s">
        <v>397</v>
      </c>
      <c r="BF8" s="212" t="s">
        <v>397</v>
      </c>
      <c r="BG8" s="212" t="s">
        <v>401</v>
      </c>
      <c r="BH8" s="212" t="s">
        <v>401</v>
      </c>
      <c r="BI8" s="212" t="s">
        <v>745</v>
      </c>
      <c r="BJ8" s="203" t="s">
        <v>746</v>
      </c>
      <c r="BK8" s="236" t="s">
        <v>750</v>
      </c>
    </row>
    <row r="9" spans="1:63" hidden="1">
      <c r="A9" s="205" t="s">
        <v>28</v>
      </c>
      <c r="B9" s="206" t="s">
        <v>730</v>
      </c>
      <c r="C9" s="206" t="s">
        <v>731</v>
      </c>
      <c r="D9" s="233"/>
      <c r="E9" s="206" t="s">
        <v>730</v>
      </c>
      <c r="F9" s="206" t="s">
        <v>732</v>
      </c>
      <c r="G9" s="206"/>
      <c r="H9" s="51"/>
      <c r="I9" s="206" t="s">
        <v>733</v>
      </c>
      <c r="J9" s="206" t="s">
        <v>733</v>
      </c>
      <c r="K9" s="206"/>
      <c r="L9" s="206"/>
      <c r="M9" s="206" t="s">
        <v>733</v>
      </c>
      <c r="N9" s="206" t="s">
        <v>733</v>
      </c>
      <c r="O9" s="61"/>
      <c r="P9" s="61"/>
      <c r="Q9" s="207" t="s">
        <v>263</v>
      </c>
      <c r="R9" s="207" t="s">
        <v>263</v>
      </c>
      <c r="S9" s="207" t="s">
        <v>263</v>
      </c>
      <c r="T9" s="207" t="s">
        <v>263</v>
      </c>
      <c r="U9" s="207" t="s">
        <v>263</v>
      </c>
      <c r="V9" s="207" t="s">
        <v>263</v>
      </c>
      <c r="W9" s="207" t="s">
        <v>263</v>
      </c>
      <c r="X9" s="207" t="s">
        <v>263</v>
      </c>
      <c r="Y9" s="207" t="s">
        <v>263</v>
      </c>
      <c r="Z9" s="207" t="s">
        <v>263</v>
      </c>
      <c r="AA9" s="207" t="s">
        <v>263</v>
      </c>
      <c r="AB9" s="207" t="s">
        <v>263</v>
      </c>
      <c r="AC9" s="207" t="s">
        <v>263</v>
      </c>
      <c r="AD9" s="207" t="s">
        <v>263</v>
      </c>
      <c r="AE9" s="207" t="s">
        <v>263</v>
      </c>
      <c r="AF9" s="207" t="s">
        <v>263</v>
      </c>
      <c r="AG9" s="207" t="s">
        <v>263</v>
      </c>
      <c r="AH9" s="207" t="s">
        <v>263</v>
      </c>
      <c r="AI9" s="207" t="s">
        <v>263</v>
      </c>
      <c r="AJ9" s="207" t="s">
        <v>263</v>
      </c>
      <c r="AK9" s="61"/>
      <c r="AL9" s="61"/>
      <c r="AM9" s="206" t="s">
        <v>747</v>
      </c>
      <c r="AN9" s="206" t="s">
        <v>747</v>
      </c>
      <c r="AO9" s="61"/>
      <c r="AP9" s="61"/>
      <c r="AQ9" s="413" t="s">
        <v>748</v>
      </c>
      <c r="AR9" s="415"/>
      <c r="AS9" s="206" t="s">
        <v>736</v>
      </c>
      <c r="AT9" s="206" t="s">
        <v>736</v>
      </c>
      <c r="AU9" s="206" t="s">
        <v>736</v>
      </c>
      <c r="AV9" s="206" t="s">
        <v>736</v>
      </c>
      <c r="AW9" s="205"/>
      <c r="AX9" s="206"/>
      <c r="AY9" s="206" t="s">
        <v>734</v>
      </c>
      <c r="AZ9" s="206" t="s">
        <v>734</v>
      </c>
      <c r="BA9" s="206" t="s">
        <v>734</v>
      </c>
      <c r="BB9" s="206" t="s">
        <v>734</v>
      </c>
      <c r="BC9" s="61"/>
      <c r="BD9" s="51"/>
      <c r="BE9" s="206" t="s">
        <v>749</v>
      </c>
      <c r="BF9" s="206" t="s">
        <v>749</v>
      </c>
      <c r="BG9" s="206" t="s">
        <v>749</v>
      </c>
      <c r="BH9" s="206" t="s">
        <v>749</v>
      </c>
      <c r="BI9" s="61"/>
      <c r="BJ9" s="51"/>
    </row>
    <row r="10" spans="1:63" hidden="1">
      <c r="A10" s="206" t="s">
        <v>735</v>
      </c>
      <c r="B10" s="206"/>
      <c r="C10" s="206"/>
      <c r="D10" s="233"/>
      <c r="E10" s="206"/>
      <c r="F10" s="206"/>
      <c r="G10" s="206"/>
      <c r="H10" s="51"/>
      <c r="I10" s="206" t="s">
        <v>736</v>
      </c>
      <c r="J10" s="206" t="s">
        <v>736</v>
      </c>
      <c r="K10" s="206" t="s">
        <v>736</v>
      </c>
      <c r="L10" s="206" t="s">
        <v>736</v>
      </c>
      <c r="M10" s="206" t="s">
        <v>749</v>
      </c>
      <c r="N10" s="206" t="s">
        <v>749</v>
      </c>
      <c r="O10" s="206" t="s">
        <v>749</v>
      </c>
      <c r="P10" s="206" t="s">
        <v>749</v>
      </c>
      <c r="Q10" s="206" t="s">
        <v>736</v>
      </c>
      <c r="R10" s="206" t="s">
        <v>736</v>
      </c>
      <c r="S10" s="206" t="s">
        <v>736</v>
      </c>
      <c r="T10" s="206" t="s">
        <v>736</v>
      </c>
      <c r="U10" s="206" t="s">
        <v>736</v>
      </c>
      <c r="V10" s="206" t="s">
        <v>736</v>
      </c>
      <c r="W10" s="206" t="s">
        <v>736</v>
      </c>
      <c r="X10" s="206" t="s">
        <v>736</v>
      </c>
      <c r="Y10" s="206" t="s">
        <v>736</v>
      </c>
      <c r="Z10" s="206" t="s">
        <v>736</v>
      </c>
      <c r="AA10" s="206" t="s">
        <v>736</v>
      </c>
      <c r="AB10" s="206" t="s">
        <v>736</v>
      </c>
      <c r="AC10" s="206" t="s">
        <v>736</v>
      </c>
      <c r="AD10" s="206" t="s">
        <v>736</v>
      </c>
      <c r="AE10" s="206" t="s">
        <v>736</v>
      </c>
      <c r="AF10" s="206" t="s">
        <v>736</v>
      </c>
      <c r="AG10" s="206" t="s">
        <v>736</v>
      </c>
      <c r="AH10" s="206" t="s">
        <v>736</v>
      </c>
      <c r="AI10" s="206" t="s">
        <v>736</v>
      </c>
      <c r="AJ10" s="206" t="s">
        <v>736</v>
      </c>
      <c r="AK10" s="206" t="s">
        <v>736</v>
      </c>
      <c r="AL10" s="206" t="s">
        <v>736</v>
      </c>
      <c r="AM10" s="206" t="s">
        <v>734</v>
      </c>
      <c r="AN10" s="206" t="s">
        <v>734</v>
      </c>
      <c r="AO10" s="206" t="s">
        <v>734</v>
      </c>
      <c r="AP10" s="206" t="s">
        <v>734</v>
      </c>
      <c r="AQ10" s="206" t="s">
        <v>736</v>
      </c>
      <c r="AR10" s="206" t="s">
        <v>736</v>
      </c>
      <c r="AS10" s="234" t="s">
        <v>737</v>
      </c>
      <c r="AT10" s="234" t="s">
        <v>738</v>
      </c>
      <c r="AU10" s="234" t="s">
        <v>737</v>
      </c>
      <c r="AV10" s="234" t="s">
        <v>738</v>
      </c>
      <c r="AW10" s="205"/>
      <c r="AX10" s="206"/>
      <c r="AY10" s="234" t="s">
        <v>737</v>
      </c>
      <c r="AZ10" s="234" t="s">
        <v>738</v>
      </c>
      <c r="BA10" s="234" t="s">
        <v>737</v>
      </c>
      <c r="BB10" s="234" t="s">
        <v>738</v>
      </c>
      <c r="BC10" s="61"/>
      <c r="BD10" s="51"/>
      <c r="BE10" s="234" t="s">
        <v>737</v>
      </c>
      <c r="BF10" s="234" t="s">
        <v>738</v>
      </c>
      <c r="BG10" s="234" t="s">
        <v>737</v>
      </c>
      <c r="BH10" s="234" t="s">
        <v>738</v>
      </c>
      <c r="BI10" s="61"/>
      <c r="BJ10" s="51"/>
      <c r="BK10">
        <f>+WEEKNUM(AX10)</f>
        <v>0</v>
      </c>
    </row>
    <row r="11" spans="1:63" hidden="1">
      <c r="A11" s="209">
        <v>45698</v>
      </c>
      <c r="B11" s="51">
        <v>9000</v>
      </c>
      <c r="C11" s="51">
        <v>6000</v>
      </c>
      <c r="D11" s="233"/>
      <c r="E11" s="51"/>
      <c r="F11" s="51"/>
      <c r="G11" s="215">
        <f>(B11+C11)/0.143</f>
        <v>104895.1048951049</v>
      </c>
      <c r="H11" s="51"/>
      <c r="I11" s="51"/>
      <c r="J11" s="51"/>
      <c r="K11" s="51"/>
      <c r="L11" s="51"/>
      <c r="M11" s="51"/>
      <c r="N11" s="51"/>
      <c r="O11" s="51">
        <f t="shared" ref="O11:O24" si="1">SUM(AC11:AX11)</f>
        <v>0</v>
      </c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>
        <f>AK11+K11</f>
        <v>0</v>
      </c>
      <c r="AR11" s="51">
        <f>AL11+L11</f>
        <v>0</v>
      </c>
      <c r="AS11" s="217"/>
      <c r="AT11" s="217"/>
      <c r="AU11" s="217"/>
      <c r="AV11" s="217"/>
      <c r="AW11" s="51">
        <f t="shared" ref="AW11:AW32" si="2">SUM(AS11:AV11)</f>
        <v>0</v>
      </c>
      <c r="AX11" s="51"/>
      <c r="AY11" s="217"/>
      <c r="AZ11" s="217"/>
      <c r="BA11" s="217"/>
      <c r="BB11" s="217"/>
      <c r="BC11" s="51">
        <f t="shared" ref="BC11:BC32" si="3">SUM(AY11:BB11)</f>
        <v>0</v>
      </c>
      <c r="BD11" s="51"/>
      <c r="BE11" s="217"/>
      <c r="BF11" s="217"/>
      <c r="BG11" s="217"/>
      <c r="BH11" s="217"/>
      <c r="BI11" s="51">
        <f t="shared" ref="BI11:BI32" si="4">SUM(BE11:BH11)</f>
        <v>0</v>
      </c>
      <c r="BJ11" s="51"/>
    </row>
    <row r="12" spans="1:63" hidden="1">
      <c r="A12" s="209">
        <v>45699</v>
      </c>
      <c r="B12" s="51"/>
      <c r="C12" s="51"/>
      <c r="D12" s="233"/>
      <c r="E12" s="51"/>
      <c r="F12" s="51"/>
      <c r="G12" s="215">
        <f t="shared" ref="G12:G75" si="5">(B12+C12)/0.143</f>
        <v>0</v>
      </c>
      <c r="H12" s="51"/>
      <c r="I12" s="51"/>
      <c r="J12" s="51"/>
      <c r="K12" s="51"/>
      <c r="L12" s="51"/>
      <c r="M12" s="51"/>
      <c r="N12" s="51"/>
      <c r="O12" s="51">
        <f t="shared" si="1"/>
        <v>0</v>
      </c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>
        <f t="shared" ref="AQ12:AQ75" si="6">AK12+K12</f>
        <v>0</v>
      </c>
      <c r="AR12" s="51">
        <f>AR11+AQ12-AU12</f>
        <v>0</v>
      </c>
      <c r="AS12" s="217"/>
      <c r="AT12" s="217"/>
      <c r="AU12" s="217"/>
      <c r="AV12" s="217"/>
      <c r="AW12" s="51">
        <f t="shared" si="2"/>
        <v>0</v>
      </c>
      <c r="AX12" s="51"/>
      <c r="AY12" s="217"/>
      <c r="AZ12" s="217"/>
      <c r="BA12" s="217"/>
      <c r="BB12" s="217"/>
      <c r="BC12" s="51">
        <f t="shared" si="3"/>
        <v>0</v>
      </c>
      <c r="BD12" s="51"/>
      <c r="BE12" s="217"/>
      <c r="BF12" s="217"/>
      <c r="BG12" s="217"/>
      <c r="BH12" s="217"/>
      <c r="BI12" s="51">
        <f t="shared" si="4"/>
        <v>0</v>
      </c>
      <c r="BJ12" s="51"/>
    </row>
    <row r="13" spans="1:63" hidden="1">
      <c r="A13" s="209">
        <v>45700</v>
      </c>
      <c r="B13" s="51"/>
      <c r="C13" s="51"/>
      <c r="D13" s="233"/>
      <c r="E13" s="51">
        <v>9000</v>
      </c>
      <c r="F13" s="51">
        <v>9000</v>
      </c>
      <c r="G13" s="215">
        <f t="shared" si="5"/>
        <v>0</v>
      </c>
      <c r="H13" s="51"/>
      <c r="I13" s="51"/>
      <c r="J13" s="51"/>
      <c r="K13" s="51"/>
      <c r="L13" s="51"/>
      <c r="M13" s="51"/>
      <c r="N13" s="51"/>
      <c r="O13" s="51">
        <f t="shared" si="1"/>
        <v>0</v>
      </c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>
        <f t="shared" si="6"/>
        <v>0</v>
      </c>
      <c r="AR13" s="51">
        <f t="shared" ref="AR13:AR25" si="7">AR12+AQ13-AU13</f>
        <v>0</v>
      </c>
      <c r="AS13" s="217"/>
      <c r="AT13" s="217"/>
      <c r="AU13" s="217"/>
      <c r="AV13" s="217"/>
      <c r="AW13" s="51">
        <f t="shared" si="2"/>
        <v>0</v>
      </c>
      <c r="AX13" s="51"/>
      <c r="AY13" s="217"/>
      <c r="AZ13" s="217"/>
      <c r="BA13" s="217"/>
      <c r="BB13" s="217"/>
      <c r="BC13" s="51">
        <f t="shared" si="3"/>
        <v>0</v>
      </c>
      <c r="BD13" s="51"/>
      <c r="BE13" s="217"/>
      <c r="BF13" s="217"/>
      <c r="BG13" s="217"/>
      <c r="BH13" s="217"/>
      <c r="BI13" s="51">
        <f t="shared" si="4"/>
        <v>0</v>
      </c>
      <c r="BJ13" s="51"/>
    </row>
    <row r="14" spans="1:63" hidden="1">
      <c r="A14" s="209">
        <v>45701</v>
      </c>
      <c r="B14" s="51"/>
      <c r="C14" s="51"/>
      <c r="D14" s="233"/>
      <c r="E14" s="51"/>
      <c r="F14" s="51"/>
      <c r="G14" s="215">
        <f t="shared" si="5"/>
        <v>0</v>
      </c>
      <c r="H14" s="51"/>
      <c r="I14" s="51"/>
      <c r="J14" s="51"/>
      <c r="K14" s="51"/>
      <c r="L14" s="51"/>
      <c r="M14" s="51"/>
      <c r="N14" s="51"/>
      <c r="O14" s="51">
        <f t="shared" si="1"/>
        <v>0</v>
      </c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>
        <f t="shared" si="6"/>
        <v>0</v>
      </c>
      <c r="AR14" s="51">
        <f t="shared" si="7"/>
        <v>0</v>
      </c>
      <c r="AS14" s="217"/>
      <c r="AT14" s="217"/>
      <c r="AU14" s="217"/>
      <c r="AV14" s="217"/>
      <c r="AW14" s="51">
        <f t="shared" si="2"/>
        <v>0</v>
      </c>
      <c r="AX14" s="51"/>
      <c r="AY14" s="217"/>
      <c r="AZ14" s="217"/>
      <c r="BA14" s="217"/>
      <c r="BB14" s="217"/>
      <c r="BC14" s="51">
        <f t="shared" si="3"/>
        <v>0</v>
      </c>
      <c r="BD14" s="51"/>
      <c r="BE14" s="217"/>
      <c r="BF14" s="217"/>
      <c r="BG14" s="217"/>
      <c r="BH14" s="217"/>
      <c r="BI14" s="51">
        <f t="shared" si="4"/>
        <v>0</v>
      </c>
      <c r="BJ14" s="51"/>
    </row>
    <row r="15" spans="1:63" hidden="1">
      <c r="A15" s="209">
        <v>45702</v>
      </c>
      <c r="B15" s="51"/>
      <c r="C15" s="51"/>
      <c r="D15" s="233"/>
      <c r="E15" s="51"/>
      <c r="F15" s="51"/>
      <c r="G15" s="215">
        <f t="shared" si="5"/>
        <v>0</v>
      </c>
      <c r="H15" s="51"/>
      <c r="I15" s="51"/>
      <c r="J15" s="51"/>
      <c r="K15" s="51"/>
      <c r="L15" s="51"/>
      <c r="M15" s="51"/>
      <c r="N15" s="51"/>
      <c r="O15" s="51">
        <f t="shared" si="1"/>
        <v>0</v>
      </c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>
        <f t="shared" si="6"/>
        <v>0</v>
      </c>
      <c r="AR15" s="51">
        <f t="shared" si="7"/>
        <v>0</v>
      </c>
      <c r="AS15" s="217"/>
      <c r="AT15" s="217"/>
      <c r="AU15" s="217"/>
      <c r="AV15" s="217"/>
      <c r="AW15" s="51">
        <f t="shared" si="2"/>
        <v>0</v>
      </c>
      <c r="AX15" s="51"/>
      <c r="AY15" s="217"/>
      <c r="AZ15" s="217"/>
      <c r="BA15" s="217"/>
      <c r="BB15" s="217"/>
      <c r="BC15" s="51">
        <f t="shared" si="3"/>
        <v>0</v>
      </c>
      <c r="BD15" s="51"/>
      <c r="BE15" s="217"/>
      <c r="BF15" s="217"/>
      <c r="BG15" s="217"/>
      <c r="BH15" s="217"/>
      <c r="BI15" s="51">
        <f t="shared" si="4"/>
        <v>0</v>
      </c>
      <c r="BJ15" s="51"/>
    </row>
    <row r="16" spans="1:63" hidden="1">
      <c r="A16" s="209">
        <v>45703</v>
      </c>
      <c r="B16" s="51"/>
      <c r="C16" s="51"/>
      <c r="D16" s="233"/>
      <c r="E16" s="51"/>
      <c r="F16" s="51"/>
      <c r="G16" s="215">
        <f t="shared" si="5"/>
        <v>0</v>
      </c>
      <c r="H16" s="51"/>
      <c r="I16" s="51"/>
      <c r="J16" s="51"/>
      <c r="K16" s="51"/>
      <c r="L16" s="51"/>
      <c r="M16" s="51"/>
      <c r="N16" s="51"/>
      <c r="O16" s="51">
        <f t="shared" si="1"/>
        <v>0</v>
      </c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>
        <f t="shared" si="6"/>
        <v>0</v>
      </c>
      <c r="AR16" s="51">
        <f t="shared" si="7"/>
        <v>0</v>
      </c>
      <c r="AS16" s="217"/>
      <c r="AT16" s="217"/>
      <c r="AU16" s="217"/>
      <c r="AV16" s="217"/>
      <c r="AW16" s="51">
        <f t="shared" si="2"/>
        <v>0</v>
      </c>
      <c r="AX16" s="51"/>
      <c r="AY16" s="217"/>
      <c r="AZ16" s="217"/>
      <c r="BA16" s="217"/>
      <c r="BB16" s="217"/>
      <c r="BC16" s="51">
        <f t="shared" si="3"/>
        <v>0</v>
      </c>
      <c r="BD16" s="51"/>
      <c r="BE16" s="217"/>
      <c r="BF16" s="217"/>
      <c r="BG16" s="217"/>
      <c r="BH16" s="217"/>
      <c r="BI16" s="51">
        <f t="shared" si="4"/>
        <v>0</v>
      </c>
      <c r="BJ16" s="51"/>
    </row>
    <row r="17" spans="1:62" hidden="1">
      <c r="A17" s="209">
        <v>45704</v>
      </c>
      <c r="B17" s="51"/>
      <c r="C17" s="51"/>
      <c r="D17" s="233"/>
      <c r="E17" s="51"/>
      <c r="F17" s="51"/>
      <c r="G17" s="215">
        <f t="shared" si="5"/>
        <v>0</v>
      </c>
      <c r="H17" s="51"/>
      <c r="I17" s="51"/>
      <c r="J17" s="51"/>
      <c r="K17" s="51"/>
      <c r="L17" s="51"/>
      <c r="M17" s="51"/>
      <c r="N17" s="51"/>
      <c r="O17" s="51">
        <f t="shared" si="1"/>
        <v>0</v>
      </c>
      <c r="P17" s="51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51"/>
      <c r="AL17" s="51"/>
      <c r="AM17" s="51"/>
      <c r="AN17" s="51"/>
      <c r="AO17" s="51"/>
      <c r="AP17" s="51"/>
      <c r="AQ17" s="51">
        <f t="shared" si="6"/>
        <v>0</v>
      </c>
      <c r="AR17" s="51">
        <f t="shared" si="7"/>
        <v>0</v>
      </c>
      <c r="AS17" s="217"/>
      <c r="AT17" s="217"/>
      <c r="AU17" s="217"/>
      <c r="AV17" s="217"/>
      <c r="AW17" s="51">
        <f t="shared" si="2"/>
        <v>0</v>
      </c>
      <c r="AX17" s="51"/>
      <c r="AY17" s="217"/>
      <c r="AZ17" s="217"/>
      <c r="BA17" s="217"/>
      <c r="BB17" s="217"/>
      <c r="BC17" s="51">
        <f t="shared" si="3"/>
        <v>0</v>
      </c>
      <c r="BD17" s="51"/>
      <c r="BE17" s="217"/>
      <c r="BF17" s="217"/>
      <c r="BG17" s="217"/>
      <c r="BH17" s="217"/>
      <c r="BI17" s="51">
        <f t="shared" si="4"/>
        <v>0</v>
      </c>
      <c r="BJ17" s="51"/>
    </row>
    <row r="18" spans="1:62" hidden="1">
      <c r="A18" s="209">
        <v>45705</v>
      </c>
      <c r="B18" s="51"/>
      <c r="C18" s="51">
        <v>6000</v>
      </c>
      <c r="D18" s="233"/>
      <c r="E18" s="51"/>
      <c r="F18" s="51"/>
      <c r="G18" s="215">
        <f t="shared" si="5"/>
        <v>41958.041958041962</v>
      </c>
      <c r="H18" s="51"/>
      <c r="I18" s="51"/>
      <c r="J18" s="51"/>
      <c r="K18" s="51"/>
      <c r="L18" s="51"/>
      <c r="M18" s="51"/>
      <c r="N18" s="51"/>
      <c r="O18" s="51">
        <f t="shared" si="1"/>
        <v>0</v>
      </c>
      <c r="P18" s="51"/>
      <c r="Q18" s="217"/>
      <c r="R18" s="217"/>
      <c r="S18" s="217"/>
      <c r="T18" s="217"/>
      <c r="U18" s="217"/>
      <c r="V18" s="217"/>
      <c r="W18" s="217"/>
      <c r="X18" s="217"/>
      <c r="Y18" s="217"/>
      <c r="Z18" s="217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51"/>
      <c r="AL18" s="51"/>
      <c r="AM18" s="51"/>
      <c r="AN18" s="51"/>
      <c r="AO18" s="51"/>
      <c r="AP18" s="51"/>
      <c r="AQ18" s="51">
        <f t="shared" si="6"/>
        <v>0</v>
      </c>
      <c r="AR18" s="51">
        <f t="shared" si="7"/>
        <v>0</v>
      </c>
      <c r="AS18" s="217"/>
      <c r="AT18" s="217"/>
      <c r="AU18" s="217"/>
      <c r="AV18" s="217"/>
      <c r="AW18" s="51">
        <f t="shared" si="2"/>
        <v>0</v>
      </c>
      <c r="AX18" s="51"/>
      <c r="AY18" s="217"/>
      <c r="AZ18" s="217"/>
      <c r="BA18" s="217"/>
      <c r="BB18" s="217"/>
      <c r="BC18" s="51">
        <f t="shared" si="3"/>
        <v>0</v>
      </c>
      <c r="BD18" s="51"/>
      <c r="BE18" s="217"/>
      <c r="BF18" s="217"/>
      <c r="BG18" s="217"/>
      <c r="BH18" s="217"/>
      <c r="BI18" s="51">
        <f t="shared" si="4"/>
        <v>0</v>
      </c>
      <c r="BJ18" s="51"/>
    </row>
    <row r="19" spans="1:62" hidden="1">
      <c r="A19" s="209">
        <v>45706</v>
      </c>
      <c r="B19" s="51"/>
      <c r="C19" s="51"/>
      <c r="D19" s="233"/>
      <c r="E19" s="51"/>
      <c r="F19" s="51"/>
      <c r="G19" s="215">
        <f t="shared" si="5"/>
        <v>0</v>
      </c>
      <c r="H19" s="51"/>
      <c r="I19" s="51"/>
      <c r="J19" s="51"/>
      <c r="K19" s="51"/>
      <c r="L19" s="51"/>
      <c r="M19" s="51"/>
      <c r="N19" s="51"/>
      <c r="O19" s="51">
        <f t="shared" si="1"/>
        <v>0</v>
      </c>
      <c r="P19" s="51"/>
      <c r="Q19" s="217"/>
      <c r="R19" s="217"/>
      <c r="S19" s="217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51"/>
      <c r="AL19" s="51"/>
      <c r="AM19" s="51"/>
      <c r="AN19" s="51"/>
      <c r="AO19" s="51"/>
      <c r="AP19" s="51"/>
      <c r="AQ19" s="51">
        <f t="shared" si="6"/>
        <v>0</v>
      </c>
      <c r="AR19" s="51">
        <f t="shared" si="7"/>
        <v>0</v>
      </c>
      <c r="AS19" s="217"/>
      <c r="AT19" s="217"/>
      <c r="AU19" s="217"/>
      <c r="AV19" s="217"/>
      <c r="AW19" s="51">
        <f t="shared" si="2"/>
        <v>0</v>
      </c>
      <c r="AX19" s="51"/>
      <c r="AY19" s="217"/>
      <c r="AZ19" s="217"/>
      <c r="BA19" s="217"/>
      <c r="BB19" s="217"/>
      <c r="BC19" s="51">
        <f t="shared" si="3"/>
        <v>0</v>
      </c>
      <c r="BD19" s="51"/>
      <c r="BE19" s="217"/>
      <c r="BF19" s="217"/>
      <c r="BG19" s="217"/>
      <c r="BH19" s="217"/>
      <c r="BI19" s="51">
        <f t="shared" si="4"/>
        <v>0</v>
      </c>
      <c r="BJ19" s="51"/>
    </row>
    <row r="20" spans="1:62" hidden="1">
      <c r="A20" s="209">
        <v>45707</v>
      </c>
      <c r="B20" s="51"/>
      <c r="C20" s="51"/>
      <c r="D20" s="233"/>
      <c r="E20" s="51">
        <v>9000</v>
      </c>
      <c r="F20" s="51"/>
      <c r="G20" s="215">
        <f t="shared" si="5"/>
        <v>0</v>
      </c>
      <c r="H20" s="51"/>
      <c r="I20" s="51"/>
      <c r="J20" s="51"/>
      <c r="K20" s="51"/>
      <c r="L20" s="51"/>
      <c r="M20" s="51"/>
      <c r="N20" s="51"/>
      <c r="O20" s="51">
        <f t="shared" si="1"/>
        <v>0</v>
      </c>
      <c r="P20" s="51"/>
      <c r="Q20" s="217"/>
      <c r="R20" s="217"/>
      <c r="S20" s="217"/>
      <c r="T20" s="217"/>
      <c r="U20" s="217"/>
      <c r="V20" s="217"/>
      <c r="W20" s="217"/>
      <c r="X20" s="217"/>
      <c r="Y20" s="217"/>
      <c r="Z20" s="217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51"/>
      <c r="AL20" s="51"/>
      <c r="AM20" s="51"/>
      <c r="AN20" s="51"/>
      <c r="AO20" s="51"/>
      <c r="AP20" s="51"/>
      <c r="AQ20" s="51">
        <f t="shared" si="6"/>
        <v>0</v>
      </c>
      <c r="AR20" s="51">
        <f t="shared" si="7"/>
        <v>0</v>
      </c>
      <c r="AS20" s="217"/>
      <c r="AT20" s="217"/>
      <c r="AU20" s="217"/>
      <c r="AV20" s="217"/>
      <c r="AW20" s="51">
        <f t="shared" si="2"/>
        <v>0</v>
      </c>
      <c r="AX20" s="51"/>
      <c r="AY20" s="217"/>
      <c r="AZ20" s="217"/>
      <c r="BA20" s="217"/>
      <c r="BB20" s="217"/>
      <c r="BC20" s="51">
        <f t="shared" si="3"/>
        <v>0</v>
      </c>
      <c r="BD20" s="51"/>
      <c r="BE20" s="217"/>
      <c r="BF20" s="217"/>
      <c r="BG20" s="217"/>
      <c r="BH20" s="217"/>
      <c r="BI20" s="51">
        <f t="shared" si="4"/>
        <v>0</v>
      </c>
      <c r="BJ20" s="51"/>
    </row>
    <row r="21" spans="1:62" hidden="1">
      <c r="A21" s="209">
        <v>45708</v>
      </c>
      <c r="B21" s="51">
        <v>9000</v>
      </c>
      <c r="C21" s="51"/>
      <c r="D21" s="233"/>
      <c r="E21" s="51"/>
      <c r="F21" s="51"/>
      <c r="G21" s="215">
        <f t="shared" si="5"/>
        <v>62937.062937062939</v>
      </c>
      <c r="H21" s="51"/>
      <c r="I21" s="51"/>
      <c r="J21" s="51"/>
      <c r="K21" s="51"/>
      <c r="L21" s="51"/>
      <c r="M21" s="51"/>
      <c r="N21" s="51"/>
      <c r="O21" s="51">
        <f t="shared" si="1"/>
        <v>0</v>
      </c>
      <c r="P21" s="51"/>
      <c r="Q21" s="217"/>
      <c r="R21" s="217"/>
      <c r="S21" s="217"/>
      <c r="T21" s="217"/>
      <c r="U21" s="217"/>
      <c r="V21" s="217"/>
      <c r="W21" s="217"/>
      <c r="X21" s="217"/>
      <c r="Y21" s="217"/>
      <c r="Z21" s="217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51"/>
      <c r="AL21" s="51"/>
      <c r="AM21" s="51"/>
      <c r="AN21" s="51"/>
      <c r="AO21" s="51"/>
      <c r="AP21" s="51"/>
      <c r="AQ21" s="51">
        <f t="shared" si="6"/>
        <v>0</v>
      </c>
      <c r="AR21" s="51">
        <f t="shared" si="7"/>
        <v>0</v>
      </c>
      <c r="AS21" s="217"/>
      <c r="AT21" s="217"/>
      <c r="AU21" s="217"/>
      <c r="AV21" s="217"/>
      <c r="AW21" s="51">
        <f t="shared" si="2"/>
        <v>0</v>
      </c>
      <c r="AX21" s="51"/>
      <c r="AY21" s="217"/>
      <c r="AZ21" s="217"/>
      <c r="BA21" s="217"/>
      <c r="BB21" s="217"/>
      <c r="BC21" s="51">
        <f t="shared" si="3"/>
        <v>0</v>
      </c>
      <c r="BD21" s="51"/>
      <c r="BE21" s="217"/>
      <c r="BF21" s="217"/>
      <c r="BG21" s="217"/>
      <c r="BH21" s="217"/>
      <c r="BI21" s="51">
        <f t="shared" si="4"/>
        <v>0</v>
      </c>
      <c r="BJ21" s="51"/>
    </row>
    <row r="22" spans="1:62" hidden="1">
      <c r="A22" s="209">
        <v>45709</v>
      </c>
      <c r="B22" s="51"/>
      <c r="C22" s="51"/>
      <c r="D22" s="233"/>
      <c r="E22" s="51"/>
      <c r="F22" s="51"/>
      <c r="G22" s="215">
        <f t="shared" si="5"/>
        <v>0</v>
      </c>
      <c r="H22" s="51"/>
      <c r="I22" s="51"/>
      <c r="J22" s="51"/>
      <c r="K22" s="51"/>
      <c r="L22" s="51"/>
      <c r="M22" s="51"/>
      <c r="N22" s="51"/>
      <c r="O22" s="51">
        <f t="shared" si="1"/>
        <v>0</v>
      </c>
      <c r="P22" s="51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51"/>
      <c r="AL22" s="51"/>
      <c r="AM22" s="51"/>
      <c r="AN22" s="51"/>
      <c r="AO22" s="51"/>
      <c r="AP22" s="51"/>
      <c r="AQ22" s="51">
        <f t="shared" si="6"/>
        <v>0</v>
      </c>
      <c r="AR22" s="51">
        <f t="shared" si="7"/>
        <v>0</v>
      </c>
      <c r="AS22" s="217"/>
      <c r="AT22" s="217"/>
      <c r="AU22" s="217"/>
      <c r="AV22" s="217"/>
      <c r="AW22" s="51">
        <f t="shared" si="2"/>
        <v>0</v>
      </c>
      <c r="AX22" s="51"/>
      <c r="AY22" s="217"/>
      <c r="AZ22" s="217"/>
      <c r="BA22" s="217"/>
      <c r="BB22" s="217"/>
      <c r="BC22" s="51">
        <f t="shared" si="3"/>
        <v>0</v>
      </c>
      <c r="BD22" s="51"/>
      <c r="BE22" s="217"/>
      <c r="BF22" s="217"/>
      <c r="BG22" s="217"/>
      <c r="BH22" s="217"/>
      <c r="BI22" s="51">
        <f t="shared" si="4"/>
        <v>0</v>
      </c>
      <c r="BJ22" s="51"/>
    </row>
    <row r="23" spans="1:62" hidden="1">
      <c r="A23" s="209">
        <v>45710</v>
      </c>
      <c r="B23" s="51"/>
      <c r="C23" s="51"/>
      <c r="D23" s="233"/>
      <c r="E23" s="51"/>
      <c r="F23" s="51"/>
      <c r="G23" s="215">
        <f t="shared" si="5"/>
        <v>0</v>
      </c>
      <c r="H23" s="51"/>
      <c r="I23" s="51"/>
      <c r="J23" s="51"/>
      <c r="K23" s="51"/>
      <c r="L23" s="51"/>
      <c r="M23" s="51"/>
      <c r="N23" s="51"/>
      <c r="O23" s="51">
        <f t="shared" si="1"/>
        <v>0</v>
      </c>
      <c r="P23" s="51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51"/>
      <c r="AL23" s="51"/>
      <c r="AM23" s="51"/>
      <c r="AN23" s="51"/>
      <c r="AO23" s="51"/>
      <c r="AP23" s="51"/>
      <c r="AQ23" s="51">
        <f t="shared" si="6"/>
        <v>0</v>
      </c>
      <c r="AR23" s="51">
        <f t="shared" si="7"/>
        <v>0</v>
      </c>
      <c r="AS23" s="217"/>
      <c r="AT23" s="217"/>
      <c r="AU23" s="217"/>
      <c r="AV23" s="217"/>
      <c r="AW23" s="51">
        <f t="shared" si="2"/>
        <v>0</v>
      </c>
      <c r="AX23" s="51"/>
      <c r="AY23" s="217"/>
      <c r="AZ23" s="217"/>
      <c r="BA23" s="217"/>
      <c r="BB23" s="217"/>
      <c r="BC23" s="51">
        <f t="shared" si="3"/>
        <v>0</v>
      </c>
      <c r="BD23" s="51"/>
      <c r="BE23" s="217"/>
      <c r="BF23" s="217"/>
      <c r="BG23" s="217"/>
      <c r="BH23" s="217"/>
      <c r="BI23" s="51">
        <f t="shared" si="4"/>
        <v>0</v>
      </c>
      <c r="BJ23" s="51"/>
    </row>
    <row r="24" spans="1:62" hidden="1">
      <c r="A24" s="209">
        <v>45711</v>
      </c>
      <c r="B24" s="51"/>
      <c r="C24" s="51"/>
      <c r="D24" s="233"/>
      <c r="E24" s="51"/>
      <c r="F24" s="51"/>
      <c r="G24" s="215">
        <f t="shared" si="5"/>
        <v>0</v>
      </c>
      <c r="H24" s="51"/>
      <c r="I24" s="51"/>
      <c r="J24" s="51"/>
      <c r="K24" s="51"/>
      <c r="L24" s="51"/>
      <c r="M24" s="51"/>
      <c r="N24" s="51"/>
      <c r="O24" s="217">
        <f t="shared" si="1"/>
        <v>0</v>
      </c>
      <c r="P24" s="51"/>
      <c r="Q24" s="217"/>
      <c r="R24" s="217"/>
      <c r="S24" s="217"/>
      <c r="T24" s="217"/>
      <c r="U24" s="217"/>
      <c r="V24" s="217"/>
      <c r="W24" s="217"/>
      <c r="X24" s="217"/>
      <c r="Y24" s="217"/>
      <c r="Z24" s="217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7"/>
      <c r="AL24" s="51"/>
      <c r="AM24" s="51"/>
      <c r="AN24" s="51"/>
      <c r="AO24" s="217"/>
      <c r="AP24" s="51"/>
      <c r="AQ24" s="51">
        <f t="shared" si="6"/>
        <v>0</v>
      </c>
      <c r="AR24" s="51">
        <f t="shared" si="7"/>
        <v>0</v>
      </c>
      <c r="AS24" s="217"/>
      <c r="AT24" s="217"/>
      <c r="AU24" s="217"/>
      <c r="AV24" s="217"/>
      <c r="AW24" s="51">
        <f t="shared" si="2"/>
        <v>0</v>
      </c>
      <c r="AX24" s="51"/>
      <c r="AY24" s="217"/>
      <c r="AZ24" s="217"/>
      <c r="BA24" s="217"/>
      <c r="BB24" s="217"/>
      <c r="BC24" s="51">
        <f t="shared" si="3"/>
        <v>0</v>
      </c>
      <c r="BD24" s="51"/>
      <c r="BE24" s="217"/>
      <c r="BF24" s="217"/>
      <c r="BG24" s="217"/>
      <c r="BH24" s="217"/>
      <c r="BI24" s="51">
        <f t="shared" si="4"/>
        <v>0</v>
      </c>
      <c r="BJ24" s="51"/>
    </row>
    <row r="25" spans="1:62" hidden="1">
      <c r="A25" s="209">
        <v>45712</v>
      </c>
      <c r="B25" s="51"/>
      <c r="C25" s="51">
        <v>6000</v>
      </c>
      <c r="D25" s="233"/>
      <c r="E25" s="51"/>
      <c r="F25" s="51">
        <v>9000</v>
      </c>
      <c r="G25" s="215">
        <f t="shared" si="5"/>
        <v>41958.041958041962</v>
      </c>
      <c r="H25" s="51"/>
      <c r="I25" s="213">
        <v>200</v>
      </c>
      <c r="J25" s="51"/>
      <c r="K25" s="217">
        <f>I25+J25</f>
        <v>200</v>
      </c>
      <c r="L25" s="217">
        <f>K25</f>
        <v>200</v>
      </c>
      <c r="M25" s="217"/>
      <c r="N25" s="217"/>
      <c r="O25" s="217">
        <f>SUM(M25:N25)</f>
        <v>0</v>
      </c>
      <c r="P25" s="217">
        <f>O25-AY25-BA25</f>
        <v>0</v>
      </c>
      <c r="Q25" s="217"/>
      <c r="R25" s="217"/>
      <c r="S25" s="217"/>
      <c r="T25" s="217"/>
      <c r="U25" s="217"/>
      <c r="V25" s="217"/>
      <c r="W25" s="217"/>
      <c r="X25" s="217"/>
      <c r="Y25" s="217"/>
      <c r="Z25" s="217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7"/>
      <c r="AL25" s="217"/>
      <c r="AM25" s="213">
        <v>200</v>
      </c>
      <c r="AN25" s="51"/>
      <c r="AO25" s="217">
        <f>AM25+AN25</f>
        <v>200</v>
      </c>
      <c r="AP25" s="217">
        <v>200</v>
      </c>
      <c r="AQ25" s="51">
        <f t="shared" si="6"/>
        <v>200</v>
      </c>
      <c r="AR25" s="51">
        <f t="shared" si="7"/>
        <v>200</v>
      </c>
      <c r="AS25" s="217"/>
      <c r="AT25" s="217"/>
      <c r="AU25" s="217"/>
      <c r="AV25" s="217"/>
      <c r="AW25" s="51">
        <f t="shared" si="2"/>
        <v>0</v>
      </c>
      <c r="AX25" s="51"/>
      <c r="AY25" s="217"/>
      <c r="AZ25" s="217"/>
      <c r="BA25" s="217"/>
      <c r="BB25" s="217"/>
      <c r="BC25" s="51">
        <f t="shared" si="3"/>
        <v>0</v>
      </c>
      <c r="BD25" s="51"/>
      <c r="BE25" s="217"/>
      <c r="BF25" s="217"/>
      <c r="BG25" s="217"/>
      <c r="BH25" s="217"/>
      <c r="BI25" s="51">
        <f t="shared" si="4"/>
        <v>0</v>
      </c>
      <c r="BJ25" s="51"/>
    </row>
    <row r="26" spans="1:62" hidden="1">
      <c r="A26" s="209">
        <v>45713</v>
      </c>
      <c r="B26" s="51"/>
      <c r="C26" s="51"/>
      <c r="D26" s="233"/>
      <c r="E26" s="51"/>
      <c r="F26" s="51"/>
      <c r="G26" s="215">
        <f t="shared" si="5"/>
        <v>0</v>
      </c>
      <c r="H26" s="51"/>
      <c r="I26" s="51">
        <v>450</v>
      </c>
      <c r="J26" s="213">
        <v>200</v>
      </c>
      <c r="K26" s="217">
        <f t="shared" ref="K26:K89" si="8">I26+J26</f>
        <v>650</v>
      </c>
      <c r="L26" s="217">
        <f>L25+K26</f>
        <v>850</v>
      </c>
      <c r="M26" s="217"/>
      <c r="N26" s="217"/>
      <c r="O26" s="217">
        <f>SUM(M26:N26)</f>
        <v>0</v>
      </c>
      <c r="P26" s="217">
        <f>P25+O26-AY26-BA26</f>
        <v>0</v>
      </c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217"/>
      <c r="AL26" s="217"/>
      <c r="AM26" s="51">
        <v>450</v>
      </c>
      <c r="AN26" s="213">
        <v>200</v>
      </c>
      <c r="AO26" s="217">
        <f t="shared" ref="AO26:AO89" si="9">AM26+AN26</f>
        <v>650</v>
      </c>
      <c r="AP26" s="217">
        <f>AP25+AO26-AY26-BA26</f>
        <v>850</v>
      </c>
      <c r="AQ26" s="51">
        <f t="shared" si="6"/>
        <v>650</v>
      </c>
      <c r="AR26" s="51">
        <f>AR25+AQ26-AU26-AS26</f>
        <v>850</v>
      </c>
      <c r="AS26" s="217"/>
      <c r="AT26" s="217"/>
      <c r="AU26" s="217"/>
      <c r="AV26" s="217"/>
      <c r="AW26" s="51">
        <f t="shared" si="2"/>
        <v>0</v>
      </c>
      <c r="AX26" s="51"/>
      <c r="AY26" s="217"/>
      <c r="AZ26" s="217"/>
      <c r="BA26" s="217"/>
      <c r="BB26" s="217"/>
      <c r="BC26" s="51">
        <f t="shared" si="3"/>
        <v>0</v>
      </c>
      <c r="BD26" s="51"/>
      <c r="BE26" s="217"/>
      <c r="BF26" s="217"/>
      <c r="BG26" s="217"/>
      <c r="BH26" s="217"/>
      <c r="BI26" s="51">
        <f t="shared" si="4"/>
        <v>0</v>
      </c>
      <c r="BJ26" s="51"/>
    </row>
    <row r="27" spans="1:62" hidden="1">
      <c r="A27" s="209">
        <v>45714</v>
      </c>
      <c r="B27" s="51"/>
      <c r="C27" s="51"/>
      <c r="D27" s="233"/>
      <c r="E27" s="51">
        <v>9000</v>
      </c>
      <c r="F27" s="51"/>
      <c r="G27" s="215">
        <f t="shared" si="5"/>
        <v>0</v>
      </c>
      <c r="H27" s="51"/>
      <c r="I27" s="51">
        <v>450</v>
      </c>
      <c r="J27" s="51">
        <v>450</v>
      </c>
      <c r="K27" s="217">
        <f t="shared" si="8"/>
        <v>900</v>
      </c>
      <c r="L27" s="217">
        <f t="shared" ref="L27:L90" si="10">L26+K27</f>
        <v>1750</v>
      </c>
      <c r="M27" s="213">
        <v>200</v>
      </c>
      <c r="N27" s="217"/>
      <c r="O27" s="217">
        <f>M27+N27</f>
        <v>200</v>
      </c>
      <c r="P27" s="217">
        <v>200</v>
      </c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217"/>
      <c r="AL27" s="217"/>
      <c r="AM27" s="51">
        <v>450</v>
      </c>
      <c r="AN27" s="51">
        <v>450</v>
      </c>
      <c r="AO27" s="217">
        <f t="shared" si="9"/>
        <v>900</v>
      </c>
      <c r="AP27" s="217">
        <f t="shared" ref="AP27:AP90" si="11">AP26+AO27-AY27-BA27</f>
        <v>1750</v>
      </c>
      <c r="AQ27" s="51">
        <f t="shared" si="6"/>
        <v>900</v>
      </c>
      <c r="AR27" s="51">
        <f t="shared" ref="AR27:AR90" si="12">AR26+AQ27-AU27-AS27</f>
        <v>1750</v>
      </c>
      <c r="AS27" s="217"/>
      <c r="AT27" s="217"/>
      <c r="AU27" s="217"/>
      <c r="AV27" s="217"/>
      <c r="AW27" s="51">
        <f t="shared" si="2"/>
        <v>0</v>
      </c>
      <c r="AX27" s="51"/>
      <c r="AY27" s="217"/>
      <c r="AZ27" s="217"/>
      <c r="BA27" s="217"/>
      <c r="BB27" s="217"/>
      <c r="BC27" s="51">
        <f t="shared" si="3"/>
        <v>0</v>
      </c>
      <c r="BD27" s="51"/>
      <c r="BE27" s="217"/>
      <c r="BF27" s="217"/>
      <c r="BG27" s="217"/>
      <c r="BH27" s="217"/>
      <c r="BI27" s="51">
        <f t="shared" si="4"/>
        <v>0</v>
      </c>
      <c r="BJ27" s="51"/>
    </row>
    <row r="28" spans="1:62" hidden="1">
      <c r="A28" s="209">
        <v>45715</v>
      </c>
      <c r="B28" s="51"/>
      <c r="C28" s="51"/>
      <c r="D28" s="233"/>
      <c r="E28" s="51"/>
      <c r="F28" s="51"/>
      <c r="G28" s="215">
        <f t="shared" si="5"/>
        <v>0</v>
      </c>
      <c r="H28" s="51"/>
      <c r="I28" s="51">
        <v>450</v>
      </c>
      <c r="J28" s="51">
        <v>450</v>
      </c>
      <c r="K28" s="217">
        <f t="shared" si="8"/>
        <v>900</v>
      </c>
      <c r="L28" s="217">
        <f t="shared" si="10"/>
        <v>2650</v>
      </c>
      <c r="M28" s="51">
        <v>450</v>
      </c>
      <c r="N28" s="213">
        <v>200</v>
      </c>
      <c r="O28" s="217">
        <f t="shared" ref="O28:O91" si="13">M28+N28</f>
        <v>650</v>
      </c>
      <c r="P28" s="217">
        <f>P27+O28-BE28-BG28</f>
        <v>850</v>
      </c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217"/>
      <c r="AL28" s="217"/>
      <c r="AM28" s="51">
        <v>450</v>
      </c>
      <c r="AN28" s="51">
        <v>450</v>
      </c>
      <c r="AO28" s="217">
        <f t="shared" si="9"/>
        <v>900</v>
      </c>
      <c r="AP28" s="217">
        <f t="shared" si="11"/>
        <v>2650</v>
      </c>
      <c r="AQ28" s="51">
        <f t="shared" si="6"/>
        <v>900</v>
      </c>
      <c r="AR28" s="51">
        <f t="shared" si="12"/>
        <v>2650</v>
      </c>
      <c r="AS28" s="217"/>
      <c r="AT28" s="217"/>
      <c r="AU28" s="217"/>
      <c r="AV28" s="217"/>
      <c r="AW28" s="51">
        <f t="shared" si="2"/>
        <v>0</v>
      </c>
      <c r="AX28" s="51"/>
      <c r="AY28" s="217"/>
      <c r="AZ28" s="217"/>
      <c r="BA28" s="217"/>
      <c r="BB28" s="217"/>
      <c r="BC28" s="51">
        <f t="shared" si="3"/>
        <v>0</v>
      </c>
      <c r="BD28" s="51"/>
      <c r="BE28" s="217"/>
      <c r="BF28" s="217"/>
      <c r="BG28" s="217"/>
      <c r="BH28" s="217"/>
      <c r="BI28" s="51">
        <f t="shared" si="4"/>
        <v>0</v>
      </c>
      <c r="BJ28" s="51"/>
    </row>
    <row r="29" spans="1:62" hidden="1">
      <c r="A29" s="209">
        <v>45716</v>
      </c>
      <c r="B29" s="51"/>
      <c r="C29" s="51"/>
      <c r="D29" s="233"/>
      <c r="E29" s="51"/>
      <c r="F29" s="51"/>
      <c r="G29" s="215">
        <f t="shared" si="5"/>
        <v>0</v>
      </c>
      <c r="H29" s="51"/>
      <c r="I29" s="51">
        <v>450</v>
      </c>
      <c r="J29" s="51">
        <v>450</v>
      </c>
      <c r="K29" s="217">
        <f t="shared" si="8"/>
        <v>900</v>
      </c>
      <c r="L29" s="217">
        <f t="shared" si="10"/>
        <v>3550</v>
      </c>
      <c r="M29" s="51">
        <v>450</v>
      </c>
      <c r="N29" s="51">
        <v>450</v>
      </c>
      <c r="O29" s="217">
        <f t="shared" si="13"/>
        <v>900</v>
      </c>
      <c r="P29" s="217">
        <f t="shared" ref="P29:P92" si="14">P28+O29-BE29-BG29</f>
        <v>1750</v>
      </c>
      <c r="Q29" s="213">
        <v>200</v>
      </c>
      <c r="R29" s="213">
        <v>200</v>
      </c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217">
        <f>SUM(Q29:AJ29)</f>
        <v>400</v>
      </c>
      <c r="AL29" s="217">
        <v>400</v>
      </c>
      <c r="AM29" s="51">
        <v>450</v>
      </c>
      <c r="AN29" s="51">
        <v>450</v>
      </c>
      <c r="AO29" s="217">
        <f t="shared" si="9"/>
        <v>900</v>
      </c>
      <c r="AP29" s="217">
        <f t="shared" si="11"/>
        <v>3550</v>
      </c>
      <c r="AQ29" s="51">
        <f t="shared" si="6"/>
        <v>1300</v>
      </c>
      <c r="AR29" s="51">
        <f t="shared" si="12"/>
        <v>3950</v>
      </c>
      <c r="AS29" s="217"/>
      <c r="AT29" s="217"/>
      <c r="AU29" s="217"/>
      <c r="AV29" s="217"/>
      <c r="AW29" s="51">
        <f t="shared" si="2"/>
        <v>0</v>
      </c>
      <c r="AX29" s="51"/>
      <c r="AY29" s="217"/>
      <c r="AZ29" s="217"/>
      <c r="BA29" s="217"/>
      <c r="BB29" s="217"/>
      <c r="BC29" s="51">
        <f t="shared" si="3"/>
        <v>0</v>
      </c>
      <c r="BD29" s="51"/>
      <c r="BE29" s="217"/>
      <c r="BF29" s="217"/>
      <c r="BG29" s="217"/>
      <c r="BH29" s="217"/>
      <c r="BI29" s="51">
        <f t="shared" si="4"/>
        <v>0</v>
      </c>
      <c r="BJ29" s="51"/>
    </row>
    <row r="30" spans="1:62" hidden="1">
      <c r="A30" s="209">
        <v>45717</v>
      </c>
      <c r="B30" s="51">
        <v>9000</v>
      </c>
      <c r="C30" s="51"/>
      <c r="D30" s="233"/>
      <c r="E30" s="51"/>
      <c r="F30" s="51"/>
      <c r="G30" s="215">
        <f t="shared" si="5"/>
        <v>62937.062937062939</v>
      </c>
      <c r="H30" s="51"/>
      <c r="I30" s="51">
        <v>450</v>
      </c>
      <c r="J30" s="51">
        <v>450</v>
      </c>
      <c r="K30" s="217">
        <f t="shared" si="8"/>
        <v>900</v>
      </c>
      <c r="L30" s="217">
        <f t="shared" si="10"/>
        <v>4450</v>
      </c>
      <c r="M30" s="51">
        <v>450</v>
      </c>
      <c r="N30" s="51">
        <v>450</v>
      </c>
      <c r="O30" s="217">
        <f t="shared" si="13"/>
        <v>900</v>
      </c>
      <c r="P30" s="217">
        <f t="shared" si="14"/>
        <v>2650</v>
      </c>
      <c r="Q30" s="51">
        <v>300</v>
      </c>
      <c r="R30" s="51">
        <v>300</v>
      </c>
      <c r="S30" s="213">
        <v>200</v>
      </c>
      <c r="T30" s="213">
        <v>200</v>
      </c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217">
        <f t="shared" ref="AK30:AK93" si="15">SUM(Q30:AJ30)</f>
        <v>1000</v>
      </c>
      <c r="AL30" s="217">
        <f>AL29+AK30</f>
        <v>1400</v>
      </c>
      <c r="AM30" s="51">
        <v>450</v>
      </c>
      <c r="AN30" s="51">
        <v>450</v>
      </c>
      <c r="AO30" s="217">
        <f t="shared" si="9"/>
        <v>900</v>
      </c>
      <c r="AP30" s="217">
        <f t="shared" si="11"/>
        <v>4450</v>
      </c>
      <c r="AQ30" s="51">
        <f t="shared" si="6"/>
        <v>1900</v>
      </c>
      <c r="AR30" s="51">
        <f t="shared" si="12"/>
        <v>5850</v>
      </c>
      <c r="AS30" s="217"/>
      <c r="AT30" s="217"/>
      <c r="AU30" s="217"/>
      <c r="AV30" s="217"/>
      <c r="AW30" s="51">
        <f t="shared" si="2"/>
        <v>0</v>
      </c>
      <c r="AX30" s="51"/>
      <c r="AY30" s="217"/>
      <c r="AZ30" s="217"/>
      <c r="BA30" s="217"/>
      <c r="BB30" s="217"/>
      <c r="BC30" s="51">
        <f t="shared" si="3"/>
        <v>0</v>
      </c>
      <c r="BD30" s="51"/>
      <c r="BE30" s="217"/>
      <c r="BF30" s="217"/>
      <c r="BG30" s="217"/>
      <c r="BH30" s="217"/>
      <c r="BI30" s="51">
        <f t="shared" si="4"/>
        <v>0</v>
      </c>
      <c r="BJ30" s="51"/>
    </row>
    <row r="31" spans="1:62" hidden="1">
      <c r="A31" s="209">
        <v>45718</v>
      </c>
      <c r="B31" s="51"/>
      <c r="C31" s="51"/>
      <c r="D31" s="233"/>
      <c r="E31" s="51"/>
      <c r="F31" s="51"/>
      <c r="G31" s="215">
        <f t="shared" si="5"/>
        <v>0</v>
      </c>
      <c r="H31" s="51"/>
      <c r="I31" s="51">
        <v>450</v>
      </c>
      <c r="J31" s="51">
        <v>450</v>
      </c>
      <c r="K31" s="217">
        <f t="shared" si="8"/>
        <v>900</v>
      </c>
      <c r="L31" s="217">
        <f t="shared" si="10"/>
        <v>5350</v>
      </c>
      <c r="M31" s="51">
        <v>450</v>
      </c>
      <c r="N31" s="51">
        <v>450</v>
      </c>
      <c r="O31" s="217">
        <f t="shared" si="13"/>
        <v>900</v>
      </c>
      <c r="P31" s="217">
        <f t="shared" si="14"/>
        <v>3550</v>
      </c>
      <c r="Q31" s="51">
        <v>300</v>
      </c>
      <c r="R31" s="51">
        <v>300</v>
      </c>
      <c r="S31" s="51">
        <v>300</v>
      </c>
      <c r="T31" s="51">
        <v>300</v>
      </c>
      <c r="U31" s="213">
        <v>200</v>
      </c>
      <c r="V31" s="213">
        <v>200</v>
      </c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217">
        <f t="shared" si="15"/>
        <v>1600</v>
      </c>
      <c r="AL31" s="217">
        <f t="shared" ref="AL31:AL94" si="16">AL30+AK31</f>
        <v>3000</v>
      </c>
      <c r="AM31" s="51">
        <v>450</v>
      </c>
      <c r="AN31" s="51">
        <v>450</v>
      </c>
      <c r="AO31" s="217">
        <f t="shared" si="9"/>
        <v>900</v>
      </c>
      <c r="AP31" s="217">
        <f t="shared" si="11"/>
        <v>5350</v>
      </c>
      <c r="AQ31" s="51">
        <f t="shared" si="6"/>
        <v>2500</v>
      </c>
      <c r="AR31" s="51">
        <f t="shared" si="12"/>
        <v>8350</v>
      </c>
      <c r="AS31" s="217"/>
      <c r="AT31" s="217"/>
      <c r="AU31" s="217"/>
      <c r="AV31" s="217"/>
      <c r="AW31" s="51">
        <f t="shared" si="2"/>
        <v>0</v>
      </c>
      <c r="AX31" s="51"/>
      <c r="AY31" s="217"/>
      <c r="AZ31" s="217"/>
      <c r="BA31" s="217"/>
      <c r="BB31" s="217"/>
      <c r="BC31" s="51">
        <f t="shared" si="3"/>
        <v>0</v>
      </c>
      <c r="BD31" s="51"/>
      <c r="BE31" s="217"/>
      <c r="BF31" s="217"/>
      <c r="BG31" s="217"/>
      <c r="BH31" s="217"/>
      <c r="BI31" s="51">
        <f t="shared" si="4"/>
        <v>0</v>
      </c>
      <c r="BJ31" s="51"/>
    </row>
    <row r="32" spans="1:62" hidden="1">
      <c r="A32" s="209">
        <v>45719</v>
      </c>
      <c r="B32" s="51"/>
      <c r="C32" s="51">
        <v>6000</v>
      </c>
      <c r="D32" s="233"/>
      <c r="E32" s="51"/>
      <c r="F32" s="51"/>
      <c r="G32" s="215">
        <f t="shared" si="5"/>
        <v>41958.041958041962</v>
      </c>
      <c r="H32" s="51"/>
      <c r="I32" s="51">
        <v>450</v>
      </c>
      <c r="J32" s="51">
        <v>450</v>
      </c>
      <c r="K32" s="217">
        <f t="shared" si="8"/>
        <v>900</v>
      </c>
      <c r="L32" s="217">
        <f t="shared" si="10"/>
        <v>6250</v>
      </c>
      <c r="M32" s="51">
        <v>450</v>
      </c>
      <c r="N32" s="51">
        <v>450</v>
      </c>
      <c r="O32" s="217">
        <f t="shared" si="13"/>
        <v>900</v>
      </c>
      <c r="P32" s="217">
        <f t="shared" si="14"/>
        <v>4450</v>
      </c>
      <c r="Q32" s="51">
        <v>300</v>
      </c>
      <c r="R32" s="51">
        <v>300</v>
      </c>
      <c r="S32" s="51">
        <v>300</v>
      </c>
      <c r="T32" s="51">
        <v>300</v>
      </c>
      <c r="U32" s="51">
        <v>300</v>
      </c>
      <c r="V32" s="51">
        <v>300</v>
      </c>
      <c r="W32" s="213">
        <v>200</v>
      </c>
      <c r="X32" s="213">
        <v>200</v>
      </c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217">
        <f t="shared" si="15"/>
        <v>2200</v>
      </c>
      <c r="AL32" s="217">
        <f t="shared" si="16"/>
        <v>5200</v>
      </c>
      <c r="AM32" s="51">
        <v>450</v>
      </c>
      <c r="AN32" s="51">
        <v>450</v>
      </c>
      <c r="AO32" s="217">
        <f t="shared" si="9"/>
        <v>900</v>
      </c>
      <c r="AP32" s="217">
        <f t="shared" si="11"/>
        <v>6250</v>
      </c>
      <c r="AQ32" s="51">
        <f t="shared" si="6"/>
        <v>3100</v>
      </c>
      <c r="AR32" s="51">
        <f t="shared" si="12"/>
        <v>11450</v>
      </c>
      <c r="AS32" s="217"/>
      <c r="AT32" s="217"/>
      <c r="AU32" s="217"/>
      <c r="AV32" s="217"/>
      <c r="AW32" s="51">
        <f t="shared" si="2"/>
        <v>0</v>
      </c>
      <c r="AX32" s="51"/>
      <c r="AY32" s="217"/>
      <c r="AZ32" s="217"/>
      <c r="BA32" s="217"/>
      <c r="BB32" s="217"/>
      <c r="BC32" s="51">
        <f t="shared" si="3"/>
        <v>0</v>
      </c>
      <c r="BD32" s="51"/>
      <c r="BE32" s="217"/>
      <c r="BF32" s="217"/>
      <c r="BG32" s="217"/>
      <c r="BH32" s="217"/>
      <c r="BI32" s="51">
        <f t="shared" si="4"/>
        <v>0</v>
      </c>
      <c r="BJ32" s="51"/>
    </row>
    <row r="33" spans="1:62">
      <c r="A33" s="209">
        <v>45720</v>
      </c>
      <c r="B33" s="51"/>
      <c r="C33" s="51"/>
      <c r="D33" s="233"/>
      <c r="E33" s="51"/>
      <c r="F33" s="51"/>
      <c r="G33" s="215">
        <f t="shared" si="5"/>
        <v>0</v>
      </c>
      <c r="H33" s="51"/>
      <c r="I33" s="51">
        <v>450</v>
      </c>
      <c r="J33" s="51">
        <v>450</v>
      </c>
      <c r="K33" s="217">
        <f t="shared" si="8"/>
        <v>900</v>
      </c>
      <c r="L33" s="217">
        <f t="shared" si="10"/>
        <v>7150</v>
      </c>
      <c r="M33" s="51">
        <v>450</v>
      </c>
      <c r="N33" s="51">
        <v>450</v>
      </c>
      <c r="O33" s="217">
        <f t="shared" si="13"/>
        <v>900</v>
      </c>
      <c r="P33" s="217">
        <f t="shared" si="14"/>
        <v>5350</v>
      </c>
      <c r="Q33" s="51">
        <v>300</v>
      </c>
      <c r="R33" s="51">
        <v>300</v>
      </c>
      <c r="S33" s="51">
        <v>300</v>
      </c>
      <c r="T33" s="51">
        <v>300</v>
      </c>
      <c r="U33" s="51">
        <v>300</v>
      </c>
      <c r="V33" s="51">
        <v>300</v>
      </c>
      <c r="W33" s="51">
        <v>300</v>
      </c>
      <c r="X33" s="51">
        <v>300</v>
      </c>
      <c r="Y33" s="213">
        <v>200</v>
      </c>
      <c r="Z33" s="213">
        <v>200</v>
      </c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217">
        <f t="shared" si="15"/>
        <v>2800</v>
      </c>
      <c r="AL33" s="217">
        <f t="shared" si="16"/>
        <v>8000</v>
      </c>
      <c r="AM33" s="51">
        <v>450</v>
      </c>
      <c r="AN33" s="51">
        <v>450</v>
      </c>
      <c r="AO33" s="217">
        <f t="shared" si="9"/>
        <v>900</v>
      </c>
      <c r="AP33" s="217">
        <f t="shared" si="11"/>
        <v>7150</v>
      </c>
      <c r="AQ33" s="51">
        <f t="shared" si="6"/>
        <v>3700</v>
      </c>
      <c r="AR33" s="51">
        <f t="shared" si="12"/>
        <v>5150</v>
      </c>
      <c r="AS33" s="217">
        <v>10000</v>
      </c>
      <c r="AT33" s="231">
        <f>A33+10</f>
        <v>45730</v>
      </c>
      <c r="AU33" s="217"/>
      <c r="AV33" s="231"/>
      <c r="AW33" s="51">
        <f>AS33+AU33</f>
        <v>10000</v>
      </c>
      <c r="AX33" s="209">
        <f>AT33</f>
        <v>45730</v>
      </c>
      <c r="AY33" s="217"/>
      <c r="AZ33" s="231"/>
      <c r="BA33" s="217"/>
      <c r="BB33" s="231"/>
      <c r="BC33" s="51">
        <f>AY33+BA33</f>
        <v>0</v>
      </c>
      <c r="BD33" s="209"/>
      <c r="BE33" s="217"/>
      <c r="BF33" s="231"/>
      <c r="BG33" s="217"/>
      <c r="BH33" s="231"/>
      <c r="BI33" s="51">
        <f>BE33+BG33</f>
        <v>0</v>
      </c>
      <c r="BJ33" s="209"/>
    </row>
    <row r="34" spans="1:62" hidden="1">
      <c r="A34" s="209">
        <v>45721</v>
      </c>
      <c r="B34" s="51"/>
      <c r="C34" s="51"/>
      <c r="D34" s="233"/>
      <c r="E34" s="51"/>
      <c r="F34" s="51">
        <v>9000</v>
      </c>
      <c r="G34" s="215">
        <f t="shared" si="5"/>
        <v>0</v>
      </c>
      <c r="H34" s="51"/>
      <c r="I34" s="51">
        <v>450</v>
      </c>
      <c r="J34" s="51">
        <v>450</v>
      </c>
      <c r="K34" s="217">
        <f t="shared" si="8"/>
        <v>900</v>
      </c>
      <c r="L34" s="217">
        <f t="shared" si="10"/>
        <v>8050</v>
      </c>
      <c r="M34" s="214">
        <v>200</v>
      </c>
      <c r="N34" s="51">
        <v>450</v>
      </c>
      <c r="O34" s="217">
        <f t="shared" si="13"/>
        <v>650</v>
      </c>
      <c r="P34" s="217">
        <f t="shared" si="14"/>
        <v>6000</v>
      </c>
      <c r="Q34" s="51">
        <v>300</v>
      </c>
      <c r="R34" s="51">
        <v>300</v>
      </c>
      <c r="S34" s="51">
        <v>300</v>
      </c>
      <c r="T34" s="51">
        <v>300</v>
      </c>
      <c r="U34" s="51">
        <v>300</v>
      </c>
      <c r="V34" s="51">
        <v>300</v>
      </c>
      <c r="W34" s="51">
        <v>300</v>
      </c>
      <c r="X34" s="51">
        <v>300</v>
      </c>
      <c r="Y34" s="51">
        <v>300</v>
      </c>
      <c r="Z34" s="51">
        <v>300</v>
      </c>
      <c r="AA34" s="213">
        <v>200</v>
      </c>
      <c r="AB34" s="213">
        <v>200</v>
      </c>
      <c r="AC34" s="51"/>
      <c r="AD34" s="51"/>
      <c r="AE34" s="51"/>
      <c r="AF34" s="51"/>
      <c r="AG34" s="51"/>
      <c r="AH34" s="51"/>
      <c r="AI34" s="51"/>
      <c r="AJ34" s="51"/>
      <c r="AK34" s="217">
        <f t="shared" si="15"/>
        <v>3400</v>
      </c>
      <c r="AL34" s="217">
        <f t="shared" si="16"/>
        <v>11400</v>
      </c>
      <c r="AM34" s="51">
        <v>450</v>
      </c>
      <c r="AN34" s="51">
        <v>450</v>
      </c>
      <c r="AO34" s="217">
        <f t="shared" si="9"/>
        <v>900</v>
      </c>
      <c r="AP34" s="217">
        <f t="shared" si="11"/>
        <v>8050</v>
      </c>
      <c r="AQ34" s="51">
        <f t="shared" si="6"/>
        <v>4300</v>
      </c>
      <c r="AR34" s="51">
        <f t="shared" si="12"/>
        <v>9450</v>
      </c>
      <c r="AS34" s="217"/>
      <c r="AT34" s="217"/>
      <c r="AU34" s="217"/>
      <c r="AV34" s="217"/>
      <c r="AW34" s="51">
        <f t="shared" ref="AW34:AW97" si="17">AS34+AU34</f>
        <v>0</v>
      </c>
      <c r="AX34" s="209"/>
      <c r="AY34" s="217"/>
      <c r="AZ34" s="217"/>
      <c r="BA34" s="217"/>
      <c r="BB34" s="217"/>
      <c r="BC34" s="51">
        <f t="shared" ref="BC34:BC89" si="18">AY34+BA34</f>
        <v>0</v>
      </c>
      <c r="BD34" s="209"/>
      <c r="BE34" s="217"/>
      <c r="BF34" s="217"/>
      <c r="BG34" s="217"/>
      <c r="BH34" s="217"/>
      <c r="BI34" s="51">
        <f t="shared" ref="BI34:BI47" si="19">BE34+BG34</f>
        <v>0</v>
      </c>
      <c r="BJ34" s="209"/>
    </row>
    <row r="35" spans="1:62" hidden="1">
      <c r="A35" s="209">
        <v>45722</v>
      </c>
      <c r="B35" s="51"/>
      <c r="C35" s="51"/>
      <c r="D35" s="233"/>
      <c r="E35" s="51"/>
      <c r="F35" s="51"/>
      <c r="G35" s="215">
        <f t="shared" si="5"/>
        <v>0</v>
      </c>
      <c r="H35" s="51"/>
      <c r="I35" s="51">
        <v>450</v>
      </c>
      <c r="J35" s="51">
        <v>450</v>
      </c>
      <c r="K35" s="217">
        <f t="shared" si="8"/>
        <v>900</v>
      </c>
      <c r="L35" s="217">
        <f t="shared" si="10"/>
        <v>8950</v>
      </c>
      <c r="M35" s="51">
        <v>450</v>
      </c>
      <c r="N35" s="214">
        <v>200</v>
      </c>
      <c r="O35" s="217">
        <f t="shared" si="13"/>
        <v>650</v>
      </c>
      <c r="P35" s="217">
        <f t="shared" si="14"/>
        <v>6650</v>
      </c>
      <c r="Q35" s="51">
        <v>300</v>
      </c>
      <c r="R35" s="51">
        <v>300</v>
      </c>
      <c r="S35" s="51">
        <v>300</v>
      </c>
      <c r="T35" s="51">
        <v>300</v>
      </c>
      <c r="U35" s="51">
        <v>300</v>
      </c>
      <c r="V35" s="51">
        <v>300</v>
      </c>
      <c r="W35" s="51">
        <v>300</v>
      </c>
      <c r="X35" s="51">
        <v>300</v>
      </c>
      <c r="Y35" s="51">
        <v>300</v>
      </c>
      <c r="Z35" s="51">
        <v>300</v>
      </c>
      <c r="AA35" s="51">
        <v>300</v>
      </c>
      <c r="AB35" s="51">
        <v>300</v>
      </c>
      <c r="AC35" s="213">
        <v>200</v>
      </c>
      <c r="AD35" s="213">
        <v>200</v>
      </c>
      <c r="AE35" s="51"/>
      <c r="AF35" s="51"/>
      <c r="AG35" s="51"/>
      <c r="AH35" s="51"/>
      <c r="AI35" s="51"/>
      <c r="AJ35" s="51"/>
      <c r="AK35" s="217">
        <f t="shared" si="15"/>
        <v>4000</v>
      </c>
      <c r="AL35" s="217">
        <f t="shared" si="16"/>
        <v>15400</v>
      </c>
      <c r="AM35" s="51">
        <v>450</v>
      </c>
      <c r="AN35" s="51">
        <v>450</v>
      </c>
      <c r="AO35" s="217">
        <f t="shared" si="9"/>
        <v>900</v>
      </c>
      <c r="AP35" s="217">
        <f t="shared" si="11"/>
        <v>8950</v>
      </c>
      <c r="AQ35" s="51">
        <f t="shared" si="6"/>
        <v>4900</v>
      </c>
      <c r="AR35" s="51">
        <f t="shared" si="12"/>
        <v>14350</v>
      </c>
      <c r="AS35" s="217"/>
      <c r="AT35" s="217"/>
      <c r="AU35" s="217"/>
      <c r="AV35" s="217"/>
      <c r="AW35" s="51">
        <f t="shared" si="17"/>
        <v>0</v>
      </c>
      <c r="AX35" s="209"/>
      <c r="AY35" s="217"/>
      <c r="AZ35" s="217"/>
      <c r="BA35" s="217"/>
      <c r="BB35" s="217"/>
      <c r="BC35" s="51">
        <f t="shared" si="18"/>
        <v>0</v>
      </c>
      <c r="BD35" s="209"/>
      <c r="BE35" s="217"/>
      <c r="BF35" s="217"/>
      <c r="BG35" s="217"/>
      <c r="BH35" s="217"/>
      <c r="BI35" s="51">
        <f t="shared" si="19"/>
        <v>0</v>
      </c>
      <c r="BJ35" s="209"/>
    </row>
    <row r="36" spans="1:62" hidden="1">
      <c r="A36" s="209">
        <v>45723</v>
      </c>
      <c r="B36" s="51"/>
      <c r="C36" s="51"/>
      <c r="D36" s="233"/>
      <c r="E36" s="51"/>
      <c r="F36" s="51"/>
      <c r="G36" s="215">
        <f t="shared" si="5"/>
        <v>0</v>
      </c>
      <c r="H36" s="51"/>
      <c r="I36" s="214">
        <v>200</v>
      </c>
      <c r="J36" s="51">
        <v>450</v>
      </c>
      <c r="K36" s="217">
        <f t="shared" si="8"/>
        <v>650</v>
      </c>
      <c r="L36" s="217">
        <f t="shared" si="10"/>
        <v>9600</v>
      </c>
      <c r="M36" s="51">
        <v>450</v>
      </c>
      <c r="N36" s="51">
        <v>450</v>
      </c>
      <c r="O36" s="217">
        <f t="shared" si="13"/>
        <v>900</v>
      </c>
      <c r="P36" s="217">
        <f t="shared" si="14"/>
        <v>7550</v>
      </c>
      <c r="Q36" s="51">
        <v>300</v>
      </c>
      <c r="R36" s="51">
        <v>300</v>
      </c>
      <c r="S36" s="51">
        <v>300</v>
      </c>
      <c r="T36" s="51">
        <v>300</v>
      </c>
      <c r="U36" s="51">
        <v>300</v>
      </c>
      <c r="V36" s="51">
        <v>300</v>
      </c>
      <c r="W36" s="51">
        <v>300</v>
      </c>
      <c r="X36" s="51">
        <v>300</v>
      </c>
      <c r="Y36" s="51">
        <v>300</v>
      </c>
      <c r="Z36" s="51">
        <v>300</v>
      </c>
      <c r="AA36" s="51">
        <v>300</v>
      </c>
      <c r="AB36" s="51">
        <v>300</v>
      </c>
      <c r="AC36" s="51">
        <v>300</v>
      </c>
      <c r="AD36" s="51">
        <v>300</v>
      </c>
      <c r="AE36" s="213">
        <v>200</v>
      </c>
      <c r="AF36" s="51"/>
      <c r="AG36" s="51"/>
      <c r="AH36" s="51"/>
      <c r="AI36" s="51"/>
      <c r="AJ36" s="51"/>
      <c r="AK36" s="217">
        <f t="shared" si="15"/>
        <v>4400</v>
      </c>
      <c r="AL36" s="217">
        <f t="shared" si="16"/>
        <v>19800</v>
      </c>
      <c r="AM36" s="214">
        <v>200</v>
      </c>
      <c r="AN36" s="51">
        <v>450</v>
      </c>
      <c r="AO36" s="217">
        <f t="shared" si="9"/>
        <v>650</v>
      </c>
      <c r="AP36" s="217">
        <f t="shared" si="11"/>
        <v>9600</v>
      </c>
      <c r="AQ36" s="51">
        <f t="shared" si="6"/>
        <v>5050</v>
      </c>
      <c r="AR36" s="51">
        <f t="shared" si="12"/>
        <v>19400</v>
      </c>
      <c r="AS36" s="217"/>
      <c r="AT36" s="217"/>
      <c r="AU36" s="217"/>
      <c r="AV36" s="217"/>
      <c r="AW36" s="51">
        <f t="shared" si="17"/>
        <v>0</v>
      </c>
      <c r="AX36" s="209"/>
      <c r="AY36" s="217"/>
      <c r="AZ36" s="217"/>
      <c r="BA36" s="217"/>
      <c r="BB36" s="217"/>
      <c r="BC36" s="51">
        <f t="shared" si="18"/>
        <v>0</v>
      </c>
      <c r="BD36" s="209"/>
      <c r="BE36" s="217"/>
      <c r="BF36" s="217"/>
      <c r="BG36" s="217"/>
      <c r="BH36" s="217"/>
      <c r="BI36" s="51">
        <f t="shared" si="19"/>
        <v>0</v>
      </c>
      <c r="BJ36" s="209"/>
    </row>
    <row r="37" spans="1:62" hidden="1">
      <c r="A37" s="209">
        <v>45724</v>
      </c>
      <c r="B37" s="51"/>
      <c r="C37" s="51"/>
      <c r="D37" s="233"/>
      <c r="E37" s="51">
        <v>9000</v>
      </c>
      <c r="F37" s="51"/>
      <c r="G37" s="215">
        <f t="shared" si="5"/>
        <v>0</v>
      </c>
      <c r="H37" s="51"/>
      <c r="I37" s="51">
        <v>450</v>
      </c>
      <c r="J37" s="214">
        <v>200</v>
      </c>
      <c r="K37" s="217">
        <f t="shared" si="8"/>
        <v>650</v>
      </c>
      <c r="L37" s="217">
        <f t="shared" si="10"/>
        <v>10250</v>
      </c>
      <c r="M37" s="51">
        <v>450</v>
      </c>
      <c r="N37" s="51">
        <v>450</v>
      </c>
      <c r="O37" s="217">
        <f t="shared" si="13"/>
        <v>900</v>
      </c>
      <c r="P37" s="217">
        <f t="shared" si="14"/>
        <v>8450</v>
      </c>
      <c r="Q37" s="51">
        <v>300</v>
      </c>
      <c r="R37" s="51">
        <v>300</v>
      </c>
      <c r="S37" s="51">
        <v>300</v>
      </c>
      <c r="T37" s="51">
        <v>300</v>
      </c>
      <c r="U37" s="51">
        <v>300</v>
      </c>
      <c r="V37" s="51">
        <v>300</v>
      </c>
      <c r="W37" s="51">
        <v>300</v>
      </c>
      <c r="X37" s="51">
        <v>300</v>
      </c>
      <c r="Y37" s="51">
        <v>300</v>
      </c>
      <c r="Z37" s="51">
        <v>300</v>
      </c>
      <c r="AA37" s="51">
        <v>300</v>
      </c>
      <c r="AB37" s="51">
        <v>300</v>
      </c>
      <c r="AC37" s="51">
        <v>300</v>
      </c>
      <c r="AD37" s="51">
        <v>300</v>
      </c>
      <c r="AE37" s="51">
        <v>300</v>
      </c>
      <c r="AF37" s="213">
        <v>200</v>
      </c>
      <c r="AG37" s="51"/>
      <c r="AH37" s="51"/>
      <c r="AI37" s="51"/>
      <c r="AJ37" s="51"/>
      <c r="AK37" s="217">
        <f t="shared" si="15"/>
        <v>4700</v>
      </c>
      <c r="AL37" s="217">
        <f t="shared" si="16"/>
        <v>24500</v>
      </c>
      <c r="AM37" s="51">
        <v>450</v>
      </c>
      <c r="AN37" s="214">
        <v>200</v>
      </c>
      <c r="AO37" s="217">
        <f t="shared" si="9"/>
        <v>650</v>
      </c>
      <c r="AP37" s="217">
        <f t="shared" si="11"/>
        <v>10250</v>
      </c>
      <c r="AQ37" s="51">
        <f t="shared" si="6"/>
        <v>5350</v>
      </c>
      <c r="AR37" s="51">
        <f t="shared" si="12"/>
        <v>24750</v>
      </c>
      <c r="AS37" s="217"/>
      <c r="AT37" s="231"/>
      <c r="AU37" s="217"/>
      <c r="AV37" s="231"/>
      <c r="AW37" s="51">
        <f t="shared" si="17"/>
        <v>0</v>
      </c>
      <c r="AX37" s="209"/>
      <c r="AY37" s="217"/>
      <c r="AZ37" s="231"/>
      <c r="BA37" s="217"/>
      <c r="BB37" s="231"/>
      <c r="BC37" s="51">
        <f t="shared" si="18"/>
        <v>0</v>
      </c>
      <c r="BD37" s="209"/>
      <c r="BE37" s="217"/>
      <c r="BF37" s="231"/>
      <c r="BG37" s="217"/>
      <c r="BH37" s="231"/>
      <c r="BI37" s="51">
        <f t="shared" si="19"/>
        <v>0</v>
      </c>
      <c r="BJ37" s="209"/>
    </row>
    <row r="38" spans="1:62" hidden="1">
      <c r="A38" s="209">
        <v>45725</v>
      </c>
      <c r="B38" s="51"/>
      <c r="C38" s="51"/>
      <c r="D38" s="233"/>
      <c r="E38" s="51"/>
      <c r="F38" s="51"/>
      <c r="G38" s="215">
        <f t="shared" si="5"/>
        <v>0</v>
      </c>
      <c r="H38" s="51"/>
      <c r="I38" s="51">
        <v>450</v>
      </c>
      <c r="J38" s="51">
        <v>450</v>
      </c>
      <c r="K38" s="217">
        <f t="shared" si="8"/>
        <v>900</v>
      </c>
      <c r="L38" s="217">
        <f t="shared" si="10"/>
        <v>11150</v>
      </c>
      <c r="M38" s="51">
        <v>450</v>
      </c>
      <c r="N38" s="51">
        <v>450</v>
      </c>
      <c r="O38" s="217">
        <f t="shared" si="13"/>
        <v>900</v>
      </c>
      <c r="P38" s="217">
        <f t="shared" si="14"/>
        <v>9350</v>
      </c>
      <c r="Q38" s="51">
        <v>300</v>
      </c>
      <c r="R38" s="51">
        <v>300</v>
      </c>
      <c r="S38" s="51">
        <v>300</v>
      </c>
      <c r="T38" s="51">
        <v>300</v>
      </c>
      <c r="U38" s="51">
        <v>300</v>
      </c>
      <c r="V38" s="51">
        <v>300</v>
      </c>
      <c r="W38" s="51">
        <v>300</v>
      </c>
      <c r="X38" s="51">
        <v>300</v>
      </c>
      <c r="Y38" s="51">
        <v>300</v>
      </c>
      <c r="Z38" s="51">
        <v>300</v>
      </c>
      <c r="AA38" s="51">
        <v>300</v>
      </c>
      <c r="AB38" s="51">
        <v>300</v>
      </c>
      <c r="AC38" s="51">
        <v>300</v>
      </c>
      <c r="AD38" s="51">
        <v>300</v>
      </c>
      <c r="AE38" s="51">
        <v>300</v>
      </c>
      <c r="AF38" s="51">
        <v>300</v>
      </c>
      <c r="AG38" s="213">
        <v>200</v>
      </c>
      <c r="AH38" s="51"/>
      <c r="AI38" s="51"/>
      <c r="AJ38" s="51"/>
      <c r="AK38" s="217">
        <f t="shared" si="15"/>
        <v>5000</v>
      </c>
      <c r="AL38" s="217">
        <f t="shared" si="16"/>
        <v>29500</v>
      </c>
      <c r="AM38" s="51">
        <v>450</v>
      </c>
      <c r="AN38" s="51">
        <v>450</v>
      </c>
      <c r="AO38" s="217">
        <f t="shared" si="9"/>
        <v>900</v>
      </c>
      <c r="AP38" s="217">
        <f t="shared" si="11"/>
        <v>11150</v>
      </c>
      <c r="AQ38" s="51">
        <f t="shared" si="6"/>
        <v>5900</v>
      </c>
      <c r="AR38" s="51">
        <f t="shared" si="12"/>
        <v>30650</v>
      </c>
      <c r="AS38" s="217"/>
      <c r="AT38" s="217"/>
      <c r="AU38" s="217"/>
      <c r="AV38" s="217"/>
      <c r="AW38" s="51">
        <f t="shared" si="17"/>
        <v>0</v>
      </c>
      <c r="AX38" s="209"/>
      <c r="AY38" s="217"/>
      <c r="AZ38" s="217"/>
      <c r="BA38" s="217"/>
      <c r="BB38" s="217"/>
      <c r="BC38" s="51">
        <f t="shared" si="18"/>
        <v>0</v>
      </c>
      <c r="BD38" s="209"/>
      <c r="BE38" s="217"/>
      <c r="BF38" s="217"/>
      <c r="BG38" s="217"/>
      <c r="BH38" s="217"/>
      <c r="BI38" s="51">
        <f t="shared" si="19"/>
        <v>0</v>
      </c>
      <c r="BJ38" s="209"/>
    </row>
    <row r="39" spans="1:62">
      <c r="A39" s="209">
        <v>45726</v>
      </c>
      <c r="B39" s="51"/>
      <c r="C39" s="51">
        <v>6000</v>
      </c>
      <c r="D39" s="233"/>
      <c r="E39" s="51"/>
      <c r="F39" s="51"/>
      <c r="G39" s="215">
        <f t="shared" si="5"/>
        <v>41958.041958041962</v>
      </c>
      <c r="H39" s="51"/>
      <c r="I39" s="51">
        <v>450</v>
      </c>
      <c r="J39" s="51">
        <v>450</v>
      </c>
      <c r="K39" s="217">
        <f t="shared" si="8"/>
        <v>900</v>
      </c>
      <c r="L39" s="217">
        <f t="shared" si="10"/>
        <v>12050</v>
      </c>
      <c r="M39" s="51">
        <v>450</v>
      </c>
      <c r="N39" s="51">
        <v>450</v>
      </c>
      <c r="O39" s="217">
        <f t="shared" si="13"/>
        <v>900</v>
      </c>
      <c r="P39" s="217">
        <f t="shared" si="14"/>
        <v>10250</v>
      </c>
      <c r="Q39" s="51">
        <v>300</v>
      </c>
      <c r="R39" s="51">
        <v>300</v>
      </c>
      <c r="S39" s="51">
        <v>300</v>
      </c>
      <c r="T39" s="51">
        <v>300</v>
      </c>
      <c r="U39" s="51">
        <v>300</v>
      </c>
      <c r="V39" s="51">
        <v>300</v>
      </c>
      <c r="W39" s="51">
        <v>300</v>
      </c>
      <c r="X39" s="51">
        <v>300</v>
      </c>
      <c r="Y39" s="51">
        <v>300</v>
      </c>
      <c r="Z39" s="51">
        <v>300</v>
      </c>
      <c r="AA39" s="51">
        <v>300</v>
      </c>
      <c r="AB39" s="51">
        <v>300</v>
      </c>
      <c r="AC39" s="51">
        <v>300</v>
      </c>
      <c r="AD39" s="51">
        <v>300</v>
      </c>
      <c r="AE39" s="51">
        <v>300</v>
      </c>
      <c r="AF39" s="51">
        <v>300</v>
      </c>
      <c r="AG39" s="51">
        <v>300</v>
      </c>
      <c r="AH39" s="213">
        <v>200</v>
      </c>
      <c r="AI39" s="51"/>
      <c r="AJ39" s="51"/>
      <c r="AK39" s="217">
        <f t="shared" si="15"/>
        <v>5300</v>
      </c>
      <c r="AL39" s="217">
        <f t="shared" si="16"/>
        <v>34800</v>
      </c>
      <c r="AM39" s="51">
        <v>450</v>
      </c>
      <c r="AN39" s="51">
        <v>450</v>
      </c>
      <c r="AO39" s="217">
        <f t="shared" si="9"/>
        <v>900</v>
      </c>
      <c r="AP39" s="217">
        <f t="shared" si="11"/>
        <v>2050</v>
      </c>
      <c r="AQ39" s="51">
        <f t="shared" si="6"/>
        <v>6200</v>
      </c>
      <c r="AR39" s="51">
        <f t="shared" si="12"/>
        <v>11850</v>
      </c>
      <c r="AS39" s="217">
        <v>25000</v>
      </c>
      <c r="AT39" s="231">
        <f>A39+12</f>
        <v>45738</v>
      </c>
      <c r="AU39" s="217"/>
      <c r="AV39" s="231"/>
      <c r="AW39" s="51">
        <f t="shared" si="17"/>
        <v>25000</v>
      </c>
      <c r="AX39" s="209">
        <f>AT39</f>
        <v>45738</v>
      </c>
      <c r="AY39" s="217">
        <v>10000</v>
      </c>
      <c r="AZ39" s="231">
        <f>A39+12</f>
        <v>45738</v>
      </c>
      <c r="BA39" s="217"/>
      <c r="BB39" s="217"/>
      <c r="BC39" s="51">
        <f t="shared" si="18"/>
        <v>10000</v>
      </c>
      <c r="BD39" s="209">
        <f>AZ39</f>
        <v>45738</v>
      </c>
      <c r="BE39" s="217"/>
      <c r="BF39" s="231"/>
      <c r="BG39" s="217"/>
      <c r="BH39" s="217"/>
      <c r="BI39" s="51">
        <f t="shared" si="19"/>
        <v>0</v>
      </c>
      <c r="BJ39" s="209"/>
    </row>
    <row r="40" spans="1:62" hidden="1">
      <c r="A40" s="209">
        <v>45727</v>
      </c>
      <c r="B40" s="51"/>
      <c r="C40" s="51"/>
      <c r="D40" s="233"/>
      <c r="E40" s="51"/>
      <c r="F40" s="51"/>
      <c r="G40" s="215">
        <f t="shared" si="5"/>
        <v>0</v>
      </c>
      <c r="H40" s="51"/>
      <c r="I40" s="51">
        <v>450</v>
      </c>
      <c r="J40" s="51">
        <v>450</v>
      </c>
      <c r="K40" s="217">
        <f t="shared" si="8"/>
        <v>900</v>
      </c>
      <c r="L40" s="217">
        <f t="shared" si="10"/>
        <v>12950</v>
      </c>
      <c r="M40" s="51">
        <v>450</v>
      </c>
      <c r="N40" s="51">
        <v>450</v>
      </c>
      <c r="O40" s="217">
        <f t="shared" si="13"/>
        <v>900</v>
      </c>
      <c r="P40" s="217">
        <f t="shared" si="14"/>
        <v>1150</v>
      </c>
      <c r="Q40" s="213">
        <v>200</v>
      </c>
      <c r="R40" s="213">
        <v>200</v>
      </c>
      <c r="S40" s="51">
        <v>300</v>
      </c>
      <c r="T40" s="51">
        <v>300</v>
      </c>
      <c r="U40" s="51">
        <v>300</v>
      </c>
      <c r="V40" s="51">
        <v>300</v>
      </c>
      <c r="W40" s="51">
        <v>300</v>
      </c>
      <c r="X40" s="51">
        <v>300</v>
      </c>
      <c r="Y40" s="51">
        <v>300</v>
      </c>
      <c r="Z40" s="51">
        <v>300</v>
      </c>
      <c r="AA40" s="51">
        <v>300</v>
      </c>
      <c r="AB40" s="51">
        <v>300</v>
      </c>
      <c r="AC40" s="51">
        <v>300</v>
      </c>
      <c r="AD40" s="51">
        <v>300</v>
      </c>
      <c r="AE40" s="51">
        <v>300</v>
      </c>
      <c r="AF40" s="51">
        <v>300</v>
      </c>
      <c r="AG40" s="51">
        <v>300</v>
      </c>
      <c r="AH40" s="51">
        <v>300</v>
      </c>
      <c r="AI40" s="213">
        <v>200</v>
      </c>
      <c r="AJ40" s="51"/>
      <c r="AK40" s="217">
        <f t="shared" si="15"/>
        <v>5400</v>
      </c>
      <c r="AL40" s="217">
        <f t="shared" si="16"/>
        <v>40200</v>
      </c>
      <c r="AM40" s="51">
        <v>450</v>
      </c>
      <c r="AN40" s="51">
        <v>450</v>
      </c>
      <c r="AO40" s="217">
        <f t="shared" si="9"/>
        <v>900</v>
      </c>
      <c r="AP40" s="217">
        <f t="shared" si="11"/>
        <v>2950</v>
      </c>
      <c r="AQ40" s="51">
        <f t="shared" si="6"/>
        <v>6300</v>
      </c>
      <c r="AR40" s="51">
        <f t="shared" si="12"/>
        <v>18150</v>
      </c>
      <c r="AS40" s="217"/>
      <c r="AT40" s="217"/>
      <c r="AU40" s="217"/>
      <c r="AV40" s="231"/>
      <c r="AW40" s="51">
        <f t="shared" si="17"/>
        <v>0</v>
      </c>
      <c r="AX40" s="209"/>
      <c r="AY40" s="217"/>
      <c r="AZ40" s="231"/>
      <c r="BA40" s="217"/>
      <c r="BB40" s="231"/>
      <c r="BC40" s="51">
        <f t="shared" si="18"/>
        <v>0</v>
      </c>
      <c r="BD40" s="209"/>
      <c r="BE40" s="217">
        <v>10000</v>
      </c>
      <c r="BF40" s="231">
        <f>A40+12</f>
        <v>45739</v>
      </c>
      <c r="BG40" s="217"/>
      <c r="BH40" s="231"/>
      <c r="BI40" s="51">
        <f t="shared" si="19"/>
        <v>10000</v>
      </c>
      <c r="BJ40" s="209">
        <f>BF40</f>
        <v>45739</v>
      </c>
    </row>
    <row r="41" spans="1:62" hidden="1">
      <c r="A41" s="209">
        <v>45728</v>
      </c>
      <c r="B41" s="51"/>
      <c r="C41" s="51"/>
      <c r="D41" s="233"/>
      <c r="E41" s="51"/>
      <c r="F41" s="51">
        <v>9000</v>
      </c>
      <c r="G41" s="215">
        <f t="shared" si="5"/>
        <v>0</v>
      </c>
      <c r="H41" s="51"/>
      <c r="I41" s="51">
        <v>450</v>
      </c>
      <c r="J41" s="51">
        <v>450</v>
      </c>
      <c r="K41" s="217">
        <f t="shared" si="8"/>
        <v>900</v>
      </c>
      <c r="L41" s="217">
        <f t="shared" si="10"/>
        <v>13850</v>
      </c>
      <c r="M41" s="51">
        <v>450</v>
      </c>
      <c r="N41" s="51">
        <v>450</v>
      </c>
      <c r="O41" s="217">
        <f t="shared" si="13"/>
        <v>900</v>
      </c>
      <c r="P41" s="217">
        <f t="shared" si="14"/>
        <v>2050</v>
      </c>
      <c r="Q41" s="51">
        <v>300</v>
      </c>
      <c r="R41" s="51">
        <v>300</v>
      </c>
      <c r="S41" s="213">
        <v>200</v>
      </c>
      <c r="T41" s="213">
        <v>200</v>
      </c>
      <c r="U41" s="51">
        <v>300</v>
      </c>
      <c r="V41" s="51">
        <v>300</v>
      </c>
      <c r="W41" s="51">
        <v>300</v>
      </c>
      <c r="X41" s="51">
        <v>300</v>
      </c>
      <c r="Y41" s="51">
        <v>300</v>
      </c>
      <c r="Z41" s="51">
        <v>300</v>
      </c>
      <c r="AA41" s="51">
        <v>300</v>
      </c>
      <c r="AB41" s="51">
        <v>300</v>
      </c>
      <c r="AC41" s="51">
        <v>300</v>
      </c>
      <c r="AD41" s="51">
        <v>300</v>
      </c>
      <c r="AE41" s="51">
        <v>300</v>
      </c>
      <c r="AF41" s="51">
        <v>300</v>
      </c>
      <c r="AG41" s="51">
        <v>300</v>
      </c>
      <c r="AH41" s="51">
        <v>300</v>
      </c>
      <c r="AI41" s="51">
        <v>300</v>
      </c>
      <c r="AJ41" s="213">
        <v>200</v>
      </c>
      <c r="AK41" s="217">
        <f t="shared" si="15"/>
        <v>5700</v>
      </c>
      <c r="AL41" s="217">
        <f t="shared" si="16"/>
        <v>45900</v>
      </c>
      <c r="AM41" s="51">
        <v>450</v>
      </c>
      <c r="AN41" s="51">
        <v>450</v>
      </c>
      <c r="AO41" s="217">
        <f t="shared" si="9"/>
        <v>900</v>
      </c>
      <c r="AP41" s="217">
        <f t="shared" si="11"/>
        <v>3850</v>
      </c>
      <c r="AQ41" s="51">
        <f t="shared" si="6"/>
        <v>6600</v>
      </c>
      <c r="AR41" s="51">
        <f t="shared" si="12"/>
        <v>24750</v>
      </c>
      <c r="AS41" s="217"/>
      <c r="AT41" s="217"/>
      <c r="AU41" s="217"/>
      <c r="AV41" s="217"/>
      <c r="AW41" s="51">
        <f t="shared" si="17"/>
        <v>0</v>
      </c>
      <c r="AX41" s="209"/>
      <c r="AY41" s="217"/>
      <c r="AZ41" s="231"/>
      <c r="BA41" s="217"/>
      <c r="BB41" s="217"/>
      <c r="BC41" s="51">
        <f t="shared" si="18"/>
        <v>0</v>
      </c>
      <c r="BD41" s="209"/>
      <c r="BE41" s="217"/>
      <c r="BF41" s="231"/>
      <c r="BG41" s="217"/>
      <c r="BH41" s="217"/>
      <c r="BI41" s="51">
        <f t="shared" si="19"/>
        <v>0</v>
      </c>
      <c r="BJ41" s="209"/>
    </row>
    <row r="42" spans="1:62" hidden="1">
      <c r="A42" s="209">
        <v>45729</v>
      </c>
      <c r="B42" s="51"/>
      <c r="C42" s="51"/>
      <c r="D42" s="233"/>
      <c r="E42" s="51"/>
      <c r="F42" s="51"/>
      <c r="G42" s="215">
        <f t="shared" si="5"/>
        <v>0</v>
      </c>
      <c r="H42" s="51"/>
      <c r="I42" s="51">
        <v>450</v>
      </c>
      <c r="J42" s="51">
        <v>450</v>
      </c>
      <c r="K42" s="217">
        <f t="shared" si="8"/>
        <v>900</v>
      </c>
      <c r="L42" s="217">
        <f t="shared" si="10"/>
        <v>14750</v>
      </c>
      <c r="M42" s="51">
        <v>450</v>
      </c>
      <c r="N42" s="51">
        <v>450</v>
      </c>
      <c r="O42" s="217">
        <f t="shared" si="13"/>
        <v>900</v>
      </c>
      <c r="P42" s="217">
        <f t="shared" si="14"/>
        <v>2950</v>
      </c>
      <c r="Q42" s="51">
        <v>300</v>
      </c>
      <c r="R42" s="51">
        <v>300</v>
      </c>
      <c r="S42" s="51">
        <v>300</v>
      </c>
      <c r="T42" s="51">
        <v>300</v>
      </c>
      <c r="U42" s="213">
        <v>200</v>
      </c>
      <c r="V42" s="213">
        <v>200</v>
      </c>
      <c r="W42" s="51">
        <v>300</v>
      </c>
      <c r="X42" s="51">
        <v>300</v>
      </c>
      <c r="Y42" s="51">
        <v>300</v>
      </c>
      <c r="Z42" s="51">
        <v>300</v>
      </c>
      <c r="AA42" s="51">
        <v>300</v>
      </c>
      <c r="AB42" s="51">
        <v>300</v>
      </c>
      <c r="AC42" s="51">
        <v>300</v>
      </c>
      <c r="AD42" s="51">
        <v>300</v>
      </c>
      <c r="AE42" s="51">
        <v>300</v>
      </c>
      <c r="AF42" s="51">
        <v>300</v>
      </c>
      <c r="AG42" s="51">
        <v>300</v>
      </c>
      <c r="AH42" s="51">
        <v>300</v>
      </c>
      <c r="AI42" s="51">
        <v>300</v>
      </c>
      <c r="AJ42" s="51">
        <v>300</v>
      </c>
      <c r="AK42" s="217">
        <f t="shared" si="15"/>
        <v>5800</v>
      </c>
      <c r="AL42" s="217">
        <f t="shared" si="16"/>
        <v>51700</v>
      </c>
      <c r="AM42" s="51">
        <v>450</v>
      </c>
      <c r="AN42" s="51">
        <v>450</v>
      </c>
      <c r="AO42" s="217">
        <f t="shared" si="9"/>
        <v>900</v>
      </c>
      <c r="AP42" s="217">
        <f t="shared" si="11"/>
        <v>4750</v>
      </c>
      <c r="AQ42" s="51">
        <f t="shared" si="6"/>
        <v>6700</v>
      </c>
      <c r="AR42" s="51">
        <f t="shared" si="12"/>
        <v>31450</v>
      </c>
      <c r="AS42" s="217"/>
      <c r="AT42" s="217"/>
      <c r="AU42" s="217"/>
      <c r="AV42" s="217"/>
      <c r="AW42" s="51">
        <f t="shared" si="17"/>
        <v>0</v>
      </c>
      <c r="AX42" s="209"/>
      <c r="AY42" s="217"/>
      <c r="AZ42" s="231"/>
      <c r="BA42" s="217"/>
      <c r="BB42" s="217"/>
      <c r="BC42" s="51">
        <f t="shared" si="18"/>
        <v>0</v>
      </c>
      <c r="BD42" s="209"/>
      <c r="BE42" s="217"/>
      <c r="BF42" s="231"/>
      <c r="BG42" s="217"/>
      <c r="BH42" s="217"/>
      <c r="BI42" s="51">
        <f t="shared" si="19"/>
        <v>0</v>
      </c>
      <c r="BJ42" s="209"/>
    </row>
    <row r="43" spans="1:62">
      <c r="A43" s="209">
        <v>45730</v>
      </c>
      <c r="B43" s="51"/>
      <c r="C43" s="51"/>
      <c r="D43" s="233"/>
      <c r="E43" s="51">
        <v>9000</v>
      </c>
      <c r="F43" s="51"/>
      <c r="G43" s="215">
        <f t="shared" si="5"/>
        <v>0</v>
      </c>
      <c r="H43" s="51"/>
      <c r="I43" s="51">
        <v>450</v>
      </c>
      <c r="J43" s="51">
        <v>450</v>
      </c>
      <c r="K43" s="217">
        <f t="shared" si="8"/>
        <v>900</v>
      </c>
      <c r="L43" s="217">
        <f t="shared" si="10"/>
        <v>15650</v>
      </c>
      <c r="M43" s="51">
        <v>450</v>
      </c>
      <c r="N43" s="51">
        <v>450</v>
      </c>
      <c r="O43" s="217">
        <f t="shared" si="13"/>
        <v>900</v>
      </c>
      <c r="P43" s="217">
        <f t="shared" si="14"/>
        <v>3850</v>
      </c>
      <c r="Q43" s="51">
        <v>300</v>
      </c>
      <c r="R43" s="51">
        <v>300</v>
      </c>
      <c r="S43" s="51">
        <v>300</v>
      </c>
      <c r="T43" s="51">
        <v>300</v>
      </c>
      <c r="U43" s="51">
        <v>300</v>
      </c>
      <c r="V43" s="51">
        <v>300</v>
      </c>
      <c r="W43" s="213">
        <v>200</v>
      </c>
      <c r="X43" s="213">
        <v>200</v>
      </c>
      <c r="Y43" s="51">
        <v>300</v>
      </c>
      <c r="Z43" s="51">
        <v>300</v>
      </c>
      <c r="AA43" s="51">
        <v>300</v>
      </c>
      <c r="AB43" s="51">
        <v>300</v>
      </c>
      <c r="AC43" s="51">
        <v>300</v>
      </c>
      <c r="AD43" s="51">
        <v>300</v>
      </c>
      <c r="AE43" s="51">
        <v>300</v>
      </c>
      <c r="AF43" s="51">
        <v>300</v>
      </c>
      <c r="AG43" s="51">
        <v>300</v>
      </c>
      <c r="AH43" s="51">
        <v>300</v>
      </c>
      <c r="AI43" s="51">
        <v>300</v>
      </c>
      <c r="AJ43" s="51">
        <v>300</v>
      </c>
      <c r="AK43" s="217">
        <f t="shared" si="15"/>
        <v>5800</v>
      </c>
      <c r="AL43" s="217">
        <f t="shared" si="16"/>
        <v>57500</v>
      </c>
      <c r="AM43" s="51">
        <v>450</v>
      </c>
      <c r="AN43" s="51">
        <v>450</v>
      </c>
      <c r="AO43" s="217">
        <f t="shared" si="9"/>
        <v>900</v>
      </c>
      <c r="AP43" s="217">
        <f t="shared" si="11"/>
        <v>5650</v>
      </c>
      <c r="AQ43" s="51">
        <f t="shared" si="6"/>
        <v>6700</v>
      </c>
      <c r="AR43" s="51">
        <f t="shared" si="12"/>
        <v>13150</v>
      </c>
      <c r="AS43" s="217"/>
      <c r="AT43" s="231"/>
      <c r="AU43" s="217">
        <v>25000</v>
      </c>
      <c r="AV43" s="231">
        <f>A43+12</f>
        <v>45742</v>
      </c>
      <c r="AW43" s="51">
        <f t="shared" si="17"/>
        <v>25000</v>
      </c>
      <c r="AX43" s="209">
        <f>AV43</f>
        <v>45742</v>
      </c>
      <c r="AY43" s="217"/>
      <c r="AZ43" s="231"/>
      <c r="BA43" s="217"/>
      <c r="BB43" s="231"/>
      <c r="BC43" s="51">
        <f t="shared" si="18"/>
        <v>0</v>
      </c>
      <c r="BD43" s="209"/>
      <c r="BE43" s="217"/>
      <c r="BF43" s="231"/>
      <c r="BG43" s="217"/>
      <c r="BH43" s="231"/>
      <c r="BI43" s="51">
        <f t="shared" si="19"/>
        <v>0</v>
      </c>
      <c r="BJ43" s="209"/>
    </row>
    <row r="44" spans="1:62" hidden="1">
      <c r="A44" s="209">
        <v>45731</v>
      </c>
      <c r="B44" s="51">
        <v>8000</v>
      </c>
      <c r="C44" s="51"/>
      <c r="D44" s="233"/>
      <c r="E44" s="51"/>
      <c r="F44" s="51"/>
      <c r="G44" s="215">
        <f t="shared" si="5"/>
        <v>55944.055944055952</v>
      </c>
      <c r="H44" s="51"/>
      <c r="I44" s="51">
        <v>450</v>
      </c>
      <c r="J44" s="51">
        <v>450</v>
      </c>
      <c r="K44" s="217">
        <f t="shared" si="8"/>
        <v>900</v>
      </c>
      <c r="L44" s="217">
        <f t="shared" si="10"/>
        <v>16550</v>
      </c>
      <c r="M44" s="51">
        <v>450</v>
      </c>
      <c r="N44" s="51">
        <v>450</v>
      </c>
      <c r="O44" s="217">
        <f t="shared" si="13"/>
        <v>900</v>
      </c>
      <c r="P44" s="217">
        <f t="shared" si="14"/>
        <v>4750</v>
      </c>
      <c r="Q44" s="51">
        <v>300</v>
      </c>
      <c r="R44" s="51">
        <v>300</v>
      </c>
      <c r="S44" s="51">
        <v>300</v>
      </c>
      <c r="T44" s="51">
        <v>300</v>
      </c>
      <c r="U44" s="51">
        <v>300</v>
      </c>
      <c r="V44" s="51">
        <v>300</v>
      </c>
      <c r="W44" s="51">
        <v>300</v>
      </c>
      <c r="X44" s="51">
        <v>300</v>
      </c>
      <c r="Y44" s="213">
        <v>200</v>
      </c>
      <c r="Z44" s="213">
        <v>200</v>
      </c>
      <c r="AA44" s="51">
        <v>300</v>
      </c>
      <c r="AB44" s="51">
        <v>300</v>
      </c>
      <c r="AC44" s="51">
        <v>300</v>
      </c>
      <c r="AD44" s="51">
        <v>300</v>
      </c>
      <c r="AE44" s="51">
        <v>300</v>
      </c>
      <c r="AF44" s="51">
        <v>300</v>
      </c>
      <c r="AG44" s="51">
        <v>300</v>
      </c>
      <c r="AH44" s="51">
        <v>300</v>
      </c>
      <c r="AI44" s="51">
        <v>300</v>
      </c>
      <c r="AJ44" s="51">
        <v>300</v>
      </c>
      <c r="AK44" s="217">
        <f t="shared" si="15"/>
        <v>5800</v>
      </c>
      <c r="AL44" s="217">
        <f t="shared" si="16"/>
        <v>63300</v>
      </c>
      <c r="AM44" s="51">
        <v>450</v>
      </c>
      <c r="AN44" s="51">
        <v>450</v>
      </c>
      <c r="AO44" s="217">
        <f t="shared" si="9"/>
        <v>900</v>
      </c>
      <c r="AP44" s="217">
        <f t="shared" si="11"/>
        <v>6550</v>
      </c>
      <c r="AQ44" s="51">
        <f t="shared" si="6"/>
        <v>6700</v>
      </c>
      <c r="AR44" s="51">
        <f t="shared" si="12"/>
        <v>19850</v>
      </c>
      <c r="AS44" s="217"/>
      <c r="AT44" s="217"/>
      <c r="AU44" s="217"/>
      <c r="AV44" s="217"/>
      <c r="AW44" s="51">
        <f t="shared" si="17"/>
        <v>0</v>
      </c>
      <c r="AX44" s="209"/>
      <c r="AY44" s="217"/>
      <c r="AZ44" s="231"/>
      <c r="BA44" s="217"/>
      <c r="BB44" s="231"/>
      <c r="BC44" s="51">
        <f t="shared" si="18"/>
        <v>0</v>
      </c>
      <c r="BD44" s="209"/>
      <c r="BE44" s="217"/>
      <c r="BF44" s="231"/>
      <c r="BG44" s="217"/>
      <c r="BH44" s="217"/>
      <c r="BI44" s="51">
        <f t="shared" si="19"/>
        <v>0</v>
      </c>
      <c r="BJ44" s="209"/>
    </row>
    <row r="45" spans="1:62" hidden="1">
      <c r="A45" s="209">
        <v>45732</v>
      </c>
      <c r="B45" s="51"/>
      <c r="C45" s="51"/>
      <c r="D45" s="233"/>
      <c r="E45" s="51"/>
      <c r="F45" s="51"/>
      <c r="G45" s="215">
        <f t="shared" si="5"/>
        <v>0</v>
      </c>
      <c r="H45" s="51"/>
      <c r="I45" s="51">
        <v>450</v>
      </c>
      <c r="J45" s="51">
        <v>450</v>
      </c>
      <c r="K45" s="217">
        <f t="shared" si="8"/>
        <v>900</v>
      </c>
      <c r="L45" s="217">
        <f t="shared" si="10"/>
        <v>17450</v>
      </c>
      <c r="M45" s="214">
        <v>200</v>
      </c>
      <c r="N45" s="51">
        <v>450</v>
      </c>
      <c r="O45" s="217">
        <f t="shared" si="13"/>
        <v>650</v>
      </c>
      <c r="P45" s="217">
        <f t="shared" si="14"/>
        <v>5400</v>
      </c>
      <c r="Q45" s="51">
        <v>300</v>
      </c>
      <c r="R45" s="51">
        <v>300</v>
      </c>
      <c r="S45" s="51">
        <v>300</v>
      </c>
      <c r="T45" s="51">
        <v>300</v>
      </c>
      <c r="U45" s="51">
        <v>300</v>
      </c>
      <c r="V45" s="51">
        <v>300</v>
      </c>
      <c r="W45" s="51">
        <v>300</v>
      </c>
      <c r="X45" s="51">
        <v>300</v>
      </c>
      <c r="Y45" s="51">
        <v>300</v>
      </c>
      <c r="Z45" s="51">
        <v>300</v>
      </c>
      <c r="AA45" s="213">
        <v>200</v>
      </c>
      <c r="AB45" s="213">
        <v>200</v>
      </c>
      <c r="AC45" s="51">
        <v>300</v>
      </c>
      <c r="AD45" s="51">
        <v>300</v>
      </c>
      <c r="AE45" s="51">
        <v>300</v>
      </c>
      <c r="AF45" s="51">
        <v>300</v>
      </c>
      <c r="AG45" s="51">
        <v>300</v>
      </c>
      <c r="AH45" s="51">
        <v>300</v>
      </c>
      <c r="AI45" s="51">
        <v>300</v>
      </c>
      <c r="AJ45" s="51">
        <v>300</v>
      </c>
      <c r="AK45" s="217">
        <f t="shared" si="15"/>
        <v>5800</v>
      </c>
      <c r="AL45" s="217">
        <f t="shared" si="16"/>
        <v>69100</v>
      </c>
      <c r="AM45" s="51">
        <v>450</v>
      </c>
      <c r="AN45" s="51">
        <v>450</v>
      </c>
      <c r="AO45" s="217">
        <f t="shared" si="9"/>
        <v>900</v>
      </c>
      <c r="AP45" s="217">
        <f t="shared" si="11"/>
        <v>7450</v>
      </c>
      <c r="AQ45" s="51">
        <f t="shared" si="6"/>
        <v>6700</v>
      </c>
      <c r="AR45" s="51">
        <f t="shared" si="12"/>
        <v>26550</v>
      </c>
      <c r="AS45" s="217"/>
      <c r="AT45" s="217"/>
      <c r="AU45" s="217"/>
      <c r="AV45" s="217"/>
      <c r="AW45" s="51">
        <f t="shared" si="17"/>
        <v>0</v>
      </c>
      <c r="AX45" s="209"/>
      <c r="AY45" s="217"/>
      <c r="AZ45" s="231"/>
      <c r="BA45" s="217"/>
      <c r="BB45" s="217"/>
      <c r="BC45" s="51">
        <f t="shared" si="18"/>
        <v>0</v>
      </c>
      <c r="BD45" s="209"/>
      <c r="BE45" s="217"/>
      <c r="BF45" s="231"/>
      <c r="BG45" s="217"/>
      <c r="BH45" s="217"/>
      <c r="BI45" s="51">
        <f t="shared" si="19"/>
        <v>0</v>
      </c>
      <c r="BJ45" s="209"/>
    </row>
    <row r="46" spans="1:62" hidden="1">
      <c r="A46" s="209">
        <v>45733</v>
      </c>
      <c r="B46" s="51"/>
      <c r="C46" s="51">
        <v>5000</v>
      </c>
      <c r="D46" s="233"/>
      <c r="E46" s="51"/>
      <c r="F46" s="51"/>
      <c r="G46" s="215">
        <f t="shared" si="5"/>
        <v>34965.034965034967</v>
      </c>
      <c r="H46" s="51"/>
      <c r="I46" s="51">
        <v>450</v>
      </c>
      <c r="J46" s="51">
        <v>450</v>
      </c>
      <c r="K46" s="217">
        <f t="shared" si="8"/>
        <v>900</v>
      </c>
      <c r="L46" s="217">
        <f t="shared" si="10"/>
        <v>18350</v>
      </c>
      <c r="M46" s="51">
        <v>450</v>
      </c>
      <c r="N46" s="214">
        <v>200</v>
      </c>
      <c r="O46" s="217">
        <f t="shared" si="13"/>
        <v>650</v>
      </c>
      <c r="P46" s="217">
        <f t="shared" si="14"/>
        <v>6050</v>
      </c>
      <c r="Q46" s="51">
        <v>300</v>
      </c>
      <c r="R46" s="51">
        <v>300</v>
      </c>
      <c r="S46" s="51">
        <v>300</v>
      </c>
      <c r="T46" s="51">
        <v>300</v>
      </c>
      <c r="U46" s="51">
        <v>300</v>
      </c>
      <c r="V46" s="51">
        <v>300</v>
      </c>
      <c r="W46" s="51">
        <v>300</v>
      </c>
      <c r="X46" s="51">
        <v>300</v>
      </c>
      <c r="Y46" s="51">
        <v>300</v>
      </c>
      <c r="Z46" s="51">
        <v>300</v>
      </c>
      <c r="AA46" s="51">
        <v>300</v>
      </c>
      <c r="AB46" s="51">
        <v>300</v>
      </c>
      <c r="AC46" s="213">
        <v>200</v>
      </c>
      <c r="AD46" s="213">
        <v>200</v>
      </c>
      <c r="AE46" s="51">
        <v>300</v>
      </c>
      <c r="AF46" s="51">
        <v>300</v>
      </c>
      <c r="AG46" s="51">
        <v>300</v>
      </c>
      <c r="AH46" s="51">
        <v>300</v>
      </c>
      <c r="AI46" s="51">
        <v>300</v>
      </c>
      <c r="AJ46" s="51">
        <v>300</v>
      </c>
      <c r="AK46" s="217">
        <f t="shared" si="15"/>
        <v>5800</v>
      </c>
      <c r="AL46" s="217">
        <f t="shared" si="16"/>
        <v>74900</v>
      </c>
      <c r="AM46" s="51">
        <v>450</v>
      </c>
      <c r="AN46" s="51">
        <v>450</v>
      </c>
      <c r="AO46" s="217">
        <f t="shared" si="9"/>
        <v>900</v>
      </c>
      <c r="AP46" s="217">
        <f t="shared" si="11"/>
        <v>8350</v>
      </c>
      <c r="AQ46" s="51">
        <f t="shared" si="6"/>
        <v>6700</v>
      </c>
      <c r="AR46" s="51">
        <f t="shared" si="12"/>
        <v>33250</v>
      </c>
      <c r="AS46" s="217"/>
      <c r="AT46" s="217"/>
      <c r="AU46" s="217"/>
      <c r="AV46" s="231"/>
      <c r="AW46" s="51">
        <f t="shared" si="17"/>
        <v>0</v>
      </c>
      <c r="AX46" s="209"/>
      <c r="AY46" s="217"/>
      <c r="AZ46" s="231"/>
      <c r="BA46" s="217"/>
      <c r="BB46" s="231"/>
      <c r="BC46" s="51">
        <f t="shared" si="18"/>
        <v>0</v>
      </c>
      <c r="BD46" s="209"/>
      <c r="BE46" s="217"/>
      <c r="BF46" s="231"/>
      <c r="BG46" s="217"/>
      <c r="BH46" s="231"/>
      <c r="BI46" s="51">
        <f t="shared" si="19"/>
        <v>0</v>
      </c>
      <c r="BJ46" s="209"/>
    </row>
    <row r="47" spans="1:62">
      <c r="A47" s="209">
        <v>45734</v>
      </c>
      <c r="B47" s="51"/>
      <c r="C47" s="51"/>
      <c r="D47" s="233"/>
      <c r="E47" s="51"/>
      <c r="F47" s="51"/>
      <c r="G47" s="215">
        <f t="shared" si="5"/>
        <v>0</v>
      </c>
      <c r="H47" s="51"/>
      <c r="I47" s="214">
        <v>200</v>
      </c>
      <c r="J47" s="51">
        <v>450</v>
      </c>
      <c r="K47" s="217">
        <f t="shared" si="8"/>
        <v>650</v>
      </c>
      <c r="L47" s="217">
        <f t="shared" si="10"/>
        <v>19000</v>
      </c>
      <c r="M47" s="51">
        <v>450</v>
      </c>
      <c r="N47" s="51">
        <v>450</v>
      </c>
      <c r="O47" s="217">
        <f t="shared" si="13"/>
        <v>900</v>
      </c>
      <c r="P47" s="217">
        <f t="shared" si="14"/>
        <v>6950</v>
      </c>
      <c r="Q47" s="51">
        <v>300</v>
      </c>
      <c r="R47" s="51">
        <v>300</v>
      </c>
      <c r="S47" s="51">
        <v>300</v>
      </c>
      <c r="T47" s="51">
        <v>300</v>
      </c>
      <c r="U47" s="51">
        <v>300</v>
      </c>
      <c r="V47" s="51">
        <v>300</v>
      </c>
      <c r="W47" s="51">
        <v>300</v>
      </c>
      <c r="X47" s="51">
        <v>300</v>
      </c>
      <c r="Y47" s="51">
        <v>300</v>
      </c>
      <c r="Z47" s="51">
        <v>300</v>
      </c>
      <c r="AA47" s="51">
        <v>300</v>
      </c>
      <c r="AB47" s="51">
        <v>300</v>
      </c>
      <c r="AC47" s="51">
        <v>300</v>
      </c>
      <c r="AD47" s="51">
        <v>300</v>
      </c>
      <c r="AE47" s="213">
        <v>200</v>
      </c>
      <c r="AF47" s="51">
        <v>300</v>
      </c>
      <c r="AG47" s="51">
        <v>300</v>
      </c>
      <c r="AH47" s="51">
        <v>300</v>
      </c>
      <c r="AI47" s="51">
        <v>300</v>
      </c>
      <c r="AJ47" s="51">
        <v>300</v>
      </c>
      <c r="AK47" s="217">
        <f t="shared" si="15"/>
        <v>5900</v>
      </c>
      <c r="AL47" s="217">
        <f t="shared" si="16"/>
        <v>80800</v>
      </c>
      <c r="AM47" s="214">
        <v>200</v>
      </c>
      <c r="AN47" s="51">
        <v>450</v>
      </c>
      <c r="AO47" s="217">
        <f t="shared" si="9"/>
        <v>650</v>
      </c>
      <c r="AP47" s="217">
        <f t="shared" si="11"/>
        <v>9000</v>
      </c>
      <c r="AQ47" s="51">
        <f t="shared" si="6"/>
        <v>6550</v>
      </c>
      <c r="AR47" s="51">
        <f t="shared" si="12"/>
        <v>14800</v>
      </c>
      <c r="AS47" s="217">
        <v>25000</v>
      </c>
      <c r="AT47" s="231">
        <f>A47+12</f>
        <v>45746</v>
      </c>
      <c r="AU47" s="217"/>
      <c r="AV47" s="217"/>
      <c r="AW47" s="51">
        <f t="shared" si="17"/>
        <v>25000</v>
      </c>
      <c r="AX47" s="209">
        <f>AT47</f>
        <v>45746</v>
      </c>
      <c r="AY47" s="217"/>
      <c r="AZ47" s="231"/>
      <c r="BA47" s="217"/>
      <c r="BB47" s="217"/>
      <c r="BC47" s="51">
        <f t="shared" si="18"/>
        <v>0</v>
      </c>
      <c r="BD47" s="209"/>
      <c r="BE47" s="217"/>
      <c r="BF47" s="231"/>
      <c r="BG47" s="217"/>
      <c r="BH47" s="217"/>
      <c r="BI47" s="51">
        <f t="shared" si="19"/>
        <v>0</v>
      </c>
      <c r="BJ47" s="209"/>
    </row>
    <row r="48" spans="1:62" hidden="1">
      <c r="A48" s="209">
        <v>45735</v>
      </c>
      <c r="B48" s="51"/>
      <c r="C48" s="51"/>
      <c r="D48" s="233"/>
      <c r="E48" s="51"/>
      <c r="F48" s="51"/>
      <c r="G48" s="215">
        <f t="shared" si="5"/>
        <v>0</v>
      </c>
      <c r="H48" s="51"/>
      <c r="I48" s="51">
        <v>450</v>
      </c>
      <c r="J48" s="214">
        <v>200</v>
      </c>
      <c r="K48" s="217">
        <f t="shared" si="8"/>
        <v>650</v>
      </c>
      <c r="L48" s="217">
        <f t="shared" si="10"/>
        <v>19650</v>
      </c>
      <c r="M48" s="51">
        <v>450</v>
      </c>
      <c r="N48" s="51">
        <v>450</v>
      </c>
      <c r="O48" s="217">
        <f t="shared" si="13"/>
        <v>900</v>
      </c>
      <c r="P48" s="217">
        <f t="shared" si="14"/>
        <v>7850</v>
      </c>
      <c r="Q48" s="51">
        <v>300</v>
      </c>
      <c r="R48" s="51">
        <v>300</v>
      </c>
      <c r="S48" s="51">
        <v>300</v>
      </c>
      <c r="T48" s="51">
        <v>300</v>
      </c>
      <c r="U48" s="51">
        <v>300</v>
      </c>
      <c r="V48" s="51">
        <v>300</v>
      </c>
      <c r="W48" s="51">
        <v>300</v>
      </c>
      <c r="X48" s="51">
        <v>300</v>
      </c>
      <c r="Y48" s="51">
        <v>300</v>
      </c>
      <c r="Z48" s="51">
        <v>300</v>
      </c>
      <c r="AA48" s="51">
        <v>300</v>
      </c>
      <c r="AB48" s="51">
        <v>300</v>
      </c>
      <c r="AC48" s="51">
        <v>300</v>
      </c>
      <c r="AD48" s="51">
        <v>300</v>
      </c>
      <c r="AE48" s="51">
        <v>300</v>
      </c>
      <c r="AF48" s="213">
        <v>200</v>
      </c>
      <c r="AG48" s="51">
        <v>300</v>
      </c>
      <c r="AH48" s="51">
        <v>300</v>
      </c>
      <c r="AI48" s="51">
        <v>300</v>
      </c>
      <c r="AJ48" s="51">
        <v>300</v>
      </c>
      <c r="AK48" s="217">
        <f t="shared" si="15"/>
        <v>5900</v>
      </c>
      <c r="AL48" s="217">
        <f t="shared" si="16"/>
        <v>86700</v>
      </c>
      <c r="AM48" s="51">
        <v>450</v>
      </c>
      <c r="AN48" s="214">
        <v>200</v>
      </c>
      <c r="AO48" s="217">
        <f t="shared" si="9"/>
        <v>650</v>
      </c>
      <c r="AP48" s="217">
        <f t="shared" si="11"/>
        <v>9650</v>
      </c>
      <c r="AQ48" s="51">
        <f t="shared" si="6"/>
        <v>6550</v>
      </c>
      <c r="AR48" s="51">
        <f t="shared" si="12"/>
        <v>21350</v>
      </c>
      <c r="AS48" s="217"/>
      <c r="AT48" s="231"/>
      <c r="AU48" s="217"/>
      <c r="AV48" s="217"/>
      <c r="AW48" s="51">
        <f t="shared" si="17"/>
        <v>0</v>
      </c>
      <c r="AX48" s="209"/>
      <c r="AY48" s="217"/>
      <c r="AZ48" s="231"/>
      <c r="BA48" s="217"/>
      <c r="BB48" s="231"/>
      <c r="BC48" s="51">
        <f>AY48+BA48</f>
        <v>0</v>
      </c>
      <c r="BD48" s="209"/>
      <c r="BE48" s="217"/>
      <c r="BF48" s="231"/>
      <c r="BG48" s="217"/>
      <c r="BH48" s="231"/>
      <c r="BI48" s="51">
        <f>BE48+BG48</f>
        <v>0</v>
      </c>
      <c r="BJ48" s="209"/>
    </row>
    <row r="49" spans="1:62" hidden="1">
      <c r="A49" s="209">
        <v>45736</v>
      </c>
      <c r="B49" s="51"/>
      <c r="C49" s="51"/>
      <c r="D49" s="233"/>
      <c r="E49" s="51"/>
      <c r="F49" s="51">
        <v>9000</v>
      </c>
      <c r="G49" s="215">
        <f t="shared" si="5"/>
        <v>0</v>
      </c>
      <c r="H49" s="51"/>
      <c r="I49" s="51">
        <v>450</v>
      </c>
      <c r="J49" s="51">
        <v>450</v>
      </c>
      <c r="K49" s="217">
        <f t="shared" si="8"/>
        <v>900</v>
      </c>
      <c r="L49" s="217">
        <f t="shared" si="10"/>
        <v>20550</v>
      </c>
      <c r="M49" s="51">
        <v>450</v>
      </c>
      <c r="N49" s="51">
        <v>450</v>
      </c>
      <c r="O49" s="217">
        <f t="shared" si="13"/>
        <v>900</v>
      </c>
      <c r="P49" s="217">
        <f t="shared" si="14"/>
        <v>8750</v>
      </c>
      <c r="Q49" s="51">
        <v>300</v>
      </c>
      <c r="R49" s="51">
        <v>300</v>
      </c>
      <c r="S49" s="51">
        <v>300</v>
      </c>
      <c r="T49" s="51">
        <v>300</v>
      </c>
      <c r="U49" s="51">
        <v>300</v>
      </c>
      <c r="V49" s="51">
        <v>300</v>
      </c>
      <c r="W49" s="51">
        <v>300</v>
      </c>
      <c r="X49" s="51">
        <v>300</v>
      </c>
      <c r="Y49" s="51">
        <v>300</v>
      </c>
      <c r="Z49" s="51">
        <v>300</v>
      </c>
      <c r="AA49" s="51">
        <v>300</v>
      </c>
      <c r="AB49" s="51">
        <v>300</v>
      </c>
      <c r="AC49" s="51">
        <v>300</v>
      </c>
      <c r="AD49" s="51">
        <v>300</v>
      </c>
      <c r="AE49" s="51">
        <v>300</v>
      </c>
      <c r="AF49" s="51">
        <v>300</v>
      </c>
      <c r="AG49" s="213">
        <v>200</v>
      </c>
      <c r="AH49" s="51">
        <v>300</v>
      </c>
      <c r="AI49" s="51">
        <v>300</v>
      </c>
      <c r="AJ49" s="51">
        <v>300</v>
      </c>
      <c r="AK49" s="217">
        <f t="shared" si="15"/>
        <v>5900</v>
      </c>
      <c r="AL49" s="217">
        <f t="shared" si="16"/>
        <v>92600</v>
      </c>
      <c r="AM49" s="51">
        <v>450</v>
      </c>
      <c r="AN49" s="51">
        <v>450</v>
      </c>
      <c r="AO49" s="217">
        <f t="shared" si="9"/>
        <v>900</v>
      </c>
      <c r="AP49" s="217">
        <f t="shared" si="11"/>
        <v>10550</v>
      </c>
      <c r="AQ49" s="51">
        <f t="shared" si="6"/>
        <v>6800</v>
      </c>
      <c r="AR49" s="51">
        <f t="shared" si="12"/>
        <v>28150</v>
      </c>
      <c r="AS49" s="217"/>
      <c r="AT49" s="217"/>
      <c r="AU49" s="217"/>
      <c r="AV49" s="217"/>
      <c r="AW49" s="51">
        <f t="shared" si="17"/>
        <v>0</v>
      </c>
      <c r="AX49" s="209"/>
      <c r="AY49" s="217"/>
      <c r="AZ49" s="231"/>
      <c r="BA49" s="217"/>
      <c r="BB49" s="217"/>
      <c r="BC49" s="51">
        <f t="shared" si="18"/>
        <v>0</v>
      </c>
      <c r="BD49" s="209"/>
      <c r="BE49" s="217"/>
      <c r="BF49" s="231"/>
      <c r="BG49" s="217"/>
      <c r="BH49" s="217"/>
      <c r="BI49" s="51">
        <f t="shared" ref="BI49:BI89" si="20">BE49+BG49</f>
        <v>0</v>
      </c>
      <c r="BJ49" s="209"/>
    </row>
    <row r="50" spans="1:62" hidden="1">
      <c r="A50" s="209">
        <v>45737</v>
      </c>
      <c r="B50" s="51"/>
      <c r="C50" s="51"/>
      <c r="D50" s="233"/>
      <c r="E50" s="51"/>
      <c r="F50" s="51"/>
      <c r="G50" s="215">
        <f t="shared" si="5"/>
        <v>0</v>
      </c>
      <c r="H50" s="51"/>
      <c r="I50" s="51">
        <v>450</v>
      </c>
      <c r="J50" s="51">
        <v>450</v>
      </c>
      <c r="K50" s="217">
        <f t="shared" si="8"/>
        <v>900</v>
      </c>
      <c r="L50" s="217">
        <f t="shared" si="10"/>
        <v>21450</v>
      </c>
      <c r="M50" s="51">
        <v>450</v>
      </c>
      <c r="N50" s="51">
        <v>450</v>
      </c>
      <c r="O50" s="217">
        <f t="shared" si="13"/>
        <v>900</v>
      </c>
      <c r="P50" s="217">
        <f t="shared" si="14"/>
        <v>9650</v>
      </c>
      <c r="Q50" s="51">
        <v>300</v>
      </c>
      <c r="R50" s="51">
        <v>300</v>
      </c>
      <c r="S50" s="51">
        <v>300</v>
      </c>
      <c r="T50" s="51">
        <v>300</v>
      </c>
      <c r="U50" s="51">
        <v>300</v>
      </c>
      <c r="V50" s="51">
        <v>300</v>
      </c>
      <c r="W50" s="51">
        <v>300</v>
      </c>
      <c r="X50" s="51">
        <v>300</v>
      </c>
      <c r="Y50" s="51">
        <v>300</v>
      </c>
      <c r="Z50" s="51">
        <v>300</v>
      </c>
      <c r="AA50" s="51">
        <v>300</v>
      </c>
      <c r="AB50" s="51">
        <v>300</v>
      </c>
      <c r="AC50" s="51">
        <v>300</v>
      </c>
      <c r="AD50" s="51">
        <v>300</v>
      </c>
      <c r="AE50" s="51">
        <v>300</v>
      </c>
      <c r="AF50" s="51">
        <v>300</v>
      </c>
      <c r="AG50" s="51">
        <v>300</v>
      </c>
      <c r="AH50" s="213">
        <v>200</v>
      </c>
      <c r="AI50" s="51">
        <v>300</v>
      </c>
      <c r="AJ50" s="51">
        <v>300</v>
      </c>
      <c r="AK50" s="217">
        <f t="shared" si="15"/>
        <v>5900</v>
      </c>
      <c r="AL50" s="217">
        <f t="shared" si="16"/>
        <v>98500</v>
      </c>
      <c r="AM50" s="51">
        <v>450</v>
      </c>
      <c r="AN50" s="51">
        <v>450</v>
      </c>
      <c r="AO50" s="217">
        <f t="shared" si="9"/>
        <v>900</v>
      </c>
      <c r="AP50" s="217">
        <f t="shared" si="11"/>
        <v>11450</v>
      </c>
      <c r="AQ50" s="51">
        <f t="shared" si="6"/>
        <v>6800</v>
      </c>
      <c r="AR50" s="51">
        <f t="shared" si="12"/>
        <v>34950</v>
      </c>
      <c r="AS50" s="217"/>
      <c r="AT50" s="217"/>
      <c r="AU50" s="217"/>
      <c r="AV50" s="217"/>
      <c r="AW50" s="51">
        <f t="shared" si="17"/>
        <v>0</v>
      </c>
      <c r="AX50" s="209"/>
      <c r="AY50" s="217"/>
      <c r="AZ50" s="231"/>
      <c r="BA50" s="217"/>
      <c r="BB50" s="217"/>
      <c r="BC50" s="51">
        <f t="shared" si="18"/>
        <v>0</v>
      </c>
      <c r="BD50" s="209"/>
      <c r="BE50" s="217"/>
      <c r="BF50" s="231"/>
      <c r="BG50" s="217"/>
      <c r="BH50" s="217"/>
      <c r="BI50" s="51">
        <f t="shared" si="20"/>
        <v>0</v>
      </c>
      <c r="BJ50" s="209"/>
    </row>
    <row r="51" spans="1:62">
      <c r="A51" s="209">
        <v>45738</v>
      </c>
      <c r="B51" s="51"/>
      <c r="C51" s="51"/>
      <c r="D51" s="233"/>
      <c r="E51" s="51">
        <v>5000</v>
      </c>
      <c r="F51" s="51"/>
      <c r="G51" s="215">
        <f t="shared" si="5"/>
        <v>0</v>
      </c>
      <c r="H51" s="51"/>
      <c r="I51" s="51">
        <v>450</v>
      </c>
      <c r="J51" s="51">
        <v>450</v>
      </c>
      <c r="K51" s="217">
        <f t="shared" si="8"/>
        <v>900</v>
      </c>
      <c r="L51" s="217">
        <f t="shared" si="10"/>
        <v>22350</v>
      </c>
      <c r="M51" s="51">
        <v>450</v>
      </c>
      <c r="N51" s="51">
        <v>450</v>
      </c>
      <c r="O51" s="217">
        <f t="shared" si="13"/>
        <v>900</v>
      </c>
      <c r="P51" s="217">
        <f t="shared" si="14"/>
        <v>10550</v>
      </c>
      <c r="Q51" s="213">
        <v>200</v>
      </c>
      <c r="R51" s="213">
        <v>200</v>
      </c>
      <c r="S51" s="51">
        <v>300</v>
      </c>
      <c r="T51" s="51">
        <v>300</v>
      </c>
      <c r="U51" s="51">
        <v>300</v>
      </c>
      <c r="V51" s="51">
        <v>300</v>
      </c>
      <c r="W51" s="51">
        <v>300</v>
      </c>
      <c r="X51" s="51">
        <v>300</v>
      </c>
      <c r="Y51" s="51">
        <v>300</v>
      </c>
      <c r="Z51" s="51">
        <v>300</v>
      </c>
      <c r="AA51" s="51">
        <v>300</v>
      </c>
      <c r="AB51" s="51">
        <v>300</v>
      </c>
      <c r="AC51" s="51">
        <v>300</v>
      </c>
      <c r="AD51" s="51">
        <v>300</v>
      </c>
      <c r="AE51" s="51">
        <v>300</v>
      </c>
      <c r="AF51" s="51">
        <v>300</v>
      </c>
      <c r="AG51" s="51">
        <v>300</v>
      </c>
      <c r="AH51" s="51">
        <v>300</v>
      </c>
      <c r="AI51" s="213">
        <v>200</v>
      </c>
      <c r="AJ51" s="51">
        <v>300</v>
      </c>
      <c r="AK51" s="217">
        <f t="shared" si="15"/>
        <v>5700</v>
      </c>
      <c r="AL51" s="217">
        <f t="shared" si="16"/>
        <v>104200</v>
      </c>
      <c r="AM51" s="51">
        <v>450</v>
      </c>
      <c r="AN51" s="51">
        <v>450</v>
      </c>
      <c r="AO51" s="217">
        <f t="shared" si="9"/>
        <v>900</v>
      </c>
      <c r="AP51" s="217">
        <f t="shared" si="11"/>
        <v>12350</v>
      </c>
      <c r="AQ51" s="51">
        <f t="shared" si="6"/>
        <v>6600</v>
      </c>
      <c r="AR51" s="51">
        <f t="shared" si="12"/>
        <v>16550</v>
      </c>
      <c r="AS51" s="217"/>
      <c r="AT51" s="217"/>
      <c r="AU51" s="217">
        <v>25000</v>
      </c>
      <c r="AV51" s="231">
        <f>A51+12</f>
        <v>45750</v>
      </c>
      <c r="AW51" s="51">
        <f t="shared" si="17"/>
        <v>25000</v>
      </c>
      <c r="AX51" s="209">
        <f>AV51</f>
        <v>45750</v>
      </c>
      <c r="AY51" s="217"/>
      <c r="AZ51" s="231"/>
      <c r="BA51" s="217"/>
      <c r="BB51" s="231"/>
      <c r="BC51" s="51">
        <f t="shared" si="18"/>
        <v>0</v>
      </c>
      <c r="BD51" s="209"/>
      <c r="BE51" s="217"/>
      <c r="BF51" s="231"/>
      <c r="BG51" s="217"/>
      <c r="BH51" s="231"/>
      <c r="BI51" s="51">
        <f t="shared" si="20"/>
        <v>0</v>
      </c>
      <c r="BJ51" s="209"/>
    </row>
    <row r="52" spans="1:62" hidden="1">
      <c r="A52" s="209">
        <v>45739</v>
      </c>
      <c r="B52" s="51"/>
      <c r="C52" s="51"/>
      <c r="D52" s="233"/>
      <c r="E52" s="51"/>
      <c r="F52" s="51"/>
      <c r="G52" s="215">
        <f t="shared" si="5"/>
        <v>0</v>
      </c>
      <c r="H52" s="51"/>
      <c r="I52" s="51">
        <v>450</v>
      </c>
      <c r="J52" s="51">
        <v>450</v>
      </c>
      <c r="K52" s="217">
        <f t="shared" si="8"/>
        <v>900</v>
      </c>
      <c r="L52" s="217">
        <f t="shared" si="10"/>
        <v>23250</v>
      </c>
      <c r="M52" s="51">
        <v>450</v>
      </c>
      <c r="N52" s="51">
        <v>450</v>
      </c>
      <c r="O52" s="217">
        <f t="shared" si="13"/>
        <v>900</v>
      </c>
      <c r="P52" s="217">
        <f t="shared" si="14"/>
        <v>11450</v>
      </c>
      <c r="Q52" s="51">
        <v>300</v>
      </c>
      <c r="R52" s="51">
        <v>300</v>
      </c>
      <c r="S52" s="213">
        <v>200</v>
      </c>
      <c r="T52" s="213">
        <v>200</v>
      </c>
      <c r="U52" s="51">
        <v>300</v>
      </c>
      <c r="V52" s="51">
        <v>300</v>
      </c>
      <c r="W52" s="51">
        <v>300</v>
      </c>
      <c r="X52" s="51">
        <v>300</v>
      </c>
      <c r="Y52" s="51">
        <v>300</v>
      </c>
      <c r="Z52" s="51">
        <v>300</v>
      </c>
      <c r="AA52" s="51">
        <v>300</v>
      </c>
      <c r="AB52" s="51">
        <v>300</v>
      </c>
      <c r="AC52" s="51">
        <v>300</v>
      </c>
      <c r="AD52" s="51">
        <v>300</v>
      </c>
      <c r="AE52" s="51">
        <v>300</v>
      </c>
      <c r="AF52" s="51">
        <v>300</v>
      </c>
      <c r="AG52" s="51">
        <v>300</v>
      </c>
      <c r="AH52" s="51">
        <v>300</v>
      </c>
      <c r="AI52" s="51">
        <v>300</v>
      </c>
      <c r="AJ52" s="213">
        <v>200</v>
      </c>
      <c r="AK52" s="217">
        <f t="shared" si="15"/>
        <v>5700</v>
      </c>
      <c r="AL52" s="217">
        <f t="shared" si="16"/>
        <v>109900</v>
      </c>
      <c r="AM52" s="51">
        <v>450</v>
      </c>
      <c r="AN52" s="51">
        <v>450</v>
      </c>
      <c r="AO52" s="217">
        <f t="shared" si="9"/>
        <v>900</v>
      </c>
      <c r="AP52" s="217">
        <f t="shared" si="11"/>
        <v>3250</v>
      </c>
      <c r="AQ52" s="51">
        <f t="shared" si="6"/>
        <v>6600</v>
      </c>
      <c r="AR52" s="51">
        <f t="shared" si="12"/>
        <v>23150</v>
      </c>
      <c r="AS52" s="217"/>
      <c r="AT52" s="217"/>
      <c r="AU52" s="217"/>
      <c r="AV52" s="217"/>
      <c r="AW52" s="51">
        <f t="shared" si="17"/>
        <v>0</v>
      </c>
      <c r="AX52" s="209"/>
      <c r="AY52" s="217"/>
      <c r="AZ52" s="231"/>
      <c r="BA52" s="217">
        <v>10000</v>
      </c>
      <c r="BB52" s="231">
        <f>A52+12</f>
        <v>45751</v>
      </c>
      <c r="BC52" s="51">
        <f t="shared" si="18"/>
        <v>10000</v>
      </c>
      <c r="BD52" s="209">
        <f>BB52</f>
        <v>45751</v>
      </c>
      <c r="BE52" s="217"/>
      <c r="BF52" s="231"/>
      <c r="BG52" s="217"/>
      <c r="BH52" s="217"/>
      <c r="BI52" s="51">
        <f t="shared" si="20"/>
        <v>0</v>
      </c>
      <c r="BJ52" s="209"/>
    </row>
    <row r="53" spans="1:62" hidden="1">
      <c r="A53" s="209">
        <v>45740</v>
      </c>
      <c r="B53" s="51"/>
      <c r="C53" s="51"/>
      <c r="D53" s="233"/>
      <c r="E53" s="51"/>
      <c r="F53" s="51"/>
      <c r="G53" s="215">
        <f t="shared" si="5"/>
        <v>0</v>
      </c>
      <c r="H53" s="51"/>
      <c r="I53" s="51">
        <v>450</v>
      </c>
      <c r="J53" s="51">
        <v>450</v>
      </c>
      <c r="K53" s="217">
        <f t="shared" si="8"/>
        <v>900</v>
      </c>
      <c r="L53" s="217">
        <f t="shared" si="10"/>
        <v>24150</v>
      </c>
      <c r="M53" s="51">
        <v>450</v>
      </c>
      <c r="N53" s="51">
        <v>450</v>
      </c>
      <c r="O53" s="217">
        <f t="shared" si="13"/>
        <v>900</v>
      </c>
      <c r="P53" s="217">
        <f t="shared" si="14"/>
        <v>2350</v>
      </c>
      <c r="Q53" s="51">
        <v>300</v>
      </c>
      <c r="R53" s="51">
        <v>300</v>
      </c>
      <c r="S53" s="51">
        <v>300</v>
      </c>
      <c r="T53" s="51">
        <v>300</v>
      </c>
      <c r="U53" s="213">
        <v>200</v>
      </c>
      <c r="V53" s="213">
        <v>200</v>
      </c>
      <c r="W53" s="51">
        <v>300</v>
      </c>
      <c r="X53" s="51">
        <v>300</v>
      </c>
      <c r="Y53" s="51">
        <v>300</v>
      </c>
      <c r="Z53" s="51">
        <v>300</v>
      </c>
      <c r="AA53" s="51">
        <v>300</v>
      </c>
      <c r="AB53" s="51">
        <v>300</v>
      </c>
      <c r="AC53" s="51">
        <v>300</v>
      </c>
      <c r="AD53" s="51">
        <v>300</v>
      </c>
      <c r="AE53" s="51">
        <v>300</v>
      </c>
      <c r="AF53" s="51">
        <v>300</v>
      </c>
      <c r="AG53" s="51">
        <v>300</v>
      </c>
      <c r="AH53" s="51">
        <v>300</v>
      </c>
      <c r="AI53" s="51">
        <v>300</v>
      </c>
      <c r="AJ53" s="51">
        <v>300</v>
      </c>
      <c r="AK53" s="217">
        <f t="shared" si="15"/>
        <v>5800</v>
      </c>
      <c r="AL53" s="217">
        <f t="shared" si="16"/>
        <v>115700</v>
      </c>
      <c r="AM53" s="51">
        <v>450</v>
      </c>
      <c r="AN53" s="51">
        <v>450</v>
      </c>
      <c r="AO53" s="217">
        <f t="shared" si="9"/>
        <v>900</v>
      </c>
      <c r="AP53" s="217">
        <f t="shared" si="11"/>
        <v>4150</v>
      </c>
      <c r="AQ53" s="51">
        <f t="shared" si="6"/>
        <v>6700</v>
      </c>
      <c r="AR53" s="51">
        <f t="shared" si="12"/>
        <v>29850</v>
      </c>
      <c r="AS53" s="217"/>
      <c r="AT53" s="231"/>
      <c r="AU53" s="217"/>
      <c r="AV53" s="217"/>
      <c r="AW53" s="51">
        <f t="shared" si="17"/>
        <v>0</v>
      </c>
      <c r="AX53" s="209"/>
      <c r="AY53" s="217"/>
      <c r="AZ53" s="231"/>
      <c r="BA53" s="217"/>
      <c r="BB53" s="217"/>
      <c r="BC53" s="51">
        <f t="shared" si="18"/>
        <v>0</v>
      </c>
      <c r="BD53" s="209"/>
      <c r="BE53" s="217"/>
      <c r="BF53" s="231"/>
      <c r="BG53" s="217">
        <v>10000</v>
      </c>
      <c r="BH53" s="231">
        <f>A53+12</f>
        <v>45752</v>
      </c>
      <c r="BI53" s="51">
        <f t="shared" si="20"/>
        <v>10000</v>
      </c>
      <c r="BJ53" s="209">
        <f>BH53</f>
        <v>45752</v>
      </c>
    </row>
    <row r="54" spans="1:62" hidden="1">
      <c r="A54" s="209">
        <v>45741</v>
      </c>
      <c r="B54" s="51"/>
      <c r="C54" s="51"/>
      <c r="D54" s="233"/>
      <c r="E54" s="51"/>
      <c r="F54" s="51"/>
      <c r="G54" s="215">
        <f t="shared" si="5"/>
        <v>0</v>
      </c>
      <c r="H54" s="51"/>
      <c r="I54" s="51">
        <v>450</v>
      </c>
      <c r="J54" s="51">
        <v>450</v>
      </c>
      <c r="K54" s="217">
        <f t="shared" si="8"/>
        <v>900</v>
      </c>
      <c r="L54" s="217">
        <f t="shared" si="10"/>
        <v>25050</v>
      </c>
      <c r="M54" s="51">
        <v>450</v>
      </c>
      <c r="N54" s="51">
        <v>450</v>
      </c>
      <c r="O54" s="217">
        <f t="shared" si="13"/>
        <v>900</v>
      </c>
      <c r="P54" s="217">
        <f t="shared" si="14"/>
        <v>3250</v>
      </c>
      <c r="Q54" s="51">
        <v>300</v>
      </c>
      <c r="R54" s="51">
        <v>300</v>
      </c>
      <c r="S54" s="51">
        <v>300</v>
      </c>
      <c r="T54" s="51">
        <v>300</v>
      </c>
      <c r="U54" s="51">
        <v>300</v>
      </c>
      <c r="V54" s="51">
        <v>300</v>
      </c>
      <c r="W54" s="213">
        <v>200</v>
      </c>
      <c r="X54" s="213">
        <v>200</v>
      </c>
      <c r="Y54" s="51">
        <v>300</v>
      </c>
      <c r="Z54" s="51">
        <v>300</v>
      </c>
      <c r="AA54" s="51">
        <v>300</v>
      </c>
      <c r="AB54" s="51">
        <v>300</v>
      </c>
      <c r="AC54" s="51">
        <v>300</v>
      </c>
      <c r="AD54" s="51">
        <v>300</v>
      </c>
      <c r="AE54" s="51">
        <v>300</v>
      </c>
      <c r="AF54" s="51">
        <v>300</v>
      </c>
      <c r="AG54" s="51">
        <v>300</v>
      </c>
      <c r="AH54" s="51">
        <v>300</v>
      </c>
      <c r="AI54" s="51">
        <v>300</v>
      </c>
      <c r="AJ54" s="51">
        <v>300</v>
      </c>
      <c r="AK54" s="217">
        <f t="shared" si="15"/>
        <v>5800</v>
      </c>
      <c r="AL54" s="217">
        <f t="shared" si="16"/>
        <v>121500</v>
      </c>
      <c r="AM54" s="51">
        <v>450</v>
      </c>
      <c r="AN54" s="51">
        <v>450</v>
      </c>
      <c r="AO54" s="217">
        <f t="shared" si="9"/>
        <v>900</v>
      </c>
      <c r="AP54" s="217">
        <f t="shared" si="11"/>
        <v>5050</v>
      </c>
      <c r="AQ54" s="51">
        <f t="shared" si="6"/>
        <v>6700</v>
      </c>
      <c r="AR54" s="51">
        <f t="shared" si="12"/>
        <v>36550</v>
      </c>
      <c r="AS54" s="217"/>
      <c r="AT54" s="217"/>
      <c r="AU54" s="217"/>
      <c r="AV54" s="217"/>
      <c r="AW54" s="51">
        <f t="shared" si="17"/>
        <v>0</v>
      </c>
      <c r="AX54" s="209"/>
      <c r="AY54" s="217"/>
      <c r="AZ54" s="231"/>
      <c r="BA54" s="217"/>
      <c r="BB54" s="217"/>
      <c r="BC54" s="51">
        <f t="shared" si="18"/>
        <v>0</v>
      </c>
      <c r="BD54" s="209"/>
      <c r="BE54" s="217"/>
      <c r="BF54" s="231"/>
      <c r="BG54" s="217"/>
      <c r="BH54" s="217"/>
      <c r="BI54" s="51">
        <f t="shared" si="20"/>
        <v>0</v>
      </c>
      <c r="BJ54" s="209"/>
    </row>
    <row r="55" spans="1:62">
      <c r="A55" s="209">
        <v>45742</v>
      </c>
      <c r="B55" s="51"/>
      <c r="C55" s="51"/>
      <c r="D55" s="233"/>
      <c r="E55" s="51"/>
      <c r="F55" s="51"/>
      <c r="G55" s="215">
        <f t="shared" si="5"/>
        <v>0</v>
      </c>
      <c r="H55" s="51"/>
      <c r="I55" s="51">
        <v>450</v>
      </c>
      <c r="J55" s="51">
        <v>450</v>
      </c>
      <c r="K55" s="217">
        <f t="shared" si="8"/>
        <v>900</v>
      </c>
      <c r="L55" s="217">
        <f t="shared" si="10"/>
        <v>25950</v>
      </c>
      <c r="M55" s="51">
        <v>450</v>
      </c>
      <c r="N55" s="51">
        <v>450</v>
      </c>
      <c r="O55" s="217">
        <f t="shared" si="13"/>
        <v>900</v>
      </c>
      <c r="P55" s="217">
        <f t="shared" si="14"/>
        <v>4150</v>
      </c>
      <c r="Q55" s="51">
        <v>300</v>
      </c>
      <c r="R55" s="51">
        <v>300</v>
      </c>
      <c r="S55" s="51">
        <v>300</v>
      </c>
      <c r="T55" s="51">
        <v>300</v>
      </c>
      <c r="U55" s="51">
        <v>300</v>
      </c>
      <c r="V55" s="51">
        <v>300</v>
      </c>
      <c r="W55" s="51">
        <v>300</v>
      </c>
      <c r="X55" s="51">
        <v>300</v>
      </c>
      <c r="Y55" s="213">
        <v>200</v>
      </c>
      <c r="Z55" s="213">
        <v>200</v>
      </c>
      <c r="AA55" s="51">
        <v>300</v>
      </c>
      <c r="AB55" s="51">
        <v>300</v>
      </c>
      <c r="AC55" s="51">
        <v>300</v>
      </c>
      <c r="AD55" s="51">
        <v>300</v>
      </c>
      <c r="AE55" s="51">
        <v>300</v>
      </c>
      <c r="AF55" s="51">
        <v>300</v>
      </c>
      <c r="AG55" s="51">
        <v>300</v>
      </c>
      <c r="AH55" s="51">
        <v>300</v>
      </c>
      <c r="AI55" s="51">
        <v>300</v>
      </c>
      <c r="AJ55" s="51">
        <v>300</v>
      </c>
      <c r="AK55" s="217">
        <f t="shared" si="15"/>
        <v>5800</v>
      </c>
      <c r="AL55" s="217">
        <f t="shared" si="16"/>
        <v>127300</v>
      </c>
      <c r="AM55" s="51">
        <v>450</v>
      </c>
      <c r="AN55" s="51">
        <v>450</v>
      </c>
      <c r="AO55" s="217">
        <f t="shared" si="9"/>
        <v>900</v>
      </c>
      <c r="AP55" s="217">
        <f t="shared" si="11"/>
        <v>5950</v>
      </c>
      <c r="AQ55" s="51">
        <f t="shared" si="6"/>
        <v>6700</v>
      </c>
      <c r="AR55" s="51">
        <f t="shared" si="12"/>
        <v>18250</v>
      </c>
      <c r="AS55" s="217">
        <v>25000</v>
      </c>
      <c r="AT55" s="231">
        <f>A55+12</f>
        <v>45754</v>
      </c>
      <c r="AU55" s="217"/>
      <c r="AV55" s="217"/>
      <c r="AW55" s="51">
        <f t="shared" si="17"/>
        <v>25000</v>
      </c>
      <c r="AX55" s="209">
        <f>AT55</f>
        <v>45754</v>
      </c>
      <c r="AY55" s="217"/>
      <c r="AZ55" s="231"/>
      <c r="BA55" s="217"/>
      <c r="BB55" s="217"/>
      <c r="BC55" s="51">
        <f t="shared" si="18"/>
        <v>0</v>
      </c>
      <c r="BD55" s="209"/>
      <c r="BE55" s="217"/>
      <c r="BF55" s="231"/>
      <c r="BG55" s="217"/>
      <c r="BH55" s="217"/>
      <c r="BI55" s="51">
        <f t="shared" si="20"/>
        <v>0</v>
      </c>
      <c r="BJ55" s="209"/>
    </row>
    <row r="56" spans="1:62" hidden="1">
      <c r="A56" s="209">
        <v>45743</v>
      </c>
      <c r="B56" s="51"/>
      <c r="C56" s="51"/>
      <c r="D56" s="233"/>
      <c r="E56" s="51"/>
      <c r="F56" s="51"/>
      <c r="G56" s="215">
        <f t="shared" si="5"/>
        <v>0</v>
      </c>
      <c r="H56" s="51"/>
      <c r="I56" s="51">
        <v>450</v>
      </c>
      <c r="J56" s="51">
        <v>450</v>
      </c>
      <c r="K56" s="217">
        <f t="shared" si="8"/>
        <v>900</v>
      </c>
      <c r="L56" s="217">
        <f t="shared" si="10"/>
        <v>26850</v>
      </c>
      <c r="M56" s="51">
        <v>450</v>
      </c>
      <c r="N56" s="51">
        <v>450</v>
      </c>
      <c r="O56" s="217">
        <f t="shared" si="13"/>
        <v>900</v>
      </c>
      <c r="P56" s="217">
        <f t="shared" si="14"/>
        <v>5050</v>
      </c>
      <c r="Q56" s="51">
        <v>300</v>
      </c>
      <c r="R56" s="51">
        <v>300</v>
      </c>
      <c r="S56" s="51">
        <v>300</v>
      </c>
      <c r="T56" s="51">
        <v>300</v>
      </c>
      <c r="U56" s="51">
        <v>300</v>
      </c>
      <c r="V56" s="51">
        <v>300</v>
      </c>
      <c r="W56" s="51">
        <v>300</v>
      </c>
      <c r="X56" s="51">
        <v>300</v>
      </c>
      <c r="Y56" s="51">
        <v>300</v>
      </c>
      <c r="Z56" s="51">
        <v>300</v>
      </c>
      <c r="AA56" s="213">
        <v>200</v>
      </c>
      <c r="AB56" s="213">
        <v>200</v>
      </c>
      <c r="AC56" s="51">
        <v>300</v>
      </c>
      <c r="AD56" s="51">
        <v>300</v>
      </c>
      <c r="AE56" s="51">
        <v>300</v>
      </c>
      <c r="AF56" s="51">
        <v>300</v>
      </c>
      <c r="AG56" s="51">
        <v>300</v>
      </c>
      <c r="AH56" s="51">
        <v>300</v>
      </c>
      <c r="AI56" s="51">
        <v>300</v>
      </c>
      <c r="AJ56" s="51">
        <v>300</v>
      </c>
      <c r="AK56" s="217">
        <f t="shared" si="15"/>
        <v>5800</v>
      </c>
      <c r="AL56" s="217">
        <f t="shared" si="16"/>
        <v>133100</v>
      </c>
      <c r="AM56" s="51">
        <v>450</v>
      </c>
      <c r="AN56" s="51">
        <v>450</v>
      </c>
      <c r="AO56" s="217">
        <f t="shared" si="9"/>
        <v>900</v>
      </c>
      <c r="AP56" s="217">
        <f t="shared" si="11"/>
        <v>6850</v>
      </c>
      <c r="AQ56" s="51">
        <f t="shared" si="6"/>
        <v>6700</v>
      </c>
      <c r="AR56" s="51">
        <f t="shared" si="12"/>
        <v>24950</v>
      </c>
      <c r="AS56" s="217"/>
      <c r="AT56" s="217"/>
      <c r="AU56" s="217"/>
      <c r="AV56" s="231"/>
      <c r="AW56" s="51">
        <f t="shared" si="17"/>
        <v>0</v>
      </c>
      <c r="AX56" s="209"/>
      <c r="AY56" s="217"/>
      <c r="AZ56" s="217"/>
      <c r="BA56" s="217"/>
      <c r="BB56" s="231"/>
      <c r="BC56" s="51">
        <f t="shared" si="18"/>
        <v>0</v>
      </c>
      <c r="BD56" s="209"/>
      <c r="BE56" s="217"/>
      <c r="BF56" s="217"/>
      <c r="BG56" s="217"/>
      <c r="BH56" s="231"/>
      <c r="BI56" s="51">
        <f t="shared" si="20"/>
        <v>0</v>
      </c>
      <c r="BJ56" s="209"/>
    </row>
    <row r="57" spans="1:62" hidden="1">
      <c r="A57" s="209">
        <v>45744</v>
      </c>
      <c r="B57" s="51"/>
      <c r="C57" s="51"/>
      <c r="D57" s="233"/>
      <c r="E57" s="51"/>
      <c r="F57" s="51"/>
      <c r="G57" s="215">
        <f t="shared" si="5"/>
        <v>0</v>
      </c>
      <c r="H57" s="51"/>
      <c r="I57" s="51">
        <v>450</v>
      </c>
      <c r="J57" s="51">
        <v>450</v>
      </c>
      <c r="K57" s="217">
        <f t="shared" si="8"/>
        <v>900</v>
      </c>
      <c r="L57" s="217">
        <f t="shared" si="10"/>
        <v>27750</v>
      </c>
      <c r="M57" s="214">
        <v>200</v>
      </c>
      <c r="N57" s="51">
        <v>450</v>
      </c>
      <c r="O57" s="217">
        <f t="shared" si="13"/>
        <v>650</v>
      </c>
      <c r="P57" s="217">
        <f t="shared" si="14"/>
        <v>5700</v>
      </c>
      <c r="Q57" s="51">
        <v>300</v>
      </c>
      <c r="R57" s="51">
        <v>300</v>
      </c>
      <c r="S57" s="51">
        <v>300</v>
      </c>
      <c r="T57" s="51">
        <v>300</v>
      </c>
      <c r="U57" s="51">
        <v>300</v>
      </c>
      <c r="V57" s="51">
        <v>300</v>
      </c>
      <c r="W57" s="51">
        <v>300</v>
      </c>
      <c r="X57" s="51">
        <v>300</v>
      </c>
      <c r="Y57" s="51">
        <v>300</v>
      </c>
      <c r="Z57" s="51">
        <v>300</v>
      </c>
      <c r="AA57" s="51">
        <v>300</v>
      </c>
      <c r="AB57" s="51">
        <v>300</v>
      </c>
      <c r="AC57" s="213">
        <v>200</v>
      </c>
      <c r="AD57" s="213">
        <v>200</v>
      </c>
      <c r="AE57" s="51">
        <v>300</v>
      </c>
      <c r="AF57" s="51">
        <v>300</v>
      </c>
      <c r="AG57" s="51">
        <v>300</v>
      </c>
      <c r="AH57" s="51">
        <v>300</v>
      </c>
      <c r="AI57" s="51">
        <v>300</v>
      </c>
      <c r="AJ57" s="51">
        <v>300</v>
      </c>
      <c r="AK57" s="217">
        <f t="shared" si="15"/>
        <v>5800</v>
      </c>
      <c r="AL57" s="217">
        <f t="shared" si="16"/>
        <v>138900</v>
      </c>
      <c r="AM57" s="51">
        <v>450</v>
      </c>
      <c r="AN57" s="51">
        <v>450</v>
      </c>
      <c r="AO57" s="217">
        <f t="shared" si="9"/>
        <v>900</v>
      </c>
      <c r="AP57" s="217">
        <f t="shared" si="11"/>
        <v>7750</v>
      </c>
      <c r="AQ57" s="51">
        <f t="shared" si="6"/>
        <v>6700</v>
      </c>
      <c r="AR57" s="51">
        <f t="shared" si="12"/>
        <v>31650</v>
      </c>
      <c r="AS57" s="217"/>
      <c r="AT57" s="217"/>
      <c r="AU57" s="217"/>
      <c r="AV57" s="217"/>
      <c r="AW57" s="51">
        <f t="shared" si="17"/>
        <v>0</v>
      </c>
      <c r="AX57" s="209"/>
      <c r="AY57" s="217"/>
      <c r="AZ57" s="217"/>
      <c r="BA57" s="217"/>
      <c r="BB57" s="217"/>
      <c r="BC57" s="51">
        <f t="shared" si="18"/>
        <v>0</v>
      </c>
      <c r="BD57" s="209"/>
      <c r="BE57" s="217"/>
      <c r="BF57" s="217"/>
      <c r="BG57" s="217"/>
      <c r="BH57" s="217"/>
      <c r="BI57" s="51">
        <f t="shared" si="20"/>
        <v>0</v>
      </c>
      <c r="BJ57" s="209"/>
    </row>
    <row r="58" spans="1:62">
      <c r="A58" s="209">
        <v>45745</v>
      </c>
      <c r="B58" s="51"/>
      <c r="C58" s="51"/>
      <c r="D58" s="233"/>
      <c r="E58" s="51"/>
      <c r="F58" s="51"/>
      <c r="G58" s="215">
        <f t="shared" si="5"/>
        <v>0</v>
      </c>
      <c r="H58" s="51"/>
      <c r="I58" s="51">
        <v>450</v>
      </c>
      <c r="J58" s="51">
        <v>450</v>
      </c>
      <c r="K58" s="217">
        <f t="shared" si="8"/>
        <v>900</v>
      </c>
      <c r="L58" s="217">
        <f t="shared" si="10"/>
        <v>28650</v>
      </c>
      <c r="M58" s="51">
        <v>450</v>
      </c>
      <c r="N58" s="214">
        <v>200</v>
      </c>
      <c r="O58" s="217">
        <f t="shared" si="13"/>
        <v>650</v>
      </c>
      <c r="P58" s="217">
        <f t="shared" si="14"/>
        <v>6350</v>
      </c>
      <c r="Q58" s="51">
        <v>300</v>
      </c>
      <c r="R58" s="51">
        <v>300</v>
      </c>
      <c r="S58" s="51">
        <v>300</v>
      </c>
      <c r="T58" s="51">
        <v>300</v>
      </c>
      <c r="U58" s="51">
        <v>300</v>
      </c>
      <c r="V58" s="51">
        <v>300</v>
      </c>
      <c r="W58" s="51">
        <v>300</v>
      </c>
      <c r="X58" s="51">
        <v>300</v>
      </c>
      <c r="Y58" s="51">
        <v>300</v>
      </c>
      <c r="Z58" s="51">
        <v>300</v>
      </c>
      <c r="AA58" s="51">
        <v>300</v>
      </c>
      <c r="AB58" s="51">
        <v>300</v>
      </c>
      <c r="AC58" s="51">
        <v>300</v>
      </c>
      <c r="AD58" s="51">
        <v>300</v>
      </c>
      <c r="AE58" s="213">
        <v>200</v>
      </c>
      <c r="AF58" s="51">
        <v>300</v>
      </c>
      <c r="AG58" s="51">
        <v>300</v>
      </c>
      <c r="AH58" s="51">
        <v>300</v>
      </c>
      <c r="AI58" s="51">
        <v>300</v>
      </c>
      <c r="AJ58" s="51">
        <v>300</v>
      </c>
      <c r="AK58" s="217">
        <f t="shared" si="15"/>
        <v>5900</v>
      </c>
      <c r="AL58" s="217">
        <f t="shared" si="16"/>
        <v>144800</v>
      </c>
      <c r="AM58" s="51">
        <v>450</v>
      </c>
      <c r="AN58" s="51">
        <v>450</v>
      </c>
      <c r="AO58" s="217">
        <f t="shared" si="9"/>
        <v>900</v>
      </c>
      <c r="AP58" s="217">
        <f t="shared" si="11"/>
        <v>8650</v>
      </c>
      <c r="AQ58" s="51">
        <f t="shared" si="6"/>
        <v>6800</v>
      </c>
      <c r="AR58" s="51">
        <f t="shared" si="12"/>
        <v>13450</v>
      </c>
      <c r="AS58" s="217"/>
      <c r="AT58" s="217"/>
      <c r="AU58" s="217">
        <v>25000</v>
      </c>
      <c r="AV58" s="231">
        <f>A58+12</f>
        <v>45757</v>
      </c>
      <c r="AW58" s="51">
        <f t="shared" si="17"/>
        <v>25000</v>
      </c>
      <c r="AX58" s="209">
        <f>AV58</f>
        <v>45757</v>
      </c>
      <c r="AY58" s="217"/>
      <c r="AZ58" s="217"/>
      <c r="BA58" s="217"/>
      <c r="BB58" s="231"/>
      <c r="BC58" s="51">
        <f t="shared" si="18"/>
        <v>0</v>
      </c>
      <c r="BD58" s="209"/>
      <c r="BE58" s="217"/>
      <c r="BF58" s="217"/>
      <c r="BG58" s="217"/>
      <c r="BH58" s="231"/>
      <c r="BI58" s="51">
        <f t="shared" si="20"/>
        <v>0</v>
      </c>
      <c r="BJ58" s="209"/>
    </row>
    <row r="59" spans="1:62" hidden="1">
      <c r="A59" s="209">
        <v>45746</v>
      </c>
      <c r="B59" s="51"/>
      <c r="C59" s="51"/>
      <c r="D59" s="233"/>
      <c r="E59" s="51"/>
      <c r="F59" s="51"/>
      <c r="G59" s="215">
        <f t="shared" si="5"/>
        <v>0</v>
      </c>
      <c r="H59" s="51"/>
      <c r="I59" s="214">
        <v>200</v>
      </c>
      <c r="J59" s="51">
        <v>450</v>
      </c>
      <c r="K59" s="217">
        <f t="shared" si="8"/>
        <v>650</v>
      </c>
      <c r="L59" s="217">
        <f t="shared" si="10"/>
        <v>29300</v>
      </c>
      <c r="M59" s="51">
        <v>450</v>
      </c>
      <c r="N59" s="51">
        <v>450</v>
      </c>
      <c r="O59" s="217">
        <f t="shared" si="13"/>
        <v>900</v>
      </c>
      <c r="P59" s="217">
        <f t="shared" si="14"/>
        <v>7250</v>
      </c>
      <c r="Q59" s="51">
        <v>300</v>
      </c>
      <c r="R59" s="51">
        <v>300</v>
      </c>
      <c r="S59" s="51">
        <v>300</v>
      </c>
      <c r="T59" s="51">
        <v>300</v>
      </c>
      <c r="U59" s="51">
        <v>300</v>
      </c>
      <c r="V59" s="51">
        <v>300</v>
      </c>
      <c r="W59" s="51">
        <v>300</v>
      </c>
      <c r="X59" s="51">
        <v>300</v>
      </c>
      <c r="Y59" s="51">
        <v>300</v>
      </c>
      <c r="Z59" s="51">
        <v>300</v>
      </c>
      <c r="AA59" s="51">
        <v>300</v>
      </c>
      <c r="AB59" s="51">
        <v>300</v>
      </c>
      <c r="AC59" s="51">
        <v>300</v>
      </c>
      <c r="AD59" s="51">
        <v>300</v>
      </c>
      <c r="AE59" s="51">
        <v>300</v>
      </c>
      <c r="AF59" s="213">
        <v>200</v>
      </c>
      <c r="AG59" s="51">
        <v>300</v>
      </c>
      <c r="AH59" s="51">
        <v>300</v>
      </c>
      <c r="AI59" s="51">
        <v>300</v>
      </c>
      <c r="AJ59" s="51">
        <v>300</v>
      </c>
      <c r="AK59" s="217">
        <f t="shared" si="15"/>
        <v>5900</v>
      </c>
      <c r="AL59" s="217">
        <f t="shared" si="16"/>
        <v>150700</v>
      </c>
      <c r="AM59" s="214">
        <v>200</v>
      </c>
      <c r="AN59" s="51">
        <v>450</v>
      </c>
      <c r="AO59" s="217">
        <f t="shared" si="9"/>
        <v>650</v>
      </c>
      <c r="AP59" s="217">
        <f t="shared" si="11"/>
        <v>9300</v>
      </c>
      <c r="AQ59" s="51">
        <f t="shared" si="6"/>
        <v>6550</v>
      </c>
      <c r="AR59" s="51">
        <f t="shared" si="12"/>
        <v>20000</v>
      </c>
      <c r="AS59" s="217"/>
      <c r="AT59" s="231"/>
      <c r="AU59" s="217"/>
      <c r="AV59" s="217"/>
      <c r="AW59" s="51">
        <f t="shared" si="17"/>
        <v>0</v>
      </c>
      <c r="AX59" s="209"/>
      <c r="AY59" s="217"/>
      <c r="AZ59" s="231"/>
      <c r="BA59" s="217"/>
      <c r="BB59" s="217"/>
      <c r="BC59" s="51">
        <f t="shared" si="18"/>
        <v>0</v>
      </c>
      <c r="BD59" s="209"/>
      <c r="BE59" s="217"/>
      <c r="BF59" s="231"/>
      <c r="BG59" s="217"/>
      <c r="BH59" s="217"/>
      <c r="BI59" s="51">
        <f t="shared" si="20"/>
        <v>0</v>
      </c>
      <c r="BJ59" s="209"/>
    </row>
    <row r="60" spans="1:62" hidden="1">
      <c r="A60" s="209">
        <v>45747</v>
      </c>
      <c r="B60" s="51"/>
      <c r="C60" s="51"/>
      <c r="D60" s="208"/>
      <c r="E60" s="51"/>
      <c r="F60" s="51"/>
      <c r="G60" s="215">
        <f t="shared" si="5"/>
        <v>0</v>
      </c>
      <c r="H60" s="51"/>
      <c r="I60" s="51">
        <v>450</v>
      </c>
      <c r="J60" s="214">
        <v>200</v>
      </c>
      <c r="K60" s="217">
        <f t="shared" si="8"/>
        <v>650</v>
      </c>
      <c r="L60" s="217">
        <f t="shared" si="10"/>
        <v>29950</v>
      </c>
      <c r="M60" s="51">
        <v>450</v>
      </c>
      <c r="N60" s="51">
        <v>450</v>
      </c>
      <c r="O60" s="217">
        <f t="shared" si="13"/>
        <v>900</v>
      </c>
      <c r="P60" s="217">
        <f t="shared" si="14"/>
        <v>8150</v>
      </c>
      <c r="Q60" s="51">
        <v>300</v>
      </c>
      <c r="R60" s="51">
        <v>300</v>
      </c>
      <c r="S60" s="51">
        <v>300</v>
      </c>
      <c r="T60" s="51">
        <v>300</v>
      </c>
      <c r="U60" s="51">
        <v>300</v>
      </c>
      <c r="V60" s="51">
        <v>300</v>
      </c>
      <c r="W60" s="51">
        <v>300</v>
      </c>
      <c r="X60" s="51">
        <v>300</v>
      </c>
      <c r="Y60" s="51">
        <v>300</v>
      </c>
      <c r="Z60" s="51">
        <v>300</v>
      </c>
      <c r="AA60" s="51">
        <v>300</v>
      </c>
      <c r="AB60" s="51">
        <v>300</v>
      </c>
      <c r="AC60" s="51">
        <v>300</v>
      </c>
      <c r="AD60" s="51">
        <v>300</v>
      </c>
      <c r="AE60" s="51">
        <v>300</v>
      </c>
      <c r="AF60" s="51">
        <v>300</v>
      </c>
      <c r="AG60" s="213">
        <v>200</v>
      </c>
      <c r="AH60" s="51">
        <v>300</v>
      </c>
      <c r="AI60" s="51">
        <v>300</v>
      </c>
      <c r="AJ60" s="51">
        <v>300</v>
      </c>
      <c r="AK60" s="217">
        <f t="shared" si="15"/>
        <v>5900</v>
      </c>
      <c r="AL60" s="217">
        <f t="shared" si="16"/>
        <v>156600</v>
      </c>
      <c r="AM60" s="51">
        <v>450</v>
      </c>
      <c r="AN60" s="214">
        <v>200</v>
      </c>
      <c r="AO60" s="217">
        <f t="shared" si="9"/>
        <v>650</v>
      </c>
      <c r="AP60" s="217">
        <f t="shared" si="11"/>
        <v>9950</v>
      </c>
      <c r="AQ60" s="51">
        <f t="shared" si="6"/>
        <v>6550</v>
      </c>
      <c r="AR60" s="51">
        <f t="shared" si="12"/>
        <v>26550</v>
      </c>
      <c r="AS60" s="217"/>
      <c r="AT60" s="217"/>
      <c r="AU60" s="217"/>
      <c r="AV60" s="217"/>
      <c r="AW60" s="51">
        <f t="shared" si="17"/>
        <v>0</v>
      </c>
      <c r="AX60" s="209"/>
      <c r="AY60" s="217"/>
      <c r="AZ60" s="217"/>
      <c r="BA60" s="217"/>
      <c r="BB60" s="217"/>
      <c r="BC60" s="51">
        <f t="shared" si="18"/>
        <v>0</v>
      </c>
      <c r="BD60" s="209"/>
      <c r="BE60" s="217"/>
      <c r="BF60" s="217"/>
      <c r="BG60" s="217"/>
      <c r="BH60" s="217"/>
      <c r="BI60" s="51">
        <f t="shared" si="20"/>
        <v>0</v>
      </c>
      <c r="BJ60" s="209"/>
    </row>
    <row r="61" spans="1:62" hidden="1">
      <c r="A61" s="209">
        <v>45748</v>
      </c>
      <c r="B61" s="51"/>
      <c r="C61" s="51"/>
      <c r="D61" s="208"/>
      <c r="E61" s="51"/>
      <c r="F61" s="51"/>
      <c r="G61" s="215">
        <f t="shared" si="5"/>
        <v>0</v>
      </c>
      <c r="H61" s="51"/>
      <c r="I61" s="51">
        <v>450</v>
      </c>
      <c r="J61" s="51">
        <v>450</v>
      </c>
      <c r="K61" s="217">
        <f t="shared" si="8"/>
        <v>900</v>
      </c>
      <c r="L61" s="217">
        <f t="shared" si="10"/>
        <v>30850</v>
      </c>
      <c r="M61" s="51">
        <v>450</v>
      </c>
      <c r="N61" s="51">
        <v>450</v>
      </c>
      <c r="O61" s="217">
        <f t="shared" si="13"/>
        <v>900</v>
      </c>
      <c r="P61" s="217">
        <f t="shared" si="14"/>
        <v>9050</v>
      </c>
      <c r="Q61" s="51">
        <v>300</v>
      </c>
      <c r="R61" s="51">
        <v>300</v>
      </c>
      <c r="S61" s="51">
        <v>300</v>
      </c>
      <c r="T61" s="51">
        <v>300</v>
      </c>
      <c r="U61" s="51">
        <v>300</v>
      </c>
      <c r="V61" s="51">
        <v>300</v>
      </c>
      <c r="W61" s="51">
        <v>300</v>
      </c>
      <c r="X61" s="51">
        <v>300</v>
      </c>
      <c r="Y61" s="51">
        <v>300</v>
      </c>
      <c r="Z61" s="51">
        <v>300</v>
      </c>
      <c r="AA61" s="51">
        <v>300</v>
      </c>
      <c r="AB61" s="51">
        <v>300</v>
      </c>
      <c r="AC61" s="51">
        <v>300</v>
      </c>
      <c r="AD61" s="51">
        <v>300</v>
      </c>
      <c r="AE61" s="51">
        <v>300</v>
      </c>
      <c r="AF61" s="51">
        <v>300</v>
      </c>
      <c r="AG61" s="51">
        <v>300</v>
      </c>
      <c r="AH61" s="213">
        <v>200</v>
      </c>
      <c r="AI61" s="51">
        <v>300</v>
      </c>
      <c r="AJ61" s="51">
        <v>300</v>
      </c>
      <c r="AK61" s="217">
        <f t="shared" si="15"/>
        <v>5900</v>
      </c>
      <c r="AL61" s="217">
        <f t="shared" si="16"/>
        <v>162500</v>
      </c>
      <c r="AM61" s="51">
        <v>450</v>
      </c>
      <c r="AN61" s="51">
        <v>450</v>
      </c>
      <c r="AO61" s="217">
        <f t="shared" si="9"/>
        <v>900</v>
      </c>
      <c r="AP61" s="217">
        <f t="shared" si="11"/>
        <v>10850</v>
      </c>
      <c r="AQ61" s="51">
        <f t="shared" si="6"/>
        <v>6800</v>
      </c>
      <c r="AR61" s="51">
        <f t="shared" si="12"/>
        <v>33350</v>
      </c>
      <c r="AS61" s="217"/>
      <c r="AT61" s="217"/>
      <c r="AU61" s="217"/>
      <c r="AV61" s="217"/>
      <c r="AW61" s="51">
        <f t="shared" si="17"/>
        <v>0</v>
      </c>
      <c r="AX61" s="209"/>
      <c r="AY61" s="217"/>
      <c r="AZ61" s="217"/>
      <c r="BA61" s="217"/>
      <c r="BB61" s="217"/>
      <c r="BC61" s="51">
        <f t="shared" si="18"/>
        <v>0</v>
      </c>
      <c r="BD61" s="209"/>
      <c r="BE61" s="217"/>
      <c r="BF61" s="217"/>
      <c r="BG61" s="217"/>
      <c r="BH61" s="217"/>
      <c r="BI61" s="51">
        <f t="shared" si="20"/>
        <v>0</v>
      </c>
      <c r="BJ61" s="209"/>
    </row>
    <row r="62" spans="1:62" hidden="1">
      <c r="A62" s="209">
        <v>45749</v>
      </c>
      <c r="B62" s="51"/>
      <c r="C62" s="51"/>
      <c r="D62" s="208"/>
      <c r="E62" s="51"/>
      <c r="F62" s="51"/>
      <c r="G62" s="215">
        <f t="shared" si="5"/>
        <v>0</v>
      </c>
      <c r="H62" s="51"/>
      <c r="I62" s="51">
        <v>450</v>
      </c>
      <c r="J62" s="51">
        <v>450</v>
      </c>
      <c r="K62" s="217">
        <f t="shared" si="8"/>
        <v>900</v>
      </c>
      <c r="L62" s="217">
        <f t="shared" si="10"/>
        <v>31750</v>
      </c>
      <c r="M62" s="51">
        <v>450</v>
      </c>
      <c r="N62" s="51">
        <v>450</v>
      </c>
      <c r="O62" s="217">
        <f t="shared" si="13"/>
        <v>900</v>
      </c>
      <c r="P62" s="217">
        <f t="shared" si="14"/>
        <v>9950</v>
      </c>
      <c r="Q62" s="213">
        <v>200</v>
      </c>
      <c r="R62" s="213">
        <v>200</v>
      </c>
      <c r="S62" s="51">
        <v>300</v>
      </c>
      <c r="T62" s="51">
        <v>300</v>
      </c>
      <c r="U62" s="51">
        <v>300</v>
      </c>
      <c r="V62" s="51">
        <v>300</v>
      </c>
      <c r="W62" s="51">
        <v>300</v>
      </c>
      <c r="X62" s="51">
        <v>300</v>
      </c>
      <c r="Y62" s="51">
        <v>300</v>
      </c>
      <c r="Z62" s="51">
        <v>300</v>
      </c>
      <c r="AA62" s="51">
        <v>300</v>
      </c>
      <c r="AB62" s="51">
        <v>300</v>
      </c>
      <c r="AC62" s="51">
        <v>300</v>
      </c>
      <c r="AD62" s="51">
        <v>300</v>
      </c>
      <c r="AE62" s="51">
        <v>300</v>
      </c>
      <c r="AF62" s="51">
        <v>300</v>
      </c>
      <c r="AG62" s="51">
        <v>300</v>
      </c>
      <c r="AH62" s="51">
        <v>300</v>
      </c>
      <c r="AI62" s="213">
        <v>200</v>
      </c>
      <c r="AJ62" s="51">
        <v>300</v>
      </c>
      <c r="AK62" s="217">
        <f t="shared" si="15"/>
        <v>5700</v>
      </c>
      <c r="AL62" s="217">
        <f t="shared" si="16"/>
        <v>168200</v>
      </c>
      <c r="AM62" s="51">
        <v>450</v>
      </c>
      <c r="AN62" s="51">
        <v>450</v>
      </c>
      <c r="AO62" s="217">
        <f t="shared" si="9"/>
        <v>900</v>
      </c>
      <c r="AP62" s="217">
        <f t="shared" si="11"/>
        <v>11750</v>
      </c>
      <c r="AQ62" s="51">
        <f t="shared" si="6"/>
        <v>6600</v>
      </c>
      <c r="AR62" s="51">
        <f t="shared" si="12"/>
        <v>39950</v>
      </c>
      <c r="AS62" s="217"/>
      <c r="AT62" s="217"/>
      <c r="AU62" s="217"/>
      <c r="AV62" s="231"/>
      <c r="AW62" s="51">
        <f t="shared" si="17"/>
        <v>0</v>
      </c>
      <c r="AX62" s="209"/>
      <c r="AY62" s="217"/>
      <c r="AZ62" s="217"/>
      <c r="BA62" s="217"/>
      <c r="BB62" s="231"/>
      <c r="BC62" s="51">
        <f t="shared" si="18"/>
        <v>0</v>
      </c>
      <c r="BD62" s="209"/>
      <c r="BE62" s="217"/>
      <c r="BF62" s="217"/>
      <c r="BG62" s="217"/>
      <c r="BH62" s="231"/>
      <c r="BI62" s="51">
        <f t="shared" si="20"/>
        <v>0</v>
      </c>
      <c r="BJ62" s="209"/>
    </row>
    <row r="63" spans="1:62">
      <c r="A63" s="209">
        <v>45750</v>
      </c>
      <c r="B63" s="51"/>
      <c r="C63" s="51"/>
      <c r="D63" s="208"/>
      <c r="E63" s="51"/>
      <c r="F63" s="51"/>
      <c r="G63" s="215">
        <f t="shared" si="5"/>
        <v>0</v>
      </c>
      <c r="H63" s="51"/>
      <c r="I63" s="51">
        <v>450</v>
      </c>
      <c r="J63" s="51">
        <v>450</v>
      </c>
      <c r="K63" s="217">
        <f t="shared" si="8"/>
        <v>900</v>
      </c>
      <c r="L63" s="217">
        <f t="shared" si="10"/>
        <v>32650</v>
      </c>
      <c r="M63" s="51">
        <v>450</v>
      </c>
      <c r="N63" s="51">
        <v>450</v>
      </c>
      <c r="O63" s="217">
        <f t="shared" si="13"/>
        <v>900</v>
      </c>
      <c r="P63" s="217">
        <f t="shared" si="14"/>
        <v>10850</v>
      </c>
      <c r="Q63" s="51">
        <v>300</v>
      </c>
      <c r="R63" s="51">
        <v>300</v>
      </c>
      <c r="S63" s="213">
        <v>200</v>
      </c>
      <c r="T63" s="213">
        <v>200</v>
      </c>
      <c r="U63" s="51">
        <v>300</v>
      </c>
      <c r="V63" s="51">
        <v>300</v>
      </c>
      <c r="W63" s="51">
        <v>300</v>
      </c>
      <c r="X63" s="51">
        <v>300</v>
      </c>
      <c r="Y63" s="51">
        <v>300</v>
      </c>
      <c r="Z63" s="51">
        <v>300</v>
      </c>
      <c r="AA63" s="51">
        <v>300</v>
      </c>
      <c r="AB63" s="51">
        <v>300</v>
      </c>
      <c r="AC63" s="51">
        <v>300</v>
      </c>
      <c r="AD63" s="51">
        <v>300</v>
      </c>
      <c r="AE63" s="51">
        <v>300</v>
      </c>
      <c r="AF63" s="51">
        <v>300</v>
      </c>
      <c r="AG63" s="51">
        <v>300</v>
      </c>
      <c r="AH63" s="51">
        <v>300</v>
      </c>
      <c r="AI63" s="51">
        <v>300</v>
      </c>
      <c r="AJ63" s="213">
        <v>200</v>
      </c>
      <c r="AK63" s="217">
        <f t="shared" si="15"/>
        <v>5700</v>
      </c>
      <c r="AL63" s="217">
        <f t="shared" si="16"/>
        <v>173900</v>
      </c>
      <c r="AM63" s="51">
        <v>450</v>
      </c>
      <c r="AN63" s="51">
        <v>450</v>
      </c>
      <c r="AO63" s="217">
        <f t="shared" si="9"/>
        <v>900</v>
      </c>
      <c r="AP63" s="217">
        <f t="shared" si="11"/>
        <v>2650</v>
      </c>
      <c r="AQ63" s="51">
        <f t="shared" si="6"/>
        <v>6600</v>
      </c>
      <c r="AR63" s="51">
        <f t="shared" si="12"/>
        <v>21550</v>
      </c>
      <c r="AS63" s="217">
        <v>25000</v>
      </c>
      <c r="AT63" s="231">
        <f>A63+12</f>
        <v>45762</v>
      </c>
      <c r="AU63" s="217"/>
      <c r="AV63" s="217"/>
      <c r="AW63" s="51">
        <f t="shared" si="17"/>
        <v>25000</v>
      </c>
      <c r="AX63" s="209">
        <f>AT63</f>
        <v>45762</v>
      </c>
      <c r="AY63" s="217">
        <v>10000</v>
      </c>
      <c r="AZ63" s="231">
        <f>A63+12</f>
        <v>45762</v>
      </c>
      <c r="BA63" s="217"/>
      <c r="BB63" s="217"/>
      <c r="BC63" s="51">
        <f t="shared" si="18"/>
        <v>10000</v>
      </c>
      <c r="BD63" s="209">
        <f>AZ63</f>
        <v>45762</v>
      </c>
      <c r="BE63" s="217"/>
      <c r="BF63" s="231"/>
      <c r="BG63" s="217"/>
      <c r="BH63" s="217"/>
      <c r="BI63" s="51">
        <f t="shared" si="20"/>
        <v>0</v>
      </c>
      <c r="BJ63" s="209"/>
    </row>
    <row r="64" spans="1:62" hidden="1">
      <c r="A64" s="209">
        <v>45751</v>
      </c>
      <c r="B64" s="51"/>
      <c r="C64" s="51"/>
      <c r="D64" s="208"/>
      <c r="E64" s="51"/>
      <c r="F64" s="51"/>
      <c r="G64" s="215">
        <f t="shared" si="5"/>
        <v>0</v>
      </c>
      <c r="H64" s="51"/>
      <c r="I64" s="51">
        <v>450</v>
      </c>
      <c r="J64" s="51">
        <v>450</v>
      </c>
      <c r="K64" s="217">
        <f t="shared" si="8"/>
        <v>900</v>
      </c>
      <c r="L64" s="217">
        <f t="shared" si="10"/>
        <v>33550</v>
      </c>
      <c r="M64" s="51">
        <v>450</v>
      </c>
      <c r="N64" s="51">
        <v>450</v>
      </c>
      <c r="O64" s="217">
        <f t="shared" si="13"/>
        <v>900</v>
      </c>
      <c r="P64" s="217">
        <f t="shared" si="14"/>
        <v>11750</v>
      </c>
      <c r="Q64" s="51">
        <v>300</v>
      </c>
      <c r="R64" s="51">
        <v>300</v>
      </c>
      <c r="S64" s="51">
        <v>300</v>
      </c>
      <c r="T64" s="51">
        <v>300</v>
      </c>
      <c r="U64" s="213">
        <v>200</v>
      </c>
      <c r="V64" s="213">
        <v>200</v>
      </c>
      <c r="W64" s="51">
        <v>300</v>
      </c>
      <c r="X64" s="51">
        <v>300</v>
      </c>
      <c r="Y64" s="51">
        <v>300</v>
      </c>
      <c r="Z64" s="51">
        <v>300</v>
      </c>
      <c r="AA64" s="51">
        <v>300</v>
      </c>
      <c r="AB64" s="51">
        <v>300</v>
      </c>
      <c r="AC64" s="51">
        <v>300</v>
      </c>
      <c r="AD64" s="51">
        <v>300</v>
      </c>
      <c r="AE64" s="51">
        <v>300</v>
      </c>
      <c r="AF64" s="51">
        <v>300</v>
      </c>
      <c r="AG64" s="51">
        <v>300</v>
      </c>
      <c r="AH64" s="51">
        <v>300</v>
      </c>
      <c r="AI64" s="51">
        <v>300</v>
      </c>
      <c r="AJ64" s="51">
        <v>300</v>
      </c>
      <c r="AK64" s="217">
        <f t="shared" si="15"/>
        <v>5800</v>
      </c>
      <c r="AL64" s="217">
        <f t="shared" si="16"/>
        <v>179700</v>
      </c>
      <c r="AM64" s="51">
        <v>450</v>
      </c>
      <c r="AN64" s="51">
        <v>450</v>
      </c>
      <c r="AO64" s="217">
        <f t="shared" si="9"/>
        <v>900</v>
      </c>
      <c r="AP64" s="217">
        <f t="shared" si="11"/>
        <v>3550</v>
      </c>
      <c r="AQ64" s="51">
        <f t="shared" si="6"/>
        <v>6700</v>
      </c>
      <c r="AR64" s="51">
        <f t="shared" si="12"/>
        <v>28250</v>
      </c>
      <c r="AS64" s="217"/>
      <c r="AT64" s="217"/>
      <c r="AU64" s="217"/>
      <c r="AV64" s="217"/>
      <c r="AW64" s="51">
        <f t="shared" si="17"/>
        <v>0</v>
      </c>
      <c r="AX64" s="209"/>
      <c r="AY64" s="217"/>
      <c r="AZ64" s="217"/>
      <c r="BA64" s="217"/>
      <c r="BB64" s="217"/>
      <c r="BC64" s="51">
        <f t="shared" si="18"/>
        <v>0</v>
      </c>
      <c r="BD64" s="209"/>
      <c r="BE64" s="217"/>
      <c r="BF64" s="217"/>
      <c r="BG64" s="217"/>
      <c r="BH64" s="217"/>
      <c r="BI64" s="51">
        <f t="shared" si="20"/>
        <v>0</v>
      </c>
      <c r="BJ64" s="209"/>
    </row>
    <row r="65" spans="1:62" hidden="1">
      <c r="A65" s="209">
        <v>45752</v>
      </c>
      <c r="B65" s="51"/>
      <c r="C65" s="51"/>
      <c r="D65" s="208"/>
      <c r="E65" s="51"/>
      <c r="F65" s="51"/>
      <c r="G65" s="215">
        <f t="shared" si="5"/>
        <v>0</v>
      </c>
      <c r="H65" s="51"/>
      <c r="I65" s="51">
        <v>450</v>
      </c>
      <c r="J65" s="51">
        <v>450</v>
      </c>
      <c r="K65" s="217">
        <f t="shared" si="8"/>
        <v>900</v>
      </c>
      <c r="L65" s="217">
        <f t="shared" si="10"/>
        <v>34450</v>
      </c>
      <c r="M65" s="51">
        <v>450</v>
      </c>
      <c r="N65" s="51">
        <v>450</v>
      </c>
      <c r="O65" s="217">
        <f t="shared" si="13"/>
        <v>900</v>
      </c>
      <c r="P65" s="217">
        <f t="shared" si="14"/>
        <v>2650</v>
      </c>
      <c r="Q65" s="51">
        <v>300</v>
      </c>
      <c r="R65" s="51">
        <v>300</v>
      </c>
      <c r="S65" s="51">
        <v>300</v>
      </c>
      <c r="T65" s="51">
        <v>300</v>
      </c>
      <c r="U65" s="51">
        <v>300</v>
      </c>
      <c r="V65" s="51">
        <v>300</v>
      </c>
      <c r="W65" s="213">
        <v>200</v>
      </c>
      <c r="X65" s="213">
        <v>200</v>
      </c>
      <c r="Y65" s="51">
        <v>300</v>
      </c>
      <c r="Z65" s="51">
        <v>300</v>
      </c>
      <c r="AA65" s="51">
        <v>300</v>
      </c>
      <c r="AB65" s="51">
        <v>300</v>
      </c>
      <c r="AC65" s="51">
        <v>300</v>
      </c>
      <c r="AD65" s="51">
        <v>300</v>
      </c>
      <c r="AE65" s="51">
        <v>300</v>
      </c>
      <c r="AF65" s="51">
        <v>300</v>
      </c>
      <c r="AG65" s="51">
        <v>300</v>
      </c>
      <c r="AH65" s="51">
        <v>300</v>
      </c>
      <c r="AI65" s="51">
        <v>300</v>
      </c>
      <c r="AJ65" s="51">
        <v>300</v>
      </c>
      <c r="AK65" s="217">
        <f t="shared" si="15"/>
        <v>5800</v>
      </c>
      <c r="AL65" s="217">
        <f t="shared" si="16"/>
        <v>185500</v>
      </c>
      <c r="AM65" s="51">
        <v>450</v>
      </c>
      <c r="AN65" s="51">
        <v>450</v>
      </c>
      <c r="AO65" s="217">
        <f t="shared" si="9"/>
        <v>900</v>
      </c>
      <c r="AP65" s="217">
        <f t="shared" si="11"/>
        <v>4450</v>
      </c>
      <c r="AQ65" s="51">
        <f t="shared" si="6"/>
        <v>6700</v>
      </c>
      <c r="AR65" s="51">
        <f t="shared" si="12"/>
        <v>34950</v>
      </c>
      <c r="AS65" s="217"/>
      <c r="AT65" s="231"/>
      <c r="AU65" s="217"/>
      <c r="AV65" s="217"/>
      <c r="AW65" s="51">
        <f t="shared" si="17"/>
        <v>0</v>
      </c>
      <c r="AX65" s="209"/>
      <c r="AY65" s="217"/>
      <c r="AZ65" s="231"/>
      <c r="BA65" s="217"/>
      <c r="BB65" s="217"/>
      <c r="BC65" s="51">
        <f t="shared" si="18"/>
        <v>0</v>
      </c>
      <c r="BD65" s="209"/>
      <c r="BE65" s="217">
        <v>10000</v>
      </c>
      <c r="BF65" s="231">
        <f>A65+12</f>
        <v>45764</v>
      </c>
      <c r="BG65" s="217"/>
      <c r="BH65" s="217"/>
      <c r="BI65" s="51">
        <f t="shared" si="20"/>
        <v>10000</v>
      </c>
      <c r="BJ65" s="209">
        <f>BF65</f>
        <v>45764</v>
      </c>
    </row>
    <row r="66" spans="1:62">
      <c r="A66" s="209">
        <v>45753</v>
      </c>
      <c r="B66" s="51"/>
      <c r="C66" s="51"/>
      <c r="D66" s="208"/>
      <c r="E66" s="51"/>
      <c r="F66" s="51"/>
      <c r="G66" s="215">
        <f t="shared" si="5"/>
        <v>0</v>
      </c>
      <c r="H66" s="51"/>
      <c r="I66" s="51">
        <v>450</v>
      </c>
      <c r="J66" s="51">
        <v>450</v>
      </c>
      <c r="K66" s="217">
        <f t="shared" si="8"/>
        <v>900</v>
      </c>
      <c r="L66" s="217">
        <f t="shared" si="10"/>
        <v>35350</v>
      </c>
      <c r="M66" s="51">
        <v>450</v>
      </c>
      <c r="N66" s="51">
        <v>450</v>
      </c>
      <c r="O66" s="217">
        <f t="shared" si="13"/>
        <v>900</v>
      </c>
      <c r="P66" s="217">
        <f t="shared" si="14"/>
        <v>3550</v>
      </c>
      <c r="Q66" s="51">
        <v>300</v>
      </c>
      <c r="R66" s="51">
        <v>300</v>
      </c>
      <c r="S66" s="51">
        <v>300</v>
      </c>
      <c r="T66" s="51">
        <v>300</v>
      </c>
      <c r="U66" s="51">
        <v>300</v>
      </c>
      <c r="V66" s="51">
        <v>300</v>
      </c>
      <c r="W66" s="51">
        <v>300</v>
      </c>
      <c r="X66" s="51">
        <v>300</v>
      </c>
      <c r="Y66" s="213">
        <v>200</v>
      </c>
      <c r="Z66" s="213">
        <v>200</v>
      </c>
      <c r="AA66" s="51">
        <v>300</v>
      </c>
      <c r="AB66" s="51">
        <v>300</v>
      </c>
      <c r="AC66" s="51">
        <v>300</v>
      </c>
      <c r="AD66" s="51">
        <v>300</v>
      </c>
      <c r="AE66" s="51">
        <v>300</v>
      </c>
      <c r="AF66" s="51">
        <v>300</v>
      </c>
      <c r="AG66" s="51">
        <v>300</v>
      </c>
      <c r="AH66" s="51">
        <v>300</v>
      </c>
      <c r="AI66" s="51">
        <v>300</v>
      </c>
      <c r="AJ66" s="51">
        <v>300</v>
      </c>
      <c r="AK66" s="217">
        <f t="shared" si="15"/>
        <v>5800</v>
      </c>
      <c r="AL66" s="217">
        <f t="shared" si="16"/>
        <v>191300</v>
      </c>
      <c r="AM66" s="51">
        <v>450</v>
      </c>
      <c r="AN66" s="51">
        <v>450</v>
      </c>
      <c r="AO66" s="217">
        <f t="shared" si="9"/>
        <v>900</v>
      </c>
      <c r="AP66" s="217">
        <f t="shared" si="11"/>
        <v>5350</v>
      </c>
      <c r="AQ66" s="51">
        <f t="shared" si="6"/>
        <v>6700</v>
      </c>
      <c r="AR66" s="51">
        <f t="shared" si="12"/>
        <v>16650</v>
      </c>
      <c r="AS66" s="217"/>
      <c r="AT66" s="217"/>
      <c r="AU66" s="217">
        <v>25000</v>
      </c>
      <c r="AV66" s="231">
        <f>A66+12</f>
        <v>45765</v>
      </c>
      <c r="AW66" s="51">
        <f t="shared" si="17"/>
        <v>25000</v>
      </c>
      <c r="AX66" s="209">
        <f>AV66</f>
        <v>45765</v>
      </c>
      <c r="AY66" s="217"/>
      <c r="AZ66" s="217"/>
      <c r="BA66" s="217"/>
      <c r="BB66" s="217"/>
      <c r="BC66" s="51">
        <f t="shared" si="18"/>
        <v>0</v>
      </c>
      <c r="BD66" s="209"/>
      <c r="BE66" s="217"/>
      <c r="BF66" s="217"/>
      <c r="BG66" s="217"/>
      <c r="BH66" s="217"/>
      <c r="BI66" s="51">
        <f t="shared" si="20"/>
        <v>0</v>
      </c>
      <c r="BJ66" s="209"/>
    </row>
    <row r="67" spans="1:62" hidden="1">
      <c r="A67" s="209">
        <v>45754</v>
      </c>
      <c r="B67" s="51"/>
      <c r="C67" s="51"/>
      <c r="D67" s="208"/>
      <c r="E67" s="51"/>
      <c r="F67" s="51"/>
      <c r="G67" s="215">
        <f t="shared" si="5"/>
        <v>0</v>
      </c>
      <c r="H67" s="51"/>
      <c r="I67" s="51">
        <v>450</v>
      </c>
      <c r="J67" s="51">
        <v>450</v>
      </c>
      <c r="K67" s="217">
        <f t="shared" si="8"/>
        <v>900</v>
      </c>
      <c r="L67" s="217">
        <f t="shared" si="10"/>
        <v>36250</v>
      </c>
      <c r="M67" s="51">
        <v>450</v>
      </c>
      <c r="N67" s="51">
        <v>450</v>
      </c>
      <c r="O67" s="217">
        <f t="shared" si="13"/>
        <v>900</v>
      </c>
      <c r="P67" s="217">
        <f t="shared" si="14"/>
        <v>4450</v>
      </c>
      <c r="Q67" s="51">
        <v>300</v>
      </c>
      <c r="R67" s="51">
        <v>300</v>
      </c>
      <c r="S67" s="51">
        <v>300</v>
      </c>
      <c r="T67" s="51">
        <v>300</v>
      </c>
      <c r="U67" s="51">
        <v>300</v>
      </c>
      <c r="V67" s="51">
        <v>300</v>
      </c>
      <c r="W67" s="51">
        <v>300</v>
      </c>
      <c r="X67" s="51">
        <v>300</v>
      </c>
      <c r="Y67" s="51">
        <v>300</v>
      </c>
      <c r="Z67" s="51">
        <v>300</v>
      </c>
      <c r="AA67" s="213">
        <v>200</v>
      </c>
      <c r="AB67" s="213">
        <v>200</v>
      </c>
      <c r="AC67" s="51">
        <v>300</v>
      </c>
      <c r="AD67" s="51">
        <v>300</v>
      </c>
      <c r="AE67" s="51">
        <v>300</v>
      </c>
      <c r="AF67" s="51">
        <v>300</v>
      </c>
      <c r="AG67" s="51">
        <v>300</v>
      </c>
      <c r="AH67" s="51">
        <v>300</v>
      </c>
      <c r="AI67" s="51">
        <v>300</v>
      </c>
      <c r="AJ67" s="51">
        <v>300</v>
      </c>
      <c r="AK67" s="217">
        <f t="shared" si="15"/>
        <v>5800</v>
      </c>
      <c r="AL67" s="217">
        <f t="shared" si="16"/>
        <v>197100</v>
      </c>
      <c r="AM67" s="51">
        <v>450</v>
      </c>
      <c r="AN67" s="51">
        <v>450</v>
      </c>
      <c r="AO67" s="217">
        <f t="shared" si="9"/>
        <v>900</v>
      </c>
      <c r="AP67" s="217">
        <f t="shared" si="11"/>
        <v>6250</v>
      </c>
      <c r="AQ67" s="51">
        <f t="shared" si="6"/>
        <v>6700</v>
      </c>
      <c r="AR67" s="51">
        <f t="shared" si="12"/>
        <v>23350</v>
      </c>
      <c r="AS67" s="217"/>
      <c r="AT67" s="217"/>
      <c r="AU67" s="217"/>
      <c r="AV67" s="217"/>
      <c r="AW67" s="51">
        <f t="shared" si="17"/>
        <v>0</v>
      </c>
      <c r="AX67" s="209"/>
      <c r="AY67" s="217"/>
      <c r="AZ67" s="217"/>
      <c r="BA67" s="217"/>
      <c r="BB67" s="217"/>
      <c r="BC67" s="51">
        <f t="shared" si="18"/>
        <v>0</v>
      </c>
      <c r="BD67" s="209"/>
      <c r="BE67" s="217"/>
      <c r="BF67" s="217"/>
      <c r="BG67" s="217"/>
      <c r="BH67" s="217"/>
      <c r="BI67" s="51">
        <f t="shared" si="20"/>
        <v>0</v>
      </c>
      <c r="BJ67" s="209"/>
    </row>
    <row r="68" spans="1:62" hidden="1">
      <c r="A68" s="209">
        <v>45755</v>
      </c>
      <c r="B68" s="51"/>
      <c r="C68" s="51"/>
      <c r="D68" s="208"/>
      <c r="E68" s="51"/>
      <c r="F68" s="51"/>
      <c r="G68" s="215">
        <f t="shared" si="5"/>
        <v>0</v>
      </c>
      <c r="H68" s="51"/>
      <c r="I68" s="51">
        <v>450</v>
      </c>
      <c r="J68" s="51">
        <v>450</v>
      </c>
      <c r="K68" s="217">
        <f t="shared" si="8"/>
        <v>900</v>
      </c>
      <c r="L68" s="217">
        <f t="shared" si="10"/>
        <v>37150</v>
      </c>
      <c r="M68" s="51">
        <v>450</v>
      </c>
      <c r="N68" s="51">
        <v>450</v>
      </c>
      <c r="O68" s="217">
        <f t="shared" si="13"/>
        <v>900</v>
      </c>
      <c r="P68" s="217">
        <f t="shared" si="14"/>
        <v>5350</v>
      </c>
      <c r="Q68" s="51">
        <v>300</v>
      </c>
      <c r="R68" s="51">
        <v>300</v>
      </c>
      <c r="S68" s="51">
        <v>300</v>
      </c>
      <c r="T68" s="51">
        <v>300</v>
      </c>
      <c r="U68" s="51">
        <v>300</v>
      </c>
      <c r="V68" s="51">
        <v>300</v>
      </c>
      <c r="W68" s="51">
        <v>300</v>
      </c>
      <c r="X68" s="51">
        <v>300</v>
      </c>
      <c r="Y68" s="51">
        <v>300</v>
      </c>
      <c r="Z68" s="51">
        <v>300</v>
      </c>
      <c r="AA68" s="51">
        <v>300</v>
      </c>
      <c r="AB68" s="51">
        <v>300</v>
      </c>
      <c r="AC68" s="213">
        <v>200</v>
      </c>
      <c r="AD68" s="213">
        <v>200</v>
      </c>
      <c r="AE68" s="51">
        <v>300</v>
      </c>
      <c r="AF68" s="51">
        <v>300</v>
      </c>
      <c r="AG68" s="51">
        <v>300</v>
      </c>
      <c r="AH68" s="51">
        <v>300</v>
      </c>
      <c r="AI68" s="51">
        <v>300</v>
      </c>
      <c r="AJ68" s="51">
        <v>300</v>
      </c>
      <c r="AK68" s="217">
        <f t="shared" si="15"/>
        <v>5800</v>
      </c>
      <c r="AL68" s="217">
        <f t="shared" si="16"/>
        <v>202900</v>
      </c>
      <c r="AM68" s="51">
        <v>450</v>
      </c>
      <c r="AN68" s="51">
        <v>450</v>
      </c>
      <c r="AO68" s="217">
        <f t="shared" si="9"/>
        <v>900</v>
      </c>
      <c r="AP68" s="217">
        <f t="shared" si="11"/>
        <v>7150</v>
      </c>
      <c r="AQ68" s="51">
        <f t="shared" si="6"/>
        <v>6700</v>
      </c>
      <c r="AR68" s="51">
        <f t="shared" si="12"/>
        <v>30050</v>
      </c>
      <c r="AS68" s="217"/>
      <c r="AT68" s="217"/>
      <c r="AU68" s="217"/>
      <c r="AV68" s="231"/>
      <c r="AW68" s="51">
        <f t="shared" si="17"/>
        <v>0</v>
      </c>
      <c r="AX68" s="209"/>
      <c r="AY68" s="217"/>
      <c r="AZ68" s="217"/>
      <c r="BA68" s="217"/>
      <c r="BB68" s="231"/>
      <c r="BC68" s="51">
        <f t="shared" si="18"/>
        <v>0</v>
      </c>
      <c r="BD68" s="209"/>
      <c r="BE68" s="217"/>
      <c r="BF68" s="217"/>
      <c r="BG68" s="217"/>
      <c r="BH68" s="231"/>
      <c r="BI68" s="51">
        <f t="shared" si="20"/>
        <v>0</v>
      </c>
      <c r="BJ68" s="209"/>
    </row>
    <row r="69" spans="1:62">
      <c r="A69" s="209">
        <v>45756</v>
      </c>
      <c r="B69" s="51"/>
      <c r="C69" s="51"/>
      <c r="D69" s="208"/>
      <c r="E69" s="51"/>
      <c r="F69" s="51"/>
      <c r="G69" s="215">
        <f t="shared" si="5"/>
        <v>0</v>
      </c>
      <c r="H69" s="51"/>
      <c r="I69" s="51">
        <v>450</v>
      </c>
      <c r="J69" s="51">
        <v>450</v>
      </c>
      <c r="K69" s="217">
        <f t="shared" si="8"/>
        <v>900</v>
      </c>
      <c r="L69" s="217">
        <f t="shared" si="10"/>
        <v>38050</v>
      </c>
      <c r="M69" s="214">
        <v>200</v>
      </c>
      <c r="N69" s="51">
        <v>450</v>
      </c>
      <c r="O69" s="217">
        <f t="shared" si="13"/>
        <v>650</v>
      </c>
      <c r="P69" s="217">
        <f t="shared" si="14"/>
        <v>6000</v>
      </c>
      <c r="Q69" s="51">
        <v>300</v>
      </c>
      <c r="R69" s="51">
        <v>300</v>
      </c>
      <c r="S69" s="51">
        <v>300</v>
      </c>
      <c r="T69" s="51">
        <v>300</v>
      </c>
      <c r="U69" s="51">
        <v>300</v>
      </c>
      <c r="V69" s="51">
        <v>300</v>
      </c>
      <c r="W69" s="51">
        <v>300</v>
      </c>
      <c r="X69" s="51">
        <v>300</v>
      </c>
      <c r="Y69" s="51">
        <v>300</v>
      </c>
      <c r="Z69" s="51">
        <v>300</v>
      </c>
      <c r="AA69" s="51">
        <v>300</v>
      </c>
      <c r="AB69" s="51">
        <v>300</v>
      </c>
      <c r="AC69" s="51">
        <v>300</v>
      </c>
      <c r="AD69" s="51">
        <v>300</v>
      </c>
      <c r="AE69" s="213">
        <v>200</v>
      </c>
      <c r="AF69" s="51">
        <v>300</v>
      </c>
      <c r="AG69" s="51">
        <v>300</v>
      </c>
      <c r="AH69" s="51">
        <v>300</v>
      </c>
      <c r="AI69" s="51">
        <v>300</v>
      </c>
      <c r="AJ69" s="51">
        <v>300</v>
      </c>
      <c r="AK69" s="217">
        <f t="shared" si="15"/>
        <v>5900</v>
      </c>
      <c r="AL69" s="217">
        <f t="shared" si="16"/>
        <v>208800</v>
      </c>
      <c r="AM69" s="51">
        <v>450</v>
      </c>
      <c r="AN69" s="51">
        <v>450</v>
      </c>
      <c r="AO69" s="217">
        <f t="shared" si="9"/>
        <v>900</v>
      </c>
      <c r="AP69" s="217">
        <f t="shared" si="11"/>
        <v>8050</v>
      </c>
      <c r="AQ69" s="51">
        <f t="shared" si="6"/>
        <v>6800</v>
      </c>
      <c r="AR69" s="51">
        <f t="shared" si="12"/>
        <v>11850</v>
      </c>
      <c r="AS69" s="217">
        <v>25000</v>
      </c>
      <c r="AT69" s="231">
        <f>A69+12</f>
        <v>45768</v>
      </c>
      <c r="AU69" s="217"/>
      <c r="AV69" s="217"/>
      <c r="AW69" s="51">
        <f t="shared" si="17"/>
        <v>25000</v>
      </c>
      <c r="AX69" s="209">
        <f>AT69</f>
        <v>45768</v>
      </c>
      <c r="AY69" s="217"/>
      <c r="AZ69" s="217"/>
      <c r="BA69" s="217"/>
      <c r="BB69" s="217"/>
      <c r="BC69" s="51">
        <f t="shared" si="18"/>
        <v>0</v>
      </c>
      <c r="BD69" s="209"/>
      <c r="BE69" s="217"/>
      <c r="BF69" s="217"/>
      <c r="BG69" s="217"/>
      <c r="BH69" s="217"/>
      <c r="BI69" s="51">
        <f t="shared" si="20"/>
        <v>0</v>
      </c>
      <c r="BJ69" s="209"/>
    </row>
    <row r="70" spans="1:62" hidden="1">
      <c r="A70" s="209">
        <v>45757</v>
      </c>
      <c r="B70" s="51"/>
      <c r="C70" s="51"/>
      <c r="D70" s="208"/>
      <c r="E70" s="51"/>
      <c r="F70" s="51"/>
      <c r="G70" s="215">
        <f t="shared" si="5"/>
        <v>0</v>
      </c>
      <c r="H70" s="51"/>
      <c r="I70" s="51">
        <v>450</v>
      </c>
      <c r="J70" s="51">
        <v>450</v>
      </c>
      <c r="K70" s="217">
        <f t="shared" si="8"/>
        <v>900</v>
      </c>
      <c r="L70" s="217">
        <f t="shared" si="10"/>
        <v>38950</v>
      </c>
      <c r="M70" s="51">
        <v>450</v>
      </c>
      <c r="N70" s="214">
        <v>200</v>
      </c>
      <c r="O70" s="217">
        <f t="shared" si="13"/>
        <v>650</v>
      </c>
      <c r="P70" s="217">
        <f t="shared" si="14"/>
        <v>6650</v>
      </c>
      <c r="Q70" s="51">
        <v>300</v>
      </c>
      <c r="R70" s="51">
        <v>300</v>
      </c>
      <c r="S70" s="51">
        <v>300</v>
      </c>
      <c r="T70" s="51">
        <v>300</v>
      </c>
      <c r="U70" s="51">
        <v>300</v>
      </c>
      <c r="V70" s="51">
        <v>300</v>
      </c>
      <c r="W70" s="51">
        <v>300</v>
      </c>
      <c r="X70" s="51">
        <v>300</v>
      </c>
      <c r="Y70" s="51">
        <v>300</v>
      </c>
      <c r="Z70" s="51">
        <v>300</v>
      </c>
      <c r="AA70" s="51">
        <v>300</v>
      </c>
      <c r="AB70" s="51">
        <v>300</v>
      </c>
      <c r="AC70" s="51">
        <v>300</v>
      </c>
      <c r="AD70" s="51">
        <v>300</v>
      </c>
      <c r="AE70" s="51">
        <v>300</v>
      </c>
      <c r="AF70" s="213">
        <v>200</v>
      </c>
      <c r="AG70" s="51">
        <v>300</v>
      </c>
      <c r="AH70" s="51">
        <v>300</v>
      </c>
      <c r="AI70" s="51">
        <v>300</v>
      </c>
      <c r="AJ70" s="51">
        <v>300</v>
      </c>
      <c r="AK70" s="217">
        <f t="shared" si="15"/>
        <v>5900</v>
      </c>
      <c r="AL70" s="217">
        <f t="shared" si="16"/>
        <v>214700</v>
      </c>
      <c r="AM70" s="51">
        <v>450</v>
      </c>
      <c r="AN70" s="51">
        <v>450</v>
      </c>
      <c r="AO70" s="217">
        <f t="shared" si="9"/>
        <v>900</v>
      </c>
      <c r="AP70" s="217">
        <f t="shared" si="11"/>
        <v>8950</v>
      </c>
      <c r="AQ70" s="51">
        <f t="shared" si="6"/>
        <v>6800</v>
      </c>
      <c r="AR70" s="51">
        <f t="shared" si="12"/>
        <v>18650</v>
      </c>
      <c r="AS70" s="217"/>
      <c r="AT70" s="217"/>
      <c r="AU70" s="217"/>
      <c r="AV70" s="217"/>
      <c r="AW70" s="51">
        <f t="shared" si="17"/>
        <v>0</v>
      </c>
      <c r="AX70" s="209"/>
      <c r="AY70" s="217"/>
      <c r="AZ70" s="217"/>
      <c r="BA70" s="217"/>
      <c r="BB70" s="217"/>
      <c r="BC70" s="51">
        <f t="shared" si="18"/>
        <v>0</v>
      </c>
      <c r="BD70" s="209"/>
      <c r="BE70" s="217"/>
      <c r="BF70" s="217"/>
      <c r="BG70" s="217"/>
      <c r="BH70" s="217"/>
      <c r="BI70" s="51">
        <f t="shared" si="20"/>
        <v>0</v>
      </c>
      <c r="BJ70" s="209"/>
    </row>
    <row r="71" spans="1:62" hidden="1">
      <c r="A71" s="209">
        <v>45758</v>
      </c>
      <c r="B71" s="51"/>
      <c r="C71" s="51"/>
      <c r="D71" s="208"/>
      <c r="E71" s="51"/>
      <c r="F71" s="51"/>
      <c r="G71" s="215">
        <f t="shared" si="5"/>
        <v>0</v>
      </c>
      <c r="H71" s="51"/>
      <c r="I71" s="214">
        <v>200</v>
      </c>
      <c r="J71" s="51">
        <v>450</v>
      </c>
      <c r="K71" s="217">
        <f t="shared" si="8"/>
        <v>650</v>
      </c>
      <c r="L71" s="217">
        <f t="shared" si="10"/>
        <v>39600</v>
      </c>
      <c r="M71" s="51">
        <v>450</v>
      </c>
      <c r="N71" s="51">
        <v>450</v>
      </c>
      <c r="O71" s="217">
        <f t="shared" si="13"/>
        <v>900</v>
      </c>
      <c r="P71" s="217">
        <f t="shared" si="14"/>
        <v>7550</v>
      </c>
      <c r="Q71" s="51">
        <v>300</v>
      </c>
      <c r="R71" s="51">
        <v>300</v>
      </c>
      <c r="S71" s="51">
        <v>300</v>
      </c>
      <c r="T71" s="51">
        <v>300</v>
      </c>
      <c r="U71" s="51">
        <v>300</v>
      </c>
      <c r="V71" s="51">
        <v>300</v>
      </c>
      <c r="W71" s="51">
        <v>300</v>
      </c>
      <c r="X71" s="51">
        <v>300</v>
      </c>
      <c r="Y71" s="51">
        <v>300</v>
      </c>
      <c r="Z71" s="51">
        <v>300</v>
      </c>
      <c r="AA71" s="51">
        <v>300</v>
      </c>
      <c r="AB71" s="51">
        <v>300</v>
      </c>
      <c r="AC71" s="51">
        <v>300</v>
      </c>
      <c r="AD71" s="51">
        <v>300</v>
      </c>
      <c r="AE71" s="51">
        <v>300</v>
      </c>
      <c r="AF71" s="51">
        <v>300</v>
      </c>
      <c r="AG71" s="213">
        <v>200</v>
      </c>
      <c r="AH71" s="51">
        <v>300</v>
      </c>
      <c r="AI71" s="51">
        <v>300</v>
      </c>
      <c r="AJ71" s="51">
        <v>300</v>
      </c>
      <c r="AK71" s="217">
        <f t="shared" si="15"/>
        <v>5900</v>
      </c>
      <c r="AL71" s="217">
        <f t="shared" si="16"/>
        <v>220600</v>
      </c>
      <c r="AM71" s="51">
        <v>450</v>
      </c>
      <c r="AN71" s="51">
        <v>450</v>
      </c>
      <c r="AO71" s="217">
        <f t="shared" si="9"/>
        <v>900</v>
      </c>
      <c r="AP71" s="217">
        <f t="shared" si="11"/>
        <v>9850</v>
      </c>
      <c r="AQ71" s="51">
        <f t="shared" si="6"/>
        <v>6550</v>
      </c>
      <c r="AR71" s="51">
        <f t="shared" si="12"/>
        <v>25200</v>
      </c>
      <c r="AS71" s="217"/>
      <c r="AT71" s="217"/>
      <c r="AU71" s="217"/>
      <c r="AV71" s="217"/>
      <c r="AW71" s="51">
        <f t="shared" si="17"/>
        <v>0</v>
      </c>
      <c r="AX71" s="209"/>
      <c r="AY71" s="217"/>
      <c r="AZ71" s="217"/>
      <c r="BA71" s="217"/>
      <c r="BB71" s="231"/>
      <c r="BC71" s="51">
        <f t="shared" si="18"/>
        <v>0</v>
      </c>
      <c r="BD71" s="209"/>
      <c r="BE71" s="217"/>
      <c r="BF71" s="217"/>
      <c r="BG71" s="217"/>
      <c r="BH71" s="231"/>
      <c r="BI71" s="51">
        <f t="shared" si="20"/>
        <v>0</v>
      </c>
      <c r="BJ71" s="209"/>
    </row>
    <row r="72" spans="1:62" hidden="1">
      <c r="A72" s="209">
        <v>45759</v>
      </c>
      <c r="B72" s="51"/>
      <c r="C72" s="51"/>
      <c r="D72" s="208"/>
      <c r="E72" s="51"/>
      <c r="F72" s="51"/>
      <c r="G72" s="215">
        <f t="shared" si="5"/>
        <v>0</v>
      </c>
      <c r="H72" s="51"/>
      <c r="I72" s="51">
        <v>450</v>
      </c>
      <c r="J72" s="214">
        <v>200</v>
      </c>
      <c r="K72" s="217">
        <f t="shared" si="8"/>
        <v>650</v>
      </c>
      <c r="L72" s="217">
        <f t="shared" si="10"/>
        <v>40250</v>
      </c>
      <c r="M72" s="51">
        <v>450</v>
      </c>
      <c r="N72" s="51">
        <v>450</v>
      </c>
      <c r="O72" s="217">
        <f t="shared" si="13"/>
        <v>900</v>
      </c>
      <c r="P72" s="217">
        <f t="shared" si="14"/>
        <v>8450</v>
      </c>
      <c r="Q72" s="51">
        <v>300</v>
      </c>
      <c r="R72" s="51">
        <v>300</v>
      </c>
      <c r="S72" s="51">
        <v>300</v>
      </c>
      <c r="T72" s="51">
        <v>300</v>
      </c>
      <c r="U72" s="51">
        <v>300</v>
      </c>
      <c r="V72" s="51">
        <v>300</v>
      </c>
      <c r="W72" s="51">
        <v>300</v>
      </c>
      <c r="X72" s="51">
        <v>300</v>
      </c>
      <c r="Y72" s="51">
        <v>300</v>
      </c>
      <c r="Z72" s="51">
        <v>300</v>
      </c>
      <c r="AA72" s="51">
        <v>300</v>
      </c>
      <c r="AB72" s="51">
        <v>300</v>
      </c>
      <c r="AC72" s="51">
        <v>300</v>
      </c>
      <c r="AD72" s="51">
        <v>300</v>
      </c>
      <c r="AE72" s="51">
        <v>300</v>
      </c>
      <c r="AF72" s="51">
        <v>300</v>
      </c>
      <c r="AG72" s="51">
        <v>300</v>
      </c>
      <c r="AH72" s="213">
        <v>200</v>
      </c>
      <c r="AI72" s="51">
        <v>300</v>
      </c>
      <c r="AJ72" s="51">
        <v>300</v>
      </c>
      <c r="AK72" s="217">
        <f t="shared" si="15"/>
        <v>5900</v>
      </c>
      <c r="AL72" s="217">
        <f t="shared" si="16"/>
        <v>226500</v>
      </c>
      <c r="AM72" s="51">
        <v>450</v>
      </c>
      <c r="AN72" s="51">
        <v>450</v>
      </c>
      <c r="AO72" s="217">
        <f t="shared" si="9"/>
        <v>900</v>
      </c>
      <c r="AP72" s="217">
        <f t="shared" si="11"/>
        <v>10750</v>
      </c>
      <c r="AQ72" s="51">
        <f t="shared" si="6"/>
        <v>6550</v>
      </c>
      <c r="AR72" s="51">
        <f t="shared" si="12"/>
        <v>31750</v>
      </c>
      <c r="AS72" s="217"/>
      <c r="AT72" s="231"/>
      <c r="AU72" s="217"/>
      <c r="AV72" s="217"/>
      <c r="AW72" s="51">
        <f t="shared" si="17"/>
        <v>0</v>
      </c>
      <c r="AX72" s="209"/>
      <c r="AY72" s="217"/>
      <c r="AZ72" s="231"/>
      <c r="BA72" s="217"/>
      <c r="BB72" s="217"/>
      <c r="BC72" s="51">
        <f t="shared" si="18"/>
        <v>0</v>
      </c>
      <c r="BD72" s="209"/>
      <c r="BE72" s="217"/>
      <c r="BF72" s="231"/>
      <c r="BG72" s="217"/>
      <c r="BH72" s="217"/>
      <c r="BI72" s="51">
        <f t="shared" si="20"/>
        <v>0</v>
      </c>
      <c r="BJ72" s="209"/>
    </row>
    <row r="73" spans="1:62">
      <c r="A73" s="209">
        <v>45760</v>
      </c>
      <c r="B73" s="51"/>
      <c r="C73" s="51"/>
      <c r="D73" s="208"/>
      <c r="E73" s="51"/>
      <c r="F73" s="51"/>
      <c r="G73" s="215">
        <f t="shared" si="5"/>
        <v>0</v>
      </c>
      <c r="H73" s="51"/>
      <c r="I73" s="51">
        <v>450</v>
      </c>
      <c r="J73" s="51">
        <v>450</v>
      </c>
      <c r="K73" s="217">
        <f t="shared" si="8"/>
        <v>900</v>
      </c>
      <c r="L73" s="217">
        <f t="shared" si="10"/>
        <v>41150</v>
      </c>
      <c r="M73" s="51">
        <v>450</v>
      </c>
      <c r="N73" s="51">
        <v>450</v>
      </c>
      <c r="O73" s="217">
        <f t="shared" si="13"/>
        <v>900</v>
      </c>
      <c r="P73" s="217">
        <f t="shared" si="14"/>
        <v>9350</v>
      </c>
      <c r="Q73" s="213">
        <v>200</v>
      </c>
      <c r="R73" s="213">
        <v>200</v>
      </c>
      <c r="S73" s="51">
        <v>300</v>
      </c>
      <c r="T73" s="51">
        <v>300</v>
      </c>
      <c r="U73" s="51">
        <v>300</v>
      </c>
      <c r="V73" s="51">
        <v>300</v>
      </c>
      <c r="W73" s="51">
        <v>300</v>
      </c>
      <c r="X73" s="51">
        <v>300</v>
      </c>
      <c r="Y73" s="51">
        <v>300</v>
      </c>
      <c r="Z73" s="51">
        <v>300</v>
      </c>
      <c r="AA73" s="51">
        <v>300</v>
      </c>
      <c r="AB73" s="51">
        <v>300</v>
      </c>
      <c r="AC73" s="51">
        <v>300</v>
      </c>
      <c r="AD73" s="51">
        <v>300</v>
      </c>
      <c r="AE73" s="51">
        <v>300</v>
      </c>
      <c r="AF73" s="51">
        <v>300</v>
      </c>
      <c r="AG73" s="51">
        <v>300</v>
      </c>
      <c r="AH73" s="51">
        <v>300</v>
      </c>
      <c r="AI73" s="213">
        <v>200</v>
      </c>
      <c r="AJ73" s="51">
        <v>300</v>
      </c>
      <c r="AK73" s="217">
        <f t="shared" si="15"/>
        <v>5700</v>
      </c>
      <c r="AL73" s="217">
        <f t="shared" si="16"/>
        <v>232200</v>
      </c>
      <c r="AM73" s="214">
        <v>200</v>
      </c>
      <c r="AN73" s="51">
        <v>450</v>
      </c>
      <c r="AO73" s="217">
        <f t="shared" si="9"/>
        <v>650</v>
      </c>
      <c r="AP73" s="217">
        <f t="shared" si="11"/>
        <v>11400</v>
      </c>
      <c r="AQ73" s="51">
        <f t="shared" si="6"/>
        <v>6600</v>
      </c>
      <c r="AR73" s="51">
        <f t="shared" si="12"/>
        <v>13350</v>
      </c>
      <c r="AS73" s="217"/>
      <c r="AT73" s="231"/>
      <c r="AU73" s="51">
        <v>25000</v>
      </c>
      <c r="AV73" s="231">
        <f>A73+12</f>
        <v>45772</v>
      </c>
      <c r="AW73" s="51">
        <f t="shared" si="17"/>
        <v>25000</v>
      </c>
      <c r="AX73" s="209">
        <f>AV73</f>
        <v>45772</v>
      </c>
      <c r="AY73" s="217"/>
      <c r="AZ73" s="231"/>
      <c r="BA73" s="217"/>
      <c r="BB73" s="217"/>
      <c r="BC73" s="51">
        <f t="shared" si="18"/>
        <v>0</v>
      </c>
      <c r="BD73" s="209"/>
      <c r="BE73" s="217"/>
      <c r="BF73" s="231"/>
      <c r="BG73" s="217"/>
      <c r="BH73" s="217"/>
      <c r="BI73" s="51">
        <f t="shared" si="20"/>
        <v>0</v>
      </c>
      <c r="BJ73" s="209"/>
    </row>
    <row r="74" spans="1:62" hidden="1">
      <c r="A74" s="209">
        <v>45761</v>
      </c>
      <c r="B74" s="51"/>
      <c r="C74" s="51"/>
      <c r="D74" s="208"/>
      <c r="E74" s="51"/>
      <c r="F74" s="51"/>
      <c r="G74" s="215">
        <f t="shared" si="5"/>
        <v>0</v>
      </c>
      <c r="H74" s="51"/>
      <c r="I74" s="51">
        <v>450</v>
      </c>
      <c r="J74" s="51">
        <v>450</v>
      </c>
      <c r="K74" s="217">
        <f t="shared" si="8"/>
        <v>900</v>
      </c>
      <c r="L74" s="217">
        <f t="shared" si="10"/>
        <v>42050</v>
      </c>
      <c r="M74" s="51">
        <v>450</v>
      </c>
      <c r="N74" s="51">
        <v>450</v>
      </c>
      <c r="O74" s="217">
        <f t="shared" si="13"/>
        <v>900</v>
      </c>
      <c r="P74" s="217">
        <f t="shared" si="14"/>
        <v>10250</v>
      </c>
      <c r="Q74" s="51">
        <v>300</v>
      </c>
      <c r="R74" s="51">
        <v>300</v>
      </c>
      <c r="S74" s="213">
        <v>200</v>
      </c>
      <c r="T74" s="213">
        <v>200</v>
      </c>
      <c r="U74" s="51">
        <v>300</v>
      </c>
      <c r="V74" s="51">
        <v>300</v>
      </c>
      <c r="W74" s="51">
        <v>300</v>
      </c>
      <c r="X74" s="51">
        <v>300</v>
      </c>
      <c r="Y74" s="51">
        <v>300</v>
      </c>
      <c r="Z74" s="51">
        <v>300</v>
      </c>
      <c r="AA74" s="51">
        <v>300</v>
      </c>
      <c r="AB74" s="51">
        <v>300</v>
      </c>
      <c r="AC74" s="51">
        <v>300</v>
      </c>
      <c r="AD74" s="51">
        <v>300</v>
      </c>
      <c r="AE74" s="51">
        <v>300</v>
      </c>
      <c r="AF74" s="51">
        <v>300</v>
      </c>
      <c r="AG74" s="51">
        <v>300</v>
      </c>
      <c r="AH74" s="51">
        <v>300</v>
      </c>
      <c r="AI74" s="51">
        <v>300</v>
      </c>
      <c r="AJ74" s="213">
        <v>200</v>
      </c>
      <c r="AK74" s="217">
        <f t="shared" si="15"/>
        <v>5700</v>
      </c>
      <c r="AL74" s="217">
        <f t="shared" si="16"/>
        <v>237900</v>
      </c>
      <c r="AM74" s="51">
        <v>450</v>
      </c>
      <c r="AN74" s="214">
        <v>200</v>
      </c>
      <c r="AO74" s="217">
        <f t="shared" si="9"/>
        <v>650</v>
      </c>
      <c r="AP74" s="217">
        <f t="shared" si="11"/>
        <v>2050</v>
      </c>
      <c r="AQ74" s="51">
        <f t="shared" si="6"/>
        <v>6600</v>
      </c>
      <c r="AR74" s="51">
        <f t="shared" si="12"/>
        <v>19950</v>
      </c>
      <c r="AS74" s="217"/>
      <c r="AT74" s="217"/>
      <c r="AU74" s="217"/>
      <c r="AV74" s="217"/>
      <c r="AW74" s="51">
        <f t="shared" si="17"/>
        <v>0</v>
      </c>
      <c r="AX74" s="209"/>
      <c r="AY74" s="217"/>
      <c r="AZ74" s="217"/>
      <c r="BA74" s="217">
        <v>10000</v>
      </c>
      <c r="BB74" s="231">
        <f>A74+12</f>
        <v>45773</v>
      </c>
      <c r="BC74" s="51">
        <f t="shared" si="18"/>
        <v>10000</v>
      </c>
      <c r="BD74" s="209">
        <f>BB74</f>
        <v>45773</v>
      </c>
      <c r="BE74" s="217"/>
      <c r="BF74" s="217"/>
      <c r="BG74" s="217"/>
      <c r="BH74" s="217"/>
      <c r="BI74" s="51">
        <f t="shared" si="20"/>
        <v>0</v>
      </c>
      <c r="BJ74" s="209"/>
    </row>
    <row r="75" spans="1:62" hidden="1">
      <c r="A75" s="209">
        <v>45762</v>
      </c>
      <c r="B75" s="51"/>
      <c r="C75" s="51"/>
      <c r="D75" s="208"/>
      <c r="E75" s="51"/>
      <c r="F75" s="51"/>
      <c r="G75" s="215">
        <f t="shared" si="5"/>
        <v>0</v>
      </c>
      <c r="H75" s="51"/>
      <c r="I75" s="51">
        <v>450</v>
      </c>
      <c r="J75" s="51">
        <v>450</v>
      </c>
      <c r="K75" s="217">
        <f t="shared" si="8"/>
        <v>900</v>
      </c>
      <c r="L75" s="217">
        <f t="shared" si="10"/>
        <v>42950</v>
      </c>
      <c r="M75" s="51">
        <v>450</v>
      </c>
      <c r="N75" s="51">
        <v>450</v>
      </c>
      <c r="O75" s="217">
        <f t="shared" si="13"/>
        <v>900</v>
      </c>
      <c r="P75" s="217">
        <f t="shared" si="14"/>
        <v>11150</v>
      </c>
      <c r="Q75" s="51">
        <v>300</v>
      </c>
      <c r="R75" s="51">
        <v>300</v>
      </c>
      <c r="S75" s="51">
        <v>300</v>
      </c>
      <c r="T75" s="51">
        <v>300</v>
      </c>
      <c r="U75" s="213">
        <v>200</v>
      </c>
      <c r="V75" s="213">
        <v>200</v>
      </c>
      <c r="W75" s="51">
        <v>300</v>
      </c>
      <c r="X75" s="51">
        <v>300</v>
      </c>
      <c r="Y75" s="51">
        <v>300</v>
      </c>
      <c r="Z75" s="51">
        <v>300</v>
      </c>
      <c r="AA75" s="51">
        <v>300</v>
      </c>
      <c r="AB75" s="51">
        <v>300</v>
      </c>
      <c r="AC75" s="51">
        <v>300</v>
      </c>
      <c r="AD75" s="51">
        <v>300</v>
      </c>
      <c r="AE75" s="51">
        <v>300</v>
      </c>
      <c r="AF75" s="51">
        <v>300</v>
      </c>
      <c r="AG75" s="51">
        <v>300</v>
      </c>
      <c r="AH75" s="51">
        <v>300</v>
      </c>
      <c r="AI75" s="51">
        <v>300</v>
      </c>
      <c r="AJ75" s="51">
        <v>300</v>
      </c>
      <c r="AK75" s="217">
        <f t="shared" si="15"/>
        <v>5800</v>
      </c>
      <c r="AL75" s="217">
        <f t="shared" si="16"/>
        <v>243700</v>
      </c>
      <c r="AM75" s="51">
        <v>450</v>
      </c>
      <c r="AN75" s="51">
        <v>450</v>
      </c>
      <c r="AO75" s="217">
        <f t="shared" si="9"/>
        <v>900</v>
      </c>
      <c r="AP75" s="217">
        <f t="shared" si="11"/>
        <v>2950</v>
      </c>
      <c r="AQ75" s="51">
        <f t="shared" si="6"/>
        <v>6700</v>
      </c>
      <c r="AR75" s="51">
        <f t="shared" si="12"/>
        <v>26650</v>
      </c>
      <c r="AS75" s="217"/>
      <c r="AT75" s="217"/>
      <c r="AU75" s="217"/>
      <c r="AV75" s="231"/>
      <c r="AW75" s="51">
        <f t="shared" si="17"/>
        <v>0</v>
      </c>
      <c r="AX75" s="209"/>
      <c r="AY75" s="217"/>
      <c r="AZ75" s="217"/>
      <c r="BA75" s="217"/>
      <c r="BB75" s="231"/>
      <c r="BC75" s="51">
        <f t="shared" si="18"/>
        <v>0</v>
      </c>
      <c r="BD75" s="209"/>
      <c r="BE75" s="217"/>
      <c r="BF75" s="217"/>
      <c r="BG75" s="217"/>
      <c r="BH75" s="231"/>
      <c r="BI75" s="51">
        <f t="shared" si="20"/>
        <v>0</v>
      </c>
      <c r="BJ75" s="209"/>
    </row>
    <row r="76" spans="1:62">
      <c r="A76" s="209">
        <v>45763</v>
      </c>
      <c r="B76" s="51"/>
      <c r="C76" s="51"/>
      <c r="D76" s="208"/>
      <c r="E76" s="51"/>
      <c r="F76" s="51"/>
      <c r="G76" s="215">
        <f t="shared" ref="G76:G81" si="21">(B76+C76)/0.143</f>
        <v>0</v>
      </c>
      <c r="H76" s="51"/>
      <c r="I76" s="51">
        <v>450</v>
      </c>
      <c r="J76" s="51">
        <v>450</v>
      </c>
      <c r="K76" s="217">
        <f t="shared" si="8"/>
        <v>900</v>
      </c>
      <c r="L76" s="217">
        <f t="shared" si="10"/>
        <v>43850</v>
      </c>
      <c r="M76" s="51">
        <v>450</v>
      </c>
      <c r="N76" s="51">
        <v>450</v>
      </c>
      <c r="O76" s="217">
        <f t="shared" si="13"/>
        <v>900</v>
      </c>
      <c r="P76" s="217">
        <f t="shared" si="14"/>
        <v>12050</v>
      </c>
      <c r="Q76" s="51">
        <v>300</v>
      </c>
      <c r="R76" s="51">
        <v>300</v>
      </c>
      <c r="S76" s="51">
        <v>300</v>
      </c>
      <c r="T76" s="51">
        <v>300</v>
      </c>
      <c r="U76" s="51">
        <v>300</v>
      </c>
      <c r="V76" s="51">
        <v>300</v>
      </c>
      <c r="W76" s="213">
        <v>200</v>
      </c>
      <c r="X76" s="213">
        <v>200</v>
      </c>
      <c r="Y76" s="51">
        <v>300</v>
      </c>
      <c r="Z76" s="51">
        <v>300</v>
      </c>
      <c r="AA76" s="51">
        <v>300</v>
      </c>
      <c r="AB76" s="51">
        <v>300</v>
      </c>
      <c r="AC76" s="51">
        <v>300</v>
      </c>
      <c r="AD76" s="51">
        <v>300</v>
      </c>
      <c r="AE76" s="51">
        <v>300</v>
      </c>
      <c r="AF76" s="51">
        <v>300</v>
      </c>
      <c r="AG76" s="51">
        <v>300</v>
      </c>
      <c r="AH76" s="51">
        <v>300</v>
      </c>
      <c r="AI76" s="51">
        <v>300</v>
      </c>
      <c r="AJ76" s="51">
        <v>300</v>
      </c>
      <c r="AK76" s="217">
        <f t="shared" si="15"/>
        <v>5800</v>
      </c>
      <c r="AL76" s="217">
        <f t="shared" si="16"/>
        <v>249500</v>
      </c>
      <c r="AM76" s="51">
        <v>450</v>
      </c>
      <c r="AN76" s="51">
        <v>450</v>
      </c>
      <c r="AO76" s="217">
        <f t="shared" si="9"/>
        <v>900</v>
      </c>
      <c r="AP76" s="217">
        <f t="shared" si="11"/>
        <v>3850</v>
      </c>
      <c r="AQ76" s="51">
        <f t="shared" ref="AQ76:AQ113" si="22">AK76+K76</f>
        <v>6700</v>
      </c>
      <c r="AR76" s="51">
        <f t="shared" si="12"/>
        <v>8350</v>
      </c>
      <c r="AS76" s="217">
        <v>25000</v>
      </c>
      <c r="AT76" s="231">
        <f>A76+12</f>
        <v>45775</v>
      </c>
      <c r="AU76" s="217"/>
      <c r="AV76" s="217"/>
      <c r="AW76" s="51">
        <f t="shared" si="17"/>
        <v>25000</v>
      </c>
      <c r="AX76" s="209">
        <f>AT76</f>
        <v>45775</v>
      </c>
      <c r="AY76" s="217"/>
      <c r="AZ76" s="217"/>
      <c r="BA76" s="217"/>
      <c r="BB76" s="231"/>
      <c r="BC76" s="51">
        <f t="shared" si="18"/>
        <v>0</v>
      </c>
      <c r="BD76" s="209"/>
      <c r="BE76" s="217"/>
      <c r="BF76" s="217"/>
      <c r="BG76" s="217"/>
      <c r="BH76" s="217"/>
      <c r="BI76" s="51">
        <f t="shared" si="20"/>
        <v>0</v>
      </c>
      <c r="BJ76" s="209"/>
    </row>
    <row r="77" spans="1:62" hidden="1">
      <c r="A77" s="209">
        <v>45764</v>
      </c>
      <c r="B77" s="51"/>
      <c r="C77" s="51"/>
      <c r="D77" s="208"/>
      <c r="E77" s="51"/>
      <c r="F77" s="51"/>
      <c r="G77" s="215">
        <f t="shared" si="21"/>
        <v>0</v>
      </c>
      <c r="H77" s="51"/>
      <c r="I77" s="51">
        <v>450</v>
      </c>
      <c r="J77" s="51">
        <v>450</v>
      </c>
      <c r="K77" s="217">
        <f t="shared" si="8"/>
        <v>900</v>
      </c>
      <c r="L77" s="217">
        <f t="shared" si="10"/>
        <v>44750</v>
      </c>
      <c r="M77" s="51">
        <v>450</v>
      </c>
      <c r="N77" s="51">
        <v>450</v>
      </c>
      <c r="O77" s="217">
        <f t="shared" si="13"/>
        <v>900</v>
      </c>
      <c r="P77" s="217">
        <f t="shared" si="14"/>
        <v>2950</v>
      </c>
      <c r="Q77" s="51">
        <v>300</v>
      </c>
      <c r="R77" s="51">
        <v>300</v>
      </c>
      <c r="S77" s="51">
        <v>300</v>
      </c>
      <c r="T77" s="51">
        <v>300</v>
      </c>
      <c r="U77" s="51">
        <v>300</v>
      </c>
      <c r="V77" s="51">
        <v>300</v>
      </c>
      <c r="W77" s="51">
        <v>300</v>
      </c>
      <c r="X77" s="51">
        <v>300</v>
      </c>
      <c r="Y77" s="213">
        <v>200</v>
      </c>
      <c r="Z77" s="213">
        <v>200</v>
      </c>
      <c r="AA77" s="51">
        <v>300</v>
      </c>
      <c r="AB77" s="51">
        <v>300</v>
      </c>
      <c r="AC77" s="51">
        <v>300</v>
      </c>
      <c r="AD77" s="51">
        <v>300</v>
      </c>
      <c r="AE77" s="51">
        <v>300</v>
      </c>
      <c r="AF77" s="51">
        <v>300</v>
      </c>
      <c r="AG77" s="51">
        <v>300</v>
      </c>
      <c r="AH77" s="51">
        <v>300</v>
      </c>
      <c r="AI77" s="51">
        <v>300</v>
      </c>
      <c r="AJ77" s="51">
        <v>300</v>
      </c>
      <c r="AK77" s="217">
        <f t="shared" si="15"/>
        <v>5800</v>
      </c>
      <c r="AL77" s="217">
        <f t="shared" si="16"/>
        <v>255300</v>
      </c>
      <c r="AM77" s="51">
        <v>450</v>
      </c>
      <c r="AN77" s="51">
        <v>450</v>
      </c>
      <c r="AO77" s="217">
        <f t="shared" si="9"/>
        <v>900</v>
      </c>
      <c r="AP77" s="217">
        <f t="shared" si="11"/>
        <v>4750</v>
      </c>
      <c r="AQ77" s="51">
        <f t="shared" si="22"/>
        <v>6700</v>
      </c>
      <c r="AR77" s="51">
        <f t="shared" si="12"/>
        <v>15050</v>
      </c>
      <c r="AS77" s="217"/>
      <c r="AT77" s="217"/>
      <c r="AU77" s="217"/>
      <c r="AV77" s="217"/>
      <c r="AW77" s="51">
        <f t="shared" si="17"/>
        <v>0</v>
      </c>
      <c r="AX77" s="209"/>
      <c r="AY77" s="217"/>
      <c r="AZ77" s="217"/>
      <c r="BA77" s="217"/>
      <c r="BB77" s="217"/>
      <c r="BC77" s="51">
        <f t="shared" si="18"/>
        <v>0</v>
      </c>
      <c r="BD77" s="209"/>
      <c r="BE77" s="217"/>
      <c r="BF77" s="217"/>
      <c r="BG77" s="217">
        <v>10000</v>
      </c>
      <c r="BH77" s="231">
        <f>A77+12</f>
        <v>45776</v>
      </c>
      <c r="BI77" s="51">
        <f t="shared" si="20"/>
        <v>10000</v>
      </c>
      <c r="BJ77" s="209">
        <f>BH77</f>
        <v>45776</v>
      </c>
    </row>
    <row r="78" spans="1:62" hidden="1">
      <c r="A78" s="209">
        <v>45765</v>
      </c>
      <c r="B78" s="51"/>
      <c r="C78" s="51"/>
      <c r="D78" s="208"/>
      <c r="E78" s="51"/>
      <c r="F78" s="51"/>
      <c r="G78" s="215">
        <f t="shared" si="21"/>
        <v>0</v>
      </c>
      <c r="H78" s="51"/>
      <c r="I78" s="51">
        <v>450</v>
      </c>
      <c r="J78" s="51">
        <v>450</v>
      </c>
      <c r="K78" s="217">
        <f t="shared" si="8"/>
        <v>900</v>
      </c>
      <c r="L78" s="217">
        <f t="shared" si="10"/>
        <v>45650</v>
      </c>
      <c r="M78" s="51">
        <v>450</v>
      </c>
      <c r="N78" s="51">
        <v>450</v>
      </c>
      <c r="O78" s="217">
        <f t="shared" si="13"/>
        <v>900</v>
      </c>
      <c r="P78" s="217">
        <f t="shared" si="14"/>
        <v>3850</v>
      </c>
      <c r="Q78" s="51">
        <v>300</v>
      </c>
      <c r="R78" s="51">
        <v>300</v>
      </c>
      <c r="S78" s="51">
        <v>300</v>
      </c>
      <c r="T78" s="51">
        <v>300</v>
      </c>
      <c r="U78" s="51">
        <v>300</v>
      </c>
      <c r="V78" s="51">
        <v>300</v>
      </c>
      <c r="W78" s="51">
        <v>300</v>
      </c>
      <c r="X78" s="51">
        <v>300</v>
      </c>
      <c r="Y78" s="51">
        <v>300</v>
      </c>
      <c r="Z78" s="51">
        <v>300</v>
      </c>
      <c r="AA78" s="213">
        <v>200</v>
      </c>
      <c r="AB78" s="213">
        <v>200</v>
      </c>
      <c r="AC78" s="51">
        <v>300</v>
      </c>
      <c r="AD78" s="51">
        <v>300</v>
      </c>
      <c r="AE78" s="51">
        <v>300</v>
      </c>
      <c r="AF78" s="51">
        <v>300</v>
      </c>
      <c r="AG78" s="51">
        <v>300</v>
      </c>
      <c r="AH78" s="51">
        <v>300</v>
      </c>
      <c r="AI78" s="51">
        <v>300</v>
      </c>
      <c r="AJ78" s="51">
        <v>300</v>
      </c>
      <c r="AK78" s="217">
        <f t="shared" si="15"/>
        <v>5800</v>
      </c>
      <c r="AL78" s="217">
        <f t="shared" si="16"/>
        <v>261100</v>
      </c>
      <c r="AM78" s="51">
        <v>450</v>
      </c>
      <c r="AN78" s="51">
        <v>450</v>
      </c>
      <c r="AO78" s="217">
        <f t="shared" si="9"/>
        <v>900</v>
      </c>
      <c r="AP78" s="217">
        <f t="shared" si="11"/>
        <v>5650</v>
      </c>
      <c r="AQ78" s="51">
        <f t="shared" si="22"/>
        <v>6700</v>
      </c>
      <c r="AR78" s="51">
        <f t="shared" si="12"/>
        <v>21750</v>
      </c>
      <c r="AS78" s="51"/>
      <c r="AT78" s="51"/>
      <c r="AU78" s="51"/>
      <c r="AV78" s="231"/>
      <c r="AW78" s="51">
        <f t="shared" si="17"/>
        <v>0</v>
      </c>
      <c r="AX78" s="209"/>
      <c r="AY78" s="51"/>
      <c r="AZ78" s="51"/>
      <c r="BA78" s="51"/>
      <c r="BB78" s="231"/>
      <c r="BC78" s="51">
        <f t="shared" si="18"/>
        <v>0</v>
      </c>
      <c r="BD78" s="209"/>
      <c r="BE78" s="51"/>
      <c r="BF78" s="51"/>
      <c r="BG78" s="51"/>
      <c r="BH78" s="231"/>
      <c r="BI78" s="51">
        <f t="shared" si="20"/>
        <v>0</v>
      </c>
      <c r="BJ78" s="209"/>
    </row>
    <row r="79" spans="1:62" hidden="1">
      <c r="A79" s="209">
        <v>45766</v>
      </c>
      <c r="B79" s="51"/>
      <c r="C79" s="51"/>
      <c r="D79" s="208"/>
      <c r="E79" s="51"/>
      <c r="F79" s="51"/>
      <c r="G79" s="215">
        <f t="shared" si="21"/>
        <v>0</v>
      </c>
      <c r="H79" s="51"/>
      <c r="I79" s="51">
        <v>450</v>
      </c>
      <c r="J79" s="51">
        <v>450</v>
      </c>
      <c r="K79" s="217">
        <f t="shared" si="8"/>
        <v>900</v>
      </c>
      <c r="L79" s="217">
        <f t="shared" si="10"/>
        <v>46550</v>
      </c>
      <c r="M79" s="51">
        <v>450</v>
      </c>
      <c r="N79" s="51">
        <v>450</v>
      </c>
      <c r="O79" s="217">
        <f t="shared" si="13"/>
        <v>900</v>
      </c>
      <c r="P79" s="217">
        <f t="shared" si="14"/>
        <v>4750</v>
      </c>
      <c r="Q79" s="51">
        <v>300</v>
      </c>
      <c r="R79" s="51">
        <v>300</v>
      </c>
      <c r="S79" s="51">
        <v>300</v>
      </c>
      <c r="T79" s="51">
        <v>300</v>
      </c>
      <c r="U79" s="51">
        <v>300</v>
      </c>
      <c r="V79" s="51">
        <v>300</v>
      </c>
      <c r="W79" s="51">
        <v>300</v>
      </c>
      <c r="X79" s="51">
        <v>300</v>
      </c>
      <c r="Y79" s="51">
        <v>300</v>
      </c>
      <c r="Z79" s="51">
        <v>300</v>
      </c>
      <c r="AA79" s="51">
        <v>300</v>
      </c>
      <c r="AB79" s="51">
        <v>300</v>
      </c>
      <c r="AC79" s="213"/>
      <c r="AD79" s="213"/>
      <c r="AE79" s="51">
        <v>300</v>
      </c>
      <c r="AF79" s="51">
        <v>300</v>
      </c>
      <c r="AG79" s="51">
        <v>300</v>
      </c>
      <c r="AH79" s="51">
        <v>300</v>
      </c>
      <c r="AI79" s="51">
        <v>300</v>
      </c>
      <c r="AJ79" s="51">
        <v>300</v>
      </c>
      <c r="AK79" s="217">
        <f t="shared" si="15"/>
        <v>5400</v>
      </c>
      <c r="AL79" s="217">
        <f t="shared" si="16"/>
        <v>266500</v>
      </c>
      <c r="AM79" s="51">
        <v>450</v>
      </c>
      <c r="AN79" s="51">
        <v>450</v>
      </c>
      <c r="AO79" s="217">
        <f t="shared" si="9"/>
        <v>900</v>
      </c>
      <c r="AP79" s="217">
        <f t="shared" si="11"/>
        <v>6550</v>
      </c>
      <c r="AQ79" s="51">
        <f t="shared" si="22"/>
        <v>6300</v>
      </c>
      <c r="AR79" s="51">
        <f t="shared" si="12"/>
        <v>28050</v>
      </c>
      <c r="AS79" s="51"/>
      <c r="AT79" s="231"/>
      <c r="AU79" s="51"/>
      <c r="AV79" s="51"/>
      <c r="AW79" s="51">
        <f t="shared" si="17"/>
        <v>0</v>
      </c>
      <c r="AX79" s="209"/>
      <c r="AY79" s="51"/>
      <c r="AZ79" s="231"/>
      <c r="BA79" s="51"/>
      <c r="BB79" s="51"/>
      <c r="BC79" s="51">
        <f t="shared" si="18"/>
        <v>0</v>
      </c>
      <c r="BD79" s="209"/>
      <c r="BE79" s="51"/>
      <c r="BF79" s="231"/>
      <c r="BG79" s="51"/>
      <c r="BH79" s="51"/>
      <c r="BI79" s="51">
        <f t="shared" si="20"/>
        <v>0</v>
      </c>
      <c r="BJ79" s="209"/>
    </row>
    <row r="80" spans="1:62">
      <c r="A80" s="209">
        <v>45767</v>
      </c>
      <c r="B80" s="51"/>
      <c r="C80" s="51"/>
      <c r="D80" s="208"/>
      <c r="E80" s="51"/>
      <c r="F80" s="51"/>
      <c r="G80" s="215">
        <f t="shared" si="21"/>
        <v>0</v>
      </c>
      <c r="H80" s="51"/>
      <c r="I80" s="51">
        <v>450</v>
      </c>
      <c r="J80" s="51">
        <v>450</v>
      </c>
      <c r="K80" s="217">
        <f t="shared" si="8"/>
        <v>900</v>
      </c>
      <c r="L80" s="217">
        <f t="shared" si="10"/>
        <v>47450</v>
      </c>
      <c r="M80" s="214">
        <v>200</v>
      </c>
      <c r="N80" s="51">
        <v>450</v>
      </c>
      <c r="O80" s="217">
        <f t="shared" si="13"/>
        <v>650</v>
      </c>
      <c r="P80" s="217">
        <f t="shared" si="14"/>
        <v>5400</v>
      </c>
      <c r="Q80" s="51">
        <v>300</v>
      </c>
      <c r="R80" s="51">
        <v>300</v>
      </c>
      <c r="S80" s="51">
        <v>100</v>
      </c>
      <c r="T80" s="51">
        <v>100</v>
      </c>
      <c r="U80" s="51">
        <v>300</v>
      </c>
      <c r="V80" s="51">
        <v>300</v>
      </c>
      <c r="W80" s="51">
        <v>300</v>
      </c>
      <c r="X80" s="51">
        <v>300</v>
      </c>
      <c r="Y80" s="51">
        <v>300</v>
      </c>
      <c r="Z80" s="51">
        <v>300</v>
      </c>
      <c r="AA80" s="51">
        <v>300</v>
      </c>
      <c r="AB80" s="51">
        <v>300</v>
      </c>
      <c r="AC80" s="51"/>
      <c r="AD80" s="51"/>
      <c r="AE80" s="213"/>
      <c r="AF80" s="51">
        <v>300</v>
      </c>
      <c r="AG80" s="51">
        <v>300</v>
      </c>
      <c r="AH80" s="51">
        <v>300</v>
      </c>
      <c r="AI80" s="51">
        <v>300</v>
      </c>
      <c r="AJ80" s="51">
        <v>300</v>
      </c>
      <c r="AK80" s="217">
        <f t="shared" si="15"/>
        <v>4700</v>
      </c>
      <c r="AL80" s="217">
        <f t="shared" si="16"/>
        <v>271200</v>
      </c>
      <c r="AM80" s="51">
        <v>450</v>
      </c>
      <c r="AN80" s="51">
        <v>450</v>
      </c>
      <c r="AO80" s="217">
        <f t="shared" si="9"/>
        <v>900</v>
      </c>
      <c r="AP80" s="217">
        <f t="shared" si="11"/>
        <v>7450</v>
      </c>
      <c r="AQ80" s="51">
        <f t="shared" si="22"/>
        <v>5600</v>
      </c>
      <c r="AR80" s="51">
        <f t="shared" si="12"/>
        <v>8650</v>
      </c>
      <c r="AS80" s="51"/>
      <c r="AT80" s="51"/>
      <c r="AU80" s="51">
        <v>25000</v>
      </c>
      <c r="AV80" s="231">
        <f>A80+12</f>
        <v>45779</v>
      </c>
      <c r="AW80" s="51">
        <f t="shared" si="17"/>
        <v>25000</v>
      </c>
      <c r="AX80" s="209">
        <f>AV80</f>
        <v>45779</v>
      </c>
      <c r="AY80" s="51"/>
      <c r="AZ80" s="51"/>
      <c r="BA80" s="51"/>
      <c r="BB80" s="51"/>
      <c r="BC80" s="51">
        <f t="shared" si="18"/>
        <v>0</v>
      </c>
      <c r="BD80" s="209"/>
      <c r="BE80" s="51"/>
      <c r="BF80" s="51"/>
      <c r="BG80" s="51"/>
      <c r="BH80" s="51"/>
      <c r="BI80" s="51">
        <f t="shared" si="20"/>
        <v>0</v>
      </c>
      <c r="BJ80" s="209"/>
    </row>
    <row r="81" spans="1:62" hidden="1">
      <c r="A81" s="209">
        <v>45768</v>
      </c>
      <c r="B81" s="51"/>
      <c r="C81" s="51"/>
      <c r="D81" s="208"/>
      <c r="E81" s="51"/>
      <c r="F81" s="51"/>
      <c r="G81" s="215">
        <f t="shared" si="21"/>
        <v>0</v>
      </c>
      <c r="H81" s="51"/>
      <c r="I81" s="51">
        <v>450</v>
      </c>
      <c r="J81" s="51">
        <v>450</v>
      </c>
      <c r="K81" s="217">
        <f t="shared" si="8"/>
        <v>900</v>
      </c>
      <c r="L81" s="217">
        <f t="shared" si="10"/>
        <v>48350</v>
      </c>
      <c r="M81" s="51">
        <v>450</v>
      </c>
      <c r="N81" s="214">
        <v>200</v>
      </c>
      <c r="O81" s="217">
        <f t="shared" si="13"/>
        <v>650</v>
      </c>
      <c r="P81" s="217">
        <f t="shared" si="14"/>
        <v>6050</v>
      </c>
      <c r="Q81" s="51">
        <v>300</v>
      </c>
      <c r="R81" s="51">
        <v>300</v>
      </c>
      <c r="S81" s="51"/>
      <c r="T81" s="51"/>
      <c r="U81" s="51">
        <v>100</v>
      </c>
      <c r="V81" s="51">
        <v>100</v>
      </c>
      <c r="W81" s="51">
        <v>100</v>
      </c>
      <c r="X81" s="51">
        <v>100</v>
      </c>
      <c r="Y81" s="51">
        <v>300</v>
      </c>
      <c r="Z81" s="51">
        <v>300</v>
      </c>
      <c r="AA81" s="51">
        <v>300</v>
      </c>
      <c r="AB81" s="51">
        <v>300</v>
      </c>
      <c r="AC81" s="51"/>
      <c r="AD81" s="51"/>
      <c r="AE81" s="51"/>
      <c r="AF81" s="213"/>
      <c r="AG81" s="51">
        <v>300</v>
      </c>
      <c r="AH81" s="51">
        <v>300</v>
      </c>
      <c r="AI81" s="51">
        <v>300</v>
      </c>
      <c r="AJ81" s="51">
        <v>300</v>
      </c>
      <c r="AK81" s="217">
        <f t="shared" si="15"/>
        <v>3400</v>
      </c>
      <c r="AL81" s="217">
        <f t="shared" si="16"/>
        <v>274600</v>
      </c>
      <c r="AM81" s="51"/>
      <c r="AN81" s="51"/>
      <c r="AO81" s="217">
        <f t="shared" si="9"/>
        <v>0</v>
      </c>
      <c r="AP81" s="217">
        <f t="shared" si="11"/>
        <v>0</v>
      </c>
      <c r="AQ81" s="51">
        <f t="shared" si="22"/>
        <v>4300</v>
      </c>
      <c r="AR81" s="51">
        <f t="shared" si="12"/>
        <v>12950</v>
      </c>
      <c r="AS81" s="217"/>
      <c r="AT81" s="231"/>
      <c r="AU81" s="51"/>
      <c r="AV81" s="51"/>
      <c r="AW81" s="51">
        <f t="shared" si="17"/>
        <v>0</v>
      </c>
      <c r="AX81" s="209"/>
      <c r="AY81" s="51">
        <v>7450</v>
      </c>
      <c r="AZ81" s="231">
        <f>A81+12</f>
        <v>45780</v>
      </c>
      <c r="BA81" s="51"/>
      <c r="BB81" s="51"/>
      <c r="BC81" s="51">
        <f t="shared" si="18"/>
        <v>7450</v>
      </c>
      <c r="BD81" s="209">
        <f>AZ81</f>
        <v>45780</v>
      </c>
      <c r="BE81" s="51"/>
      <c r="BF81" s="51"/>
      <c r="BG81" s="51"/>
      <c r="BH81" s="51"/>
      <c r="BI81" s="51">
        <f t="shared" si="20"/>
        <v>0</v>
      </c>
      <c r="BJ81" s="209"/>
    </row>
    <row r="82" spans="1:62" hidden="1">
      <c r="A82" s="209">
        <v>45769</v>
      </c>
      <c r="B82" s="51"/>
      <c r="C82" s="51"/>
      <c r="D82" s="208"/>
      <c r="E82" s="51"/>
      <c r="F82" s="51"/>
      <c r="G82" s="215"/>
      <c r="H82" s="51"/>
      <c r="I82" s="51">
        <v>450</v>
      </c>
      <c r="J82" s="51">
        <v>450</v>
      </c>
      <c r="K82" s="217">
        <f t="shared" si="8"/>
        <v>900</v>
      </c>
      <c r="L82" s="217">
        <f t="shared" si="10"/>
        <v>49250</v>
      </c>
      <c r="M82" s="51">
        <v>450</v>
      </c>
      <c r="N82" s="51">
        <v>450</v>
      </c>
      <c r="O82" s="217">
        <f t="shared" si="13"/>
        <v>900</v>
      </c>
      <c r="P82" s="217">
        <f t="shared" si="14"/>
        <v>6950</v>
      </c>
      <c r="Q82" s="51">
        <v>300</v>
      </c>
      <c r="R82" s="51">
        <v>300</v>
      </c>
      <c r="S82" s="51"/>
      <c r="T82" s="51"/>
      <c r="U82" s="51"/>
      <c r="V82" s="51"/>
      <c r="W82" s="51"/>
      <c r="X82" s="51"/>
      <c r="Y82" s="51">
        <v>100</v>
      </c>
      <c r="Z82" s="51">
        <v>100</v>
      </c>
      <c r="AA82" s="51">
        <v>300</v>
      </c>
      <c r="AB82" s="51">
        <v>300</v>
      </c>
      <c r="AC82" s="51"/>
      <c r="AD82" s="51"/>
      <c r="AE82" s="51"/>
      <c r="AF82" s="51"/>
      <c r="AG82" s="213"/>
      <c r="AH82" s="51">
        <v>300</v>
      </c>
      <c r="AI82" s="51">
        <v>300</v>
      </c>
      <c r="AJ82" s="51">
        <v>300</v>
      </c>
      <c r="AK82" s="217">
        <f t="shared" si="15"/>
        <v>2300</v>
      </c>
      <c r="AL82" s="217">
        <f t="shared" si="16"/>
        <v>276900</v>
      </c>
      <c r="AM82" s="51"/>
      <c r="AN82" s="51"/>
      <c r="AO82" s="217">
        <f t="shared" si="9"/>
        <v>0</v>
      </c>
      <c r="AP82" s="217">
        <f t="shared" si="11"/>
        <v>0</v>
      </c>
      <c r="AQ82" s="51">
        <f t="shared" si="22"/>
        <v>3200</v>
      </c>
      <c r="AR82" s="51">
        <f t="shared" si="12"/>
        <v>16150</v>
      </c>
      <c r="AS82" s="51"/>
      <c r="AT82" s="51"/>
      <c r="AU82" s="51"/>
      <c r="AV82" s="51"/>
      <c r="AW82" s="51">
        <f t="shared" si="17"/>
        <v>0</v>
      </c>
      <c r="AX82" s="209"/>
      <c r="AY82" s="51"/>
      <c r="AZ82" s="51"/>
      <c r="BA82" s="51"/>
      <c r="BB82" s="51"/>
      <c r="BC82" s="51">
        <f t="shared" si="18"/>
        <v>0</v>
      </c>
      <c r="BD82" s="209"/>
      <c r="BE82" s="51"/>
      <c r="BF82" s="51"/>
      <c r="BG82" s="51"/>
      <c r="BH82" s="51"/>
      <c r="BI82" s="51">
        <f t="shared" si="20"/>
        <v>0</v>
      </c>
      <c r="BJ82" s="209"/>
    </row>
    <row r="83" spans="1:62">
      <c r="A83" s="209">
        <v>45770</v>
      </c>
      <c r="B83" s="51"/>
      <c r="C83" s="51"/>
      <c r="D83" s="208"/>
      <c r="E83" s="51"/>
      <c r="F83" s="51"/>
      <c r="G83" s="215"/>
      <c r="H83" s="51"/>
      <c r="I83" s="214">
        <v>200</v>
      </c>
      <c r="J83" s="51">
        <v>450</v>
      </c>
      <c r="K83" s="217">
        <f t="shared" si="8"/>
        <v>650</v>
      </c>
      <c r="L83" s="217">
        <f t="shared" si="10"/>
        <v>49900</v>
      </c>
      <c r="M83" s="51">
        <v>450</v>
      </c>
      <c r="N83" s="51">
        <v>450</v>
      </c>
      <c r="O83" s="217">
        <f t="shared" si="13"/>
        <v>900</v>
      </c>
      <c r="P83" s="217">
        <f t="shared" si="14"/>
        <v>7850</v>
      </c>
      <c r="Q83" s="51">
        <v>100</v>
      </c>
      <c r="R83" s="51">
        <v>300</v>
      </c>
      <c r="S83" s="51"/>
      <c r="T83" s="51"/>
      <c r="U83" s="51"/>
      <c r="V83" s="51"/>
      <c r="W83" s="51"/>
      <c r="X83" s="51"/>
      <c r="Y83" s="51"/>
      <c r="Z83" s="51"/>
      <c r="AA83" s="51">
        <v>100</v>
      </c>
      <c r="AB83" s="51">
        <v>100</v>
      </c>
      <c r="AC83" s="51"/>
      <c r="AD83" s="51"/>
      <c r="AE83" s="51"/>
      <c r="AF83" s="51"/>
      <c r="AG83" s="51"/>
      <c r="AH83" s="213"/>
      <c r="AI83" s="51">
        <v>300</v>
      </c>
      <c r="AJ83" s="51">
        <v>300</v>
      </c>
      <c r="AK83" s="217">
        <f t="shared" si="15"/>
        <v>1200</v>
      </c>
      <c r="AL83" s="217">
        <f t="shared" si="16"/>
        <v>278100</v>
      </c>
      <c r="AM83" s="51"/>
      <c r="AN83" s="51"/>
      <c r="AO83" s="217">
        <f t="shared" si="9"/>
        <v>0</v>
      </c>
      <c r="AP83" s="217">
        <f t="shared" si="11"/>
        <v>0</v>
      </c>
      <c r="AQ83" s="51">
        <f t="shared" si="22"/>
        <v>1850</v>
      </c>
      <c r="AR83" s="51">
        <f t="shared" si="12"/>
        <v>3000</v>
      </c>
      <c r="AS83" s="51">
        <v>15000</v>
      </c>
      <c r="AT83" s="231">
        <f>A83+12</f>
        <v>45782</v>
      </c>
      <c r="AU83" s="51"/>
      <c r="AV83" s="51"/>
      <c r="AW83" s="51">
        <f t="shared" si="17"/>
        <v>15000</v>
      </c>
      <c r="AX83" s="209">
        <f>AT83</f>
        <v>45782</v>
      </c>
      <c r="AY83" s="51"/>
      <c r="AZ83" s="231"/>
      <c r="BA83" s="51"/>
      <c r="BB83" s="51"/>
      <c r="BC83" s="51">
        <f t="shared" si="18"/>
        <v>0</v>
      </c>
      <c r="BD83" s="209"/>
      <c r="BE83" s="51"/>
      <c r="BF83" s="231"/>
      <c r="BG83" s="51"/>
      <c r="BH83" s="51"/>
      <c r="BI83" s="51">
        <f t="shared" si="20"/>
        <v>0</v>
      </c>
      <c r="BJ83" s="209"/>
    </row>
    <row r="84" spans="1:62" hidden="1">
      <c r="A84" s="209">
        <v>45771</v>
      </c>
      <c r="B84" s="51"/>
      <c r="C84" s="51"/>
      <c r="D84" s="208"/>
      <c r="E84" s="51"/>
      <c r="F84" s="51"/>
      <c r="G84" s="215"/>
      <c r="H84" s="51"/>
      <c r="I84" s="51">
        <v>450</v>
      </c>
      <c r="J84" s="214">
        <v>200</v>
      </c>
      <c r="K84" s="217">
        <f t="shared" si="8"/>
        <v>650</v>
      </c>
      <c r="L84" s="217">
        <f t="shared" si="10"/>
        <v>50550</v>
      </c>
      <c r="M84" s="51">
        <v>450</v>
      </c>
      <c r="N84" s="51">
        <v>450</v>
      </c>
      <c r="O84" s="217">
        <f t="shared" si="13"/>
        <v>900</v>
      </c>
      <c r="P84" s="217">
        <f t="shared" si="14"/>
        <v>8750</v>
      </c>
      <c r="Q84" s="213"/>
      <c r="R84" s="51">
        <v>300</v>
      </c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213"/>
      <c r="AJ84" s="51">
        <v>300</v>
      </c>
      <c r="AK84" s="217">
        <f t="shared" si="15"/>
        <v>600</v>
      </c>
      <c r="AL84" s="217">
        <f t="shared" si="16"/>
        <v>278700</v>
      </c>
      <c r="AM84" s="51"/>
      <c r="AN84" s="51"/>
      <c r="AO84" s="217">
        <f t="shared" si="9"/>
        <v>0</v>
      </c>
      <c r="AP84" s="217">
        <f t="shared" si="11"/>
        <v>0</v>
      </c>
      <c r="AQ84" s="51">
        <f t="shared" si="22"/>
        <v>1250</v>
      </c>
      <c r="AR84" s="51">
        <f t="shared" si="12"/>
        <v>4250</v>
      </c>
      <c r="AS84" s="51"/>
      <c r="AT84" s="51"/>
      <c r="AU84" s="51"/>
      <c r="AV84" s="231"/>
      <c r="AW84" s="51">
        <f t="shared" si="17"/>
        <v>0</v>
      </c>
      <c r="AX84" s="209"/>
      <c r="AY84" s="51"/>
      <c r="AZ84" s="51"/>
      <c r="BA84" s="51"/>
      <c r="BB84" s="231"/>
      <c r="BC84" s="51">
        <f t="shared" si="18"/>
        <v>0</v>
      </c>
      <c r="BD84" s="209"/>
      <c r="BE84" s="51"/>
      <c r="BF84" s="51"/>
      <c r="BG84" s="51"/>
      <c r="BH84" s="231"/>
      <c r="BI84" s="51">
        <f t="shared" si="20"/>
        <v>0</v>
      </c>
      <c r="BJ84" s="209"/>
    </row>
    <row r="85" spans="1:62" hidden="1">
      <c r="A85" s="209">
        <v>45772</v>
      </c>
      <c r="B85" s="51"/>
      <c r="C85" s="51"/>
      <c r="D85" s="208"/>
      <c r="E85" s="51"/>
      <c r="F85" s="51"/>
      <c r="G85" s="215"/>
      <c r="H85" s="51"/>
      <c r="I85" s="51">
        <v>450</v>
      </c>
      <c r="J85" s="51">
        <v>450</v>
      </c>
      <c r="K85" s="217">
        <f t="shared" si="8"/>
        <v>900</v>
      </c>
      <c r="L85" s="217">
        <f t="shared" si="10"/>
        <v>51450</v>
      </c>
      <c r="M85" s="51">
        <v>450</v>
      </c>
      <c r="N85" s="51">
        <v>450</v>
      </c>
      <c r="O85" s="217">
        <f t="shared" si="13"/>
        <v>900</v>
      </c>
      <c r="P85" s="217">
        <f t="shared" si="14"/>
        <v>9650</v>
      </c>
      <c r="Q85" s="51"/>
      <c r="R85" s="213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217">
        <f t="shared" si="15"/>
        <v>0</v>
      </c>
      <c r="AL85" s="217">
        <f t="shared" si="16"/>
        <v>278700</v>
      </c>
      <c r="AM85" s="51"/>
      <c r="AN85" s="51"/>
      <c r="AO85" s="217">
        <f t="shared" si="9"/>
        <v>0</v>
      </c>
      <c r="AP85" s="217">
        <f t="shared" si="11"/>
        <v>0</v>
      </c>
      <c r="AQ85" s="51">
        <f t="shared" si="22"/>
        <v>900</v>
      </c>
      <c r="AR85" s="51">
        <f t="shared" si="12"/>
        <v>5150</v>
      </c>
      <c r="AS85" s="51"/>
      <c r="AT85" s="51"/>
      <c r="AU85" s="51"/>
      <c r="AV85" s="51"/>
      <c r="AW85" s="51">
        <f t="shared" si="17"/>
        <v>0</v>
      </c>
      <c r="AX85" s="209"/>
      <c r="AY85" s="51"/>
      <c r="AZ85" s="51"/>
      <c r="BA85" s="51"/>
      <c r="BB85" s="51"/>
      <c r="BC85" s="51">
        <f t="shared" si="18"/>
        <v>0</v>
      </c>
      <c r="BD85" s="209"/>
      <c r="BE85" s="51"/>
      <c r="BF85" s="51"/>
      <c r="BG85" s="51"/>
      <c r="BH85" s="51"/>
      <c r="BI85" s="51">
        <f t="shared" si="20"/>
        <v>0</v>
      </c>
      <c r="BJ85" s="209"/>
    </row>
    <row r="86" spans="1:62" hidden="1">
      <c r="A86" s="209">
        <v>45773</v>
      </c>
      <c r="B86" s="51"/>
      <c r="C86" s="51"/>
      <c r="D86" s="208"/>
      <c r="E86" s="51"/>
      <c r="F86" s="51"/>
      <c r="G86" s="215"/>
      <c r="H86" s="51"/>
      <c r="I86" s="51">
        <v>450</v>
      </c>
      <c r="J86" s="51">
        <v>450</v>
      </c>
      <c r="K86" s="217">
        <f t="shared" si="8"/>
        <v>900</v>
      </c>
      <c r="L86" s="217">
        <f t="shared" si="10"/>
        <v>52350</v>
      </c>
      <c r="M86" s="51">
        <v>450</v>
      </c>
      <c r="N86" s="51">
        <v>450</v>
      </c>
      <c r="O86" s="217">
        <f t="shared" si="13"/>
        <v>900</v>
      </c>
      <c r="P86" s="217">
        <f t="shared" si="14"/>
        <v>10550</v>
      </c>
      <c r="Q86" s="51"/>
      <c r="R86" s="51"/>
      <c r="S86" s="213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217">
        <f t="shared" si="15"/>
        <v>0</v>
      </c>
      <c r="AL86" s="217">
        <f t="shared" si="16"/>
        <v>278700</v>
      </c>
      <c r="AM86" s="51"/>
      <c r="AN86" s="51"/>
      <c r="AO86" s="217">
        <f t="shared" si="9"/>
        <v>0</v>
      </c>
      <c r="AP86" s="217">
        <f t="shared" si="11"/>
        <v>0</v>
      </c>
      <c r="AQ86" s="51">
        <f t="shared" si="22"/>
        <v>900</v>
      </c>
      <c r="AR86" s="51">
        <f t="shared" si="12"/>
        <v>6050</v>
      </c>
      <c r="AS86" s="51"/>
      <c r="AT86" s="51"/>
      <c r="AU86" s="51"/>
      <c r="AV86" s="51"/>
      <c r="AW86" s="51">
        <f t="shared" si="17"/>
        <v>0</v>
      </c>
      <c r="AX86" s="209"/>
      <c r="AY86" s="51"/>
      <c r="AZ86" s="51"/>
      <c r="BA86" s="51"/>
      <c r="BB86" s="51"/>
      <c r="BC86" s="51">
        <f t="shared" si="18"/>
        <v>0</v>
      </c>
      <c r="BD86" s="209"/>
      <c r="BE86" s="51"/>
      <c r="BF86" s="51"/>
      <c r="BG86" s="51"/>
      <c r="BH86" s="51"/>
      <c r="BI86" s="51">
        <f t="shared" si="20"/>
        <v>0</v>
      </c>
      <c r="BJ86" s="209"/>
    </row>
    <row r="87" spans="1:62" hidden="1">
      <c r="A87" s="209">
        <v>45774</v>
      </c>
      <c r="B87" s="51"/>
      <c r="C87" s="51"/>
      <c r="D87" s="208"/>
      <c r="E87" s="51"/>
      <c r="F87" s="51"/>
      <c r="G87" s="215"/>
      <c r="H87" s="51"/>
      <c r="I87" s="51">
        <v>450</v>
      </c>
      <c r="J87" s="51">
        <v>450</v>
      </c>
      <c r="K87" s="217">
        <f t="shared" si="8"/>
        <v>900</v>
      </c>
      <c r="L87" s="217">
        <f t="shared" si="10"/>
        <v>53250</v>
      </c>
      <c r="M87" s="51">
        <v>450</v>
      </c>
      <c r="N87" s="51">
        <v>450</v>
      </c>
      <c r="O87" s="217">
        <f t="shared" si="13"/>
        <v>900</v>
      </c>
      <c r="P87" s="217">
        <f t="shared" si="14"/>
        <v>11450</v>
      </c>
      <c r="Q87" s="51"/>
      <c r="R87" s="51"/>
      <c r="S87" s="51"/>
      <c r="T87" s="51"/>
      <c r="U87" s="217"/>
      <c r="V87" s="217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217">
        <f t="shared" si="15"/>
        <v>0</v>
      </c>
      <c r="AL87" s="217">
        <f t="shared" si="16"/>
        <v>278700</v>
      </c>
      <c r="AM87" s="51"/>
      <c r="AN87" s="51"/>
      <c r="AO87" s="217">
        <f t="shared" si="9"/>
        <v>0</v>
      </c>
      <c r="AP87" s="217">
        <f t="shared" si="11"/>
        <v>0</v>
      </c>
      <c r="AQ87" s="51">
        <f t="shared" si="22"/>
        <v>900</v>
      </c>
      <c r="AR87" s="51">
        <f t="shared" si="12"/>
        <v>6950</v>
      </c>
      <c r="AS87" s="51"/>
      <c r="AT87" s="51"/>
      <c r="AU87" s="51"/>
      <c r="AV87" s="51"/>
      <c r="AW87" s="51">
        <f t="shared" si="17"/>
        <v>0</v>
      </c>
      <c r="AX87" s="209"/>
      <c r="AY87" s="51"/>
      <c r="AZ87" s="51"/>
      <c r="BA87" s="51"/>
      <c r="BB87" s="51"/>
      <c r="BC87" s="51">
        <f t="shared" si="18"/>
        <v>0</v>
      </c>
      <c r="BD87" s="209"/>
      <c r="BE87" s="51"/>
      <c r="BF87" s="51"/>
      <c r="BG87" s="51"/>
      <c r="BH87" s="51"/>
      <c r="BI87" s="51">
        <f t="shared" si="20"/>
        <v>0</v>
      </c>
      <c r="BJ87" s="209"/>
    </row>
    <row r="88" spans="1:62" hidden="1">
      <c r="A88" s="209">
        <v>45775</v>
      </c>
      <c r="B88" s="51"/>
      <c r="C88" s="51"/>
      <c r="D88" s="208"/>
      <c r="E88" s="51"/>
      <c r="F88" s="51"/>
      <c r="G88" s="215"/>
      <c r="H88" s="51"/>
      <c r="I88" s="51">
        <v>450</v>
      </c>
      <c r="J88" s="51">
        <v>450</v>
      </c>
      <c r="K88" s="217">
        <f t="shared" si="8"/>
        <v>900</v>
      </c>
      <c r="L88" s="217">
        <f t="shared" si="10"/>
        <v>54150</v>
      </c>
      <c r="M88" s="51">
        <v>450</v>
      </c>
      <c r="N88" s="51">
        <v>450</v>
      </c>
      <c r="O88" s="217">
        <f t="shared" si="13"/>
        <v>900</v>
      </c>
      <c r="P88" s="217">
        <f t="shared" si="14"/>
        <v>12350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217">
        <f t="shared" si="15"/>
        <v>0</v>
      </c>
      <c r="AL88" s="217">
        <f t="shared" si="16"/>
        <v>278700</v>
      </c>
      <c r="AM88" s="51"/>
      <c r="AN88" s="51"/>
      <c r="AO88" s="217">
        <f t="shared" si="9"/>
        <v>0</v>
      </c>
      <c r="AP88" s="217">
        <f t="shared" si="11"/>
        <v>0</v>
      </c>
      <c r="AQ88" s="51">
        <f t="shared" si="22"/>
        <v>900</v>
      </c>
      <c r="AR88" s="51">
        <f t="shared" si="12"/>
        <v>7850</v>
      </c>
      <c r="AS88" s="51"/>
      <c r="AT88" s="51"/>
      <c r="AU88" s="51"/>
      <c r="AV88" s="231"/>
      <c r="AW88" s="51">
        <f t="shared" si="17"/>
        <v>0</v>
      </c>
      <c r="AX88" s="209"/>
      <c r="AY88" s="51"/>
      <c r="AZ88" s="51"/>
      <c r="BA88" s="51"/>
      <c r="BB88" s="231"/>
      <c r="BC88" s="51">
        <f t="shared" si="18"/>
        <v>0</v>
      </c>
      <c r="BD88" s="209"/>
      <c r="BE88" s="51"/>
      <c r="BF88" s="51"/>
      <c r="BG88" s="51"/>
      <c r="BH88" s="231"/>
      <c r="BI88" s="51">
        <f t="shared" si="20"/>
        <v>0</v>
      </c>
      <c r="BJ88" s="209"/>
    </row>
    <row r="89" spans="1:62" hidden="1">
      <c r="A89" s="209">
        <v>45776</v>
      </c>
      <c r="B89" s="51"/>
      <c r="C89" s="51"/>
      <c r="D89" s="208"/>
      <c r="E89" s="51"/>
      <c r="F89" s="51"/>
      <c r="G89" s="215">
        <f>(B89+C89)/0.143</f>
        <v>0</v>
      </c>
      <c r="H89" s="51"/>
      <c r="I89" s="51">
        <v>450</v>
      </c>
      <c r="J89" s="51">
        <v>450</v>
      </c>
      <c r="K89" s="217">
        <f t="shared" si="8"/>
        <v>900</v>
      </c>
      <c r="L89" s="217">
        <f t="shared" si="10"/>
        <v>55050</v>
      </c>
      <c r="M89" s="51">
        <v>450</v>
      </c>
      <c r="N89" s="51">
        <v>450</v>
      </c>
      <c r="O89" s="217">
        <f t="shared" si="13"/>
        <v>900</v>
      </c>
      <c r="P89" s="217">
        <f t="shared" si="14"/>
        <v>3250</v>
      </c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217">
        <f t="shared" si="15"/>
        <v>0</v>
      </c>
      <c r="AL89" s="217">
        <f t="shared" si="16"/>
        <v>278700</v>
      </c>
      <c r="AM89" s="51"/>
      <c r="AN89" s="51"/>
      <c r="AO89" s="217">
        <f t="shared" si="9"/>
        <v>0</v>
      </c>
      <c r="AP89" s="217">
        <f t="shared" si="11"/>
        <v>0</v>
      </c>
      <c r="AQ89" s="51">
        <f t="shared" si="22"/>
        <v>900</v>
      </c>
      <c r="AR89" s="51">
        <f t="shared" si="12"/>
        <v>8750</v>
      </c>
      <c r="AS89" s="51"/>
      <c r="AT89" s="51"/>
      <c r="AU89" s="51"/>
      <c r="AV89" s="51"/>
      <c r="AW89" s="51">
        <f t="shared" si="17"/>
        <v>0</v>
      </c>
      <c r="AX89" s="209"/>
      <c r="AY89" s="51"/>
      <c r="AZ89" s="231"/>
      <c r="BA89" s="51"/>
      <c r="BB89" s="231">
        <f>A89+12</f>
        <v>45788</v>
      </c>
      <c r="BC89" s="51">
        <f t="shared" si="18"/>
        <v>0</v>
      </c>
      <c r="BD89" s="209">
        <f>BB89</f>
        <v>45788</v>
      </c>
      <c r="BE89" s="51">
        <v>10000</v>
      </c>
      <c r="BF89" s="231">
        <f>A89+12</f>
        <v>45788</v>
      </c>
      <c r="BG89" s="51"/>
      <c r="BH89" s="231"/>
      <c r="BI89" s="51">
        <f t="shared" si="20"/>
        <v>10000</v>
      </c>
      <c r="BJ89" s="209">
        <f>BF89</f>
        <v>45788</v>
      </c>
    </row>
    <row r="90" spans="1:62" hidden="1">
      <c r="A90" s="209">
        <v>45777</v>
      </c>
      <c r="B90" s="51"/>
      <c r="C90" s="51"/>
      <c r="D90" s="208"/>
      <c r="E90" s="51"/>
      <c r="F90" s="51"/>
      <c r="G90" s="215"/>
      <c r="H90" s="51"/>
      <c r="I90" s="51">
        <v>450</v>
      </c>
      <c r="J90" s="51">
        <v>450</v>
      </c>
      <c r="K90" s="217">
        <f>I90+J90</f>
        <v>900</v>
      </c>
      <c r="L90" s="217">
        <f t="shared" si="10"/>
        <v>55950</v>
      </c>
      <c r="M90" s="214">
        <v>200</v>
      </c>
      <c r="N90" s="214">
        <v>200</v>
      </c>
      <c r="O90" s="217">
        <f t="shared" si="13"/>
        <v>400</v>
      </c>
      <c r="P90" s="217">
        <f t="shared" si="14"/>
        <v>3650</v>
      </c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217">
        <f t="shared" si="15"/>
        <v>0</v>
      </c>
      <c r="AL90" s="217">
        <f t="shared" si="16"/>
        <v>278700</v>
      </c>
      <c r="AM90" s="51"/>
      <c r="AN90" s="51"/>
      <c r="AO90" s="217">
        <f t="shared" ref="AO90:AO113" si="23">AM90+AN90</f>
        <v>0</v>
      </c>
      <c r="AP90" s="217">
        <f t="shared" si="11"/>
        <v>0</v>
      </c>
      <c r="AQ90" s="51">
        <f t="shared" si="22"/>
        <v>900</v>
      </c>
      <c r="AR90" s="51">
        <f t="shared" si="12"/>
        <v>9650</v>
      </c>
      <c r="AS90" s="51"/>
      <c r="AT90" s="231"/>
      <c r="AU90" s="51"/>
      <c r="AV90" s="51"/>
      <c r="AW90" s="51">
        <f>AS90+AU90</f>
        <v>0</v>
      </c>
      <c r="AX90" s="209"/>
      <c r="AY90" s="51"/>
      <c r="AZ90" s="231"/>
      <c r="BA90" s="51"/>
      <c r="BB90" s="51"/>
      <c r="BC90" s="51">
        <f>AY90+BA90</f>
        <v>0</v>
      </c>
      <c r="BD90" s="209"/>
      <c r="BE90" s="51"/>
      <c r="BF90" s="231"/>
      <c r="BG90" s="51"/>
      <c r="BH90" s="51"/>
      <c r="BI90" s="51">
        <f>BE90+BG90</f>
        <v>0</v>
      </c>
      <c r="BJ90" s="209"/>
    </row>
    <row r="91" spans="1:62">
      <c r="A91" s="209">
        <v>45778</v>
      </c>
      <c r="B91" s="51"/>
      <c r="C91" s="51"/>
      <c r="D91" s="208"/>
      <c r="E91" s="51"/>
      <c r="F91" s="51"/>
      <c r="G91" s="215"/>
      <c r="H91" s="51"/>
      <c r="I91" s="51"/>
      <c r="J91" s="51"/>
      <c r="K91" s="217"/>
      <c r="L91" s="217">
        <f t="shared" ref="L91:L113" si="24">L90+K91</f>
        <v>55950</v>
      </c>
      <c r="M91" s="51">
        <v>450</v>
      </c>
      <c r="N91" s="51">
        <v>450</v>
      </c>
      <c r="O91" s="217">
        <f t="shared" si="13"/>
        <v>900</v>
      </c>
      <c r="P91" s="217">
        <f t="shared" si="14"/>
        <v>4550</v>
      </c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217">
        <f t="shared" si="15"/>
        <v>0</v>
      </c>
      <c r="AL91" s="217">
        <f t="shared" si="16"/>
        <v>278700</v>
      </c>
      <c r="AM91" s="51"/>
      <c r="AN91" s="51"/>
      <c r="AO91" s="217">
        <f t="shared" si="23"/>
        <v>0</v>
      </c>
      <c r="AP91" s="217">
        <f t="shared" ref="AP91:AP113" si="25">AP90+AO91-AY91-BA91</f>
        <v>0</v>
      </c>
      <c r="AQ91" s="51">
        <f t="shared" si="22"/>
        <v>0</v>
      </c>
      <c r="AR91" s="51">
        <f t="shared" ref="AR91:AR113" si="26">AR90+AQ91-AU91-AS91</f>
        <v>0</v>
      </c>
      <c r="AS91" s="51"/>
      <c r="AT91" s="231"/>
      <c r="AU91" s="51">
        <v>9650</v>
      </c>
      <c r="AV91" s="231">
        <f>A91+12</f>
        <v>45790</v>
      </c>
      <c r="AW91" s="51">
        <f t="shared" si="17"/>
        <v>9650</v>
      </c>
      <c r="AX91" s="209">
        <f>AV91</f>
        <v>45790</v>
      </c>
      <c r="AY91" s="51"/>
      <c r="AZ91" s="231"/>
      <c r="BA91" s="51"/>
      <c r="BB91" s="51"/>
      <c r="BC91" s="51">
        <f t="shared" ref="BC91:BC109" si="27">AY91+BA91</f>
        <v>0</v>
      </c>
      <c r="BD91" s="209"/>
      <c r="BE91" s="51"/>
      <c r="BF91" s="231"/>
      <c r="BG91" s="51"/>
      <c r="BH91" s="51"/>
      <c r="BI91" s="51">
        <f t="shared" ref="BI91:BI109" si="28">BE91+BG91</f>
        <v>0</v>
      </c>
      <c r="BJ91" s="209"/>
    </row>
    <row r="92" spans="1:62" hidden="1">
      <c r="A92" s="209">
        <v>45779</v>
      </c>
      <c r="B92" s="51"/>
      <c r="C92" s="51"/>
      <c r="D92" s="208"/>
      <c r="E92" s="51"/>
      <c r="F92" s="51"/>
      <c r="G92" s="215"/>
      <c r="H92" s="51"/>
      <c r="I92" s="51"/>
      <c r="J92" s="51"/>
      <c r="K92" s="217"/>
      <c r="L92" s="217">
        <f t="shared" si="24"/>
        <v>55950</v>
      </c>
      <c r="M92" s="51">
        <v>450</v>
      </c>
      <c r="N92" s="51">
        <v>450</v>
      </c>
      <c r="O92" s="217">
        <f t="shared" ref="O92:O113" si="29">M92+N92</f>
        <v>900</v>
      </c>
      <c r="P92" s="217">
        <f t="shared" si="14"/>
        <v>5450</v>
      </c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217">
        <f t="shared" si="15"/>
        <v>0</v>
      </c>
      <c r="AL92" s="217">
        <f t="shared" si="16"/>
        <v>278700</v>
      </c>
      <c r="AM92" s="51"/>
      <c r="AN92" s="51"/>
      <c r="AO92" s="217">
        <f t="shared" si="23"/>
        <v>0</v>
      </c>
      <c r="AP92" s="217">
        <f t="shared" si="25"/>
        <v>0</v>
      </c>
      <c r="AQ92" s="51">
        <f t="shared" si="22"/>
        <v>0</v>
      </c>
      <c r="AR92" s="51">
        <f t="shared" si="26"/>
        <v>0</v>
      </c>
      <c r="AS92" s="51"/>
      <c r="AT92" s="51"/>
      <c r="AU92" s="51"/>
      <c r="AV92" s="51"/>
      <c r="AW92" s="51">
        <f t="shared" si="17"/>
        <v>0</v>
      </c>
      <c r="AX92" s="209"/>
      <c r="AY92" s="51"/>
      <c r="AZ92" s="51"/>
      <c r="BA92" s="51"/>
      <c r="BB92" s="51"/>
      <c r="BC92" s="51">
        <f t="shared" si="27"/>
        <v>0</v>
      </c>
      <c r="BD92" s="209"/>
      <c r="BE92" s="51"/>
      <c r="BF92" s="51"/>
      <c r="BG92" s="51"/>
      <c r="BH92" s="51"/>
      <c r="BI92" s="51">
        <f t="shared" si="28"/>
        <v>0</v>
      </c>
      <c r="BJ92" s="209"/>
    </row>
    <row r="93" spans="1:62" hidden="1">
      <c r="A93" s="209">
        <v>45780</v>
      </c>
      <c r="B93" s="51"/>
      <c r="C93" s="51"/>
      <c r="D93" s="208"/>
      <c r="E93" s="51"/>
      <c r="F93" s="51"/>
      <c r="G93" s="215"/>
      <c r="H93" s="51"/>
      <c r="I93" s="51"/>
      <c r="J93" s="51"/>
      <c r="K93" s="217"/>
      <c r="L93" s="217">
        <f t="shared" si="24"/>
        <v>55950</v>
      </c>
      <c r="M93" s="51">
        <v>450</v>
      </c>
      <c r="N93" s="51">
        <v>450</v>
      </c>
      <c r="O93" s="217">
        <f t="shared" si="29"/>
        <v>900</v>
      </c>
      <c r="P93" s="217">
        <f t="shared" ref="P93:P113" si="30">P92+O93-BE93-BG93</f>
        <v>6350</v>
      </c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217">
        <f t="shared" si="15"/>
        <v>0</v>
      </c>
      <c r="AL93" s="217">
        <f t="shared" si="16"/>
        <v>278700</v>
      </c>
      <c r="AM93" s="51"/>
      <c r="AN93" s="51"/>
      <c r="AO93" s="217">
        <f t="shared" si="23"/>
        <v>0</v>
      </c>
      <c r="AP93" s="217">
        <f t="shared" si="25"/>
        <v>0</v>
      </c>
      <c r="AQ93" s="51">
        <f t="shared" si="22"/>
        <v>0</v>
      </c>
      <c r="AR93" s="51">
        <f t="shared" si="26"/>
        <v>0</v>
      </c>
      <c r="AS93" s="51"/>
      <c r="AT93" s="231"/>
      <c r="AU93" s="51"/>
      <c r="AV93" s="51"/>
      <c r="AW93" s="51">
        <f t="shared" si="17"/>
        <v>0</v>
      </c>
      <c r="AX93" s="209"/>
      <c r="AY93" s="51"/>
      <c r="AZ93" s="231"/>
      <c r="BA93" s="51"/>
      <c r="BB93" s="51"/>
      <c r="BC93" s="51">
        <f t="shared" si="27"/>
        <v>0</v>
      </c>
      <c r="BD93" s="209"/>
      <c r="BE93" s="51"/>
      <c r="BF93" s="231"/>
      <c r="BG93" s="51"/>
      <c r="BH93" s="51"/>
      <c r="BI93" s="51">
        <f t="shared" si="28"/>
        <v>0</v>
      </c>
      <c r="BJ93" s="209"/>
    </row>
    <row r="94" spans="1:62" hidden="1">
      <c r="A94" s="209">
        <v>45781</v>
      </c>
      <c r="B94" s="51"/>
      <c r="C94" s="51"/>
      <c r="D94" s="208"/>
      <c r="E94" s="51"/>
      <c r="F94" s="51"/>
      <c r="G94" s="215"/>
      <c r="H94" s="51"/>
      <c r="I94" s="51"/>
      <c r="J94" s="51"/>
      <c r="K94" s="217"/>
      <c r="L94" s="217">
        <f t="shared" si="24"/>
        <v>55950</v>
      </c>
      <c r="M94" s="51">
        <v>450</v>
      </c>
      <c r="N94" s="51">
        <v>450</v>
      </c>
      <c r="O94" s="217">
        <f t="shared" si="29"/>
        <v>900</v>
      </c>
      <c r="P94" s="217">
        <f t="shared" si="30"/>
        <v>7250</v>
      </c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217">
        <f t="shared" ref="AK94:AK110" si="31">SUM(Q94:AJ94)</f>
        <v>0</v>
      </c>
      <c r="AL94" s="217">
        <f t="shared" si="16"/>
        <v>278700</v>
      </c>
      <c r="AM94" s="51"/>
      <c r="AN94" s="51"/>
      <c r="AO94" s="217">
        <f t="shared" si="23"/>
        <v>0</v>
      </c>
      <c r="AP94" s="217">
        <f t="shared" si="25"/>
        <v>0</v>
      </c>
      <c r="AQ94" s="51">
        <f t="shared" si="22"/>
        <v>0</v>
      </c>
      <c r="AR94" s="51">
        <f t="shared" si="26"/>
        <v>0</v>
      </c>
      <c r="AS94" s="51"/>
      <c r="AT94" s="51"/>
      <c r="AU94" s="51"/>
      <c r="AV94" s="51"/>
      <c r="AW94" s="51">
        <f t="shared" si="17"/>
        <v>0</v>
      </c>
      <c r="AX94" s="209"/>
      <c r="AY94" s="51"/>
      <c r="AZ94" s="51"/>
      <c r="BA94" s="51"/>
      <c r="BB94" s="51"/>
      <c r="BC94" s="51">
        <f t="shared" si="27"/>
        <v>0</v>
      </c>
      <c r="BD94" s="209"/>
      <c r="BE94" s="51"/>
      <c r="BF94" s="51"/>
      <c r="BG94" s="51"/>
      <c r="BH94" s="51"/>
      <c r="BI94" s="51">
        <f t="shared" si="28"/>
        <v>0</v>
      </c>
      <c r="BJ94" s="209"/>
    </row>
    <row r="95" spans="1:62" hidden="1">
      <c r="A95" s="209">
        <v>45782</v>
      </c>
      <c r="B95" s="51"/>
      <c r="C95" s="51"/>
      <c r="D95" s="208"/>
      <c r="E95" s="51"/>
      <c r="F95" s="51"/>
      <c r="G95" s="215"/>
      <c r="H95" s="51"/>
      <c r="I95" s="51"/>
      <c r="J95" s="51"/>
      <c r="K95" s="217"/>
      <c r="L95" s="217">
        <f t="shared" si="24"/>
        <v>55950</v>
      </c>
      <c r="M95" s="51"/>
      <c r="N95" s="51"/>
      <c r="O95" s="217">
        <f t="shared" si="29"/>
        <v>0</v>
      </c>
      <c r="P95" s="217">
        <f t="shared" si="30"/>
        <v>0</v>
      </c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217">
        <f t="shared" si="31"/>
        <v>0</v>
      </c>
      <c r="AL95" s="217">
        <f t="shared" ref="AL95:AL113" si="32">AL94+AK95</f>
        <v>278700</v>
      </c>
      <c r="AM95" s="51"/>
      <c r="AN95" s="51"/>
      <c r="AO95" s="217">
        <f t="shared" si="23"/>
        <v>0</v>
      </c>
      <c r="AP95" s="217">
        <f t="shared" si="25"/>
        <v>0</v>
      </c>
      <c r="AQ95" s="51">
        <f t="shared" si="22"/>
        <v>0</v>
      </c>
      <c r="AR95" s="51">
        <f t="shared" si="26"/>
        <v>0</v>
      </c>
      <c r="AS95" s="51"/>
      <c r="AT95" s="51"/>
      <c r="AU95" s="51"/>
      <c r="AV95" s="51"/>
      <c r="AW95" s="51">
        <f t="shared" si="17"/>
        <v>0</v>
      </c>
      <c r="AX95" s="209"/>
      <c r="AY95" s="51"/>
      <c r="AZ95" s="51"/>
      <c r="BA95" s="51"/>
      <c r="BB95" s="51"/>
      <c r="BC95" s="51">
        <f t="shared" si="27"/>
        <v>0</v>
      </c>
      <c r="BD95" s="209"/>
      <c r="BE95" s="51"/>
      <c r="BF95" s="51"/>
      <c r="BG95" s="51">
        <v>7250</v>
      </c>
      <c r="BH95" s="231">
        <f>A95+12</f>
        <v>45794</v>
      </c>
      <c r="BI95" s="51">
        <f t="shared" si="28"/>
        <v>7250</v>
      </c>
      <c r="BJ95" s="209">
        <f>BH95</f>
        <v>45794</v>
      </c>
    </row>
    <row r="96" spans="1:62" hidden="1">
      <c r="A96" s="209">
        <v>45783</v>
      </c>
      <c r="B96" s="51"/>
      <c r="C96" s="51"/>
      <c r="D96" s="208"/>
      <c r="E96" s="51"/>
      <c r="F96" s="51"/>
      <c r="G96" s="215"/>
      <c r="H96" s="51"/>
      <c r="I96" s="51"/>
      <c r="J96" s="51"/>
      <c r="K96" s="217"/>
      <c r="L96" s="217">
        <f t="shared" si="24"/>
        <v>55950</v>
      </c>
      <c r="M96" s="51"/>
      <c r="N96" s="51"/>
      <c r="O96" s="217">
        <f t="shared" si="29"/>
        <v>0</v>
      </c>
      <c r="P96" s="217">
        <f t="shared" si="30"/>
        <v>0</v>
      </c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217">
        <f t="shared" si="31"/>
        <v>0</v>
      </c>
      <c r="AL96" s="217">
        <f t="shared" si="32"/>
        <v>278700</v>
      </c>
      <c r="AM96" s="51"/>
      <c r="AN96" s="51"/>
      <c r="AO96" s="217">
        <f t="shared" si="23"/>
        <v>0</v>
      </c>
      <c r="AP96" s="217">
        <f t="shared" si="25"/>
        <v>0</v>
      </c>
      <c r="AQ96" s="51">
        <f t="shared" si="22"/>
        <v>0</v>
      </c>
      <c r="AR96" s="51">
        <f t="shared" si="26"/>
        <v>0</v>
      </c>
      <c r="AS96" s="51"/>
      <c r="AT96" s="51"/>
      <c r="AU96" s="51"/>
      <c r="AV96" s="51"/>
      <c r="AW96" s="51">
        <f t="shared" si="17"/>
        <v>0</v>
      </c>
      <c r="AX96" s="209"/>
      <c r="AY96" s="51"/>
      <c r="AZ96" s="51"/>
      <c r="BA96" s="51"/>
      <c r="BB96" s="51"/>
      <c r="BC96" s="51">
        <f t="shared" si="27"/>
        <v>0</v>
      </c>
      <c r="BD96" s="209"/>
      <c r="BE96" s="51"/>
      <c r="BF96" s="51"/>
      <c r="BG96" s="51"/>
      <c r="BH96" s="51"/>
      <c r="BI96" s="51">
        <f t="shared" si="28"/>
        <v>0</v>
      </c>
      <c r="BJ96" s="209"/>
    </row>
    <row r="97" spans="1:62" hidden="1">
      <c r="A97" s="209">
        <v>45784</v>
      </c>
      <c r="B97" s="51"/>
      <c r="C97" s="51"/>
      <c r="D97" s="208"/>
      <c r="E97" s="51"/>
      <c r="F97" s="51"/>
      <c r="G97" s="215"/>
      <c r="H97" s="51"/>
      <c r="I97" s="51"/>
      <c r="J97" s="51"/>
      <c r="K97" s="217"/>
      <c r="L97" s="217">
        <f t="shared" si="24"/>
        <v>55950</v>
      </c>
      <c r="M97" s="51"/>
      <c r="N97" s="51"/>
      <c r="O97" s="217">
        <f t="shared" si="29"/>
        <v>0</v>
      </c>
      <c r="P97" s="217">
        <f t="shared" si="30"/>
        <v>0</v>
      </c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217">
        <f t="shared" si="31"/>
        <v>0</v>
      </c>
      <c r="AL97" s="217">
        <f t="shared" si="32"/>
        <v>278700</v>
      </c>
      <c r="AM97" s="51"/>
      <c r="AN97" s="51"/>
      <c r="AO97" s="217">
        <f t="shared" si="23"/>
        <v>0</v>
      </c>
      <c r="AP97" s="217">
        <f t="shared" si="25"/>
        <v>0</v>
      </c>
      <c r="AQ97" s="51">
        <f t="shared" si="22"/>
        <v>0</v>
      </c>
      <c r="AR97" s="51">
        <f t="shared" si="26"/>
        <v>0</v>
      </c>
      <c r="AS97" s="51"/>
      <c r="AT97" s="51"/>
      <c r="AU97" s="51"/>
      <c r="AV97" s="51"/>
      <c r="AW97" s="51">
        <f t="shared" si="17"/>
        <v>0</v>
      </c>
      <c r="AX97" s="209"/>
      <c r="AY97" s="51"/>
      <c r="AZ97" s="51"/>
      <c r="BA97" s="51"/>
      <c r="BB97" s="51"/>
      <c r="BC97" s="51">
        <f t="shared" si="27"/>
        <v>0</v>
      </c>
      <c r="BD97" s="209"/>
      <c r="BE97" s="51"/>
      <c r="BF97" s="51"/>
      <c r="BG97" s="51"/>
      <c r="BH97" s="51"/>
      <c r="BI97" s="51">
        <f t="shared" si="28"/>
        <v>0</v>
      </c>
      <c r="BJ97" s="209"/>
    </row>
    <row r="98" spans="1:62" hidden="1">
      <c r="A98" s="209">
        <v>45785</v>
      </c>
      <c r="B98" s="51"/>
      <c r="C98" s="51"/>
      <c r="D98" s="208"/>
      <c r="E98" s="51"/>
      <c r="F98" s="51"/>
      <c r="G98" s="215"/>
      <c r="H98" s="51"/>
      <c r="I98" s="51"/>
      <c r="J98" s="51"/>
      <c r="K98" s="217"/>
      <c r="L98" s="217">
        <f t="shared" si="24"/>
        <v>55950</v>
      </c>
      <c r="M98" s="51"/>
      <c r="N98" s="51"/>
      <c r="O98" s="217">
        <f t="shared" si="29"/>
        <v>0</v>
      </c>
      <c r="P98" s="217">
        <f t="shared" si="30"/>
        <v>0</v>
      </c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217">
        <f t="shared" si="31"/>
        <v>0</v>
      </c>
      <c r="AL98" s="217">
        <f t="shared" si="32"/>
        <v>278700</v>
      </c>
      <c r="AM98" s="51"/>
      <c r="AN98" s="51"/>
      <c r="AO98" s="217">
        <f t="shared" si="23"/>
        <v>0</v>
      </c>
      <c r="AP98" s="217">
        <f t="shared" si="25"/>
        <v>0</v>
      </c>
      <c r="AQ98" s="51">
        <f t="shared" si="22"/>
        <v>0</v>
      </c>
      <c r="AR98" s="51">
        <f t="shared" si="26"/>
        <v>0</v>
      </c>
      <c r="AS98" s="51"/>
      <c r="AT98" s="51"/>
      <c r="AU98" s="51"/>
      <c r="AV98" s="51"/>
      <c r="AW98" s="51">
        <f t="shared" ref="AW98:AW109" si="33">AS98+AU98</f>
        <v>0</v>
      </c>
      <c r="AX98" s="209"/>
      <c r="AY98" s="51"/>
      <c r="AZ98" s="51"/>
      <c r="BA98" s="51"/>
      <c r="BB98" s="51"/>
      <c r="BC98" s="51">
        <f t="shared" si="27"/>
        <v>0</v>
      </c>
      <c r="BD98" s="209"/>
      <c r="BE98" s="51"/>
      <c r="BF98" s="51"/>
      <c r="BG98" s="51"/>
      <c r="BH98" s="51"/>
      <c r="BI98" s="51">
        <f t="shared" si="28"/>
        <v>0</v>
      </c>
      <c r="BJ98" s="209"/>
    </row>
    <row r="99" spans="1:62" hidden="1">
      <c r="A99" s="209">
        <v>45786</v>
      </c>
      <c r="B99" s="51"/>
      <c r="C99" s="51"/>
      <c r="D99" s="208"/>
      <c r="E99" s="51"/>
      <c r="F99" s="51"/>
      <c r="G99" s="215"/>
      <c r="H99" s="51"/>
      <c r="I99" s="51"/>
      <c r="J99" s="51"/>
      <c r="K99" s="51"/>
      <c r="L99" s="217">
        <f t="shared" si="24"/>
        <v>55950</v>
      </c>
      <c r="M99" s="51"/>
      <c r="N99" s="51"/>
      <c r="O99" s="217">
        <f t="shared" si="29"/>
        <v>0</v>
      </c>
      <c r="P99" s="217">
        <f t="shared" si="30"/>
        <v>0</v>
      </c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217">
        <f t="shared" si="31"/>
        <v>0</v>
      </c>
      <c r="AL99" s="217">
        <f t="shared" si="32"/>
        <v>278700</v>
      </c>
      <c r="AM99" s="51"/>
      <c r="AN99" s="51"/>
      <c r="AO99" s="217">
        <f t="shared" si="23"/>
        <v>0</v>
      </c>
      <c r="AP99" s="217">
        <f t="shared" si="25"/>
        <v>0</v>
      </c>
      <c r="AQ99" s="51">
        <f t="shared" si="22"/>
        <v>0</v>
      </c>
      <c r="AR99" s="51">
        <f t="shared" si="26"/>
        <v>0</v>
      </c>
      <c r="AS99" s="51"/>
      <c r="AT99" s="51"/>
      <c r="AU99" s="51"/>
      <c r="AV99" s="231"/>
      <c r="AW99" s="51">
        <f t="shared" si="33"/>
        <v>0</v>
      </c>
      <c r="AX99" s="209"/>
      <c r="AY99" s="51"/>
      <c r="AZ99" s="231">
        <f>A99+12</f>
        <v>45798</v>
      </c>
      <c r="BA99" s="51"/>
      <c r="BB99" s="231"/>
      <c r="BC99" s="51">
        <f t="shared" si="27"/>
        <v>0</v>
      </c>
      <c r="BD99" s="209">
        <f>AZ99</f>
        <v>45798</v>
      </c>
      <c r="BE99" s="51"/>
      <c r="BF99" s="231"/>
      <c r="BG99" s="51"/>
      <c r="BH99" s="231"/>
      <c r="BI99" s="51">
        <f t="shared" si="28"/>
        <v>0</v>
      </c>
      <c r="BJ99" s="209"/>
    </row>
    <row r="100" spans="1:62" hidden="1">
      <c r="A100" s="209">
        <v>45787</v>
      </c>
      <c r="B100" s="51"/>
      <c r="C100" s="51"/>
      <c r="D100" s="208"/>
      <c r="E100" s="51"/>
      <c r="F100" s="51"/>
      <c r="G100" s="215"/>
      <c r="H100" s="51"/>
      <c r="I100" s="51"/>
      <c r="J100" s="51"/>
      <c r="K100" s="51"/>
      <c r="L100" s="217">
        <f t="shared" si="24"/>
        <v>55950</v>
      </c>
      <c r="M100" s="51"/>
      <c r="N100" s="51"/>
      <c r="O100" s="217">
        <f t="shared" si="29"/>
        <v>0</v>
      </c>
      <c r="P100" s="217">
        <f t="shared" si="30"/>
        <v>0</v>
      </c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217">
        <f t="shared" si="31"/>
        <v>0</v>
      </c>
      <c r="AL100" s="217">
        <f t="shared" si="32"/>
        <v>278700</v>
      </c>
      <c r="AM100" s="51"/>
      <c r="AN100" s="51"/>
      <c r="AO100" s="217">
        <f t="shared" si="23"/>
        <v>0</v>
      </c>
      <c r="AP100" s="217">
        <f t="shared" si="25"/>
        <v>0</v>
      </c>
      <c r="AQ100" s="51">
        <f t="shared" si="22"/>
        <v>0</v>
      </c>
      <c r="AR100" s="51">
        <f t="shared" si="26"/>
        <v>0</v>
      </c>
      <c r="AS100" s="51"/>
      <c r="AT100" s="51"/>
      <c r="AU100" s="51"/>
      <c r="AV100" s="51"/>
      <c r="AW100" s="51">
        <f t="shared" si="33"/>
        <v>0</v>
      </c>
      <c r="AX100" s="209"/>
      <c r="AY100" s="51"/>
      <c r="AZ100" s="51"/>
      <c r="BA100" s="51"/>
      <c r="BB100" s="51"/>
      <c r="BC100" s="51">
        <f t="shared" si="27"/>
        <v>0</v>
      </c>
      <c r="BD100" s="209"/>
      <c r="BE100" s="51"/>
      <c r="BF100" s="51"/>
      <c r="BG100" s="51"/>
      <c r="BH100" s="51"/>
      <c r="BI100" s="51">
        <f t="shared" si="28"/>
        <v>0</v>
      </c>
      <c r="BJ100" s="209"/>
    </row>
    <row r="101" spans="1:62" hidden="1">
      <c r="A101" s="209">
        <v>45788</v>
      </c>
      <c r="B101" s="51"/>
      <c r="C101" s="51"/>
      <c r="D101" s="208"/>
      <c r="E101" s="51"/>
      <c r="F101" s="51"/>
      <c r="G101" s="215"/>
      <c r="H101" s="51"/>
      <c r="I101" s="51"/>
      <c r="J101" s="51"/>
      <c r="K101" s="51"/>
      <c r="L101" s="217">
        <f t="shared" si="24"/>
        <v>55950</v>
      </c>
      <c r="M101" s="51"/>
      <c r="N101" s="51"/>
      <c r="O101" s="217">
        <f t="shared" si="29"/>
        <v>0</v>
      </c>
      <c r="P101" s="217">
        <f t="shared" si="30"/>
        <v>0</v>
      </c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217">
        <f t="shared" si="31"/>
        <v>0</v>
      </c>
      <c r="AL101" s="217">
        <f t="shared" si="32"/>
        <v>278700</v>
      </c>
      <c r="AM101" s="51"/>
      <c r="AN101" s="51"/>
      <c r="AO101" s="217">
        <f t="shared" si="23"/>
        <v>0</v>
      </c>
      <c r="AP101" s="217">
        <f t="shared" si="25"/>
        <v>0</v>
      </c>
      <c r="AQ101" s="51">
        <f t="shared" si="22"/>
        <v>0</v>
      </c>
      <c r="AR101" s="51">
        <f t="shared" si="26"/>
        <v>0</v>
      </c>
      <c r="AS101" s="51"/>
      <c r="AT101" s="51"/>
      <c r="AU101" s="51"/>
      <c r="AV101" s="51"/>
      <c r="AW101" s="51">
        <f t="shared" si="33"/>
        <v>0</v>
      </c>
      <c r="AX101" s="209"/>
      <c r="AY101" s="51"/>
      <c r="AZ101" s="51"/>
      <c r="BA101" s="51"/>
      <c r="BB101" s="51"/>
      <c r="BC101" s="51">
        <f t="shared" si="27"/>
        <v>0</v>
      </c>
      <c r="BD101" s="209"/>
      <c r="BE101" s="51"/>
      <c r="BF101" s="51"/>
      <c r="BG101" s="51"/>
      <c r="BH101" s="51"/>
      <c r="BI101" s="51">
        <f t="shared" si="28"/>
        <v>0</v>
      </c>
      <c r="BJ101" s="209"/>
    </row>
    <row r="102" spans="1:62" hidden="1">
      <c r="A102" s="209">
        <v>45789</v>
      </c>
      <c r="B102" s="51"/>
      <c r="C102" s="51"/>
      <c r="D102" s="208"/>
      <c r="E102" s="51"/>
      <c r="F102" s="51"/>
      <c r="G102" s="215"/>
      <c r="H102" s="51"/>
      <c r="I102" s="51"/>
      <c r="J102" s="51"/>
      <c r="K102" s="51"/>
      <c r="L102" s="217">
        <f t="shared" si="24"/>
        <v>55950</v>
      </c>
      <c r="M102" s="51"/>
      <c r="N102" s="51"/>
      <c r="O102" s="217">
        <f t="shared" si="29"/>
        <v>0</v>
      </c>
      <c r="P102" s="217">
        <f t="shared" si="30"/>
        <v>0</v>
      </c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217">
        <f t="shared" si="31"/>
        <v>0</v>
      </c>
      <c r="AL102" s="217">
        <f t="shared" si="32"/>
        <v>278700</v>
      </c>
      <c r="AM102" s="51"/>
      <c r="AN102" s="51"/>
      <c r="AO102" s="217">
        <f t="shared" si="23"/>
        <v>0</v>
      </c>
      <c r="AP102" s="217">
        <f t="shared" si="25"/>
        <v>0</v>
      </c>
      <c r="AQ102" s="51">
        <f t="shared" si="22"/>
        <v>0</v>
      </c>
      <c r="AR102" s="51">
        <f t="shared" si="26"/>
        <v>0</v>
      </c>
      <c r="AS102" s="51"/>
      <c r="AT102" s="51"/>
      <c r="AU102" s="51"/>
      <c r="AV102" s="51"/>
      <c r="AW102" s="51">
        <f t="shared" si="33"/>
        <v>0</v>
      </c>
      <c r="AX102" s="209"/>
      <c r="AY102" s="51"/>
      <c r="AZ102" s="51"/>
      <c r="BA102" s="51"/>
      <c r="BB102" s="51"/>
      <c r="BC102" s="51">
        <f t="shared" si="27"/>
        <v>0</v>
      </c>
      <c r="BD102" s="209"/>
      <c r="BE102" s="51"/>
      <c r="BF102" s="51"/>
      <c r="BG102" s="51"/>
      <c r="BH102" s="51"/>
      <c r="BI102" s="51">
        <f t="shared" si="28"/>
        <v>0</v>
      </c>
      <c r="BJ102" s="209"/>
    </row>
    <row r="103" spans="1:62" hidden="1">
      <c r="A103" s="209">
        <v>45790</v>
      </c>
      <c r="B103" s="51"/>
      <c r="C103" s="51"/>
      <c r="D103" s="208"/>
      <c r="E103" s="51"/>
      <c r="F103" s="51"/>
      <c r="G103" s="215"/>
      <c r="H103" s="51"/>
      <c r="I103" s="51"/>
      <c r="J103" s="51"/>
      <c r="K103" s="51"/>
      <c r="L103" s="217">
        <f t="shared" si="24"/>
        <v>55950</v>
      </c>
      <c r="M103" s="51"/>
      <c r="N103" s="51"/>
      <c r="O103" s="217">
        <f t="shared" si="29"/>
        <v>0</v>
      </c>
      <c r="P103" s="217">
        <f t="shared" si="30"/>
        <v>0</v>
      </c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217">
        <f t="shared" si="31"/>
        <v>0</v>
      </c>
      <c r="AL103" s="217">
        <f t="shared" si="32"/>
        <v>278700</v>
      </c>
      <c r="AM103" s="51"/>
      <c r="AN103" s="51"/>
      <c r="AO103" s="217">
        <f t="shared" si="23"/>
        <v>0</v>
      </c>
      <c r="AP103" s="217">
        <f t="shared" si="25"/>
        <v>0</v>
      </c>
      <c r="AQ103" s="51">
        <f t="shared" si="22"/>
        <v>0</v>
      </c>
      <c r="AR103" s="51">
        <f t="shared" si="26"/>
        <v>0</v>
      </c>
      <c r="AS103" s="51"/>
      <c r="AT103" s="51"/>
      <c r="AU103" s="51"/>
      <c r="AV103" s="51"/>
      <c r="AW103" s="51">
        <f t="shared" si="33"/>
        <v>0</v>
      </c>
      <c r="AX103" s="209"/>
      <c r="AY103" s="51"/>
      <c r="AZ103" s="51"/>
      <c r="BA103" s="51"/>
      <c r="BB103" s="51"/>
      <c r="BC103" s="51">
        <f t="shared" si="27"/>
        <v>0</v>
      </c>
      <c r="BD103" s="209"/>
      <c r="BE103" s="51"/>
      <c r="BF103" s="51"/>
      <c r="BG103" s="51"/>
      <c r="BH103" s="51"/>
      <c r="BI103" s="51">
        <f t="shared" si="28"/>
        <v>0</v>
      </c>
      <c r="BJ103" s="209"/>
    </row>
    <row r="104" spans="1:62" hidden="1">
      <c r="A104" s="209">
        <v>45791</v>
      </c>
      <c r="B104" s="51"/>
      <c r="C104" s="51"/>
      <c r="D104" s="208"/>
      <c r="E104" s="51"/>
      <c r="F104" s="51"/>
      <c r="G104" s="215"/>
      <c r="H104" s="51"/>
      <c r="I104" s="51"/>
      <c r="J104" s="51"/>
      <c r="K104" s="51"/>
      <c r="L104" s="217">
        <f t="shared" si="24"/>
        <v>55950</v>
      </c>
      <c r="M104" s="51"/>
      <c r="N104" s="51"/>
      <c r="O104" s="217">
        <f t="shared" si="29"/>
        <v>0</v>
      </c>
      <c r="P104" s="217">
        <f t="shared" si="30"/>
        <v>0</v>
      </c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217">
        <f t="shared" si="31"/>
        <v>0</v>
      </c>
      <c r="AL104" s="217">
        <f t="shared" si="32"/>
        <v>278700</v>
      </c>
      <c r="AM104" s="51"/>
      <c r="AN104" s="51"/>
      <c r="AO104" s="217">
        <f t="shared" si="23"/>
        <v>0</v>
      </c>
      <c r="AP104" s="217">
        <f t="shared" si="25"/>
        <v>0</v>
      </c>
      <c r="AQ104" s="51">
        <f t="shared" si="22"/>
        <v>0</v>
      </c>
      <c r="AR104" s="51">
        <f t="shared" si="26"/>
        <v>0</v>
      </c>
      <c r="AS104" s="51"/>
      <c r="AT104" s="51"/>
      <c r="AU104" s="51"/>
      <c r="AV104" s="51"/>
      <c r="AW104" s="51">
        <f t="shared" si="33"/>
        <v>0</v>
      </c>
      <c r="AX104" s="209"/>
      <c r="AY104" s="51"/>
      <c r="AZ104" s="51"/>
      <c r="BA104" s="51"/>
      <c r="BB104" s="51"/>
      <c r="BC104" s="51">
        <f t="shared" si="27"/>
        <v>0</v>
      </c>
      <c r="BD104" s="209"/>
      <c r="BE104" s="51"/>
      <c r="BF104" s="51"/>
      <c r="BG104" s="51"/>
      <c r="BH104" s="51"/>
      <c r="BI104" s="51">
        <f t="shared" si="28"/>
        <v>0</v>
      </c>
      <c r="BJ104" s="209"/>
    </row>
    <row r="105" spans="1:62" hidden="1">
      <c r="A105" s="209">
        <v>45792</v>
      </c>
      <c r="B105" s="51"/>
      <c r="C105" s="51"/>
      <c r="D105" s="208"/>
      <c r="E105" s="51"/>
      <c r="F105" s="51"/>
      <c r="G105" s="215"/>
      <c r="H105" s="51"/>
      <c r="I105" s="51"/>
      <c r="J105" s="51"/>
      <c r="K105" s="51"/>
      <c r="L105" s="217">
        <f t="shared" si="24"/>
        <v>55950</v>
      </c>
      <c r="M105" s="51"/>
      <c r="N105" s="51"/>
      <c r="O105" s="217">
        <f t="shared" si="29"/>
        <v>0</v>
      </c>
      <c r="P105" s="217">
        <f t="shared" si="30"/>
        <v>0</v>
      </c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217">
        <f t="shared" si="31"/>
        <v>0</v>
      </c>
      <c r="AL105" s="217">
        <f t="shared" si="32"/>
        <v>278700</v>
      </c>
      <c r="AM105" s="51"/>
      <c r="AN105" s="51"/>
      <c r="AO105" s="217">
        <f t="shared" si="23"/>
        <v>0</v>
      </c>
      <c r="AP105" s="217">
        <f t="shared" si="25"/>
        <v>0</v>
      </c>
      <c r="AQ105" s="51">
        <f t="shared" si="22"/>
        <v>0</v>
      </c>
      <c r="AR105" s="51">
        <f t="shared" si="26"/>
        <v>0</v>
      </c>
      <c r="AS105" s="51"/>
      <c r="AT105" s="51"/>
      <c r="AU105" s="51"/>
      <c r="AV105" s="51"/>
      <c r="AW105" s="51">
        <f t="shared" si="33"/>
        <v>0</v>
      </c>
      <c r="AX105" s="209"/>
      <c r="AY105" s="51"/>
      <c r="AZ105" s="51"/>
      <c r="BA105" s="51"/>
      <c r="BB105" s="51"/>
      <c r="BC105" s="51">
        <f t="shared" si="27"/>
        <v>0</v>
      </c>
      <c r="BD105" s="209"/>
      <c r="BE105" s="51"/>
      <c r="BF105" s="51"/>
      <c r="BG105" s="51"/>
      <c r="BH105" s="51"/>
      <c r="BI105" s="51">
        <f t="shared" si="28"/>
        <v>0</v>
      </c>
      <c r="BJ105" s="209"/>
    </row>
    <row r="106" spans="1:62" hidden="1">
      <c r="A106" s="209">
        <v>45793</v>
      </c>
      <c r="B106" s="51"/>
      <c r="C106" s="51"/>
      <c r="D106" s="208"/>
      <c r="E106" s="51"/>
      <c r="F106" s="51"/>
      <c r="G106" s="215"/>
      <c r="H106" s="51"/>
      <c r="I106" s="51"/>
      <c r="J106" s="51"/>
      <c r="K106" s="51"/>
      <c r="L106" s="217">
        <f t="shared" si="24"/>
        <v>55950</v>
      </c>
      <c r="M106" s="51"/>
      <c r="N106" s="51"/>
      <c r="O106" s="217">
        <f t="shared" si="29"/>
        <v>0</v>
      </c>
      <c r="P106" s="217">
        <f t="shared" si="30"/>
        <v>0</v>
      </c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217">
        <f t="shared" si="31"/>
        <v>0</v>
      </c>
      <c r="AL106" s="217">
        <f t="shared" si="32"/>
        <v>278700</v>
      </c>
      <c r="AM106" s="51"/>
      <c r="AN106" s="51"/>
      <c r="AO106" s="217">
        <f t="shared" si="23"/>
        <v>0</v>
      </c>
      <c r="AP106" s="217">
        <f t="shared" si="25"/>
        <v>0</v>
      </c>
      <c r="AQ106" s="51">
        <f t="shared" si="22"/>
        <v>0</v>
      </c>
      <c r="AR106" s="51">
        <f t="shared" si="26"/>
        <v>0</v>
      </c>
      <c r="AS106" s="51"/>
      <c r="AT106" s="51"/>
      <c r="AU106" s="51"/>
      <c r="AV106" s="51"/>
      <c r="AW106" s="51">
        <f t="shared" si="33"/>
        <v>0</v>
      </c>
      <c r="AX106" s="209"/>
      <c r="AY106" s="51"/>
      <c r="AZ106" s="51"/>
      <c r="BA106" s="51"/>
      <c r="BB106" s="51"/>
      <c r="BC106" s="51">
        <f t="shared" si="27"/>
        <v>0</v>
      </c>
      <c r="BD106" s="209"/>
      <c r="BE106" s="51"/>
      <c r="BF106" s="51"/>
      <c r="BG106" s="51"/>
      <c r="BH106" s="51"/>
      <c r="BI106" s="51">
        <f t="shared" si="28"/>
        <v>0</v>
      </c>
      <c r="BJ106" s="209"/>
    </row>
    <row r="107" spans="1:62" hidden="1">
      <c r="A107" s="209">
        <v>45794</v>
      </c>
      <c r="B107" s="51"/>
      <c r="C107" s="51"/>
      <c r="D107" s="208"/>
      <c r="E107" s="51"/>
      <c r="F107" s="51"/>
      <c r="G107" s="215"/>
      <c r="H107" s="51"/>
      <c r="I107" s="51"/>
      <c r="J107" s="51"/>
      <c r="K107" s="51"/>
      <c r="L107" s="217">
        <f t="shared" si="24"/>
        <v>55950</v>
      </c>
      <c r="M107" s="51"/>
      <c r="N107" s="51"/>
      <c r="O107" s="217">
        <f t="shared" si="29"/>
        <v>0</v>
      </c>
      <c r="P107" s="217">
        <f t="shared" si="30"/>
        <v>0</v>
      </c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217">
        <f t="shared" si="31"/>
        <v>0</v>
      </c>
      <c r="AL107" s="217">
        <f t="shared" si="32"/>
        <v>278700</v>
      </c>
      <c r="AM107" s="51"/>
      <c r="AN107" s="51"/>
      <c r="AO107" s="217">
        <f t="shared" si="23"/>
        <v>0</v>
      </c>
      <c r="AP107" s="217">
        <f t="shared" si="25"/>
        <v>0</v>
      </c>
      <c r="AQ107" s="51">
        <f t="shared" si="22"/>
        <v>0</v>
      </c>
      <c r="AR107" s="51">
        <f t="shared" si="26"/>
        <v>0</v>
      </c>
      <c r="AS107" s="51"/>
      <c r="AT107" s="51"/>
      <c r="AU107" s="51"/>
      <c r="AV107" s="51"/>
      <c r="AW107" s="51">
        <f t="shared" si="33"/>
        <v>0</v>
      </c>
      <c r="AX107" s="209"/>
      <c r="AY107" s="51"/>
      <c r="AZ107" s="51"/>
      <c r="BA107" s="51"/>
      <c r="BB107" s="51"/>
      <c r="BC107" s="51">
        <f t="shared" si="27"/>
        <v>0</v>
      </c>
      <c r="BD107" s="209"/>
      <c r="BE107" s="51"/>
      <c r="BF107" s="51"/>
      <c r="BG107" s="51"/>
      <c r="BH107" s="51"/>
      <c r="BI107" s="51">
        <f t="shared" si="28"/>
        <v>0</v>
      </c>
      <c r="BJ107" s="209"/>
    </row>
    <row r="108" spans="1:62" hidden="1">
      <c r="A108" s="209">
        <v>45795</v>
      </c>
      <c r="B108" s="51"/>
      <c r="C108" s="51"/>
      <c r="D108" s="208"/>
      <c r="E108" s="51"/>
      <c r="F108" s="51"/>
      <c r="G108" s="215"/>
      <c r="H108" s="51"/>
      <c r="I108" s="51"/>
      <c r="J108" s="51"/>
      <c r="K108" s="51"/>
      <c r="L108" s="217">
        <f t="shared" si="24"/>
        <v>55950</v>
      </c>
      <c r="M108" s="51"/>
      <c r="N108" s="51"/>
      <c r="O108" s="217">
        <f t="shared" si="29"/>
        <v>0</v>
      </c>
      <c r="P108" s="217">
        <f t="shared" si="30"/>
        <v>0</v>
      </c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217">
        <f t="shared" si="31"/>
        <v>0</v>
      </c>
      <c r="AL108" s="217">
        <f t="shared" si="32"/>
        <v>278700</v>
      </c>
      <c r="AM108" s="51"/>
      <c r="AN108" s="51"/>
      <c r="AO108" s="217">
        <f t="shared" si="23"/>
        <v>0</v>
      </c>
      <c r="AP108" s="217">
        <f t="shared" si="25"/>
        <v>0</v>
      </c>
      <c r="AQ108" s="51">
        <f t="shared" si="22"/>
        <v>0</v>
      </c>
      <c r="AR108" s="51">
        <f t="shared" si="26"/>
        <v>0</v>
      </c>
      <c r="AS108" s="51"/>
      <c r="AT108" s="51"/>
      <c r="AU108" s="51"/>
      <c r="AV108" s="51"/>
      <c r="AW108" s="51">
        <f t="shared" si="33"/>
        <v>0</v>
      </c>
      <c r="AX108" s="209"/>
      <c r="AY108" s="51"/>
      <c r="AZ108" s="51"/>
      <c r="BA108" s="51"/>
      <c r="BB108" s="51"/>
      <c r="BC108" s="51">
        <f t="shared" si="27"/>
        <v>0</v>
      </c>
      <c r="BD108" s="209"/>
      <c r="BE108" s="51"/>
      <c r="BF108" s="51"/>
      <c r="BG108" s="51"/>
      <c r="BH108" s="51"/>
      <c r="BI108" s="51">
        <f t="shared" si="28"/>
        <v>0</v>
      </c>
      <c r="BJ108" s="209"/>
    </row>
    <row r="109" spans="1:62" hidden="1">
      <c r="A109" s="209">
        <v>45796</v>
      </c>
      <c r="B109" s="51"/>
      <c r="C109" s="51"/>
      <c r="D109" s="208"/>
      <c r="E109" s="51"/>
      <c r="F109" s="51"/>
      <c r="G109" s="215"/>
      <c r="H109" s="51"/>
      <c r="I109" s="51"/>
      <c r="J109" s="51"/>
      <c r="K109" s="51"/>
      <c r="L109" s="217">
        <f t="shared" si="24"/>
        <v>55950</v>
      </c>
      <c r="M109" s="51"/>
      <c r="N109" s="51"/>
      <c r="O109" s="217">
        <f t="shared" si="29"/>
        <v>0</v>
      </c>
      <c r="P109" s="217">
        <f t="shared" si="30"/>
        <v>0</v>
      </c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217">
        <f t="shared" si="31"/>
        <v>0</v>
      </c>
      <c r="AL109" s="217">
        <f t="shared" si="32"/>
        <v>278700</v>
      </c>
      <c r="AM109" s="51"/>
      <c r="AN109" s="51"/>
      <c r="AO109" s="217">
        <f t="shared" si="23"/>
        <v>0</v>
      </c>
      <c r="AP109" s="217">
        <f t="shared" si="25"/>
        <v>0</v>
      </c>
      <c r="AQ109" s="51">
        <f t="shared" si="22"/>
        <v>0</v>
      </c>
      <c r="AR109" s="51">
        <f t="shared" si="26"/>
        <v>0</v>
      </c>
      <c r="AS109" s="51"/>
      <c r="AT109" s="51"/>
      <c r="AU109" s="51"/>
      <c r="AV109" s="51"/>
      <c r="AW109" s="51">
        <f t="shared" si="33"/>
        <v>0</v>
      </c>
      <c r="AX109" s="209"/>
      <c r="AY109" s="51"/>
      <c r="AZ109" s="51"/>
      <c r="BA109" s="51"/>
      <c r="BB109" s="51"/>
      <c r="BC109" s="51">
        <f t="shared" si="27"/>
        <v>0</v>
      </c>
      <c r="BD109" s="209"/>
      <c r="BE109" s="51"/>
      <c r="BF109" s="51"/>
      <c r="BG109" s="51"/>
      <c r="BH109" s="51"/>
      <c r="BI109" s="51">
        <f t="shared" si="28"/>
        <v>0</v>
      </c>
      <c r="BJ109" s="209"/>
    </row>
    <row r="110" spans="1:62" hidden="1">
      <c r="A110" s="209">
        <v>45797</v>
      </c>
      <c r="B110" s="51"/>
      <c r="C110" s="51"/>
      <c r="D110" s="208"/>
      <c r="E110" s="51"/>
      <c r="F110" s="51"/>
      <c r="G110" s="215"/>
      <c r="H110" s="51"/>
      <c r="I110" s="51"/>
      <c r="J110" s="51"/>
      <c r="K110" s="51"/>
      <c r="L110" s="217">
        <f t="shared" si="24"/>
        <v>55950</v>
      </c>
      <c r="M110" s="51"/>
      <c r="N110" s="51"/>
      <c r="O110" s="217">
        <f t="shared" si="29"/>
        <v>0</v>
      </c>
      <c r="P110" s="217">
        <f t="shared" si="30"/>
        <v>0</v>
      </c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217">
        <f t="shared" si="31"/>
        <v>0</v>
      </c>
      <c r="AL110" s="217">
        <f t="shared" si="32"/>
        <v>278700</v>
      </c>
      <c r="AM110" s="51"/>
      <c r="AN110" s="51"/>
      <c r="AO110" s="217">
        <f t="shared" si="23"/>
        <v>0</v>
      </c>
      <c r="AP110" s="217">
        <f t="shared" si="25"/>
        <v>0</v>
      </c>
      <c r="AQ110" s="51">
        <f t="shared" si="22"/>
        <v>0</v>
      </c>
      <c r="AR110" s="51">
        <f t="shared" si="26"/>
        <v>0</v>
      </c>
      <c r="AS110" s="51"/>
      <c r="AT110" s="51"/>
      <c r="AU110" s="51"/>
      <c r="AV110" s="51"/>
      <c r="AW110" s="51">
        <f>AS110+AU110</f>
        <v>0</v>
      </c>
      <c r="AX110" s="209"/>
      <c r="AY110" s="51"/>
      <c r="AZ110" s="51"/>
      <c r="BA110" s="51"/>
      <c r="BB110" s="51"/>
      <c r="BC110" s="51">
        <f>AY110+BA110</f>
        <v>0</v>
      </c>
      <c r="BD110" s="209"/>
      <c r="BE110" s="51"/>
      <c r="BF110" s="51"/>
      <c r="BG110" s="51"/>
      <c r="BH110" s="51"/>
      <c r="BI110" s="51">
        <f>BE110+BG110</f>
        <v>0</v>
      </c>
      <c r="BJ110" s="209"/>
    </row>
    <row r="111" spans="1:62" hidden="1">
      <c r="A111" s="209">
        <v>45798</v>
      </c>
      <c r="B111" s="51"/>
      <c r="C111" s="51"/>
      <c r="D111" s="208"/>
      <c r="E111" s="51"/>
      <c r="F111" s="51"/>
      <c r="G111" s="215"/>
      <c r="H111" s="51"/>
      <c r="I111" s="51"/>
      <c r="J111" s="51"/>
      <c r="K111" s="51"/>
      <c r="L111" s="217">
        <f t="shared" si="24"/>
        <v>55950</v>
      </c>
      <c r="M111" s="51"/>
      <c r="N111" s="51"/>
      <c r="O111" s="217">
        <f t="shared" si="29"/>
        <v>0</v>
      </c>
      <c r="P111" s="217">
        <f t="shared" si="30"/>
        <v>0</v>
      </c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217">
        <f t="shared" si="32"/>
        <v>278700</v>
      </c>
      <c r="AM111" s="51"/>
      <c r="AN111" s="51"/>
      <c r="AO111" s="217">
        <f t="shared" si="23"/>
        <v>0</v>
      </c>
      <c r="AP111" s="217">
        <f t="shared" si="25"/>
        <v>0</v>
      </c>
      <c r="AQ111" s="51">
        <f t="shared" si="22"/>
        <v>0</v>
      </c>
      <c r="AR111" s="51">
        <f t="shared" si="26"/>
        <v>0</v>
      </c>
      <c r="AS111" s="51"/>
      <c r="AT111" s="51"/>
      <c r="AU111" s="51"/>
      <c r="AV111" s="51"/>
      <c r="AW111" s="51">
        <f>AS111+AU111</f>
        <v>0</v>
      </c>
      <c r="AX111" s="209"/>
      <c r="AY111" s="51"/>
      <c r="AZ111" s="51"/>
      <c r="BA111" s="51"/>
      <c r="BB111" s="51"/>
      <c r="BC111" s="51">
        <f>AY111+BA111</f>
        <v>0</v>
      </c>
      <c r="BD111" s="209"/>
      <c r="BE111" s="51"/>
      <c r="BF111" s="51"/>
      <c r="BG111" s="51"/>
      <c r="BH111" s="51"/>
      <c r="BI111" s="51">
        <f>BE111+BG111</f>
        <v>0</v>
      </c>
      <c r="BJ111" s="209"/>
    </row>
    <row r="112" spans="1:62" hidden="1">
      <c r="A112" s="209">
        <v>45799</v>
      </c>
      <c r="B112" s="51"/>
      <c r="C112" s="51"/>
      <c r="D112" s="208"/>
      <c r="E112" s="51"/>
      <c r="F112" s="51"/>
      <c r="G112" s="215"/>
      <c r="H112" s="51"/>
      <c r="I112" s="51"/>
      <c r="J112" s="51"/>
      <c r="K112" s="51"/>
      <c r="L112" s="217">
        <f t="shared" si="24"/>
        <v>55950</v>
      </c>
      <c r="M112" s="51"/>
      <c r="N112" s="51"/>
      <c r="O112" s="217">
        <f t="shared" si="29"/>
        <v>0</v>
      </c>
      <c r="P112" s="217">
        <f t="shared" si="30"/>
        <v>0</v>
      </c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217">
        <f t="shared" si="32"/>
        <v>278700</v>
      </c>
      <c r="AM112" s="51"/>
      <c r="AN112" s="51"/>
      <c r="AO112" s="217">
        <f t="shared" si="23"/>
        <v>0</v>
      </c>
      <c r="AP112" s="217">
        <f t="shared" si="25"/>
        <v>0</v>
      </c>
      <c r="AQ112" s="51">
        <f t="shared" si="22"/>
        <v>0</v>
      </c>
      <c r="AR112" s="51">
        <f t="shared" si="26"/>
        <v>0</v>
      </c>
      <c r="AS112" s="51"/>
      <c r="AT112" s="51"/>
      <c r="AU112" s="51"/>
      <c r="AV112" s="51"/>
      <c r="AW112" s="51">
        <f>AS112+AU112</f>
        <v>0</v>
      </c>
      <c r="AX112" s="209"/>
      <c r="AY112" s="51"/>
      <c r="AZ112" s="51"/>
      <c r="BA112" s="51"/>
      <c r="BB112" s="51"/>
      <c r="BC112" s="51">
        <f>AY112+BA112</f>
        <v>0</v>
      </c>
      <c r="BD112" s="209"/>
      <c r="BE112" s="51"/>
      <c r="BF112" s="51"/>
      <c r="BG112" s="51"/>
      <c r="BH112" s="51"/>
      <c r="BI112" s="51">
        <f>BE112+BG112</f>
        <v>0</v>
      </c>
      <c r="BJ112" s="209"/>
    </row>
    <row r="113" spans="1:62" hidden="1">
      <c r="A113" s="209">
        <v>45800</v>
      </c>
      <c r="B113" s="51"/>
      <c r="C113" s="51"/>
      <c r="D113" s="208"/>
      <c r="E113" s="51"/>
      <c r="F113" s="51"/>
      <c r="G113" s="215"/>
      <c r="H113" s="51"/>
      <c r="I113" s="51"/>
      <c r="J113" s="51"/>
      <c r="K113" s="51"/>
      <c r="L113" s="217">
        <f t="shared" si="24"/>
        <v>55950</v>
      </c>
      <c r="M113" s="51"/>
      <c r="N113" s="51"/>
      <c r="O113" s="217">
        <f t="shared" si="29"/>
        <v>0</v>
      </c>
      <c r="P113" s="217">
        <f t="shared" si="30"/>
        <v>0</v>
      </c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217">
        <f t="shared" si="32"/>
        <v>278700</v>
      </c>
      <c r="AM113" s="51"/>
      <c r="AN113" s="51"/>
      <c r="AO113" s="217">
        <f t="shared" si="23"/>
        <v>0</v>
      </c>
      <c r="AP113" s="217">
        <f t="shared" si="25"/>
        <v>0</v>
      </c>
      <c r="AQ113" s="51">
        <f t="shared" si="22"/>
        <v>0</v>
      </c>
      <c r="AR113" s="51">
        <f t="shared" si="26"/>
        <v>0</v>
      </c>
      <c r="AS113" s="51"/>
      <c r="AT113" s="51"/>
      <c r="AU113" s="51"/>
      <c r="AV113" s="51"/>
      <c r="AW113" s="51">
        <f>AS113+AU113</f>
        <v>0</v>
      </c>
      <c r="AX113" s="209"/>
      <c r="AY113" s="51"/>
      <c r="AZ113" s="51"/>
      <c r="BA113" s="51"/>
      <c r="BB113" s="51"/>
      <c r="BC113" s="51">
        <f>AY113+BA113</f>
        <v>0</v>
      </c>
      <c r="BD113" s="209"/>
      <c r="BE113" s="51"/>
      <c r="BF113" s="51"/>
      <c r="BG113" s="51"/>
      <c r="BH113" s="51"/>
      <c r="BI113" s="51">
        <f>BE113+BG113</f>
        <v>0</v>
      </c>
      <c r="BJ113" s="209"/>
    </row>
    <row r="114" spans="1:62" ht="23" hidden="1">
      <c r="A114" s="210" t="s">
        <v>739</v>
      </c>
      <c r="B114" s="211">
        <f t="shared" ref="B114:H114" si="34">SUM(B11:B89)</f>
        <v>35000</v>
      </c>
      <c r="C114" s="211">
        <f t="shared" si="34"/>
        <v>35000</v>
      </c>
      <c r="D114" s="211">
        <f t="shared" si="34"/>
        <v>0</v>
      </c>
      <c r="E114" s="211">
        <f t="shared" si="34"/>
        <v>50000</v>
      </c>
      <c r="F114" s="211">
        <f t="shared" si="34"/>
        <v>45000</v>
      </c>
      <c r="G114" s="211">
        <f t="shared" si="34"/>
        <v>489510.48951048957</v>
      </c>
      <c r="H114" s="211">
        <f t="shared" si="34"/>
        <v>0</v>
      </c>
      <c r="I114" s="211">
        <f t="shared" ref="I114:N114" si="35">SUM(I11:I113)</f>
        <v>28200</v>
      </c>
      <c r="J114" s="211">
        <f t="shared" si="35"/>
        <v>27750</v>
      </c>
      <c r="K114" s="211">
        <f>SUM(K11:K113)</f>
        <v>55950</v>
      </c>
      <c r="L114" s="211"/>
      <c r="M114" s="211">
        <f t="shared" si="35"/>
        <v>28850</v>
      </c>
      <c r="N114" s="211">
        <f t="shared" si="35"/>
        <v>28400</v>
      </c>
      <c r="O114" s="211">
        <f>SUM(O11:O113)</f>
        <v>57250</v>
      </c>
      <c r="P114" s="211"/>
      <c r="Q114" s="211">
        <f t="shared" ref="Q114:AO114" si="36">SUM(Q11:Q113)</f>
        <v>15800</v>
      </c>
      <c r="R114" s="211">
        <f t="shared" si="36"/>
        <v>16300</v>
      </c>
      <c r="S114" s="211">
        <f t="shared" si="36"/>
        <v>14600</v>
      </c>
      <c r="T114" s="211">
        <f t="shared" si="36"/>
        <v>14600</v>
      </c>
      <c r="U114" s="211">
        <f t="shared" si="36"/>
        <v>14600</v>
      </c>
      <c r="V114" s="211">
        <f t="shared" si="36"/>
        <v>14600</v>
      </c>
      <c r="W114" s="211">
        <f t="shared" si="36"/>
        <v>14300</v>
      </c>
      <c r="X114" s="211">
        <f t="shared" si="36"/>
        <v>14300</v>
      </c>
      <c r="Y114" s="211">
        <f t="shared" si="36"/>
        <v>14300</v>
      </c>
      <c r="Z114" s="211">
        <f t="shared" si="36"/>
        <v>14300</v>
      </c>
      <c r="AA114" s="211">
        <f t="shared" si="36"/>
        <v>14300</v>
      </c>
      <c r="AB114" s="211">
        <f t="shared" si="36"/>
        <v>14300</v>
      </c>
      <c r="AC114" s="211">
        <f t="shared" si="36"/>
        <v>12800</v>
      </c>
      <c r="AD114" s="211">
        <f t="shared" si="36"/>
        <v>12800</v>
      </c>
      <c r="AE114" s="211">
        <f t="shared" si="36"/>
        <v>12800</v>
      </c>
      <c r="AF114" s="211">
        <f t="shared" si="36"/>
        <v>12800</v>
      </c>
      <c r="AG114" s="211">
        <f t="shared" si="36"/>
        <v>12800</v>
      </c>
      <c r="AH114" s="211">
        <f t="shared" si="36"/>
        <v>12800</v>
      </c>
      <c r="AI114" s="211">
        <f t="shared" si="36"/>
        <v>12800</v>
      </c>
      <c r="AJ114" s="211">
        <f t="shared" si="36"/>
        <v>12800</v>
      </c>
      <c r="AK114" s="211">
        <f>SUM(AK11:AK113)</f>
        <v>278700</v>
      </c>
      <c r="AL114" s="211"/>
      <c r="AM114" s="211">
        <f t="shared" si="36"/>
        <v>23950</v>
      </c>
      <c r="AN114" s="211">
        <f t="shared" si="36"/>
        <v>23500</v>
      </c>
      <c r="AO114" s="211">
        <f t="shared" si="36"/>
        <v>47450</v>
      </c>
      <c r="AP114" s="211"/>
      <c r="AQ114" s="211"/>
      <c r="AR114" s="211"/>
      <c r="AS114" s="211">
        <f>SUM(AS11:AS113)</f>
        <v>175000</v>
      </c>
      <c r="AT114" s="211"/>
      <c r="AU114" s="211">
        <f>SUM(AU11:AU113)</f>
        <v>159650</v>
      </c>
      <c r="AV114" s="211"/>
      <c r="AW114" s="211">
        <f>SUM(AW11:AW113)</f>
        <v>334650</v>
      </c>
      <c r="AX114" s="51"/>
      <c r="AY114" s="211">
        <f>SUM(AY11:AY113)</f>
        <v>27450</v>
      </c>
      <c r="AZ114" s="211"/>
      <c r="BA114" s="211">
        <f>SUM(BA11:BA113)</f>
        <v>20000</v>
      </c>
      <c r="BB114" s="211"/>
      <c r="BC114" s="211">
        <f>SUM(BC11:BC113)</f>
        <v>47450</v>
      </c>
      <c r="BD114" s="51"/>
      <c r="BE114" s="211">
        <f>SUM(BE11:BE113)</f>
        <v>30000</v>
      </c>
      <c r="BF114" s="211"/>
      <c r="BG114" s="211">
        <f>SUM(BG11:BG113)</f>
        <v>27250</v>
      </c>
      <c r="BH114" s="211"/>
      <c r="BI114" s="211">
        <f>SUM(BI11:BI113)</f>
        <v>57250</v>
      </c>
      <c r="BJ114" s="51"/>
    </row>
  </sheetData>
  <autoFilter ref="A8:BK114">
    <filterColumn colId="1" showButton="0"/>
    <filterColumn colId="4" showButton="0"/>
    <filterColumn colId="49">
      <customFilters>
        <customFilter operator="notEqual" val=" "/>
      </customFilters>
    </filterColumn>
  </autoFilter>
  <dataConsolidate/>
  <mergeCells count="9">
    <mergeCell ref="BE7:BI7"/>
    <mergeCell ref="B8:C8"/>
    <mergeCell ref="E8:F8"/>
    <mergeCell ref="AQ9:AR9"/>
    <mergeCell ref="A6:P6"/>
    <mergeCell ref="A7:F7"/>
    <mergeCell ref="I7:AO7"/>
    <mergeCell ref="AS7:AW7"/>
    <mergeCell ref="AY7:BC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K37"/>
  <sheetViews>
    <sheetView workbookViewId="0">
      <selection activeCell="I15" sqref="I15"/>
    </sheetView>
  </sheetViews>
  <sheetFormatPr defaultRowHeight="14"/>
  <cols>
    <col min="6" max="6" width="12.4140625" customWidth="1"/>
  </cols>
  <sheetData>
    <row r="6" spans="2:11">
      <c r="B6" s="206" t="s">
        <v>225</v>
      </c>
      <c r="C6" s="206" t="s">
        <v>751</v>
      </c>
      <c r="D6" s="206" t="s">
        <v>752</v>
      </c>
      <c r="E6" s="206" t="s">
        <v>666</v>
      </c>
      <c r="F6" s="206" t="s">
        <v>753</v>
      </c>
      <c r="G6" s="206" t="s">
        <v>754</v>
      </c>
      <c r="H6" s="206" t="s">
        <v>755</v>
      </c>
      <c r="I6" s="237" t="s">
        <v>756</v>
      </c>
      <c r="J6" s="238" t="s">
        <v>757</v>
      </c>
    </row>
    <row r="7" spans="2:11">
      <c r="B7" s="206" t="s">
        <v>156</v>
      </c>
      <c r="C7" s="51">
        <v>5624</v>
      </c>
      <c r="D7" s="51">
        <v>4000</v>
      </c>
      <c r="E7" s="51">
        <v>1750</v>
      </c>
      <c r="F7" s="51">
        <f>D7-E7</f>
        <v>2250</v>
      </c>
      <c r="G7" s="51">
        <f>F7*0.2</f>
        <v>450</v>
      </c>
      <c r="H7" s="70">
        <f>E7/650</f>
        <v>2.6923076923076925</v>
      </c>
      <c r="I7" s="75">
        <v>320</v>
      </c>
      <c r="J7" s="74"/>
      <c r="K7" s="74">
        <f>G7-I7</f>
        <v>130</v>
      </c>
    </row>
    <row r="8" spans="2:11">
      <c r="B8" s="206" t="s">
        <v>154</v>
      </c>
      <c r="C8" s="51">
        <v>7030</v>
      </c>
      <c r="D8" s="51">
        <v>4800</v>
      </c>
      <c r="E8" s="51">
        <v>980</v>
      </c>
      <c r="F8" s="51">
        <f>D8-E8</f>
        <v>3820</v>
      </c>
      <c r="G8" s="51">
        <f>F8*0.2</f>
        <v>764</v>
      </c>
      <c r="H8" s="70">
        <f>E8/650</f>
        <v>1.5076923076923077</v>
      </c>
      <c r="I8" s="75">
        <v>180</v>
      </c>
      <c r="J8" s="74"/>
      <c r="K8" s="74">
        <f>G8-I8</f>
        <v>584</v>
      </c>
    </row>
    <row r="9" spans="2:11">
      <c r="B9" s="206" t="s">
        <v>155</v>
      </c>
      <c r="C9" s="51">
        <v>8436</v>
      </c>
      <c r="D9" s="51">
        <v>5500</v>
      </c>
      <c r="E9" s="51">
        <v>1730</v>
      </c>
      <c r="F9" s="51">
        <f>D9-E9</f>
        <v>3770</v>
      </c>
      <c r="G9" s="51">
        <f>F9*0.2</f>
        <v>754</v>
      </c>
      <c r="H9" s="70">
        <f>E9/650</f>
        <v>2.6615384615384614</v>
      </c>
      <c r="I9" s="75">
        <v>0</v>
      </c>
      <c r="J9">
        <v>300</v>
      </c>
      <c r="K9" s="74">
        <f>G9-I9</f>
        <v>754</v>
      </c>
    </row>
    <row r="10" spans="2:11">
      <c r="B10" s="206" t="s">
        <v>726</v>
      </c>
      <c r="C10" s="206">
        <f t="shared" ref="C10:H10" si="0">SUM(C7:C9)</f>
        <v>21090</v>
      </c>
      <c r="D10" s="206">
        <f t="shared" si="0"/>
        <v>14300</v>
      </c>
      <c r="E10" s="206">
        <f t="shared" si="0"/>
        <v>4460</v>
      </c>
      <c r="F10" s="206">
        <f t="shared" si="0"/>
        <v>9840</v>
      </c>
      <c r="G10" s="206">
        <f t="shared" si="0"/>
        <v>1968</v>
      </c>
      <c r="H10" s="239">
        <f t="shared" si="0"/>
        <v>6.861538461538462</v>
      </c>
      <c r="I10" s="75"/>
      <c r="K10" s="74">
        <f>G10-I10</f>
        <v>1968</v>
      </c>
    </row>
    <row r="11" spans="2:11">
      <c r="D11" t="s">
        <v>156</v>
      </c>
      <c r="E11" t="s">
        <v>154</v>
      </c>
      <c r="F11" t="s">
        <v>155</v>
      </c>
    </row>
    <row r="12" spans="2:11">
      <c r="C12" s="200">
        <v>45681</v>
      </c>
      <c r="D12" s="74">
        <v>650</v>
      </c>
    </row>
    <row r="13" spans="2:11">
      <c r="C13" s="200">
        <v>45682</v>
      </c>
      <c r="D13" s="74">
        <v>650</v>
      </c>
    </row>
    <row r="14" spans="2:11">
      <c r="C14" s="200">
        <v>45683</v>
      </c>
      <c r="D14" s="74">
        <v>650</v>
      </c>
    </row>
    <row r="15" spans="2:11">
      <c r="C15" s="200">
        <v>45684</v>
      </c>
      <c r="E15">
        <v>650</v>
      </c>
    </row>
    <row r="16" spans="2:11">
      <c r="C16" s="200">
        <v>45685</v>
      </c>
      <c r="E16">
        <v>650</v>
      </c>
    </row>
    <row r="17" spans="3:6">
      <c r="C17" s="200">
        <v>45686</v>
      </c>
      <c r="F17">
        <v>650</v>
      </c>
    </row>
    <row r="18" spans="3:6">
      <c r="C18" s="200">
        <v>45687</v>
      </c>
      <c r="F18">
        <v>650</v>
      </c>
    </row>
    <row r="19" spans="3:6">
      <c r="C19" s="200">
        <v>45688</v>
      </c>
      <c r="F19">
        <v>650</v>
      </c>
    </row>
    <row r="20" spans="3:6">
      <c r="C20" s="200">
        <v>45689</v>
      </c>
      <c r="D20" s="201">
        <v>650</v>
      </c>
      <c r="E20" s="201">
        <v>650</v>
      </c>
      <c r="F20" s="201">
        <v>650</v>
      </c>
    </row>
    <row r="21" spans="3:6">
      <c r="C21" s="200">
        <v>45690</v>
      </c>
      <c r="D21" s="201">
        <v>650</v>
      </c>
      <c r="E21" s="201">
        <v>650</v>
      </c>
      <c r="F21" s="201">
        <v>650</v>
      </c>
    </row>
    <row r="22" spans="3:6">
      <c r="C22" s="200">
        <v>45691</v>
      </c>
      <c r="D22" s="201">
        <v>650</v>
      </c>
      <c r="E22" s="201">
        <v>650</v>
      </c>
      <c r="F22" s="201">
        <v>650</v>
      </c>
    </row>
    <row r="23" spans="3:6">
      <c r="C23" s="200">
        <v>45692</v>
      </c>
      <c r="D23" s="201">
        <v>650</v>
      </c>
      <c r="E23" s="201">
        <v>650</v>
      </c>
      <c r="F23" s="201">
        <v>650</v>
      </c>
    </row>
    <row r="24" spans="3:6">
      <c r="C24" s="200">
        <v>45693</v>
      </c>
      <c r="D24" s="201">
        <v>650</v>
      </c>
      <c r="E24" s="201">
        <v>650</v>
      </c>
      <c r="F24" s="201">
        <v>650</v>
      </c>
    </row>
    <row r="25" spans="3:6">
      <c r="C25" s="200">
        <v>45694</v>
      </c>
      <c r="D25" s="201">
        <v>650</v>
      </c>
      <c r="E25" s="201">
        <v>650</v>
      </c>
      <c r="F25" s="201">
        <v>650</v>
      </c>
    </row>
    <row r="26" spans="3:6">
      <c r="C26" s="200">
        <v>45695</v>
      </c>
      <c r="D26" s="201">
        <v>650</v>
      </c>
      <c r="E26" s="201">
        <v>650</v>
      </c>
      <c r="F26" s="201">
        <v>650</v>
      </c>
    </row>
    <row r="27" spans="3:6">
      <c r="C27" s="200">
        <v>45696</v>
      </c>
      <c r="D27" s="201">
        <v>650</v>
      </c>
      <c r="E27" s="201">
        <v>650</v>
      </c>
      <c r="F27" s="201">
        <v>650</v>
      </c>
    </row>
    <row r="28" spans="3:6">
      <c r="C28" s="200">
        <v>45697</v>
      </c>
      <c r="D28" s="201">
        <v>650</v>
      </c>
      <c r="E28" s="201">
        <v>650</v>
      </c>
      <c r="F28" s="201">
        <v>650</v>
      </c>
    </row>
    <row r="29" spans="3:6">
      <c r="C29" s="200">
        <v>45698</v>
      </c>
      <c r="D29" s="201">
        <v>650</v>
      </c>
      <c r="E29" s="201">
        <v>650</v>
      </c>
      <c r="F29" s="201">
        <v>650</v>
      </c>
    </row>
    <row r="30" spans="3:6">
      <c r="C30" s="200">
        <v>45699</v>
      </c>
      <c r="D30" s="201">
        <v>650</v>
      </c>
      <c r="E30" s="201">
        <v>650</v>
      </c>
      <c r="F30" s="201">
        <v>650</v>
      </c>
    </row>
    <row r="31" spans="3:6">
      <c r="C31" s="200">
        <v>45700</v>
      </c>
    </row>
    <row r="32" spans="3:6">
      <c r="C32" s="200">
        <v>45701</v>
      </c>
    </row>
    <row r="33" spans="3:3">
      <c r="C33" s="200">
        <v>45702</v>
      </c>
    </row>
    <row r="34" spans="3:3">
      <c r="C34" s="200">
        <v>45703</v>
      </c>
    </row>
    <row r="35" spans="3:3">
      <c r="C35" s="200">
        <v>45704</v>
      </c>
    </row>
    <row r="36" spans="3:3">
      <c r="C36" s="200">
        <v>45705</v>
      </c>
    </row>
    <row r="37" spans="3:3">
      <c r="C37" s="200">
        <v>45706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8"/>
  <sheetViews>
    <sheetView workbookViewId="0">
      <selection activeCell="L6" sqref="L6"/>
    </sheetView>
  </sheetViews>
  <sheetFormatPr defaultRowHeight="14"/>
  <sheetData>
    <row r="4" spans="3:12">
      <c r="D4" t="s">
        <v>758</v>
      </c>
      <c r="G4" t="s">
        <v>759</v>
      </c>
      <c r="J4" t="s">
        <v>760</v>
      </c>
    </row>
    <row r="5" spans="3:12">
      <c r="C5" t="s">
        <v>761</v>
      </c>
      <c r="D5">
        <v>10</v>
      </c>
      <c r="E5">
        <v>50</v>
      </c>
      <c r="F5">
        <v>50</v>
      </c>
      <c r="G5">
        <v>5</v>
      </c>
      <c r="H5">
        <v>10</v>
      </c>
      <c r="I5">
        <v>15</v>
      </c>
      <c r="J5">
        <v>2</v>
      </c>
      <c r="K5">
        <v>3</v>
      </c>
      <c r="L5">
        <v>5</v>
      </c>
    </row>
    <row r="6" spans="3:12">
      <c r="C6" t="s">
        <v>762</v>
      </c>
    </row>
    <row r="7" spans="3:12">
      <c r="C7" t="s">
        <v>763</v>
      </c>
    </row>
    <row r="8" spans="3:12">
      <c r="C8" t="s">
        <v>764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2"/>
  <sheetViews>
    <sheetView workbookViewId="0">
      <selection activeCell="K9" sqref="K9"/>
    </sheetView>
  </sheetViews>
  <sheetFormatPr defaultRowHeight="14"/>
  <cols>
    <col min="1" max="1" width="9.4140625" style="272" bestFit="1" customWidth="1"/>
    <col min="2" max="2" width="10" style="276" bestFit="1" customWidth="1"/>
    <col min="3" max="3" width="11.83203125" customWidth="1"/>
    <col min="4" max="4" width="5.58203125" customWidth="1"/>
    <col min="5" max="5" width="7.4140625" customWidth="1"/>
    <col min="6" max="6" width="14" customWidth="1"/>
    <col min="7" max="7" width="16.4140625" customWidth="1"/>
    <col min="8" max="8" width="14.4140625" bestFit="1" customWidth="1"/>
    <col min="9" max="9" width="9" customWidth="1"/>
    <col min="10" max="10" width="11.1640625" customWidth="1"/>
    <col min="11" max="11" width="13.4140625" customWidth="1"/>
    <col min="12" max="12" width="9.4140625" customWidth="1"/>
  </cols>
  <sheetData>
    <row r="2" spans="1:12" ht="18.5">
      <c r="A2" s="416" t="s">
        <v>765</v>
      </c>
      <c r="B2" s="416"/>
      <c r="C2" s="416"/>
      <c r="D2" s="416"/>
      <c r="E2" s="416"/>
      <c r="F2" s="416"/>
      <c r="G2" s="416"/>
      <c r="H2" s="416"/>
      <c r="I2" s="285" t="s">
        <v>726</v>
      </c>
      <c r="J2" s="281">
        <f>SUBTOTAL(9,J4:J362)</f>
        <v>1728318</v>
      </c>
      <c r="K2" s="281">
        <f>SUBTOTAL(9,K4:K362)</f>
        <v>409333</v>
      </c>
      <c r="L2" s="281">
        <f>SUBTOTAL(9,L4:L362)</f>
        <v>1300408.6000000001</v>
      </c>
    </row>
    <row r="3" spans="1:12" ht="33.75" customHeight="1">
      <c r="A3" s="289" t="s">
        <v>766</v>
      </c>
      <c r="B3" s="288" t="s">
        <v>767</v>
      </c>
      <c r="C3" s="287" t="s">
        <v>768</v>
      </c>
      <c r="D3" s="286" t="s">
        <v>769</v>
      </c>
      <c r="E3" s="286" t="s">
        <v>770</v>
      </c>
      <c r="F3" s="287" t="s">
        <v>771</v>
      </c>
      <c r="G3" s="288" t="s">
        <v>772</v>
      </c>
      <c r="H3" s="287" t="s">
        <v>773</v>
      </c>
      <c r="I3" s="279" t="s">
        <v>421</v>
      </c>
      <c r="J3" s="278" t="s">
        <v>774</v>
      </c>
      <c r="K3" s="278" t="s">
        <v>775</v>
      </c>
      <c r="L3" s="280" t="s">
        <v>776</v>
      </c>
    </row>
    <row r="4" spans="1:12" ht="14.5">
      <c r="A4" s="277" t="s">
        <v>188</v>
      </c>
      <c r="B4" s="273">
        <v>408</v>
      </c>
      <c r="C4" s="263">
        <v>45713</v>
      </c>
      <c r="D4" s="262">
        <v>9</v>
      </c>
      <c r="E4" s="262">
        <v>-8</v>
      </c>
      <c r="F4" s="262" t="s">
        <v>136</v>
      </c>
      <c r="G4" s="262" t="s">
        <v>247</v>
      </c>
      <c r="H4" s="262" t="s">
        <v>162</v>
      </c>
      <c r="I4" s="262" t="s">
        <v>500</v>
      </c>
      <c r="J4" s="262">
        <v>1512</v>
      </c>
      <c r="K4" s="264">
        <v>1512</v>
      </c>
      <c r="L4" s="271">
        <v>0</v>
      </c>
    </row>
    <row r="5" spans="1:12" ht="14.5">
      <c r="A5" s="277" t="s">
        <v>188</v>
      </c>
      <c r="B5" s="273">
        <v>408</v>
      </c>
      <c r="C5" s="263">
        <v>45713</v>
      </c>
      <c r="D5" s="262">
        <v>9</v>
      </c>
      <c r="E5" s="262">
        <v>-8</v>
      </c>
      <c r="F5" s="262" t="s">
        <v>136</v>
      </c>
      <c r="G5" s="262" t="s">
        <v>247</v>
      </c>
      <c r="H5" s="262" t="s">
        <v>163</v>
      </c>
      <c r="I5" s="262" t="s">
        <v>500</v>
      </c>
      <c r="J5" s="262">
        <v>1512</v>
      </c>
      <c r="K5" s="264">
        <v>1512</v>
      </c>
      <c r="L5" s="265">
        <v>0</v>
      </c>
    </row>
    <row r="6" spans="1:12" ht="14.5">
      <c r="A6" s="277" t="s">
        <v>188</v>
      </c>
      <c r="B6" s="273">
        <v>408</v>
      </c>
      <c r="C6" s="263">
        <v>45713</v>
      </c>
      <c r="D6" s="262">
        <v>9</v>
      </c>
      <c r="E6" s="262">
        <v>-8</v>
      </c>
      <c r="F6" s="262" t="s">
        <v>136</v>
      </c>
      <c r="G6" s="262" t="s">
        <v>247</v>
      </c>
      <c r="H6" s="262" t="s">
        <v>164</v>
      </c>
      <c r="I6" s="262" t="s">
        <v>500</v>
      </c>
      <c r="J6" s="262">
        <v>1512</v>
      </c>
      <c r="K6" s="264">
        <v>1512</v>
      </c>
      <c r="L6" s="265">
        <v>0</v>
      </c>
    </row>
    <row r="7" spans="1:12" ht="14.5">
      <c r="A7" s="277" t="s">
        <v>188</v>
      </c>
      <c r="B7" s="273">
        <v>408</v>
      </c>
      <c r="C7" s="263">
        <v>45713</v>
      </c>
      <c r="D7" s="262">
        <v>9</v>
      </c>
      <c r="E7" s="262">
        <v>-8</v>
      </c>
      <c r="F7" s="262" t="s">
        <v>81</v>
      </c>
      <c r="G7" s="262" t="s">
        <v>290</v>
      </c>
      <c r="H7" s="262" t="s">
        <v>291</v>
      </c>
      <c r="I7" s="262" t="s">
        <v>435</v>
      </c>
      <c r="J7" s="262">
        <v>1584</v>
      </c>
      <c r="K7" s="264" t="s">
        <v>777</v>
      </c>
      <c r="L7" s="265" t="s">
        <v>777</v>
      </c>
    </row>
    <row r="8" spans="1:12" ht="14.5">
      <c r="A8" s="277" t="s">
        <v>188</v>
      </c>
      <c r="B8" s="273">
        <v>408</v>
      </c>
      <c r="C8" s="263">
        <v>45713</v>
      </c>
      <c r="D8" s="262">
        <v>9</v>
      </c>
      <c r="E8" s="262">
        <v>-8</v>
      </c>
      <c r="F8" s="262" t="s">
        <v>81</v>
      </c>
      <c r="G8" s="262" t="s">
        <v>290</v>
      </c>
      <c r="H8" s="262" t="s">
        <v>293</v>
      </c>
      <c r="I8" s="262" t="s">
        <v>435</v>
      </c>
      <c r="J8" s="262">
        <v>1584</v>
      </c>
      <c r="K8" s="264" t="s">
        <v>777</v>
      </c>
      <c r="L8" s="265" t="s">
        <v>777</v>
      </c>
    </row>
    <row r="9" spans="1:12" ht="14.5">
      <c r="A9" s="277" t="s">
        <v>188</v>
      </c>
      <c r="B9" s="273">
        <v>408</v>
      </c>
      <c r="C9" s="263">
        <v>45713</v>
      </c>
      <c r="D9" s="262">
        <v>9</v>
      </c>
      <c r="E9" s="262">
        <v>-8</v>
      </c>
      <c r="F9" s="262" t="s">
        <v>81</v>
      </c>
      <c r="G9" s="262" t="s">
        <v>290</v>
      </c>
      <c r="H9" s="262" t="s">
        <v>294</v>
      </c>
      <c r="I9" s="262" t="s">
        <v>435</v>
      </c>
      <c r="J9" s="262">
        <v>1584</v>
      </c>
      <c r="K9" s="264" t="s">
        <v>777</v>
      </c>
      <c r="L9" s="265" t="s">
        <v>777</v>
      </c>
    </row>
    <row r="10" spans="1:12" ht="14.5">
      <c r="A10" s="277" t="s">
        <v>188</v>
      </c>
      <c r="B10" s="273">
        <v>408</v>
      </c>
      <c r="C10" s="263">
        <v>45713</v>
      </c>
      <c r="D10" s="262">
        <v>9</v>
      </c>
      <c r="E10" s="262">
        <v>-8</v>
      </c>
      <c r="F10" s="262" t="s">
        <v>157</v>
      </c>
      <c r="G10" s="262" t="s">
        <v>243</v>
      </c>
      <c r="H10" s="262" t="s">
        <v>162</v>
      </c>
      <c r="I10" s="262" t="s">
        <v>428</v>
      </c>
      <c r="J10" s="262">
        <v>3462</v>
      </c>
      <c r="K10" s="264">
        <v>3462</v>
      </c>
      <c r="L10" s="265">
        <v>0</v>
      </c>
    </row>
    <row r="11" spans="1:12" ht="14.5">
      <c r="A11" s="277" t="s">
        <v>188</v>
      </c>
      <c r="B11" s="273">
        <v>408</v>
      </c>
      <c r="C11" s="263">
        <v>45713</v>
      </c>
      <c r="D11" s="262">
        <v>9</v>
      </c>
      <c r="E11" s="262">
        <v>-8</v>
      </c>
      <c r="F11" s="262" t="s">
        <v>157</v>
      </c>
      <c r="G11" s="262" t="s">
        <v>243</v>
      </c>
      <c r="H11" s="262" t="s">
        <v>155</v>
      </c>
      <c r="I11" s="262" t="s">
        <v>428</v>
      </c>
      <c r="J11" s="262">
        <v>2226</v>
      </c>
      <c r="K11" s="264">
        <v>2226</v>
      </c>
      <c r="L11" s="265">
        <v>0</v>
      </c>
    </row>
    <row r="12" spans="1:12" ht="14.5">
      <c r="A12" s="277" t="s">
        <v>188</v>
      </c>
      <c r="B12" s="273">
        <v>408</v>
      </c>
      <c r="C12" s="263">
        <v>45713</v>
      </c>
      <c r="D12" s="262">
        <v>9</v>
      </c>
      <c r="E12" s="262">
        <v>-8</v>
      </c>
      <c r="F12" s="262" t="s">
        <v>158</v>
      </c>
      <c r="G12" s="262" t="s">
        <v>242</v>
      </c>
      <c r="H12" s="262" t="s">
        <v>255</v>
      </c>
      <c r="I12" s="262" t="s">
        <v>445</v>
      </c>
      <c r="J12" s="262">
        <v>1432</v>
      </c>
      <c r="K12" s="264">
        <v>1432</v>
      </c>
      <c r="L12" s="265">
        <v>0</v>
      </c>
    </row>
    <row r="13" spans="1:12" ht="14.5">
      <c r="A13" s="277" t="s">
        <v>74</v>
      </c>
      <c r="B13" s="274" t="s">
        <v>569</v>
      </c>
      <c r="C13" s="263">
        <v>45714</v>
      </c>
      <c r="D13" s="262">
        <v>9</v>
      </c>
      <c r="E13" s="262">
        <v>-7</v>
      </c>
      <c r="F13" s="262" t="s">
        <v>204</v>
      </c>
      <c r="G13" s="262" t="s">
        <v>309</v>
      </c>
      <c r="H13" s="262" t="s">
        <v>162</v>
      </c>
      <c r="I13" s="262" t="s">
        <v>570</v>
      </c>
      <c r="J13" s="262">
        <v>1740</v>
      </c>
      <c r="K13" s="264">
        <v>1740</v>
      </c>
      <c r="L13" s="265">
        <v>0</v>
      </c>
    </row>
    <row r="14" spans="1:12" ht="14.5">
      <c r="A14" s="277" t="s">
        <v>74</v>
      </c>
      <c r="B14" s="274" t="s">
        <v>569</v>
      </c>
      <c r="C14" s="263">
        <v>45714</v>
      </c>
      <c r="D14" s="262">
        <v>9</v>
      </c>
      <c r="E14" s="262">
        <v>-7</v>
      </c>
      <c r="F14" s="262" t="s">
        <v>415</v>
      </c>
      <c r="G14" s="262" t="s">
        <v>347</v>
      </c>
      <c r="H14" s="262" t="s">
        <v>164</v>
      </c>
      <c r="I14" s="262" t="s">
        <v>572</v>
      </c>
      <c r="J14" s="262">
        <v>240</v>
      </c>
      <c r="K14" s="264">
        <v>240</v>
      </c>
      <c r="L14" s="265">
        <v>0</v>
      </c>
    </row>
    <row r="15" spans="1:12" ht="14.5">
      <c r="A15" s="277" t="s">
        <v>74</v>
      </c>
      <c r="B15" s="274" t="s">
        <v>569</v>
      </c>
      <c r="C15" s="263">
        <v>45714</v>
      </c>
      <c r="D15" s="262">
        <v>9</v>
      </c>
      <c r="E15" s="262">
        <v>-7</v>
      </c>
      <c r="F15" s="262" t="s">
        <v>204</v>
      </c>
      <c r="G15" s="262" t="s">
        <v>308</v>
      </c>
      <c r="H15" s="262" t="s">
        <v>162</v>
      </c>
      <c r="I15" s="262" t="s">
        <v>509</v>
      </c>
      <c r="J15" s="262">
        <v>1640</v>
      </c>
      <c r="K15" s="264">
        <v>1640</v>
      </c>
      <c r="L15" s="265">
        <v>0</v>
      </c>
    </row>
    <row r="16" spans="1:12" ht="14.5">
      <c r="A16" s="277" t="s">
        <v>74</v>
      </c>
      <c r="B16" s="274" t="s">
        <v>569</v>
      </c>
      <c r="C16" s="263">
        <v>45714</v>
      </c>
      <c r="D16" s="262">
        <v>9</v>
      </c>
      <c r="E16" s="262">
        <v>-7</v>
      </c>
      <c r="F16" s="262" t="s">
        <v>204</v>
      </c>
      <c r="G16" s="262" t="s">
        <v>347</v>
      </c>
      <c r="H16" s="262" t="s">
        <v>162</v>
      </c>
      <c r="I16" s="262" t="s">
        <v>572</v>
      </c>
      <c r="J16" s="262">
        <v>696</v>
      </c>
      <c r="K16" s="264">
        <v>696</v>
      </c>
      <c r="L16" s="265">
        <v>0</v>
      </c>
    </row>
    <row r="17" spans="1:12" ht="14.5">
      <c r="A17" s="277" t="s">
        <v>74</v>
      </c>
      <c r="B17" s="274" t="s">
        <v>569</v>
      </c>
      <c r="C17" s="263">
        <v>45714</v>
      </c>
      <c r="D17" s="262">
        <v>9</v>
      </c>
      <c r="E17" s="262">
        <v>-7</v>
      </c>
      <c r="F17" s="262" t="s">
        <v>199</v>
      </c>
      <c r="G17" s="262" t="s">
        <v>309</v>
      </c>
      <c r="H17" s="262" t="s">
        <v>155</v>
      </c>
      <c r="I17" s="262" t="s">
        <v>570</v>
      </c>
      <c r="J17" s="262">
        <v>768</v>
      </c>
      <c r="K17" s="264">
        <v>768</v>
      </c>
      <c r="L17" s="265">
        <v>0</v>
      </c>
    </row>
    <row r="18" spans="1:12" ht="14.5">
      <c r="A18" s="277" t="s">
        <v>74</v>
      </c>
      <c r="B18" s="274" t="s">
        <v>569</v>
      </c>
      <c r="C18" s="263">
        <v>45714</v>
      </c>
      <c r="D18" s="262">
        <v>9</v>
      </c>
      <c r="E18" s="262">
        <v>-7</v>
      </c>
      <c r="F18" s="262" t="s">
        <v>207</v>
      </c>
      <c r="G18" s="262" t="s">
        <v>309</v>
      </c>
      <c r="H18" s="262" t="s">
        <v>155</v>
      </c>
      <c r="I18" s="262" t="s">
        <v>570</v>
      </c>
      <c r="J18" s="262">
        <v>270</v>
      </c>
      <c r="K18" s="264">
        <v>270</v>
      </c>
      <c r="L18" s="265">
        <v>0</v>
      </c>
    </row>
    <row r="19" spans="1:12" ht="14.5">
      <c r="A19" s="277" t="s">
        <v>74</v>
      </c>
      <c r="B19" s="274" t="s">
        <v>569</v>
      </c>
      <c r="C19" s="263">
        <v>45714</v>
      </c>
      <c r="D19" s="262">
        <v>9</v>
      </c>
      <c r="E19" s="262">
        <v>-7</v>
      </c>
      <c r="F19" s="262" t="s">
        <v>192</v>
      </c>
      <c r="G19" s="262" t="s">
        <v>309</v>
      </c>
      <c r="H19" s="262" t="s">
        <v>574</v>
      </c>
      <c r="I19" s="262" t="s">
        <v>570</v>
      </c>
      <c r="J19" s="262">
        <v>210</v>
      </c>
      <c r="K19" s="264">
        <v>210</v>
      </c>
      <c r="L19" s="265">
        <v>0</v>
      </c>
    </row>
    <row r="20" spans="1:12" ht="14.5">
      <c r="A20" s="277" t="s">
        <v>74</v>
      </c>
      <c r="B20" s="274" t="s">
        <v>569</v>
      </c>
      <c r="C20" s="263">
        <v>45714</v>
      </c>
      <c r="D20" s="262">
        <v>9</v>
      </c>
      <c r="E20" s="262">
        <v>-7</v>
      </c>
      <c r="F20" s="262" t="s">
        <v>204</v>
      </c>
      <c r="G20" s="262" t="s">
        <v>347</v>
      </c>
      <c r="H20" s="262" t="s">
        <v>163</v>
      </c>
      <c r="I20" s="262" t="s">
        <v>572</v>
      </c>
      <c r="J20" s="262">
        <v>216</v>
      </c>
      <c r="K20" s="264">
        <v>216</v>
      </c>
      <c r="L20" s="265">
        <v>0</v>
      </c>
    </row>
    <row r="21" spans="1:12" ht="14.5">
      <c r="A21" s="277" t="s">
        <v>74</v>
      </c>
      <c r="B21" s="274" t="s">
        <v>569</v>
      </c>
      <c r="C21" s="263">
        <v>45714</v>
      </c>
      <c r="D21" s="262">
        <v>9</v>
      </c>
      <c r="E21" s="262">
        <v>-7</v>
      </c>
      <c r="F21" s="262" t="s">
        <v>199</v>
      </c>
      <c r="G21" s="262" t="s">
        <v>575</v>
      </c>
      <c r="H21" s="262" t="s">
        <v>155</v>
      </c>
      <c r="I21" s="262" t="s">
        <v>576</v>
      </c>
      <c r="J21" s="262">
        <v>250</v>
      </c>
      <c r="K21" s="264">
        <v>250</v>
      </c>
      <c r="L21" s="265">
        <v>0</v>
      </c>
    </row>
    <row r="22" spans="1:12" ht="14.5">
      <c r="A22" s="277" t="s">
        <v>74</v>
      </c>
      <c r="B22" s="274" t="s">
        <v>569</v>
      </c>
      <c r="C22" s="263">
        <v>45714</v>
      </c>
      <c r="D22" s="262">
        <v>9</v>
      </c>
      <c r="E22" s="262">
        <v>-7</v>
      </c>
      <c r="F22" s="262" t="s">
        <v>204</v>
      </c>
      <c r="G22" s="262" t="s">
        <v>309</v>
      </c>
      <c r="H22" s="262" t="s">
        <v>163</v>
      </c>
      <c r="I22" s="262" t="s">
        <v>570</v>
      </c>
      <c r="J22" s="262">
        <v>420</v>
      </c>
      <c r="K22" s="264">
        <v>420</v>
      </c>
      <c r="L22" s="265">
        <v>0</v>
      </c>
    </row>
    <row r="23" spans="1:12" ht="14.5">
      <c r="A23" s="277" t="s">
        <v>74</v>
      </c>
      <c r="B23" s="274" t="s">
        <v>569</v>
      </c>
      <c r="C23" s="263">
        <v>45714</v>
      </c>
      <c r="D23" s="262">
        <v>9</v>
      </c>
      <c r="E23" s="262">
        <v>-7</v>
      </c>
      <c r="F23" s="262" t="s">
        <v>199</v>
      </c>
      <c r="G23" s="262" t="s">
        <v>308</v>
      </c>
      <c r="H23" s="262" t="s">
        <v>155</v>
      </c>
      <c r="I23" s="262" t="s">
        <v>570</v>
      </c>
      <c r="J23" s="262">
        <v>540</v>
      </c>
      <c r="K23" s="264">
        <v>540</v>
      </c>
      <c r="L23" s="265">
        <v>0</v>
      </c>
    </row>
    <row r="24" spans="1:12" ht="14.5">
      <c r="A24" s="277" t="s">
        <v>74</v>
      </c>
      <c r="B24" s="274" t="s">
        <v>569</v>
      </c>
      <c r="C24" s="263">
        <v>45714</v>
      </c>
      <c r="D24" s="262">
        <v>9</v>
      </c>
      <c r="E24" s="262">
        <v>-7</v>
      </c>
      <c r="F24" s="262" t="s">
        <v>207</v>
      </c>
      <c r="G24" s="262" t="s">
        <v>308</v>
      </c>
      <c r="H24" s="262" t="s">
        <v>162</v>
      </c>
      <c r="I24" s="262" t="s">
        <v>570</v>
      </c>
      <c r="J24" s="262">
        <v>680</v>
      </c>
      <c r="K24" s="264">
        <v>680</v>
      </c>
      <c r="L24" s="265">
        <v>0</v>
      </c>
    </row>
    <row r="25" spans="1:12" ht="14.5">
      <c r="A25" s="277" t="s">
        <v>74</v>
      </c>
      <c r="B25" s="274" t="s">
        <v>569</v>
      </c>
      <c r="C25" s="263">
        <v>45714</v>
      </c>
      <c r="D25" s="262">
        <v>9</v>
      </c>
      <c r="E25" s="262">
        <v>-7</v>
      </c>
      <c r="F25" s="262" t="s">
        <v>192</v>
      </c>
      <c r="G25" s="262" t="s">
        <v>347</v>
      </c>
      <c r="H25" s="262" t="s">
        <v>155</v>
      </c>
      <c r="I25" s="262" t="s">
        <v>572</v>
      </c>
      <c r="J25" s="262">
        <v>144</v>
      </c>
      <c r="K25" s="264">
        <v>144</v>
      </c>
      <c r="L25" s="265">
        <v>0</v>
      </c>
    </row>
    <row r="26" spans="1:12" ht="14.5">
      <c r="A26" s="277" t="s">
        <v>74</v>
      </c>
      <c r="B26" s="274" t="s">
        <v>569</v>
      </c>
      <c r="C26" s="263">
        <v>45714</v>
      </c>
      <c r="D26" s="262">
        <v>9</v>
      </c>
      <c r="E26" s="262">
        <v>-7</v>
      </c>
      <c r="F26" s="262" t="s">
        <v>417</v>
      </c>
      <c r="G26" s="262" t="s">
        <v>309</v>
      </c>
      <c r="H26" s="262" t="s">
        <v>164</v>
      </c>
      <c r="I26" s="262" t="s">
        <v>570</v>
      </c>
      <c r="J26" s="262">
        <v>210</v>
      </c>
      <c r="K26" s="264">
        <v>210</v>
      </c>
      <c r="L26" s="265">
        <v>0</v>
      </c>
    </row>
    <row r="27" spans="1:12" ht="14.5">
      <c r="A27" s="277" t="s">
        <v>74</v>
      </c>
      <c r="B27" s="274" t="s">
        <v>569</v>
      </c>
      <c r="C27" s="263">
        <v>45714</v>
      </c>
      <c r="D27" s="262">
        <v>9</v>
      </c>
      <c r="E27" s="262">
        <v>-7</v>
      </c>
      <c r="F27" s="262" t="s">
        <v>416</v>
      </c>
      <c r="G27" s="262" t="s">
        <v>308</v>
      </c>
      <c r="H27" s="262" t="s">
        <v>164</v>
      </c>
      <c r="I27" s="262" t="s">
        <v>570</v>
      </c>
      <c r="J27" s="262">
        <v>100</v>
      </c>
      <c r="K27" s="264">
        <v>100</v>
      </c>
      <c r="L27" s="265">
        <v>0</v>
      </c>
    </row>
    <row r="28" spans="1:12" ht="14.5">
      <c r="A28" s="277" t="s">
        <v>74</v>
      </c>
      <c r="B28" s="274" t="s">
        <v>569</v>
      </c>
      <c r="C28" s="263">
        <v>45714</v>
      </c>
      <c r="D28" s="262">
        <v>9</v>
      </c>
      <c r="E28" s="262">
        <v>-7</v>
      </c>
      <c r="F28" s="262" t="s">
        <v>204</v>
      </c>
      <c r="G28" s="262" t="s">
        <v>308</v>
      </c>
      <c r="H28" s="262" t="s">
        <v>163</v>
      </c>
      <c r="I28" s="262" t="s">
        <v>570</v>
      </c>
      <c r="J28" s="262">
        <v>360</v>
      </c>
      <c r="K28" s="264">
        <v>360</v>
      </c>
      <c r="L28" s="265">
        <v>0</v>
      </c>
    </row>
    <row r="29" spans="1:12" ht="14.5">
      <c r="A29" s="277" t="s">
        <v>74</v>
      </c>
      <c r="B29" s="274" t="s">
        <v>569</v>
      </c>
      <c r="C29" s="263">
        <v>45714</v>
      </c>
      <c r="D29" s="262">
        <v>9</v>
      </c>
      <c r="E29" s="262">
        <v>-7</v>
      </c>
      <c r="F29" s="262" t="s">
        <v>778</v>
      </c>
      <c r="G29" s="262" t="s">
        <v>577</v>
      </c>
      <c r="H29" s="262" t="s">
        <v>155</v>
      </c>
      <c r="I29" s="262" t="s">
        <v>514</v>
      </c>
      <c r="J29" s="262">
        <v>1575</v>
      </c>
      <c r="K29" s="264">
        <v>1575</v>
      </c>
      <c r="L29" s="265">
        <v>0</v>
      </c>
    </row>
    <row r="30" spans="1:12" ht="14.5">
      <c r="A30" s="277" t="s">
        <v>60</v>
      </c>
      <c r="B30" s="274" t="s">
        <v>779</v>
      </c>
      <c r="C30" s="263">
        <v>45719</v>
      </c>
      <c r="D30" s="262">
        <v>10</v>
      </c>
      <c r="E30" s="262">
        <v>-2</v>
      </c>
      <c r="F30" s="262" t="s">
        <v>187</v>
      </c>
      <c r="G30" s="262" t="s">
        <v>448</v>
      </c>
      <c r="H30" s="262" t="s">
        <v>164</v>
      </c>
      <c r="I30" s="262" t="s">
        <v>449</v>
      </c>
      <c r="J30" s="262">
        <v>9000</v>
      </c>
      <c r="K30" s="264">
        <v>9000</v>
      </c>
      <c r="L30" s="265">
        <v>0</v>
      </c>
    </row>
    <row r="31" spans="1:12" ht="14.5">
      <c r="A31" s="277" t="s">
        <v>60</v>
      </c>
      <c r="B31" s="274" t="s">
        <v>779</v>
      </c>
      <c r="C31" s="263">
        <v>45719</v>
      </c>
      <c r="D31" s="262">
        <v>10</v>
      </c>
      <c r="E31" s="262">
        <v>-2</v>
      </c>
      <c r="F31" s="262" t="s">
        <v>187</v>
      </c>
      <c r="G31" s="262" t="s">
        <v>448</v>
      </c>
      <c r="H31" s="262" t="s">
        <v>155</v>
      </c>
      <c r="I31" s="262" t="s">
        <v>449</v>
      </c>
      <c r="J31" s="262">
        <v>9000</v>
      </c>
      <c r="K31" s="264">
        <v>9000</v>
      </c>
      <c r="L31" s="265">
        <v>0</v>
      </c>
    </row>
    <row r="32" spans="1:12" ht="14.5">
      <c r="A32" s="277" t="s">
        <v>60</v>
      </c>
      <c r="B32" s="274" t="s">
        <v>779</v>
      </c>
      <c r="C32" s="263">
        <v>45719</v>
      </c>
      <c r="D32" s="262">
        <v>10</v>
      </c>
      <c r="E32" s="262">
        <v>-2</v>
      </c>
      <c r="F32" s="262" t="s">
        <v>187</v>
      </c>
      <c r="G32" s="262" t="s">
        <v>448</v>
      </c>
      <c r="H32" s="262" t="s">
        <v>450</v>
      </c>
      <c r="I32" s="262" t="s">
        <v>449</v>
      </c>
      <c r="J32" s="262">
        <v>6000</v>
      </c>
      <c r="K32" s="264">
        <v>6000</v>
      </c>
      <c r="L32" s="265">
        <v>0</v>
      </c>
    </row>
    <row r="33" spans="1:12" ht="14.5">
      <c r="A33" s="277" t="s">
        <v>188</v>
      </c>
      <c r="B33" s="275" t="s">
        <v>780</v>
      </c>
      <c r="C33" s="263">
        <v>45720</v>
      </c>
      <c r="D33" s="262">
        <v>10</v>
      </c>
      <c r="E33" s="262">
        <v>-1</v>
      </c>
      <c r="F33" s="262" t="s">
        <v>502</v>
      </c>
      <c r="G33" s="262" t="s">
        <v>289</v>
      </c>
      <c r="H33" s="262" t="s">
        <v>155</v>
      </c>
      <c r="I33" s="262" t="s">
        <v>428</v>
      </c>
      <c r="J33" s="261">
        <v>4005</v>
      </c>
      <c r="K33" s="264">
        <v>4005</v>
      </c>
      <c r="L33" s="264">
        <v>-0.36</v>
      </c>
    </row>
    <row r="34" spans="1:12" ht="14.5">
      <c r="A34" s="277" t="s">
        <v>188</v>
      </c>
      <c r="B34" s="275" t="s">
        <v>780</v>
      </c>
      <c r="C34" s="263">
        <v>45720</v>
      </c>
      <c r="D34" s="262">
        <v>10</v>
      </c>
      <c r="E34" s="262">
        <v>-1</v>
      </c>
      <c r="F34" s="262" t="s">
        <v>502</v>
      </c>
      <c r="G34" s="262" t="s">
        <v>289</v>
      </c>
      <c r="H34" s="262" t="s">
        <v>154</v>
      </c>
      <c r="I34" s="262" t="s">
        <v>428</v>
      </c>
      <c r="J34" s="261">
        <v>3337</v>
      </c>
      <c r="K34" s="264">
        <v>3337</v>
      </c>
      <c r="L34" s="264">
        <v>0.2</v>
      </c>
    </row>
    <row r="35" spans="1:12" ht="14.5">
      <c r="A35" s="277" t="s">
        <v>188</v>
      </c>
      <c r="B35" s="275" t="s">
        <v>780</v>
      </c>
      <c r="C35" s="263">
        <v>45720</v>
      </c>
      <c r="D35" s="262">
        <v>10</v>
      </c>
      <c r="E35" s="262">
        <v>-1</v>
      </c>
      <c r="F35" s="262" t="s">
        <v>502</v>
      </c>
      <c r="G35" s="262" t="s">
        <v>289</v>
      </c>
      <c r="H35" s="262" t="s">
        <v>156</v>
      </c>
      <c r="I35" s="262" t="s">
        <v>428</v>
      </c>
      <c r="J35" s="261">
        <v>2670</v>
      </c>
      <c r="K35" s="264">
        <v>2670</v>
      </c>
      <c r="L35" s="264">
        <v>-0.24</v>
      </c>
    </row>
    <row r="36" spans="1:12" ht="14.5">
      <c r="A36" s="277" t="s">
        <v>60</v>
      </c>
      <c r="B36" s="274">
        <v>430</v>
      </c>
      <c r="C36" s="263">
        <v>45720</v>
      </c>
      <c r="D36" s="262">
        <v>9</v>
      </c>
      <c r="E36" s="262">
        <v>-1</v>
      </c>
      <c r="F36" s="262" t="s">
        <v>781</v>
      </c>
      <c r="G36" s="262" t="s">
        <v>242</v>
      </c>
      <c r="H36" s="262" t="s">
        <v>782</v>
      </c>
      <c r="I36" s="262" t="s">
        <v>430</v>
      </c>
      <c r="J36" s="262">
        <v>368</v>
      </c>
      <c r="K36" s="264">
        <v>368</v>
      </c>
      <c r="L36" s="265">
        <v>0</v>
      </c>
    </row>
    <row r="37" spans="1:12" ht="14.5">
      <c r="A37" s="277" t="s">
        <v>60</v>
      </c>
      <c r="B37" s="274">
        <v>430</v>
      </c>
      <c r="C37" s="263">
        <v>45720</v>
      </c>
      <c r="D37" s="262">
        <v>9</v>
      </c>
      <c r="E37" s="262">
        <v>-1</v>
      </c>
      <c r="F37" s="262" t="s">
        <v>781</v>
      </c>
      <c r="G37" s="262" t="s">
        <v>242</v>
      </c>
      <c r="H37" s="262" t="s">
        <v>783</v>
      </c>
      <c r="I37" s="262" t="s">
        <v>430</v>
      </c>
      <c r="J37" s="262">
        <v>368</v>
      </c>
      <c r="K37" s="264">
        <v>368</v>
      </c>
      <c r="L37" s="265">
        <v>0</v>
      </c>
    </row>
    <row r="38" spans="1:12" ht="14.5">
      <c r="A38" s="277" t="s">
        <v>188</v>
      </c>
      <c r="B38" s="275">
        <v>389</v>
      </c>
      <c r="C38" s="263">
        <v>45720</v>
      </c>
      <c r="D38" s="262">
        <v>10</v>
      </c>
      <c r="E38" s="262">
        <v>-1</v>
      </c>
      <c r="F38" s="262" t="s">
        <v>189</v>
      </c>
      <c r="G38" s="262" t="s">
        <v>242</v>
      </c>
      <c r="H38" s="262" t="s">
        <v>162</v>
      </c>
      <c r="I38" s="262" t="s">
        <v>432</v>
      </c>
      <c r="J38" s="262">
        <v>3728</v>
      </c>
      <c r="K38" s="264">
        <v>3728</v>
      </c>
      <c r="L38" s="265">
        <v>0</v>
      </c>
    </row>
    <row r="39" spans="1:12" ht="14.5">
      <c r="A39" s="277" t="s">
        <v>188</v>
      </c>
      <c r="B39" s="275">
        <v>409</v>
      </c>
      <c r="C39" s="263">
        <v>45720</v>
      </c>
      <c r="D39" s="262">
        <v>10</v>
      </c>
      <c r="E39" s="262">
        <v>-1</v>
      </c>
      <c r="F39" s="262" t="s">
        <v>136</v>
      </c>
      <c r="G39" s="262" t="s">
        <v>247</v>
      </c>
      <c r="H39" s="262" t="s">
        <v>162</v>
      </c>
      <c r="I39" s="262" t="s">
        <v>500</v>
      </c>
      <c r="J39" s="262">
        <v>3752</v>
      </c>
      <c r="K39" s="264">
        <v>3752</v>
      </c>
      <c r="L39" s="265">
        <v>0</v>
      </c>
    </row>
    <row r="40" spans="1:12" ht="14.5">
      <c r="A40" s="277" t="s">
        <v>188</v>
      </c>
      <c r="B40" s="275">
        <v>409</v>
      </c>
      <c r="C40" s="263">
        <v>45720</v>
      </c>
      <c r="D40" s="262">
        <v>10</v>
      </c>
      <c r="E40" s="262">
        <v>-1</v>
      </c>
      <c r="F40" s="262" t="s">
        <v>136</v>
      </c>
      <c r="G40" s="262" t="s">
        <v>247</v>
      </c>
      <c r="H40" s="262" t="s">
        <v>163</v>
      </c>
      <c r="I40" s="262" t="s">
        <v>500</v>
      </c>
      <c r="J40" s="262">
        <v>3752</v>
      </c>
      <c r="K40" s="264">
        <v>3752</v>
      </c>
      <c r="L40" s="265">
        <v>0</v>
      </c>
    </row>
    <row r="41" spans="1:12" ht="14.5">
      <c r="A41" s="277" t="s">
        <v>188</v>
      </c>
      <c r="B41" s="275">
        <v>409</v>
      </c>
      <c r="C41" s="263">
        <v>45720</v>
      </c>
      <c r="D41" s="262">
        <v>10</v>
      </c>
      <c r="E41" s="262">
        <v>-1</v>
      </c>
      <c r="F41" s="262" t="s">
        <v>136</v>
      </c>
      <c r="G41" s="262" t="s">
        <v>247</v>
      </c>
      <c r="H41" s="262" t="s">
        <v>164</v>
      </c>
      <c r="I41" s="262" t="s">
        <v>500</v>
      </c>
      <c r="J41" s="262">
        <v>3752</v>
      </c>
      <c r="K41" s="264">
        <v>3752</v>
      </c>
      <c r="L41" s="265">
        <v>0</v>
      </c>
    </row>
    <row r="42" spans="1:12" ht="14.5">
      <c r="A42" s="277" t="s">
        <v>188</v>
      </c>
      <c r="B42" s="275">
        <v>409</v>
      </c>
      <c r="C42" s="263">
        <v>45720</v>
      </c>
      <c r="D42" s="262">
        <v>10</v>
      </c>
      <c r="E42" s="262">
        <v>-1</v>
      </c>
      <c r="F42" s="262" t="s">
        <v>81</v>
      </c>
      <c r="G42" s="262" t="s">
        <v>290</v>
      </c>
      <c r="H42" s="262" t="s">
        <v>291</v>
      </c>
      <c r="I42" s="262" t="s">
        <v>435</v>
      </c>
      <c r="J42" s="262">
        <v>1560</v>
      </c>
      <c r="K42" s="264">
        <v>1560</v>
      </c>
      <c r="L42" s="265">
        <v>0</v>
      </c>
    </row>
    <row r="43" spans="1:12" ht="14.5">
      <c r="A43" s="277" t="s">
        <v>188</v>
      </c>
      <c r="B43" s="275">
        <v>409</v>
      </c>
      <c r="C43" s="263">
        <v>45720</v>
      </c>
      <c r="D43" s="262">
        <v>10</v>
      </c>
      <c r="E43" s="262">
        <v>-1</v>
      </c>
      <c r="F43" s="262" t="s">
        <v>81</v>
      </c>
      <c r="G43" s="262" t="s">
        <v>290</v>
      </c>
      <c r="H43" s="262" t="s">
        <v>293</v>
      </c>
      <c r="I43" s="262" t="s">
        <v>435</v>
      </c>
      <c r="J43" s="262">
        <v>1560</v>
      </c>
      <c r="K43" s="264">
        <v>1560</v>
      </c>
      <c r="L43" s="265">
        <v>0</v>
      </c>
    </row>
    <row r="44" spans="1:12" ht="14.5">
      <c r="A44" s="277" t="s">
        <v>188</v>
      </c>
      <c r="B44" s="275">
        <v>409</v>
      </c>
      <c r="C44" s="263">
        <v>45720</v>
      </c>
      <c r="D44" s="262">
        <v>10</v>
      </c>
      <c r="E44" s="262">
        <v>-1</v>
      </c>
      <c r="F44" s="262" t="s">
        <v>81</v>
      </c>
      <c r="G44" s="262" t="s">
        <v>290</v>
      </c>
      <c r="H44" s="262" t="s">
        <v>294</v>
      </c>
      <c r="I44" s="262" t="s">
        <v>435</v>
      </c>
      <c r="J44" s="262">
        <v>1560</v>
      </c>
      <c r="K44" s="264">
        <v>1560</v>
      </c>
      <c r="L44" s="265">
        <v>0</v>
      </c>
    </row>
    <row r="45" spans="1:12" ht="14.5">
      <c r="A45" s="277" t="s">
        <v>188</v>
      </c>
      <c r="B45" s="275">
        <v>409</v>
      </c>
      <c r="C45" s="263">
        <v>45720</v>
      </c>
      <c r="D45" s="262">
        <v>10</v>
      </c>
      <c r="E45" s="262">
        <v>-1</v>
      </c>
      <c r="F45" s="262" t="s">
        <v>157</v>
      </c>
      <c r="G45" s="262" t="s">
        <v>243</v>
      </c>
      <c r="H45" s="262" t="s">
        <v>162</v>
      </c>
      <c r="I45" s="262" t="s">
        <v>428</v>
      </c>
      <c r="J45" s="262">
        <v>2472</v>
      </c>
      <c r="K45" s="264">
        <v>2472</v>
      </c>
      <c r="L45" s="265">
        <v>0</v>
      </c>
    </row>
    <row r="46" spans="1:12" ht="14.5">
      <c r="A46" s="277" t="s">
        <v>188</v>
      </c>
      <c r="B46" s="275">
        <v>409</v>
      </c>
      <c r="C46" s="263">
        <v>45720</v>
      </c>
      <c r="D46" s="262">
        <v>10</v>
      </c>
      <c r="E46" s="262">
        <v>-1</v>
      </c>
      <c r="F46" s="262" t="s">
        <v>390</v>
      </c>
      <c r="G46" s="262" t="s">
        <v>242</v>
      </c>
      <c r="H46" s="262" t="s">
        <v>162</v>
      </c>
      <c r="I46" s="262" t="s">
        <v>430</v>
      </c>
      <c r="J46" s="262">
        <v>3372</v>
      </c>
      <c r="K46" s="264">
        <v>3372</v>
      </c>
      <c r="L46" s="265">
        <v>0</v>
      </c>
    </row>
    <row r="47" spans="1:12" ht="14.5">
      <c r="A47" s="277" t="s">
        <v>188</v>
      </c>
      <c r="B47" s="275">
        <v>412</v>
      </c>
      <c r="C47" s="263">
        <v>45720</v>
      </c>
      <c r="D47" s="262">
        <v>10</v>
      </c>
      <c r="E47" s="262">
        <v>-1</v>
      </c>
      <c r="F47" s="262" t="s">
        <v>157</v>
      </c>
      <c r="G47" s="262" t="s">
        <v>243</v>
      </c>
      <c r="H47" s="262" t="s">
        <v>162</v>
      </c>
      <c r="I47" s="262" t="s">
        <v>428</v>
      </c>
      <c r="J47" s="262">
        <v>2754</v>
      </c>
      <c r="K47" s="264">
        <v>2754</v>
      </c>
      <c r="L47" s="265">
        <v>0</v>
      </c>
    </row>
    <row r="48" spans="1:12" ht="14.5">
      <c r="A48" s="277" t="s">
        <v>188</v>
      </c>
      <c r="B48" s="275">
        <v>412</v>
      </c>
      <c r="C48" s="263">
        <v>45720</v>
      </c>
      <c r="D48" s="262">
        <v>10</v>
      </c>
      <c r="E48" s="262">
        <v>-1</v>
      </c>
      <c r="F48" s="262" t="s">
        <v>158</v>
      </c>
      <c r="G48" s="262" t="s">
        <v>242</v>
      </c>
      <c r="H48" s="262" t="s">
        <v>156</v>
      </c>
      <c r="I48" s="262" t="s">
        <v>432</v>
      </c>
      <c r="J48" s="266">
        <v>1368</v>
      </c>
      <c r="K48" s="264">
        <v>1368</v>
      </c>
      <c r="L48" s="265">
        <v>0</v>
      </c>
    </row>
    <row r="49" spans="1:12" ht="14.5">
      <c r="A49" s="277" t="s">
        <v>188</v>
      </c>
      <c r="B49" s="275">
        <v>412</v>
      </c>
      <c r="C49" s="263">
        <v>45720</v>
      </c>
      <c r="D49" s="262">
        <v>10</v>
      </c>
      <c r="E49" s="262">
        <v>-1</v>
      </c>
      <c r="F49" s="262" t="s">
        <v>190</v>
      </c>
      <c r="G49" s="262" t="s">
        <v>242</v>
      </c>
      <c r="H49" s="262" t="s">
        <v>244</v>
      </c>
      <c r="I49" s="262" t="s">
        <v>438</v>
      </c>
      <c r="J49" s="262">
        <v>1452</v>
      </c>
      <c r="K49" s="264">
        <v>1452</v>
      </c>
      <c r="L49" s="265">
        <v>0</v>
      </c>
    </row>
    <row r="50" spans="1:12" ht="14.5">
      <c r="A50" s="277" t="s">
        <v>55</v>
      </c>
      <c r="B50" s="274">
        <v>421</v>
      </c>
      <c r="C50" s="263">
        <v>45720</v>
      </c>
      <c r="D50" s="262">
        <v>10</v>
      </c>
      <c r="E50" s="262">
        <v>-1</v>
      </c>
      <c r="F50" s="262" t="s">
        <v>539</v>
      </c>
      <c r="G50" s="262" t="s">
        <v>784</v>
      </c>
      <c r="H50" s="262" t="s">
        <v>162</v>
      </c>
      <c r="I50" s="262" t="s">
        <v>785</v>
      </c>
      <c r="J50" s="262">
        <v>45900</v>
      </c>
      <c r="K50" s="264">
        <v>17470</v>
      </c>
      <c r="L50" s="264">
        <v>28430</v>
      </c>
    </row>
    <row r="51" spans="1:12" ht="14.5">
      <c r="A51" s="277" t="s">
        <v>55</v>
      </c>
      <c r="B51" s="274">
        <v>421</v>
      </c>
      <c r="C51" s="263">
        <v>45720</v>
      </c>
      <c r="D51" s="262">
        <v>10</v>
      </c>
      <c r="E51" s="262">
        <v>-1</v>
      </c>
      <c r="F51" s="262" t="s">
        <v>539</v>
      </c>
      <c r="G51" s="262" t="s">
        <v>784</v>
      </c>
      <c r="H51" s="262" t="s">
        <v>155</v>
      </c>
      <c r="I51" s="262" t="s">
        <v>785</v>
      </c>
      <c r="J51" s="262">
        <v>46920</v>
      </c>
      <c r="K51" s="264">
        <v>40370</v>
      </c>
      <c r="L51" s="264">
        <v>6550</v>
      </c>
    </row>
    <row r="52" spans="1:12" ht="14.5">
      <c r="A52" s="277" t="s">
        <v>188</v>
      </c>
      <c r="B52" s="275">
        <v>432</v>
      </c>
      <c r="C52" s="263">
        <v>45720</v>
      </c>
      <c r="D52" s="262">
        <v>10</v>
      </c>
      <c r="E52" s="262">
        <v>-1</v>
      </c>
      <c r="F52" s="262" t="s">
        <v>193</v>
      </c>
      <c r="G52" s="262" t="s">
        <v>246</v>
      </c>
      <c r="H52" s="262" t="s">
        <v>162</v>
      </c>
      <c r="I52" s="262" t="s">
        <v>434</v>
      </c>
      <c r="J52" s="262">
        <v>6000</v>
      </c>
      <c r="K52" s="264">
        <v>6000</v>
      </c>
      <c r="L52" s="265">
        <v>0</v>
      </c>
    </row>
    <row r="53" spans="1:12" ht="14.5">
      <c r="A53" s="277" t="s">
        <v>188</v>
      </c>
      <c r="B53" s="275">
        <v>432</v>
      </c>
      <c r="C53" s="263">
        <v>45720</v>
      </c>
      <c r="D53" s="262">
        <v>10</v>
      </c>
      <c r="E53" s="262">
        <v>-1</v>
      </c>
      <c r="F53" s="262" t="s">
        <v>158</v>
      </c>
      <c r="G53" s="262" t="s">
        <v>242</v>
      </c>
      <c r="H53" s="262" t="s">
        <v>154</v>
      </c>
      <c r="I53" s="262" t="s">
        <v>432</v>
      </c>
      <c r="J53" s="262">
        <v>1780</v>
      </c>
      <c r="K53" s="264">
        <v>1780</v>
      </c>
      <c r="L53" s="265">
        <v>0</v>
      </c>
    </row>
    <row r="54" spans="1:12" ht="14.5">
      <c r="A54" s="277" t="s">
        <v>188</v>
      </c>
      <c r="B54" s="275">
        <v>432</v>
      </c>
      <c r="C54" s="263">
        <v>45720</v>
      </c>
      <c r="D54" s="262">
        <v>10</v>
      </c>
      <c r="E54" s="262">
        <v>-1</v>
      </c>
      <c r="F54" s="262" t="s">
        <v>158</v>
      </c>
      <c r="G54" s="262" t="s">
        <v>242</v>
      </c>
      <c r="H54" s="262" t="s">
        <v>156</v>
      </c>
      <c r="I54" s="262" t="s">
        <v>432</v>
      </c>
      <c r="J54" s="262">
        <v>180</v>
      </c>
      <c r="K54" s="264">
        <v>180</v>
      </c>
      <c r="L54" s="265">
        <v>0</v>
      </c>
    </row>
    <row r="55" spans="1:12" ht="14.5">
      <c r="A55" s="277" t="s">
        <v>188</v>
      </c>
      <c r="B55" s="275">
        <v>432</v>
      </c>
      <c r="C55" s="263">
        <v>45720</v>
      </c>
      <c r="D55" s="262">
        <v>10</v>
      </c>
      <c r="E55" s="262">
        <v>-1</v>
      </c>
      <c r="F55" s="262" t="s">
        <v>190</v>
      </c>
      <c r="G55" s="262" t="s">
        <v>242</v>
      </c>
      <c r="H55" s="262" t="s">
        <v>244</v>
      </c>
      <c r="I55" s="262" t="s">
        <v>438</v>
      </c>
      <c r="J55" s="262">
        <v>1856</v>
      </c>
      <c r="K55" s="264">
        <v>1856</v>
      </c>
      <c r="L55" s="265">
        <v>0</v>
      </c>
    </row>
    <row r="56" spans="1:12" ht="14.5">
      <c r="A56" s="277" t="s">
        <v>518</v>
      </c>
      <c r="B56" s="275">
        <v>442</v>
      </c>
      <c r="C56" s="263">
        <v>45720</v>
      </c>
      <c r="D56" s="262">
        <v>10</v>
      </c>
      <c r="E56" s="262">
        <v>-1</v>
      </c>
      <c r="F56" s="262" t="s">
        <v>87</v>
      </c>
      <c r="G56" s="262" t="s">
        <v>475</v>
      </c>
      <c r="H56" s="262" t="s">
        <v>155</v>
      </c>
      <c r="I56" s="262" t="s">
        <v>434</v>
      </c>
      <c r="J56" s="262">
        <v>1602</v>
      </c>
      <c r="K56" s="264">
        <v>1602</v>
      </c>
      <c r="L56" s="265">
        <v>0</v>
      </c>
    </row>
    <row r="57" spans="1:12" ht="14.5">
      <c r="A57" s="277" t="s">
        <v>518</v>
      </c>
      <c r="B57" s="275">
        <v>442</v>
      </c>
      <c r="C57" s="263">
        <v>45720</v>
      </c>
      <c r="D57" s="262">
        <v>10</v>
      </c>
      <c r="E57" s="262">
        <v>-1</v>
      </c>
      <c r="F57" s="262" t="s">
        <v>786</v>
      </c>
      <c r="G57" s="262" t="s">
        <v>787</v>
      </c>
      <c r="H57" s="262" t="s">
        <v>788</v>
      </c>
      <c r="I57" s="262" t="s">
        <v>430</v>
      </c>
      <c r="J57" s="262">
        <v>4748</v>
      </c>
      <c r="K57" s="264">
        <v>4748</v>
      </c>
      <c r="L57" s="265">
        <v>0</v>
      </c>
    </row>
    <row r="58" spans="1:12" ht="29">
      <c r="A58" s="277" t="s">
        <v>789</v>
      </c>
      <c r="B58" s="274" t="s">
        <v>790</v>
      </c>
      <c r="C58" s="263">
        <v>45721</v>
      </c>
      <c r="D58" s="262">
        <v>10</v>
      </c>
      <c r="E58" s="262">
        <v>0</v>
      </c>
      <c r="F58" s="262" t="s">
        <v>791</v>
      </c>
      <c r="G58" s="262" t="s">
        <v>607</v>
      </c>
      <c r="H58" s="262" t="s">
        <v>239</v>
      </c>
      <c r="I58" s="267" t="s">
        <v>792</v>
      </c>
      <c r="J58" s="262">
        <v>1300</v>
      </c>
      <c r="K58" s="264">
        <v>1300</v>
      </c>
      <c r="L58" s="265">
        <v>0</v>
      </c>
    </row>
    <row r="59" spans="1:12" ht="29">
      <c r="A59" s="277" t="s">
        <v>789</v>
      </c>
      <c r="B59" s="274" t="s">
        <v>790</v>
      </c>
      <c r="C59" s="263">
        <v>45721</v>
      </c>
      <c r="D59" s="262">
        <v>10</v>
      </c>
      <c r="E59" s="262">
        <v>0</v>
      </c>
      <c r="F59" s="262" t="s">
        <v>609</v>
      </c>
      <c r="G59" s="262" t="s">
        <v>793</v>
      </c>
      <c r="H59" s="262" t="s">
        <v>162</v>
      </c>
      <c r="I59" s="267" t="s">
        <v>792</v>
      </c>
      <c r="J59" s="262">
        <v>200</v>
      </c>
      <c r="K59" s="264">
        <v>200</v>
      </c>
      <c r="L59" s="265">
        <v>0</v>
      </c>
    </row>
    <row r="60" spans="1:12" ht="29">
      <c r="A60" s="277" t="s">
        <v>789</v>
      </c>
      <c r="B60" s="274" t="s">
        <v>790</v>
      </c>
      <c r="C60" s="263">
        <v>45721</v>
      </c>
      <c r="D60" s="262">
        <v>10</v>
      </c>
      <c r="E60" s="262">
        <v>0</v>
      </c>
      <c r="F60" s="262" t="s">
        <v>794</v>
      </c>
      <c r="G60" s="262" t="s">
        <v>793</v>
      </c>
      <c r="H60" s="262" t="s">
        <v>155</v>
      </c>
      <c r="I60" s="267" t="s">
        <v>792</v>
      </c>
      <c r="J60" s="262">
        <v>1000</v>
      </c>
      <c r="K60" s="264">
        <v>1000</v>
      </c>
      <c r="L60" s="265">
        <v>0</v>
      </c>
    </row>
    <row r="61" spans="1:12" ht="58">
      <c r="A61" s="277" t="s">
        <v>789</v>
      </c>
      <c r="B61" s="274" t="s">
        <v>790</v>
      </c>
      <c r="C61" s="263">
        <v>45721</v>
      </c>
      <c r="D61" s="262">
        <v>10</v>
      </c>
      <c r="E61" s="262">
        <v>0</v>
      </c>
      <c r="F61" s="262" t="s">
        <v>791</v>
      </c>
      <c r="G61" s="262" t="s">
        <v>793</v>
      </c>
      <c r="H61" s="262" t="s">
        <v>239</v>
      </c>
      <c r="I61" s="267" t="s">
        <v>795</v>
      </c>
      <c r="J61" s="262">
        <v>500</v>
      </c>
      <c r="K61" s="264">
        <v>500</v>
      </c>
      <c r="L61" s="265">
        <v>0</v>
      </c>
    </row>
    <row r="62" spans="1:12" ht="58">
      <c r="A62" s="277" t="s">
        <v>789</v>
      </c>
      <c r="B62" s="274" t="s">
        <v>790</v>
      </c>
      <c r="C62" s="263">
        <v>45721</v>
      </c>
      <c r="D62" s="262">
        <v>10</v>
      </c>
      <c r="E62" s="262">
        <v>0</v>
      </c>
      <c r="F62" s="262" t="s">
        <v>609</v>
      </c>
      <c r="G62" s="262" t="s">
        <v>796</v>
      </c>
      <c r="H62" s="262" t="s">
        <v>162</v>
      </c>
      <c r="I62" s="267" t="s">
        <v>795</v>
      </c>
      <c r="J62" s="262">
        <v>700</v>
      </c>
      <c r="K62" s="264">
        <v>700</v>
      </c>
      <c r="L62" s="265">
        <v>0</v>
      </c>
    </row>
    <row r="63" spans="1:12" ht="58">
      <c r="A63" s="277" t="s">
        <v>789</v>
      </c>
      <c r="B63" s="274" t="s">
        <v>790</v>
      </c>
      <c r="C63" s="263">
        <v>45721</v>
      </c>
      <c r="D63" s="262">
        <v>10</v>
      </c>
      <c r="E63" s="262">
        <v>0</v>
      </c>
      <c r="F63" s="262" t="s">
        <v>794</v>
      </c>
      <c r="G63" s="262" t="s">
        <v>796</v>
      </c>
      <c r="H63" s="262" t="s">
        <v>155</v>
      </c>
      <c r="I63" s="267" t="s">
        <v>795</v>
      </c>
      <c r="J63" s="262">
        <v>900</v>
      </c>
      <c r="K63" s="264">
        <v>900</v>
      </c>
      <c r="L63" s="265">
        <v>0</v>
      </c>
    </row>
    <row r="64" spans="1:12" ht="14.5">
      <c r="A64" s="277" t="s">
        <v>789</v>
      </c>
      <c r="B64" s="274" t="s">
        <v>790</v>
      </c>
      <c r="C64" s="263">
        <v>45721</v>
      </c>
      <c r="D64" s="262">
        <v>10</v>
      </c>
      <c r="E64" s="262">
        <v>0</v>
      </c>
      <c r="F64" s="262" t="s">
        <v>791</v>
      </c>
      <c r="G64" s="262" t="s">
        <v>796</v>
      </c>
      <c r="H64" s="262" t="s">
        <v>239</v>
      </c>
      <c r="I64" s="262" t="s">
        <v>613</v>
      </c>
      <c r="J64" s="262">
        <v>500</v>
      </c>
      <c r="K64" s="264">
        <v>500</v>
      </c>
      <c r="L64" s="265">
        <v>0</v>
      </c>
    </row>
    <row r="65" spans="1:12" ht="14.5">
      <c r="A65" s="277" t="s">
        <v>789</v>
      </c>
      <c r="B65" s="274" t="s">
        <v>790</v>
      </c>
      <c r="C65" s="263">
        <v>45721</v>
      </c>
      <c r="D65" s="262">
        <v>10</v>
      </c>
      <c r="E65" s="262">
        <v>0</v>
      </c>
      <c r="F65" s="262" t="s">
        <v>609</v>
      </c>
      <c r="G65" s="262" t="s">
        <v>612</v>
      </c>
      <c r="H65" s="262" t="s">
        <v>162</v>
      </c>
      <c r="I65" s="262" t="s">
        <v>613</v>
      </c>
      <c r="J65" s="262">
        <v>700</v>
      </c>
      <c r="K65" s="268">
        <v>700</v>
      </c>
      <c r="L65" s="265">
        <v>0</v>
      </c>
    </row>
    <row r="66" spans="1:12" ht="14.5">
      <c r="A66" s="277" t="s">
        <v>789</v>
      </c>
      <c r="B66" s="274" t="s">
        <v>790</v>
      </c>
      <c r="C66" s="263">
        <v>45721</v>
      </c>
      <c r="D66" s="262">
        <v>10</v>
      </c>
      <c r="E66" s="262">
        <v>0</v>
      </c>
      <c r="F66" s="262" t="s">
        <v>794</v>
      </c>
      <c r="G66" s="262" t="s">
        <v>612</v>
      </c>
      <c r="H66" s="262" t="s">
        <v>155</v>
      </c>
      <c r="I66" s="262" t="s">
        <v>613</v>
      </c>
      <c r="J66" s="262">
        <v>900</v>
      </c>
      <c r="K66" s="264">
        <v>900</v>
      </c>
      <c r="L66" s="265">
        <v>0</v>
      </c>
    </row>
    <row r="67" spans="1:12" ht="14.5">
      <c r="A67" s="277" t="s">
        <v>789</v>
      </c>
      <c r="B67" s="274" t="s">
        <v>790</v>
      </c>
      <c r="C67" s="263">
        <v>45721</v>
      </c>
      <c r="D67" s="262">
        <v>10</v>
      </c>
      <c r="E67" s="262">
        <v>0</v>
      </c>
      <c r="F67" s="262" t="s">
        <v>791</v>
      </c>
      <c r="G67" s="262" t="s">
        <v>612</v>
      </c>
      <c r="H67" s="262" t="s">
        <v>239</v>
      </c>
      <c r="I67" s="262" t="s">
        <v>615</v>
      </c>
      <c r="J67" s="262">
        <v>0</v>
      </c>
      <c r="K67" s="264" t="s">
        <v>777</v>
      </c>
      <c r="L67" s="265">
        <v>0</v>
      </c>
    </row>
    <row r="68" spans="1:12" ht="14.5">
      <c r="A68" s="277" t="s">
        <v>789</v>
      </c>
      <c r="B68" s="274" t="s">
        <v>790</v>
      </c>
      <c r="C68" s="263">
        <v>45721</v>
      </c>
      <c r="D68" s="262">
        <v>10</v>
      </c>
      <c r="E68" s="262">
        <v>0</v>
      </c>
      <c r="F68" s="262" t="s">
        <v>609</v>
      </c>
      <c r="G68" s="262" t="s">
        <v>797</v>
      </c>
      <c r="H68" s="262" t="s">
        <v>162</v>
      </c>
      <c r="I68" s="262" t="s">
        <v>615</v>
      </c>
      <c r="J68" s="262">
        <v>1300</v>
      </c>
      <c r="K68" s="264">
        <v>1300</v>
      </c>
      <c r="L68" s="265">
        <v>0</v>
      </c>
    </row>
    <row r="69" spans="1:12" ht="14.5">
      <c r="A69" s="277" t="s">
        <v>789</v>
      </c>
      <c r="B69" s="274" t="s">
        <v>790</v>
      </c>
      <c r="C69" s="263">
        <v>45721</v>
      </c>
      <c r="D69" s="262">
        <v>10</v>
      </c>
      <c r="E69" s="262">
        <v>0</v>
      </c>
      <c r="F69" s="262" t="s">
        <v>794</v>
      </c>
      <c r="G69" s="262" t="s">
        <v>797</v>
      </c>
      <c r="H69" s="262" t="s">
        <v>155</v>
      </c>
      <c r="I69" s="262" t="s">
        <v>615</v>
      </c>
      <c r="J69" s="262">
        <v>200</v>
      </c>
      <c r="K69" s="264">
        <v>200</v>
      </c>
      <c r="L69" s="265">
        <v>0</v>
      </c>
    </row>
    <row r="70" spans="1:12" ht="14.5">
      <c r="A70" s="277" t="s">
        <v>789</v>
      </c>
      <c r="B70" s="274" t="s">
        <v>790</v>
      </c>
      <c r="C70" s="263">
        <v>45721</v>
      </c>
      <c r="D70" s="262">
        <v>10</v>
      </c>
      <c r="E70" s="262">
        <v>0</v>
      </c>
      <c r="F70" s="262" t="s">
        <v>791</v>
      </c>
      <c r="G70" s="262" t="s">
        <v>797</v>
      </c>
      <c r="H70" s="262" t="s">
        <v>239</v>
      </c>
      <c r="I70" s="262" t="s">
        <v>616</v>
      </c>
      <c r="J70" s="262" t="s">
        <v>777</v>
      </c>
      <c r="K70" s="264" t="s">
        <v>777</v>
      </c>
      <c r="L70" s="265">
        <v>0</v>
      </c>
    </row>
    <row r="71" spans="1:12" ht="14.5">
      <c r="A71" s="277" t="s">
        <v>789</v>
      </c>
      <c r="B71" s="274" t="s">
        <v>790</v>
      </c>
      <c r="C71" s="263">
        <v>45721</v>
      </c>
      <c r="D71" s="262">
        <v>10</v>
      </c>
      <c r="E71" s="262">
        <v>0</v>
      </c>
      <c r="F71" s="262" t="s">
        <v>609</v>
      </c>
      <c r="G71" s="262" t="s">
        <v>240</v>
      </c>
      <c r="H71" s="262" t="s">
        <v>162</v>
      </c>
      <c r="I71" s="262" t="s">
        <v>616</v>
      </c>
      <c r="J71" s="262" t="s">
        <v>777</v>
      </c>
      <c r="K71" s="264" t="s">
        <v>777</v>
      </c>
      <c r="L71" s="265">
        <v>0</v>
      </c>
    </row>
    <row r="72" spans="1:12" ht="14.5">
      <c r="A72" s="277" t="s">
        <v>789</v>
      </c>
      <c r="B72" s="274" t="s">
        <v>790</v>
      </c>
      <c r="C72" s="263">
        <v>45721</v>
      </c>
      <c r="D72" s="262">
        <v>10</v>
      </c>
      <c r="E72" s="262">
        <v>0</v>
      </c>
      <c r="F72" s="262" t="s">
        <v>794</v>
      </c>
      <c r="G72" s="262" t="s">
        <v>240</v>
      </c>
      <c r="H72" s="262" t="s">
        <v>155</v>
      </c>
      <c r="I72" s="262" t="s">
        <v>616</v>
      </c>
      <c r="J72" s="262" t="s">
        <v>777</v>
      </c>
      <c r="K72" s="264" t="s">
        <v>777</v>
      </c>
      <c r="L72" s="265">
        <v>0</v>
      </c>
    </row>
    <row r="73" spans="1:12" ht="14.5">
      <c r="A73" s="277" t="s">
        <v>789</v>
      </c>
      <c r="B73" s="274" t="s">
        <v>790</v>
      </c>
      <c r="C73" s="263">
        <v>45721</v>
      </c>
      <c r="D73" s="262">
        <v>10</v>
      </c>
      <c r="E73" s="262">
        <v>0</v>
      </c>
      <c r="F73" s="262" t="s">
        <v>791</v>
      </c>
      <c r="G73" s="262" t="s">
        <v>240</v>
      </c>
      <c r="H73" s="262" t="s">
        <v>239</v>
      </c>
      <c r="I73" s="262" t="s">
        <v>617</v>
      </c>
      <c r="J73" s="262" t="s">
        <v>777</v>
      </c>
      <c r="K73" s="264" t="s">
        <v>777</v>
      </c>
      <c r="L73" s="265">
        <v>0</v>
      </c>
    </row>
    <row r="74" spans="1:12" ht="14.5">
      <c r="A74" s="277" t="s">
        <v>789</v>
      </c>
      <c r="B74" s="274" t="s">
        <v>790</v>
      </c>
      <c r="C74" s="263">
        <v>45721</v>
      </c>
      <c r="D74" s="262">
        <v>10</v>
      </c>
      <c r="E74" s="262">
        <v>0</v>
      </c>
      <c r="F74" s="262" t="s">
        <v>609</v>
      </c>
      <c r="G74" s="262" t="s">
        <v>241</v>
      </c>
      <c r="H74" s="262" t="s">
        <v>162</v>
      </c>
      <c r="I74" s="262" t="s">
        <v>617</v>
      </c>
      <c r="J74" s="262" t="s">
        <v>777</v>
      </c>
      <c r="K74" s="264" t="s">
        <v>777</v>
      </c>
      <c r="L74" s="265">
        <v>0</v>
      </c>
    </row>
    <row r="75" spans="1:12" ht="14.5">
      <c r="A75" s="277" t="s">
        <v>789</v>
      </c>
      <c r="B75" s="274" t="s">
        <v>790</v>
      </c>
      <c r="C75" s="263">
        <v>45721</v>
      </c>
      <c r="D75" s="262">
        <v>10</v>
      </c>
      <c r="E75" s="262">
        <v>0</v>
      </c>
      <c r="F75" s="262" t="s">
        <v>794</v>
      </c>
      <c r="G75" s="262" t="s">
        <v>241</v>
      </c>
      <c r="H75" s="262" t="s">
        <v>155</v>
      </c>
      <c r="I75" s="262" t="s">
        <v>617</v>
      </c>
      <c r="J75" s="262" t="s">
        <v>777</v>
      </c>
      <c r="K75" s="264" t="s">
        <v>777</v>
      </c>
      <c r="L75" s="265">
        <v>0</v>
      </c>
    </row>
    <row r="76" spans="1:12" ht="14.5">
      <c r="A76" s="277" t="s">
        <v>789</v>
      </c>
      <c r="B76" s="274" t="s">
        <v>790</v>
      </c>
      <c r="C76" s="263">
        <v>45721</v>
      </c>
      <c r="D76" s="262">
        <v>10</v>
      </c>
      <c r="E76" s="262">
        <v>0</v>
      </c>
      <c r="F76" s="262" t="s">
        <v>791</v>
      </c>
      <c r="G76" s="262" t="s">
        <v>618</v>
      </c>
      <c r="H76" s="262" t="s">
        <v>239</v>
      </c>
      <c r="I76" s="262" t="s">
        <v>619</v>
      </c>
      <c r="J76" s="262">
        <v>1000</v>
      </c>
      <c r="K76" s="264">
        <v>1000</v>
      </c>
      <c r="L76" s="265">
        <v>0</v>
      </c>
    </row>
    <row r="77" spans="1:12" ht="14.5">
      <c r="A77" s="277" t="s">
        <v>789</v>
      </c>
      <c r="B77" s="274" t="s">
        <v>790</v>
      </c>
      <c r="C77" s="263">
        <v>45721</v>
      </c>
      <c r="D77" s="262">
        <v>10</v>
      </c>
      <c r="E77" s="262">
        <v>0</v>
      </c>
      <c r="F77" s="262" t="s">
        <v>609</v>
      </c>
      <c r="G77" s="262" t="s">
        <v>618</v>
      </c>
      <c r="H77" s="262" t="s">
        <v>162</v>
      </c>
      <c r="I77" s="262" t="s">
        <v>619</v>
      </c>
      <c r="J77" s="262">
        <v>1000</v>
      </c>
      <c r="K77" s="268">
        <v>1000</v>
      </c>
      <c r="L77" s="265">
        <v>0</v>
      </c>
    </row>
    <row r="78" spans="1:12" ht="14.5">
      <c r="A78" s="277" t="s">
        <v>789</v>
      </c>
      <c r="B78" s="274" t="s">
        <v>790</v>
      </c>
      <c r="C78" s="263">
        <v>45721</v>
      </c>
      <c r="D78" s="262">
        <v>10</v>
      </c>
      <c r="E78" s="262">
        <v>0</v>
      </c>
      <c r="F78" s="262" t="s">
        <v>794</v>
      </c>
      <c r="G78" s="262" t="s">
        <v>618</v>
      </c>
      <c r="H78" s="262" t="s">
        <v>155</v>
      </c>
      <c r="I78" s="262" t="s">
        <v>619</v>
      </c>
      <c r="J78" s="262">
        <v>1100</v>
      </c>
      <c r="K78" s="264">
        <v>1100</v>
      </c>
      <c r="L78" s="265">
        <v>0</v>
      </c>
    </row>
    <row r="79" spans="1:12" ht="14.5">
      <c r="A79" s="277" t="s">
        <v>798</v>
      </c>
      <c r="B79" s="274">
        <v>418</v>
      </c>
      <c r="C79" s="263">
        <v>45722</v>
      </c>
      <c r="D79" s="262">
        <v>10</v>
      </c>
      <c r="E79" s="262">
        <v>1</v>
      </c>
      <c r="F79" s="262" t="s">
        <v>553</v>
      </c>
      <c r="G79" s="262" t="s">
        <v>799</v>
      </c>
      <c r="H79" s="262" t="s">
        <v>155</v>
      </c>
      <c r="I79" s="262" t="s">
        <v>800</v>
      </c>
      <c r="J79" s="262">
        <v>91650</v>
      </c>
      <c r="K79" s="264">
        <v>91650</v>
      </c>
      <c r="L79" s="265">
        <v>0</v>
      </c>
    </row>
    <row r="80" spans="1:12" ht="14.5">
      <c r="A80" s="277" t="s">
        <v>798</v>
      </c>
      <c r="B80" s="274">
        <v>418</v>
      </c>
      <c r="C80" s="263">
        <v>45722</v>
      </c>
      <c r="D80" s="262">
        <v>10</v>
      </c>
      <c r="E80" s="262">
        <v>1</v>
      </c>
      <c r="F80" s="262" t="s">
        <v>553</v>
      </c>
      <c r="G80" s="262" t="s">
        <v>799</v>
      </c>
      <c r="H80" s="262" t="s">
        <v>155</v>
      </c>
      <c r="I80" s="262" t="s">
        <v>800</v>
      </c>
      <c r="J80" s="262">
        <v>20000</v>
      </c>
      <c r="K80" s="264">
        <v>20000</v>
      </c>
      <c r="L80" s="265">
        <v>0</v>
      </c>
    </row>
    <row r="81" spans="1:12" ht="14.5">
      <c r="A81" s="277" t="s">
        <v>60</v>
      </c>
      <c r="B81" s="274" t="s">
        <v>801</v>
      </c>
      <c r="C81" s="263">
        <v>45723</v>
      </c>
      <c r="D81" s="262">
        <v>10</v>
      </c>
      <c r="E81" s="262">
        <v>2</v>
      </c>
      <c r="F81" s="262" t="s">
        <v>187</v>
      </c>
      <c r="G81" s="262" t="s">
        <v>448</v>
      </c>
      <c r="H81" s="262" t="s">
        <v>164</v>
      </c>
      <c r="I81" s="262" t="s">
        <v>449</v>
      </c>
      <c r="J81" s="262">
        <v>9000</v>
      </c>
      <c r="K81" s="264">
        <v>9000</v>
      </c>
      <c r="L81" s="265">
        <v>0</v>
      </c>
    </row>
    <row r="82" spans="1:12" ht="14.5">
      <c r="A82" s="277" t="s">
        <v>60</v>
      </c>
      <c r="B82" s="274" t="s">
        <v>801</v>
      </c>
      <c r="C82" s="263">
        <v>45723</v>
      </c>
      <c r="D82" s="262">
        <v>10</v>
      </c>
      <c r="E82" s="262">
        <v>2</v>
      </c>
      <c r="F82" s="262" t="s">
        <v>187</v>
      </c>
      <c r="G82" s="262" t="s">
        <v>448</v>
      </c>
      <c r="H82" s="262" t="s">
        <v>155</v>
      </c>
      <c r="I82" s="262" t="s">
        <v>449</v>
      </c>
      <c r="J82" s="262">
        <v>9000</v>
      </c>
      <c r="K82" s="264">
        <v>9000</v>
      </c>
      <c r="L82" s="265">
        <v>0</v>
      </c>
    </row>
    <row r="83" spans="1:12" ht="14.5">
      <c r="A83" s="277" t="s">
        <v>60</v>
      </c>
      <c r="B83" s="274" t="s">
        <v>801</v>
      </c>
      <c r="C83" s="263">
        <v>45723</v>
      </c>
      <c r="D83" s="262">
        <v>10</v>
      </c>
      <c r="E83" s="262">
        <v>2</v>
      </c>
      <c r="F83" s="262" t="s">
        <v>187</v>
      </c>
      <c r="G83" s="262" t="s">
        <v>448</v>
      </c>
      <c r="H83" s="262" t="s">
        <v>450</v>
      </c>
      <c r="I83" s="262" t="s">
        <v>449</v>
      </c>
      <c r="J83" s="262">
        <v>6000</v>
      </c>
      <c r="K83" s="264">
        <v>6000</v>
      </c>
      <c r="L83" s="265">
        <v>0</v>
      </c>
    </row>
    <row r="84" spans="1:12" ht="14.5">
      <c r="A84" s="277" t="s">
        <v>802</v>
      </c>
      <c r="B84" s="274">
        <v>19</v>
      </c>
      <c r="C84" s="263">
        <v>45726</v>
      </c>
      <c r="D84" s="262">
        <v>10</v>
      </c>
      <c r="E84" s="262">
        <v>5</v>
      </c>
      <c r="F84" s="262" t="s">
        <v>803</v>
      </c>
      <c r="G84" s="262" t="s">
        <v>804</v>
      </c>
      <c r="H84" s="262" t="s">
        <v>788</v>
      </c>
      <c r="I84" s="262" t="s">
        <v>805</v>
      </c>
      <c r="J84" s="262">
        <v>2031</v>
      </c>
      <c r="K84" s="264">
        <v>2030</v>
      </c>
      <c r="L84" s="264">
        <v>1</v>
      </c>
    </row>
    <row r="85" spans="1:12" ht="14.5">
      <c r="A85" s="277" t="s">
        <v>188</v>
      </c>
      <c r="B85" s="275">
        <v>416</v>
      </c>
      <c r="C85" s="263">
        <v>45727</v>
      </c>
      <c r="D85" s="262">
        <v>11</v>
      </c>
      <c r="E85" s="262">
        <v>6</v>
      </c>
      <c r="F85" s="262" t="s">
        <v>157</v>
      </c>
      <c r="G85" s="262" t="s">
        <v>243</v>
      </c>
      <c r="H85" s="262" t="s">
        <v>155</v>
      </c>
      <c r="I85" s="262" t="s">
        <v>428</v>
      </c>
      <c r="J85" s="262">
        <v>3756</v>
      </c>
      <c r="K85" s="264">
        <v>3756</v>
      </c>
      <c r="L85" s="265">
        <v>0</v>
      </c>
    </row>
    <row r="86" spans="1:12" ht="14.5">
      <c r="A86" s="277" t="s">
        <v>188</v>
      </c>
      <c r="B86" s="275">
        <v>416</v>
      </c>
      <c r="C86" s="263">
        <v>45727</v>
      </c>
      <c r="D86" s="262">
        <v>11</v>
      </c>
      <c r="E86" s="262">
        <v>6</v>
      </c>
      <c r="F86" s="262" t="s">
        <v>158</v>
      </c>
      <c r="G86" s="262" t="s">
        <v>242</v>
      </c>
      <c r="H86" s="262" t="s">
        <v>154</v>
      </c>
      <c r="I86" s="262" t="s">
        <v>432</v>
      </c>
      <c r="J86" s="262">
        <v>1444</v>
      </c>
      <c r="K86" s="264">
        <v>1444</v>
      </c>
      <c r="L86" s="265">
        <v>0</v>
      </c>
    </row>
    <row r="87" spans="1:12" ht="14.5">
      <c r="A87" s="277" t="s">
        <v>188</v>
      </c>
      <c r="B87" s="275">
        <v>416</v>
      </c>
      <c r="C87" s="263">
        <v>45727</v>
      </c>
      <c r="D87" s="262">
        <v>11</v>
      </c>
      <c r="E87" s="262">
        <v>6</v>
      </c>
      <c r="F87" s="262" t="s">
        <v>189</v>
      </c>
      <c r="G87" s="262" t="s">
        <v>242</v>
      </c>
      <c r="H87" s="262" t="s">
        <v>162</v>
      </c>
      <c r="I87" s="262" t="s">
        <v>432</v>
      </c>
      <c r="J87" s="262">
        <v>968</v>
      </c>
      <c r="K87" s="264">
        <v>0</v>
      </c>
      <c r="L87" s="264">
        <v>968</v>
      </c>
    </row>
    <row r="88" spans="1:12" ht="14.5">
      <c r="A88" s="277" t="s">
        <v>188</v>
      </c>
      <c r="B88" s="275">
        <v>427</v>
      </c>
      <c r="C88" s="263">
        <v>45727</v>
      </c>
      <c r="D88" s="262">
        <v>11</v>
      </c>
      <c r="E88" s="262">
        <v>6</v>
      </c>
      <c r="F88" s="262" t="s">
        <v>157</v>
      </c>
      <c r="G88" s="262" t="s">
        <v>243</v>
      </c>
      <c r="H88" s="262" t="s">
        <v>162</v>
      </c>
      <c r="I88" s="262" t="s">
        <v>428</v>
      </c>
      <c r="J88" s="262">
        <v>2472</v>
      </c>
      <c r="K88" s="264">
        <v>2472</v>
      </c>
      <c r="L88" s="265">
        <v>0</v>
      </c>
    </row>
    <row r="89" spans="1:12" ht="14.5">
      <c r="A89" s="277" t="s">
        <v>188</v>
      </c>
      <c r="B89" s="275">
        <v>427</v>
      </c>
      <c r="C89" s="263">
        <v>45727</v>
      </c>
      <c r="D89" s="262">
        <v>11</v>
      </c>
      <c r="E89" s="262">
        <v>6</v>
      </c>
      <c r="F89" s="262" t="s">
        <v>157</v>
      </c>
      <c r="G89" s="262" t="s">
        <v>243</v>
      </c>
      <c r="H89" s="262" t="s">
        <v>155</v>
      </c>
      <c r="I89" s="262" t="s">
        <v>428</v>
      </c>
      <c r="J89" s="262">
        <v>1488</v>
      </c>
      <c r="K89" s="264">
        <v>1488</v>
      </c>
      <c r="L89" s="265">
        <v>0</v>
      </c>
    </row>
    <row r="90" spans="1:12" ht="14.5">
      <c r="A90" s="277" t="s">
        <v>188</v>
      </c>
      <c r="B90" s="275">
        <v>427</v>
      </c>
      <c r="C90" s="263">
        <v>45727</v>
      </c>
      <c r="D90" s="262">
        <v>11</v>
      </c>
      <c r="E90" s="262">
        <v>6</v>
      </c>
      <c r="F90" s="262" t="s">
        <v>158</v>
      </c>
      <c r="G90" s="262" t="s">
        <v>242</v>
      </c>
      <c r="H90" s="262" t="s">
        <v>155</v>
      </c>
      <c r="I90" s="262" t="s">
        <v>432</v>
      </c>
      <c r="J90" s="262">
        <v>1488</v>
      </c>
      <c r="K90" s="264">
        <v>1488</v>
      </c>
      <c r="L90" s="265">
        <v>0</v>
      </c>
    </row>
    <row r="91" spans="1:12" ht="14.5">
      <c r="A91" s="277" t="s">
        <v>188</v>
      </c>
      <c r="B91" s="275">
        <v>427</v>
      </c>
      <c r="C91" s="263">
        <v>45727</v>
      </c>
      <c r="D91" s="262">
        <v>11</v>
      </c>
      <c r="E91" s="262">
        <v>6</v>
      </c>
      <c r="F91" s="269" t="s">
        <v>391</v>
      </c>
      <c r="G91" s="269" t="s">
        <v>392</v>
      </c>
      <c r="H91" s="269" t="s">
        <v>393</v>
      </c>
      <c r="I91" s="269" t="s">
        <v>433</v>
      </c>
      <c r="J91" s="262">
        <v>1572</v>
      </c>
      <c r="K91" s="264">
        <v>1572</v>
      </c>
      <c r="L91" s="265">
        <v>0</v>
      </c>
    </row>
    <row r="92" spans="1:12" ht="14.5">
      <c r="A92" s="277" t="s">
        <v>188</v>
      </c>
      <c r="B92" s="275">
        <v>435</v>
      </c>
      <c r="C92" s="263">
        <v>45727</v>
      </c>
      <c r="D92" s="262">
        <v>11</v>
      </c>
      <c r="E92" s="262">
        <v>6</v>
      </c>
      <c r="F92" s="262" t="s">
        <v>245</v>
      </c>
      <c r="G92" s="262" t="s">
        <v>242</v>
      </c>
      <c r="H92" s="262" t="s">
        <v>244</v>
      </c>
      <c r="I92" s="262" t="s">
        <v>432</v>
      </c>
      <c r="J92" s="262">
        <v>968</v>
      </c>
      <c r="K92" s="264">
        <v>968</v>
      </c>
      <c r="L92" s="265">
        <v>0</v>
      </c>
    </row>
    <row r="93" spans="1:12" ht="14.5">
      <c r="A93" s="277" t="s">
        <v>188</v>
      </c>
      <c r="B93" s="275">
        <v>435</v>
      </c>
      <c r="C93" s="263">
        <v>45727</v>
      </c>
      <c r="D93" s="262">
        <v>11</v>
      </c>
      <c r="E93" s="262">
        <v>6</v>
      </c>
      <c r="F93" s="262" t="s">
        <v>158</v>
      </c>
      <c r="G93" s="262" t="s">
        <v>242</v>
      </c>
      <c r="H93" s="262" t="s">
        <v>154</v>
      </c>
      <c r="I93" s="262" t="s">
        <v>432</v>
      </c>
      <c r="J93" s="262">
        <v>1412</v>
      </c>
      <c r="K93" s="264">
        <v>1412</v>
      </c>
      <c r="L93" s="265">
        <v>0</v>
      </c>
    </row>
    <row r="94" spans="1:12" ht="14.5">
      <c r="A94" s="277" t="s">
        <v>188</v>
      </c>
      <c r="B94" s="275">
        <v>435</v>
      </c>
      <c r="C94" s="263">
        <v>45727</v>
      </c>
      <c r="D94" s="262">
        <v>11</v>
      </c>
      <c r="E94" s="262">
        <v>6</v>
      </c>
      <c r="F94" s="262" t="s">
        <v>158</v>
      </c>
      <c r="G94" s="262" t="s">
        <v>242</v>
      </c>
      <c r="H94" s="262" t="s">
        <v>155</v>
      </c>
      <c r="I94" s="262" t="s">
        <v>432</v>
      </c>
      <c r="J94" s="262">
        <v>1368</v>
      </c>
      <c r="K94" s="264">
        <v>1368</v>
      </c>
      <c r="L94" s="265">
        <v>0</v>
      </c>
    </row>
    <row r="95" spans="1:12" ht="14.5">
      <c r="A95" s="277" t="s">
        <v>188</v>
      </c>
      <c r="B95" s="275">
        <v>436</v>
      </c>
      <c r="C95" s="263">
        <v>45727</v>
      </c>
      <c r="D95" s="262">
        <v>11</v>
      </c>
      <c r="E95" s="262">
        <v>6</v>
      </c>
      <c r="F95" s="262" t="s">
        <v>193</v>
      </c>
      <c r="G95" s="262" t="s">
        <v>246</v>
      </c>
      <c r="H95" s="262" t="s">
        <v>162</v>
      </c>
      <c r="I95" s="262" t="s">
        <v>434</v>
      </c>
      <c r="J95" s="262">
        <v>6000</v>
      </c>
      <c r="K95" s="264" t="s">
        <v>777</v>
      </c>
      <c r="L95" s="264">
        <v>6000</v>
      </c>
    </row>
    <row r="96" spans="1:12" ht="14.5">
      <c r="A96" s="277" t="s">
        <v>188</v>
      </c>
      <c r="B96" s="275">
        <v>436</v>
      </c>
      <c r="C96" s="263">
        <v>45727</v>
      </c>
      <c r="D96" s="262">
        <v>11</v>
      </c>
      <c r="E96" s="262">
        <v>6</v>
      </c>
      <c r="F96" s="262" t="s">
        <v>157</v>
      </c>
      <c r="G96" s="262" t="s">
        <v>243</v>
      </c>
      <c r="H96" s="262" t="s">
        <v>155</v>
      </c>
      <c r="I96" s="262" t="s">
        <v>428</v>
      </c>
      <c r="J96" s="262">
        <v>2514</v>
      </c>
      <c r="K96" s="264" t="s">
        <v>777</v>
      </c>
      <c r="L96" s="264">
        <v>2514</v>
      </c>
    </row>
    <row r="97" spans="1:12" ht="14.5">
      <c r="A97" s="277" t="s">
        <v>188</v>
      </c>
      <c r="B97" s="275">
        <v>436</v>
      </c>
      <c r="C97" s="263">
        <v>45727</v>
      </c>
      <c r="D97" s="262">
        <v>11</v>
      </c>
      <c r="E97" s="262">
        <v>6</v>
      </c>
      <c r="F97" s="262" t="s">
        <v>158</v>
      </c>
      <c r="G97" s="262" t="s">
        <v>242</v>
      </c>
      <c r="H97" s="262" t="s">
        <v>154</v>
      </c>
      <c r="I97" s="262" t="s">
        <v>432</v>
      </c>
      <c r="J97" s="262">
        <v>1336</v>
      </c>
      <c r="K97" s="264">
        <v>1336</v>
      </c>
      <c r="L97" s="265">
        <v>0</v>
      </c>
    </row>
    <row r="98" spans="1:12" ht="14.5">
      <c r="A98" s="277" t="s">
        <v>188</v>
      </c>
      <c r="B98" s="275">
        <v>436</v>
      </c>
      <c r="C98" s="263">
        <v>45727</v>
      </c>
      <c r="D98" s="262">
        <v>11</v>
      </c>
      <c r="E98" s="262">
        <v>6</v>
      </c>
      <c r="F98" s="262" t="s">
        <v>158</v>
      </c>
      <c r="G98" s="262" t="s">
        <v>242</v>
      </c>
      <c r="H98" s="262" t="s">
        <v>156</v>
      </c>
      <c r="I98" s="262" t="s">
        <v>432</v>
      </c>
      <c r="J98" s="262">
        <v>172</v>
      </c>
      <c r="K98" s="264">
        <v>172</v>
      </c>
      <c r="L98" s="265">
        <v>0</v>
      </c>
    </row>
    <row r="99" spans="1:12" ht="14.5">
      <c r="A99" s="277" t="s">
        <v>188</v>
      </c>
      <c r="B99" s="275">
        <v>436</v>
      </c>
      <c r="C99" s="263">
        <v>45727</v>
      </c>
      <c r="D99" s="262">
        <v>11</v>
      </c>
      <c r="E99" s="262">
        <v>6</v>
      </c>
      <c r="F99" s="262" t="s">
        <v>190</v>
      </c>
      <c r="G99" s="262" t="s">
        <v>242</v>
      </c>
      <c r="H99" s="262" t="s">
        <v>244</v>
      </c>
      <c r="I99" s="262" t="s">
        <v>438</v>
      </c>
      <c r="J99" s="262">
        <v>1336</v>
      </c>
      <c r="K99" s="264">
        <v>1336</v>
      </c>
      <c r="L99" s="265">
        <v>0</v>
      </c>
    </row>
    <row r="100" spans="1:12" ht="14.5">
      <c r="A100" s="277" t="s">
        <v>188</v>
      </c>
      <c r="B100" s="275">
        <v>437</v>
      </c>
      <c r="C100" s="263">
        <v>45727</v>
      </c>
      <c r="D100" s="262">
        <v>11</v>
      </c>
      <c r="E100" s="262">
        <v>6</v>
      </c>
      <c r="F100" s="262" t="s">
        <v>136</v>
      </c>
      <c r="G100" s="262" t="s">
        <v>247</v>
      </c>
      <c r="H100" s="262" t="s">
        <v>162</v>
      </c>
      <c r="I100" s="262" t="s">
        <v>500</v>
      </c>
      <c r="J100" s="262">
        <v>3712</v>
      </c>
      <c r="K100" s="264">
        <v>3712</v>
      </c>
      <c r="L100" s="265">
        <v>0</v>
      </c>
    </row>
    <row r="101" spans="1:12" ht="14.5">
      <c r="A101" s="277" t="s">
        <v>188</v>
      </c>
      <c r="B101" s="275">
        <v>437</v>
      </c>
      <c r="C101" s="263">
        <v>45727</v>
      </c>
      <c r="D101" s="262">
        <v>11</v>
      </c>
      <c r="E101" s="262">
        <v>6</v>
      </c>
      <c r="F101" s="262" t="s">
        <v>136</v>
      </c>
      <c r="G101" s="262" t="s">
        <v>247</v>
      </c>
      <c r="H101" s="262" t="s">
        <v>163</v>
      </c>
      <c r="I101" s="262" t="s">
        <v>500</v>
      </c>
      <c r="J101" s="262">
        <v>3712</v>
      </c>
      <c r="K101" s="264">
        <v>3712</v>
      </c>
      <c r="L101" s="265">
        <v>0</v>
      </c>
    </row>
    <row r="102" spans="1:12" ht="14.5">
      <c r="A102" s="277" t="s">
        <v>188</v>
      </c>
      <c r="B102" s="275">
        <v>437</v>
      </c>
      <c r="C102" s="263">
        <v>45727</v>
      </c>
      <c r="D102" s="262">
        <v>11</v>
      </c>
      <c r="E102" s="262">
        <v>6</v>
      </c>
      <c r="F102" s="262" t="s">
        <v>136</v>
      </c>
      <c r="G102" s="262" t="s">
        <v>247</v>
      </c>
      <c r="H102" s="262" t="s">
        <v>501</v>
      </c>
      <c r="I102" s="262" t="s">
        <v>500</v>
      </c>
      <c r="J102" s="262">
        <v>3712</v>
      </c>
      <c r="K102" s="264">
        <v>3712</v>
      </c>
      <c r="L102" s="265">
        <v>0</v>
      </c>
    </row>
    <row r="103" spans="1:12" ht="14.5">
      <c r="A103" s="277" t="s">
        <v>188</v>
      </c>
      <c r="B103" s="275">
        <v>437</v>
      </c>
      <c r="C103" s="263">
        <v>45727</v>
      </c>
      <c r="D103" s="262">
        <v>11</v>
      </c>
      <c r="E103" s="262">
        <v>6</v>
      </c>
      <c r="F103" s="262" t="s">
        <v>390</v>
      </c>
      <c r="G103" s="262" t="s">
        <v>242</v>
      </c>
      <c r="H103" s="262" t="s">
        <v>162</v>
      </c>
      <c r="I103" s="262" t="s">
        <v>430</v>
      </c>
      <c r="J103" s="262">
        <v>1824</v>
      </c>
      <c r="K103" s="264">
        <v>1824</v>
      </c>
      <c r="L103" s="265">
        <v>0</v>
      </c>
    </row>
    <row r="104" spans="1:12" ht="14.5">
      <c r="A104" s="277" t="s">
        <v>188</v>
      </c>
      <c r="B104" s="275">
        <v>437</v>
      </c>
      <c r="C104" s="263">
        <v>45727</v>
      </c>
      <c r="D104" s="262">
        <v>11</v>
      </c>
      <c r="E104" s="262">
        <v>6</v>
      </c>
      <c r="F104" s="262" t="s">
        <v>158</v>
      </c>
      <c r="G104" s="262" t="s">
        <v>242</v>
      </c>
      <c r="H104" s="262" t="s">
        <v>154</v>
      </c>
      <c r="I104" s="262" t="s">
        <v>432</v>
      </c>
      <c r="J104" s="262">
        <v>920</v>
      </c>
      <c r="K104" s="264">
        <v>920</v>
      </c>
      <c r="L104" s="265">
        <v>0</v>
      </c>
    </row>
    <row r="105" spans="1:12" ht="14.5">
      <c r="A105" s="277" t="s">
        <v>188</v>
      </c>
      <c r="B105" s="275">
        <v>437</v>
      </c>
      <c r="C105" s="263">
        <v>45727</v>
      </c>
      <c r="D105" s="262">
        <v>11</v>
      </c>
      <c r="E105" s="262">
        <v>6</v>
      </c>
      <c r="F105" s="262" t="s">
        <v>190</v>
      </c>
      <c r="G105" s="262" t="s">
        <v>242</v>
      </c>
      <c r="H105" s="262" t="s">
        <v>244</v>
      </c>
      <c r="I105" s="262" t="s">
        <v>513</v>
      </c>
      <c r="J105" s="262">
        <v>1336</v>
      </c>
      <c r="K105" s="264">
        <v>1336</v>
      </c>
      <c r="L105" s="265">
        <v>0</v>
      </c>
    </row>
    <row r="106" spans="1:12" ht="14.5">
      <c r="A106" s="277" t="s">
        <v>188</v>
      </c>
      <c r="B106" s="275">
        <v>438</v>
      </c>
      <c r="C106" s="263">
        <v>45727</v>
      </c>
      <c r="D106" s="262">
        <v>11</v>
      </c>
      <c r="E106" s="262">
        <v>6</v>
      </c>
      <c r="F106" s="262" t="s">
        <v>193</v>
      </c>
      <c r="G106" s="262" t="s">
        <v>270</v>
      </c>
      <c r="H106" s="262" t="s">
        <v>162</v>
      </c>
      <c r="I106" s="262" t="s">
        <v>583</v>
      </c>
      <c r="J106" s="262">
        <v>1812</v>
      </c>
      <c r="K106" s="264">
        <v>1812</v>
      </c>
      <c r="L106" s="265">
        <v>0</v>
      </c>
    </row>
    <row r="107" spans="1:12" ht="14.5">
      <c r="A107" s="277" t="s">
        <v>188</v>
      </c>
      <c r="B107" s="275">
        <v>438</v>
      </c>
      <c r="C107" s="263">
        <v>45727</v>
      </c>
      <c r="D107" s="262">
        <v>11</v>
      </c>
      <c r="E107" s="262">
        <v>6</v>
      </c>
      <c r="F107" s="262" t="s">
        <v>250</v>
      </c>
      <c r="G107" s="262" t="s">
        <v>269</v>
      </c>
      <c r="H107" s="262" t="s">
        <v>162</v>
      </c>
      <c r="I107" s="262" t="s">
        <v>440</v>
      </c>
      <c r="J107" s="262">
        <v>1725</v>
      </c>
      <c r="K107" s="264">
        <v>1725</v>
      </c>
      <c r="L107" s="265">
        <v>0</v>
      </c>
    </row>
    <row r="108" spans="1:12" ht="14.5">
      <c r="A108" s="277" t="s">
        <v>188</v>
      </c>
      <c r="B108" s="275">
        <v>438</v>
      </c>
      <c r="C108" s="263">
        <v>45727</v>
      </c>
      <c r="D108" s="262">
        <v>11</v>
      </c>
      <c r="E108" s="262">
        <v>6</v>
      </c>
      <c r="F108" s="262" t="s">
        <v>201</v>
      </c>
      <c r="G108" s="262" t="s">
        <v>247</v>
      </c>
      <c r="H108" s="262" t="s">
        <v>155</v>
      </c>
      <c r="I108" s="262" t="s">
        <v>442</v>
      </c>
      <c r="J108" s="262">
        <v>7560</v>
      </c>
      <c r="K108" s="264">
        <v>7560</v>
      </c>
      <c r="L108" s="265">
        <v>0</v>
      </c>
    </row>
    <row r="109" spans="1:12" ht="14.5">
      <c r="A109" s="277" t="s">
        <v>188</v>
      </c>
      <c r="B109" s="275">
        <v>438</v>
      </c>
      <c r="C109" s="263">
        <v>45727</v>
      </c>
      <c r="D109" s="262">
        <v>11</v>
      </c>
      <c r="E109" s="262">
        <v>6</v>
      </c>
      <c r="F109" s="269" t="s">
        <v>391</v>
      </c>
      <c r="G109" s="269" t="s">
        <v>392</v>
      </c>
      <c r="H109" s="269" t="s">
        <v>393</v>
      </c>
      <c r="I109" s="269" t="s">
        <v>433</v>
      </c>
      <c r="J109" s="269">
        <v>1488</v>
      </c>
      <c r="K109" s="269">
        <v>1488</v>
      </c>
      <c r="L109" s="265">
        <v>0</v>
      </c>
    </row>
    <row r="110" spans="1:12" ht="14.5">
      <c r="A110" s="277" t="s">
        <v>188</v>
      </c>
      <c r="B110" s="275">
        <v>438</v>
      </c>
      <c r="C110" s="263">
        <v>45727</v>
      </c>
      <c r="D110" s="262">
        <v>11</v>
      </c>
      <c r="E110" s="262">
        <v>6</v>
      </c>
      <c r="F110" s="262" t="s">
        <v>158</v>
      </c>
      <c r="G110" s="262" t="s">
        <v>242</v>
      </c>
      <c r="H110" s="262" t="s">
        <v>156</v>
      </c>
      <c r="I110" s="262" t="s">
        <v>432</v>
      </c>
      <c r="J110" s="262">
        <v>992</v>
      </c>
      <c r="K110" s="264">
        <v>992</v>
      </c>
      <c r="L110" s="265">
        <v>0</v>
      </c>
    </row>
    <row r="111" spans="1:12" ht="14.5">
      <c r="A111" s="277" t="s">
        <v>188</v>
      </c>
      <c r="B111" s="275">
        <v>438</v>
      </c>
      <c r="C111" s="263">
        <v>45727</v>
      </c>
      <c r="D111" s="262">
        <v>11</v>
      </c>
      <c r="E111" s="262">
        <v>6</v>
      </c>
      <c r="F111" s="262" t="s">
        <v>190</v>
      </c>
      <c r="G111" s="262" t="s">
        <v>242</v>
      </c>
      <c r="H111" s="262" t="s">
        <v>244</v>
      </c>
      <c r="I111" s="262" t="s">
        <v>438</v>
      </c>
      <c r="J111" s="262">
        <v>1336</v>
      </c>
      <c r="K111" s="264">
        <v>1336</v>
      </c>
      <c r="L111" s="265">
        <v>0</v>
      </c>
    </row>
    <row r="112" spans="1:12" ht="14.5">
      <c r="A112" s="277" t="s">
        <v>188</v>
      </c>
      <c r="B112" s="273">
        <v>411</v>
      </c>
      <c r="C112" s="263">
        <v>45728</v>
      </c>
      <c r="D112" s="262">
        <v>11</v>
      </c>
      <c r="E112" s="262">
        <v>7</v>
      </c>
      <c r="F112" s="262" t="s">
        <v>189</v>
      </c>
      <c r="G112" s="262" t="s">
        <v>242</v>
      </c>
      <c r="H112" s="262" t="s">
        <v>162</v>
      </c>
      <c r="I112" s="262" t="s">
        <v>432</v>
      </c>
      <c r="J112" s="262">
        <v>1668</v>
      </c>
      <c r="K112" s="270">
        <v>1668</v>
      </c>
      <c r="L112" s="265">
        <v>0</v>
      </c>
    </row>
    <row r="113" spans="1:12" ht="14.5">
      <c r="A113" s="277" t="s">
        <v>74</v>
      </c>
      <c r="B113" s="274" t="s">
        <v>578</v>
      </c>
      <c r="C113" s="263">
        <v>45731</v>
      </c>
      <c r="D113" s="262">
        <v>11</v>
      </c>
      <c r="E113" s="262">
        <v>10</v>
      </c>
      <c r="F113" s="262" t="s">
        <v>204</v>
      </c>
      <c r="G113" s="262" t="s">
        <v>309</v>
      </c>
      <c r="H113" s="262" t="s">
        <v>162</v>
      </c>
      <c r="I113" s="262" t="s">
        <v>570</v>
      </c>
      <c r="J113" s="262">
        <v>3213</v>
      </c>
      <c r="K113" s="264">
        <v>3213</v>
      </c>
      <c r="L113" s="265">
        <v>0</v>
      </c>
    </row>
    <row r="114" spans="1:12" ht="14.5">
      <c r="A114" s="277" t="s">
        <v>74</v>
      </c>
      <c r="B114" s="274" t="s">
        <v>578</v>
      </c>
      <c r="C114" s="263">
        <v>45731</v>
      </c>
      <c r="D114" s="262">
        <v>11</v>
      </c>
      <c r="E114" s="262">
        <v>10</v>
      </c>
      <c r="F114" s="262" t="s">
        <v>415</v>
      </c>
      <c r="G114" s="262" t="s">
        <v>347</v>
      </c>
      <c r="H114" s="262" t="s">
        <v>164</v>
      </c>
      <c r="I114" s="262" t="s">
        <v>572</v>
      </c>
      <c r="J114" s="262">
        <v>336</v>
      </c>
      <c r="K114" s="264">
        <v>336</v>
      </c>
      <c r="L114" s="265">
        <v>0</v>
      </c>
    </row>
    <row r="115" spans="1:12" ht="14.5">
      <c r="A115" s="277" t="s">
        <v>74</v>
      </c>
      <c r="B115" s="274" t="s">
        <v>578</v>
      </c>
      <c r="C115" s="263">
        <v>45731</v>
      </c>
      <c r="D115" s="262">
        <v>11</v>
      </c>
      <c r="E115" s="262">
        <v>10</v>
      </c>
      <c r="F115" s="262" t="s">
        <v>204</v>
      </c>
      <c r="G115" s="262" t="s">
        <v>308</v>
      </c>
      <c r="H115" s="262" t="s">
        <v>162</v>
      </c>
      <c r="I115" s="262" t="s">
        <v>509</v>
      </c>
      <c r="J115" s="262">
        <v>1000</v>
      </c>
      <c r="K115" s="264">
        <v>1000</v>
      </c>
      <c r="L115" s="265">
        <v>0</v>
      </c>
    </row>
    <row r="116" spans="1:12" ht="14.5">
      <c r="A116" s="277" t="s">
        <v>74</v>
      </c>
      <c r="B116" s="274" t="s">
        <v>578</v>
      </c>
      <c r="C116" s="263">
        <v>45731</v>
      </c>
      <c r="D116" s="262">
        <v>11</v>
      </c>
      <c r="E116" s="262">
        <v>10</v>
      </c>
      <c r="F116" s="262" t="s">
        <v>204</v>
      </c>
      <c r="G116" s="262" t="s">
        <v>347</v>
      </c>
      <c r="H116" s="262" t="s">
        <v>162</v>
      </c>
      <c r="I116" s="262" t="s">
        <v>572</v>
      </c>
      <c r="J116" s="262">
        <v>408</v>
      </c>
      <c r="K116" s="264">
        <v>408</v>
      </c>
      <c r="L116" s="265">
        <v>0</v>
      </c>
    </row>
    <row r="117" spans="1:12" ht="14.5">
      <c r="A117" s="277" t="s">
        <v>74</v>
      </c>
      <c r="B117" s="274" t="s">
        <v>578</v>
      </c>
      <c r="C117" s="263">
        <v>45731</v>
      </c>
      <c r="D117" s="262">
        <v>11</v>
      </c>
      <c r="E117" s="262">
        <v>10</v>
      </c>
      <c r="F117" s="262" t="s">
        <v>199</v>
      </c>
      <c r="G117" s="262" t="s">
        <v>309</v>
      </c>
      <c r="H117" s="262" t="s">
        <v>155</v>
      </c>
      <c r="I117" s="262" t="s">
        <v>570</v>
      </c>
      <c r="J117" s="262">
        <v>816</v>
      </c>
      <c r="K117" s="264">
        <v>816</v>
      </c>
      <c r="L117" s="265">
        <v>0</v>
      </c>
    </row>
    <row r="118" spans="1:12" ht="14.5">
      <c r="A118" s="277" t="s">
        <v>74</v>
      </c>
      <c r="B118" s="274" t="s">
        <v>578</v>
      </c>
      <c r="C118" s="263">
        <v>45731</v>
      </c>
      <c r="D118" s="262">
        <v>11</v>
      </c>
      <c r="E118" s="262">
        <v>10</v>
      </c>
      <c r="F118" s="262" t="s">
        <v>207</v>
      </c>
      <c r="G118" s="262" t="s">
        <v>309</v>
      </c>
      <c r="H118" s="262" t="s">
        <v>155</v>
      </c>
      <c r="I118" s="262" t="s">
        <v>570</v>
      </c>
      <c r="J118" s="262">
        <v>330</v>
      </c>
      <c r="K118" s="264">
        <v>330</v>
      </c>
      <c r="L118" s="265">
        <v>0</v>
      </c>
    </row>
    <row r="119" spans="1:12" ht="14.5">
      <c r="A119" s="277" t="s">
        <v>74</v>
      </c>
      <c r="B119" s="274" t="s">
        <v>578</v>
      </c>
      <c r="C119" s="263">
        <v>45731</v>
      </c>
      <c r="D119" s="262">
        <v>11</v>
      </c>
      <c r="E119" s="262">
        <v>10</v>
      </c>
      <c r="F119" s="262" t="s">
        <v>192</v>
      </c>
      <c r="G119" s="262" t="s">
        <v>309</v>
      </c>
      <c r="H119" s="262" t="s">
        <v>574</v>
      </c>
      <c r="I119" s="262" t="s">
        <v>570</v>
      </c>
      <c r="J119" s="262">
        <v>300</v>
      </c>
      <c r="K119" s="264">
        <v>300</v>
      </c>
      <c r="L119" s="265">
        <v>0</v>
      </c>
    </row>
    <row r="120" spans="1:12" ht="14.5">
      <c r="A120" s="277" t="s">
        <v>74</v>
      </c>
      <c r="B120" s="274" t="s">
        <v>578</v>
      </c>
      <c r="C120" s="263">
        <v>45731</v>
      </c>
      <c r="D120" s="262">
        <v>11</v>
      </c>
      <c r="E120" s="262">
        <v>10</v>
      </c>
      <c r="F120" s="262" t="s">
        <v>204</v>
      </c>
      <c r="G120" s="262" t="s">
        <v>347</v>
      </c>
      <c r="H120" s="262" t="s">
        <v>163</v>
      </c>
      <c r="I120" s="262" t="s">
        <v>572</v>
      </c>
      <c r="J120" s="262">
        <v>240</v>
      </c>
      <c r="K120" s="264">
        <v>240</v>
      </c>
      <c r="L120" s="265">
        <v>0</v>
      </c>
    </row>
    <row r="121" spans="1:12" ht="14.5">
      <c r="A121" s="277" t="s">
        <v>74</v>
      </c>
      <c r="B121" s="274" t="s">
        <v>578</v>
      </c>
      <c r="C121" s="263">
        <v>45731</v>
      </c>
      <c r="D121" s="262">
        <v>11</v>
      </c>
      <c r="E121" s="262">
        <v>10</v>
      </c>
      <c r="F121" s="262" t="s">
        <v>199</v>
      </c>
      <c r="G121" s="262" t="s">
        <v>575</v>
      </c>
      <c r="H121" s="262" t="s">
        <v>155</v>
      </c>
      <c r="I121" s="262" t="s">
        <v>576</v>
      </c>
      <c r="J121" s="262">
        <v>200</v>
      </c>
      <c r="K121" s="264">
        <v>200</v>
      </c>
      <c r="L121" s="265">
        <v>0</v>
      </c>
    </row>
    <row r="122" spans="1:12" ht="14.5">
      <c r="A122" s="277" t="s">
        <v>74</v>
      </c>
      <c r="B122" s="274" t="s">
        <v>578</v>
      </c>
      <c r="C122" s="263">
        <v>45731</v>
      </c>
      <c r="D122" s="262">
        <v>11</v>
      </c>
      <c r="E122" s="262">
        <v>10</v>
      </c>
      <c r="F122" s="262" t="s">
        <v>204</v>
      </c>
      <c r="G122" s="262" t="s">
        <v>309</v>
      </c>
      <c r="H122" s="262" t="s">
        <v>163</v>
      </c>
      <c r="I122" s="262" t="s">
        <v>570</v>
      </c>
      <c r="J122" s="262">
        <v>360</v>
      </c>
      <c r="K122" s="264">
        <v>360</v>
      </c>
      <c r="L122" s="265">
        <v>0</v>
      </c>
    </row>
    <row r="123" spans="1:12" ht="14.5">
      <c r="A123" s="277" t="s">
        <v>74</v>
      </c>
      <c r="B123" s="274" t="s">
        <v>578</v>
      </c>
      <c r="C123" s="263">
        <v>45731</v>
      </c>
      <c r="D123" s="262">
        <v>11</v>
      </c>
      <c r="E123" s="262">
        <v>10</v>
      </c>
      <c r="F123" s="262" t="s">
        <v>199</v>
      </c>
      <c r="G123" s="262" t="s">
        <v>308</v>
      </c>
      <c r="H123" s="262" t="s">
        <v>155</v>
      </c>
      <c r="I123" s="262" t="s">
        <v>570</v>
      </c>
      <c r="J123" s="262">
        <v>480</v>
      </c>
      <c r="K123" s="264">
        <v>480</v>
      </c>
      <c r="L123" s="265">
        <v>0</v>
      </c>
    </row>
    <row r="124" spans="1:12" ht="14.5">
      <c r="A124" s="277" t="s">
        <v>74</v>
      </c>
      <c r="B124" s="274" t="s">
        <v>578</v>
      </c>
      <c r="C124" s="263">
        <v>45731</v>
      </c>
      <c r="D124" s="262">
        <v>11</v>
      </c>
      <c r="E124" s="262">
        <v>10</v>
      </c>
      <c r="F124" s="262" t="s">
        <v>207</v>
      </c>
      <c r="G124" s="262" t="s">
        <v>308</v>
      </c>
      <c r="H124" s="262" t="s">
        <v>162</v>
      </c>
      <c r="I124" s="262" t="s">
        <v>570</v>
      </c>
      <c r="J124" s="262">
        <v>420</v>
      </c>
      <c r="K124" s="264">
        <v>420</v>
      </c>
      <c r="L124" s="265">
        <v>0</v>
      </c>
    </row>
    <row r="125" spans="1:12" ht="14.5">
      <c r="A125" s="277" t="s">
        <v>74</v>
      </c>
      <c r="B125" s="274" t="s">
        <v>578</v>
      </c>
      <c r="C125" s="263">
        <v>45731</v>
      </c>
      <c r="D125" s="262">
        <v>11</v>
      </c>
      <c r="E125" s="262">
        <v>10</v>
      </c>
      <c r="F125" s="262" t="s">
        <v>192</v>
      </c>
      <c r="G125" s="262" t="s">
        <v>347</v>
      </c>
      <c r="H125" s="262" t="s">
        <v>155</v>
      </c>
      <c r="I125" s="262" t="s">
        <v>572</v>
      </c>
      <c r="J125" s="262">
        <v>168</v>
      </c>
      <c r="K125" s="264">
        <v>168</v>
      </c>
      <c r="L125" s="265">
        <v>0</v>
      </c>
    </row>
    <row r="126" spans="1:12" ht="14.5">
      <c r="A126" s="277" t="s">
        <v>74</v>
      </c>
      <c r="B126" s="274" t="s">
        <v>578</v>
      </c>
      <c r="C126" s="263">
        <v>45731</v>
      </c>
      <c r="D126" s="262">
        <v>11</v>
      </c>
      <c r="E126" s="262">
        <v>10</v>
      </c>
      <c r="F126" s="262" t="s">
        <v>417</v>
      </c>
      <c r="G126" s="262" t="s">
        <v>309</v>
      </c>
      <c r="H126" s="262" t="s">
        <v>164</v>
      </c>
      <c r="I126" s="262" t="s">
        <v>570</v>
      </c>
      <c r="J126" s="262">
        <v>360</v>
      </c>
      <c r="K126" s="264">
        <v>360</v>
      </c>
      <c r="L126" s="265">
        <v>0</v>
      </c>
    </row>
    <row r="127" spans="1:12" ht="14.5">
      <c r="A127" s="277" t="s">
        <v>74</v>
      </c>
      <c r="B127" s="274" t="s">
        <v>578</v>
      </c>
      <c r="C127" s="263">
        <v>45731</v>
      </c>
      <c r="D127" s="262">
        <v>11</v>
      </c>
      <c r="E127" s="262">
        <v>10</v>
      </c>
      <c r="F127" s="262" t="s">
        <v>416</v>
      </c>
      <c r="G127" s="262" t="s">
        <v>308</v>
      </c>
      <c r="H127" s="262" t="s">
        <v>164</v>
      </c>
      <c r="I127" s="262" t="s">
        <v>570</v>
      </c>
      <c r="J127" s="262">
        <v>280</v>
      </c>
      <c r="K127" s="264">
        <v>280</v>
      </c>
      <c r="L127" s="265">
        <v>0</v>
      </c>
    </row>
    <row r="128" spans="1:12" ht="14.5">
      <c r="A128" s="277" t="s">
        <v>74</v>
      </c>
      <c r="B128" s="274" t="s">
        <v>578</v>
      </c>
      <c r="C128" s="263">
        <v>45731</v>
      </c>
      <c r="D128" s="262">
        <v>11</v>
      </c>
      <c r="E128" s="262">
        <v>10</v>
      </c>
      <c r="F128" s="262" t="s">
        <v>204</v>
      </c>
      <c r="G128" s="262" t="s">
        <v>308</v>
      </c>
      <c r="H128" s="262" t="s">
        <v>163</v>
      </c>
      <c r="I128" s="262" t="s">
        <v>570</v>
      </c>
      <c r="J128" s="262">
        <v>300</v>
      </c>
      <c r="K128" s="264">
        <v>300</v>
      </c>
      <c r="L128" s="265">
        <v>0</v>
      </c>
    </row>
    <row r="129" spans="1:12" ht="14.5">
      <c r="A129" s="277" t="s">
        <v>74</v>
      </c>
      <c r="B129" s="274" t="s">
        <v>578</v>
      </c>
      <c r="C129" s="263">
        <v>45731</v>
      </c>
      <c r="D129" s="262">
        <v>11</v>
      </c>
      <c r="E129" s="262">
        <v>10</v>
      </c>
      <c r="F129" s="262" t="s">
        <v>199</v>
      </c>
      <c r="G129" s="262" t="s">
        <v>577</v>
      </c>
      <c r="H129" s="262" t="s">
        <v>155</v>
      </c>
      <c r="I129" s="262" t="s">
        <v>514</v>
      </c>
      <c r="J129" s="262">
        <v>660</v>
      </c>
      <c r="K129" s="264">
        <v>660</v>
      </c>
      <c r="L129" s="265">
        <v>0</v>
      </c>
    </row>
    <row r="130" spans="1:12" ht="14.5">
      <c r="A130" s="277" t="s">
        <v>188</v>
      </c>
      <c r="B130" s="275">
        <v>413</v>
      </c>
      <c r="C130" s="263">
        <v>45734</v>
      </c>
      <c r="D130" s="262">
        <v>12</v>
      </c>
      <c r="E130" s="262">
        <v>13</v>
      </c>
      <c r="F130" s="262" t="s">
        <v>157</v>
      </c>
      <c r="G130" s="262" t="s">
        <v>243</v>
      </c>
      <c r="H130" s="262" t="s">
        <v>162</v>
      </c>
      <c r="I130" s="262" t="s">
        <v>428</v>
      </c>
      <c r="J130" s="262">
        <v>990</v>
      </c>
      <c r="K130" s="264">
        <v>990</v>
      </c>
      <c r="L130" s="265">
        <v>0</v>
      </c>
    </row>
    <row r="131" spans="1:12" ht="14.5">
      <c r="A131" s="277" t="s">
        <v>188</v>
      </c>
      <c r="B131" s="275">
        <v>413</v>
      </c>
      <c r="C131" s="263">
        <v>45734</v>
      </c>
      <c r="D131" s="262">
        <v>12</v>
      </c>
      <c r="E131" s="262">
        <v>13</v>
      </c>
      <c r="F131" s="262" t="s">
        <v>390</v>
      </c>
      <c r="G131" s="262" t="s">
        <v>242</v>
      </c>
      <c r="H131" s="262" t="s">
        <v>162</v>
      </c>
      <c r="I131" s="262" t="s">
        <v>430</v>
      </c>
      <c r="J131" s="262">
        <v>2634</v>
      </c>
      <c r="K131" s="264">
        <v>2634</v>
      </c>
      <c r="L131" s="265">
        <v>0</v>
      </c>
    </row>
    <row r="132" spans="1:12" ht="14.5">
      <c r="A132" s="277" t="s">
        <v>188</v>
      </c>
      <c r="B132" s="275">
        <v>413</v>
      </c>
      <c r="C132" s="263">
        <v>45734</v>
      </c>
      <c r="D132" s="262">
        <v>12</v>
      </c>
      <c r="E132" s="262">
        <v>13</v>
      </c>
      <c r="F132" s="262" t="s">
        <v>190</v>
      </c>
      <c r="G132" s="262" t="s">
        <v>242</v>
      </c>
      <c r="H132" s="262" t="s">
        <v>244</v>
      </c>
      <c r="I132" s="262" t="s">
        <v>438</v>
      </c>
      <c r="J132" s="262">
        <v>1560</v>
      </c>
      <c r="K132" s="264">
        <v>1560</v>
      </c>
      <c r="L132" s="265">
        <v>0</v>
      </c>
    </row>
    <row r="133" spans="1:12" ht="14.5">
      <c r="A133" s="277" t="s">
        <v>188</v>
      </c>
      <c r="B133" s="275">
        <v>439</v>
      </c>
      <c r="C133" s="263">
        <v>45734</v>
      </c>
      <c r="D133" s="262">
        <v>12</v>
      </c>
      <c r="E133" s="262">
        <v>13</v>
      </c>
      <c r="F133" s="262" t="s">
        <v>157</v>
      </c>
      <c r="G133" s="262" t="s">
        <v>243</v>
      </c>
      <c r="H133" s="262" t="s">
        <v>162</v>
      </c>
      <c r="I133" s="262" t="s">
        <v>428</v>
      </c>
      <c r="J133" s="262">
        <v>1770</v>
      </c>
      <c r="K133" s="264">
        <v>1770</v>
      </c>
      <c r="L133" s="265">
        <v>0</v>
      </c>
    </row>
    <row r="134" spans="1:12" ht="14.5">
      <c r="A134" s="277" t="s">
        <v>188</v>
      </c>
      <c r="B134" s="275">
        <v>439</v>
      </c>
      <c r="C134" s="263">
        <v>45734</v>
      </c>
      <c r="D134" s="262">
        <v>12</v>
      </c>
      <c r="E134" s="262">
        <v>13</v>
      </c>
      <c r="F134" s="262" t="s">
        <v>390</v>
      </c>
      <c r="G134" s="262" t="s">
        <v>242</v>
      </c>
      <c r="H134" s="262" t="s">
        <v>162</v>
      </c>
      <c r="I134" s="262" t="s">
        <v>430</v>
      </c>
      <c r="J134" s="262">
        <v>1584</v>
      </c>
      <c r="K134" s="264">
        <v>1584</v>
      </c>
      <c r="L134" s="265">
        <v>0</v>
      </c>
    </row>
    <row r="135" spans="1:12" ht="14.5">
      <c r="A135" s="277" t="s">
        <v>188</v>
      </c>
      <c r="B135" s="275">
        <v>439</v>
      </c>
      <c r="C135" s="263">
        <v>45734</v>
      </c>
      <c r="D135" s="262">
        <v>12</v>
      </c>
      <c r="E135" s="262">
        <v>13</v>
      </c>
      <c r="F135" s="262" t="s">
        <v>158</v>
      </c>
      <c r="G135" s="262" t="s">
        <v>242</v>
      </c>
      <c r="H135" s="262" t="s">
        <v>154</v>
      </c>
      <c r="I135" s="262" t="s">
        <v>432</v>
      </c>
      <c r="J135" s="262">
        <v>488</v>
      </c>
      <c r="K135" s="264">
        <v>448</v>
      </c>
      <c r="L135" s="264">
        <v>40</v>
      </c>
    </row>
    <row r="136" spans="1:12" ht="14.5">
      <c r="A136" s="277" t="s">
        <v>188</v>
      </c>
      <c r="B136" s="275">
        <v>439</v>
      </c>
      <c r="C136" s="263">
        <v>45734</v>
      </c>
      <c r="D136" s="262">
        <v>12</v>
      </c>
      <c r="E136" s="262">
        <v>13</v>
      </c>
      <c r="F136" s="262" t="s">
        <v>158</v>
      </c>
      <c r="G136" s="262" t="s">
        <v>242</v>
      </c>
      <c r="H136" s="262" t="s">
        <v>156</v>
      </c>
      <c r="I136" s="262" t="s">
        <v>432</v>
      </c>
      <c r="J136" s="262">
        <v>1336</v>
      </c>
      <c r="K136" s="264">
        <v>1336</v>
      </c>
      <c r="L136" s="265">
        <v>0</v>
      </c>
    </row>
    <row r="137" spans="1:12" ht="14.5">
      <c r="A137" s="277" t="s">
        <v>188</v>
      </c>
      <c r="B137" s="275">
        <v>439</v>
      </c>
      <c r="C137" s="263">
        <v>45734</v>
      </c>
      <c r="D137" s="262">
        <v>12</v>
      </c>
      <c r="E137" s="262">
        <v>13</v>
      </c>
      <c r="F137" s="262" t="s">
        <v>190</v>
      </c>
      <c r="G137" s="262" t="s">
        <v>242</v>
      </c>
      <c r="H137" s="262" t="s">
        <v>244</v>
      </c>
      <c r="I137" s="262" t="s">
        <v>438</v>
      </c>
      <c r="J137" s="262">
        <v>232</v>
      </c>
      <c r="K137" s="264">
        <v>232</v>
      </c>
      <c r="L137" s="265">
        <v>0</v>
      </c>
    </row>
    <row r="138" spans="1:12" ht="14.5">
      <c r="A138" s="277" t="s">
        <v>188</v>
      </c>
      <c r="B138" s="275">
        <v>417</v>
      </c>
      <c r="C138" s="263">
        <v>45741</v>
      </c>
      <c r="D138" s="262">
        <v>13</v>
      </c>
      <c r="E138" s="262">
        <v>20</v>
      </c>
      <c r="F138" s="262" t="s">
        <v>390</v>
      </c>
      <c r="G138" s="262" t="s">
        <v>242</v>
      </c>
      <c r="H138" s="262" t="s">
        <v>162</v>
      </c>
      <c r="I138" s="262" t="s">
        <v>430</v>
      </c>
      <c r="J138" s="262">
        <v>3840</v>
      </c>
      <c r="K138" s="264">
        <v>3840</v>
      </c>
      <c r="L138" s="265">
        <v>0</v>
      </c>
    </row>
    <row r="139" spans="1:12" ht="14.5">
      <c r="A139" s="277" t="s">
        <v>188</v>
      </c>
      <c r="B139" s="275">
        <v>417</v>
      </c>
      <c r="C139" s="263">
        <v>45741</v>
      </c>
      <c r="D139" s="262">
        <v>13</v>
      </c>
      <c r="E139" s="262">
        <v>20</v>
      </c>
      <c r="F139" s="262" t="s">
        <v>190</v>
      </c>
      <c r="G139" s="262" t="s">
        <v>242</v>
      </c>
      <c r="H139" s="262" t="s">
        <v>244</v>
      </c>
      <c r="I139" s="262" t="s">
        <v>438</v>
      </c>
      <c r="J139" s="262">
        <v>1132</v>
      </c>
      <c r="K139" s="264">
        <v>1132</v>
      </c>
      <c r="L139" s="265">
        <v>0</v>
      </c>
    </row>
    <row r="140" spans="1:12" ht="14.5">
      <c r="A140" s="277" t="s">
        <v>188</v>
      </c>
      <c r="B140" s="275">
        <v>420</v>
      </c>
      <c r="C140" s="263">
        <v>45741</v>
      </c>
      <c r="D140" s="262">
        <v>13</v>
      </c>
      <c r="E140" s="262">
        <v>20</v>
      </c>
      <c r="F140" s="262" t="s">
        <v>390</v>
      </c>
      <c r="G140" s="262" t="s">
        <v>242</v>
      </c>
      <c r="H140" s="262" t="s">
        <v>162</v>
      </c>
      <c r="I140" s="262" t="s">
        <v>430</v>
      </c>
      <c r="J140" s="262">
        <v>3468</v>
      </c>
      <c r="K140" s="264">
        <v>3468</v>
      </c>
      <c r="L140" s="265">
        <v>0</v>
      </c>
    </row>
    <row r="141" spans="1:12" ht="14.5">
      <c r="A141" s="277" t="s">
        <v>188</v>
      </c>
      <c r="B141" s="275">
        <v>420</v>
      </c>
      <c r="C141" s="263">
        <v>45741</v>
      </c>
      <c r="D141" s="262">
        <v>13</v>
      </c>
      <c r="E141" s="262">
        <v>20</v>
      </c>
      <c r="F141" s="262" t="s">
        <v>158</v>
      </c>
      <c r="G141" s="262" t="s">
        <v>242</v>
      </c>
      <c r="H141" s="262" t="s">
        <v>154</v>
      </c>
      <c r="I141" s="262" t="s">
        <v>432</v>
      </c>
      <c r="J141" s="262">
        <v>1436</v>
      </c>
      <c r="K141" s="264">
        <v>1436</v>
      </c>
      <c r="L141" s="265">
        <v>0</v>
      </c>
    </row>
    <row r="142" spans="1:12" ht="14.5">
      <c r="A142" s="277" t="s">
        <v>188</v>
      </c>
      <c r="B142" s="275">
        <v>428</v>
      </c>
      <c r="C142" s="263">
        <v>45741</v>
      </c>
      <c r="D142" s="262">
        <v>13</v>
      </c>
      <c r="E142" s="262">
        <v>20</v>
      </c>
      <c r="F142" s="262" t="s">
        <v>81</v>
      </c>
      <c r="G142" s="262" t="s">
        <v>290</v>
      </c>
      <c r="H142" s="262" t="s">
        <v>291</v>
      </c>
      <c r="I142" s="262" t="s">
        <v>544</v>
      </c>
      <c r="J142" s="262">
        <v>4608</v>
      </c>
      <c r="K142" s="264">
        <v>0</v>
      </c>
      <c r="L142" s="265" t="s">
        <v>777</v>
      </c>
    </row>
    <row r="143" spans="1:12" ht="14.5">
      <c r="A143" s="277" t="s">
        <v>188</v>
      </c>
      <c r="B143" s="275">
        <v>428</v>
      </c>
      <c r="C143" s="263">
        <v>45741</v>
      </c>
      <c r="D143" s="262">
        <v>13</v>
      </c>
      <c r="E143" s="262">
        <v>20</v>
      </c>
      <c r="F143" s="262" t="s">
        <v>81</v>
      </c>
      <c r="G143" s="262" t="s">
        <v>290</v>
      </c>
      <c r="H143" s="262" t="s">
        <v>293</v>
      </c>
      <c r="I143" s="262" t="s">
        <v>544</v>
      </c>
      <c r="J143" s="262">
        <v>4608</v>
      </c>
      <c r="K143" s="264" t="s">
        <v>777</v>
      </c>
      <c r="L143" s="265" t="s">
        <v>777</v>
      </c>
    </row>
    <row r="144" spans="1:12" ht="14.5">
      <c r="A144" s="277" t="s">
        <v>188</v>
      </c>
      <c r="B144" s="275">
        <v>428</v>
      </c>
      <c r="C144" s="263">
        <v>45741</v>
      </c>
      <c r="D144" s="262">
        <v>13</v>
      </c>
      <c r="E144" s="262">
        <v>20</v>
      </c>
      <c r="F144" s="262" t="s">
        <v>81</v>
      </c>
      <c r="G144" s="262" t="s">
        <v>290</v>
      </c>
      <c r="H144" s="262" t="s">
        <v>294</v>
      </c>
      <c r="I144" s="262" t="s">
        <v>544</v>
      </c>
      <c r="J144" s="262">
        <v>4608</v>
      </c>
      <c r="K144" s="264" t="s">
        <v>777</v>
      </c>
      <c r="L144" s="265" t="s">
        <v>777</v>
      </c>
    </row>
    <row r="145" spans="1:12" ht="14.5">
      <c r="A145" s="277" t="s">
        <v>188</v>
      </c>
      <c r="B145" s="275">
        <v>428</v>
      </c>
      <c r="C145" s="263">
        <v>45741</v>
      </c>
      <c r="D145" s="262">
        <v>13</v>
      </c>
      <c r="E145" s="262">
        <v>20</v>
      </c>
      <c r="F145" s="269" t="s">
        <v>391</v>
      </c>
      <c r="G145" s="269" t="s">
        <v>392</v>
      </c>
      <c r="H145" s="269" t="s">
        <v>393</v>
      </c>
      <c r="I145" s="269" t="s">
        <v>433</v>
      </c>
      <c r="J145" s="269">
        <v>1740</v>
      </c>
      <c r="K145" s="269">
        <v>1740</v>
      </c>
      <c r="L145" s="265">
        <v>0</v>
      </c>
    </row>
    <row r="146" spans="1:12" ht="14.5">
      <c r="A146" s="277" t="s">
        <v>188</v>
      </c>
      <c r="B146" s="275">
        <v>428</v>
      </c>
      <c r="C146" s="263">
        <v>45741</v>
      </c>
      <c r="D146" s="262">
        <v>13</v>
      </c>
      <c r="E146" s="262">
        <v>20</v>
      </c>
      <c r="F146" s="262" t="s">
        <v>158</v>
      </c>
      <c r="G146" s="262" t="s">
        <v>242</v>
      </c>
      <c r="H146" s="262" t="s">
        <v>156</v>
      </c>
      <c r="I146" s="262" t="s">
        <v>432</v>
      </c>
      <c r="J146" s="262">
        <v>1384</v>
      </c>
      <c r="K146" s="264">
        <v>0</v>
      </c>
      <c r="L146" s="264">
        <v>1384</v>
      </c>
    </row>
    <row r="147" spans="1:12" ht="14.5">
      <c r="A147" s="277" t="s">
        <v>188</v>
      </c>
      <c r="B147" s="275">
        <v>428</v>
      </c>
      <c r="C147" s="263">
        <v>45741</v>
      </c>
      <c r="D147" s="262">
        <v>13</v>
      </c>
      <c r="E147" s="262">
        <v>20</v>
      </c>
      <c r="F147" s="262" t="s">
        <v>190</v>
      </c>
      <c r="G147" s="262" t="s">
        <v>242</v>
      </c>
      <c r="H147" s="262" t="s">
        <v>244</v>
      </c>
      <c r="I147" s="262" t="s">
        <v>438</v>
      </c>
      <c r="J147" s="262">
        <v>1384</v>
      </c>
      <c r="K147" s="264">
        <v>1384</v>
      </c>
      <c r="L147" s="265">
        <v>0</v>
      </c>
    </row>
    <row r="148" spans="1:12" ht="14.5">
      <c r="A148" s="277" t="s">
        <v>188</v>
      </c>
      <c r="B148" s="273">
        <v>440</v>
      </c>
      <c r="C148" s="263">
        <v>45741</v>
      </c>
      <c r="D148" s="262">
        <v>13</v>
      </c>
      <c r="E148" s="262">
        <v>20</v>
      </c>
      <c r="F148" s="262" t="s">
        <v>157</v>
      </c>
      <c r="G148" s="262" t="s">
        <v>243</v>
      </c>
      <c r="H148" s="262" t="s">
        <v>155</v>
      </c>
      <c r="I148" s="262" t="s">
        <v>428</v>
      </c>
      <c r="J148" s="262">
        <v>2724</v>
      </c>
      <c r="K148" s="264">
        <v>0</v>
      </c>
      <c r="L148" s="264">
        <v>2724</v>
      </c>
    </row>
    <row r="149" spans="1:12" ht="14.5">
      <c r="A149" s="277" t="s">
        <v>188</v>
      </c>
      <c r="B149" s="273">
        <v>440</v>
      </c>
      <c r="C149" s="263">
        <v>45741</v>
      </c>
      <c r="D149" s="262">
        <v>13</v>
      </c>
      <c r="E149" s="262">
        <v>20</v>
      </c>
      <c r="F149" s="262" t="s">
        <v>158</v>
      </c>
      <c r="G149" s="262" t="s">
        <v>242</v>
      </c>
      <c r="H149" s="262" t="s">
        <v>155</v>
      </c>
      <c r="I149" s="262" t="s">
        <v>432</v>
      </c>
      <c r="J149" s="262">
        <v>1396</v>
      </c>
      <c r="K149" s="264">
        <v>1396</v>
      </c>
      <c r="L149" s="265">
        <v>0</v>
      </c>
    </row>
    <row r="150" spans="1:12" ht="14.5">
      <c r="A150" s="277" t="s">
        <v>188</v>
      </c>
      <c r="B150" s="273">
        <v>440</v>
      </c>
      <c r="C150" s="263">
        <v>45741</v>
      </c>
      <c r="D150" s="262">
        <v>13</v>
      </c>
      <c r="E150" s="262">
        <v>20</v>
      </c>
      <c r="F150" s="262" t="s">
        <v>158</v>
      </c>
      <c r="G150" s="262" t="s">
        <v>242</v>
      </c>
      <c r="H150" s="262" t="s">
        <v>156</v>
      </c>
      <c r="I150" s="262" t="s">
        <v>432</v>
      </c>
      <c r="J150" s="262">
        <v>1396</v>
      </c>
      <c r="K150" s="264">
        <v>0</v>
      </c>
      <c r="L150" s="264">
        <v>1396</v>
      </c>
    </row>
    <row r="151" spans="1:12" ht="14.5">
      <c r="A151" s="277" t="s">
        <v>188</v>
      </c>
      <c r="B151" s="275">
        <v>441</v>
      </c>
      <c r="C151" s="263">
        <v>45741</v>
      </c>
      <c r="D151" s="262">
        <v>13</v>
      </c>
      <c r="E151" s="262">
        <v>20</v>
      </c>
      <c r="F151" s="262" t="s">
        <v>201</v>
      </c>
      <c r="G151" s="262" t="s">
        <v>247</v>
      </c>
      <c r="H151" s="262" t="s">
        <v>155</v>
      </c>
      <c r="I151" s="262" t="s">
        <v>442</v>
      </c>
      <c r="J151" s="262">
        <v>14256</v>
      </c>
      <c r="K151" s="264" t="s">
        <v>777</v>
      </c>
      <c r="L151" s="264">
        <v>14256</v>
      </c>
    </row>
    <row r="152" spans="1:12" ht="14.5">
      <c r="A152" s="277" t="s">
        <v>188</v>
      </c>
      <c r="B152" s="275">
        <v>441</v>
      </c>
      <c r="C152" s="263">
        <v>45741</v>
      </c>
      <c r="D152" s="262">
        <v>13</v>
      </c>
      <c r="E152" s="262">
        <v>20</v>
      </c>
      <c r="F152" s="269" t="s">
        <v>391</v>
      </c>
      <c r="G152" s="269" t="s">
        <v>392</v>
      </c>
      <c r="H152" s="269" t="s">
        <v>393</v>
      </c>
      <c r="I152" s="269" t="s">
        <v>433</v>
      </c>
      <c r="J152" s="269">
        <v>1440</v>
      </c>
      <c r="K152" s="269">
        <v>1440</v>
      </c>
      <c r="L152" s="265">
        <v>0</v>
      </c>
    </row>
    <row r="153" spans="1:12" ht="14.5">
      <c r="A153" s="277" t="s">
        <v>188</v>
      </c>
      <c r="B153" s="275">
        <v>441</v>
      </c>
      <c r="C153" s="263">
        <v>45741</v>
      </c>
      <c r="D153" s="262">
        <v>13</v>
      </c>
      <c r="E153" s="262">
        <v>20</v>
      </c>
      <c r="F153" s="262" t="s">
        <v>158</v>
      </c>
      <c r="G153" s="262" t="s">
        <v>242</v>
      </c>
      <c r="H153" s="262" t="s">
        <v>156</v>
      </c>
      <c r="I153" s="262" t="s">
        <v>432</v>
      </c>
      <c r="J153" s="262">
        <v>1356</v>
      </c>
      <c r="K153" s="264">
        <v>1356</v>
      </c>
      <c r="L153" s="265">
        <v>0</v>
      </c>
    </row>
    <row r="154" spans="1:12" ht="14.5">
      <c r="A154" s="277" t="s">
        <v>188</v>
      </c>
      <c r="B154" s="275">
        <v>441</v>
      </c>
      <c r="C154" s="263">
        <v>45741</v>
      </c>
      <c r="D154" s="262">
        <v>13</v>
      </c>
      <c r="E154" s="262">
        <v>20</v>
      </c>
      <c r="F154" s="262" t="s">
        <v>190</v>
      </c>
      <c r="G154" s="262" t="s">
        <v>242</v>
      </c>
      <c r="H154" s="262" t="s">
        <v>244</v>
      </c>
      <c r="I154" s="262" t="s">
        <v>438</v>
      </c>
      <c r="J154" s="262">
        <v>1356</v>
      </c>
      <c r="K154" s="264">
        <v>1356</v>
      </c>
      <c r="L154" s="265">
        <v>0</v>
      </c>
    </row>
    <row r="155" spans="1:12" ht="14.5">
      <c r="A155" s="277" t="s">
        <v>55</v>
      </c>
      <c r="B155" s="274">
        <v>3</v>
      </c>
      <c r="C155" s="263">
        <v>45741</v>
      </c>
      <c r="D155" s="262">
        <v>12</v>
      </c>
      <c r="E155" s="262">
        <v>20</v>
      </c>
      <c r="F155" s="262" t="s">
        <v>539</v>
      </c>
      <c r="G155" s="262" t="s">
        <v>784</v>
      </c>
      <c r="H155" s="262" t="s">
        <v>162</v>
      </c>
      <c r="I155" s="262" t="s">
        <v>785</v>
      </c>
      <c r="J155" s="262">
        <v>45900</v>
      </c>
      <c r="K155" s="264" t="s">
        <v>777</v>
      </c>
      <c r="L155" s="264">
        <v>45900</v>
      </c>
    </row>
    <row r="156" spans="1:12" ht="14.5">
      <c r="A156" s="277" t="s">
        <v>55</v>
      </c>
      <c r="B156" s="274">
        <v>3</v>
      </c>
      <c r="C156" s="263">
        <v>45741</v>
      </c>
      <c r="D156" s="262">
        <v>12</v>
      </c>
      <c r="E156" s="262">
        <v>20</v>
      </c>
      <c r="F156" s="262" t="s">
        <v>539</v>
      </c>
      <c r="G156" s="262" t="s">
        <v>784</v>
      </c>
      <c r="H156" s="262" t="s">
        <v>155</v>
      </c>
      <c r="I156" s="262" t="s">
        <v>785</v>
      </c>
      <c r="J156" s="262">
        <v>46920</v>
      </c>
      <c r="K156" s="264" t="s">
        <v>777</v>
      </c>
      <c r="L156" s="264">
        <v>46920</v>
      </c>
    </row>
    <row r="157" spans="1:12" ht="14.5">
      <c r="A157" s="277" t="s">
        <v>188</v>
      </c>
      <c r="B157" s="274">
        <v>2</v>
      </c>
      <c r="C157" s="263">
        <v>45744</v>
      </c>
      <c r="D157" s="262">
        <v>12</v>
      </c>
      <c r="E157" s="262">
        <v>23</v>
      </c>
      <c r="F157" s="262" t="s">
        <v>193</v>
      </c>
      <c r="G157" s="262" t="s">
        <v>270</v>
      </c>
      <c r="H157" s="262" t="s">
        <v>162</v>
      </c>
      <c r="I157" s="262" t="s">
        <v>583</v>
      </c>
      <c r="J157" s="262">
        <v>3624</v>
      </c>
      <c r="K157" s="264" t="s">
        <v>777</v>
      </c>
      <c r="L157" s="264">
        <v>3624</v>
      </c>
    </row>
    <row r="158" spans="1:12" ht="14.5">
      <c r="A158" s="277" t="s">
        <v>188</v>
      </c>
      <c r="B158" s="274">
        <v>2</v>
      </c>
      <c r="C158" s="263">
        <v>45744</v>
      </c>
      <c r="D158" s="262">
        <v>12</v>
      </c>
      <c r="E158" s="262">
        <v>23</v>
      </c>
      <c r="F158" s="262" t="s">
        <v>250</v>
      </c>
      <c r="G158" s="262" t="s">
        <v>269</v>
      </c>
      <c r="H158" s="262" t="s">
        <v>162</v>
      </c>
      <c r="I158" s="262" t="s">
        <v>440</v>
      </c>
      <c r="J158" s="262">
        <v>3380</v>
      </c>
      <c r="K158" s="264" t="s">
        <v>777</v>
      </c>
      <c r="L158" s="264">
        <v>3380</v>
      </c>
    </row>
    <row r="159" spans="1:12" ht="14.5">
      <c r="A159" s="277" t="s">
        <v>188</v>
      </c>
      <c r="B159" s="274">
        <v>2</v>
      </c>
      <c r="C159" s="263">
        <v>45744</v>
      </c>
      <c r="D159" s="262">
        <v>12</v>
      </c>
      <c r="E159" s="262">
        <v>23</v>
      </c>
      <c r="F159" s="262" t="s">
        <v>136</v>
      </c>
      <c r="G159" s="262" t="s">
        <v>247</v>
      </c>
      <c r="H159" s="262" t="s">
        <v>162</v>
      </c>
      <c r="I159" s="262" t="s">
        <v>500</v>
      </c>
      <c r="J159" s="262">
        <v>3712</v>
      </c>
      <c r="K159" s="264" t="s">
        <v>777</v>
      </c>
      <c r="L159" s="264">
        <v>3712</v>
      </c>
    </row>
    <row r="160" spans="1:12" ht="14.5">
      <c r="A160" s="277" t="s">
        <v>188</v>
      </c>
      <c r="B160" s="274">
        <v>2</v>
      </c>
      <c r="C160" s="263">
        <v>45744</v>
      </c>
      <c r="D160" s="262">
        <v>12</v>
      </c>
      <c r="E160" s="262">
        <v>23</v>
      </c>
      <c r="F160" s="262" t="s">
        <v>136</v>
      </c>
      <c r="G160" s="262" t="s">
        <v>247</v>
      </c>
      <c r="H160" s="262" t="s">
        <v>163</v>
      </c>
      <c r="I160" s="262" t="s">
        <v>500</v>
      </c>
      <c r="J160" s="262">
        <v>3712</v>
      </c>
      <c r="K160" s="264" t="s">
        <v>777</v>
      </c>
      <c r="L160" s="264">
        <v>3712</v>
      </c>
    </row>
    <row r="161" spans="1:12" ht="14.5">
      <c r="A161" s="277" t="s">
        <v>188</v>
      </c>
      <c r="B161" s="274">
        <v>2</v>
      </c>
      <c r="C161" s="263">
        <v>45744</v>
      </c>
      <c r="D161" s="262">
        <v>12</v>
      </c>
      <c r="E161" s="262">
        <v>23</v>
      </c>
      <c r="F161" s="262" t="s">
        <v>136</v>
      </c>
      <c r="G161" s="262" t="s">
        <v>247</v>
      </c>
      <c r="H161" s="262" t="s">
        <v>501</v>
      </c>
      <c r="I161" s="262" t="s">
        <v>500</v>
      </c>
      <c r="J161" s="262">
        <v>3712</v>
      </c>
      <c r="K161" s="264" t="s">
        <v>777</v>
      </c>
      <c r="L161" s="264">
        <v>3712</v>
      </c>
    </row>
    <row r="162" spans="1:12" ht="14.5">
      <c r="A162" s="277" t="s">
        <v>188</v>
      </c>
      <c r="B162" s="274">
        <v>2</v>
      </c>
      <c r="C162" s="263">
        <v>45744</v>
      </c>
      <c r="D162" s="262">
        <v>12</v>
      </c>
      <c r="E162" s="262">
        <v>23</v>
      </c>
      <c r="F162" s="269" t="s">
        <v>391</v>
      </c>
      <c r="G162" s="269" t="s">
        <v>392</v>
      </c>
      <c r="H162" s="269" t="s">
        <v>393</v>
      </c>
      <c r="I162" s="269" t="s">
        <v>433</v>
      </c>
      <c r="J162" s="269">
        <v>1440</v>
      </c>
      <c r="K162" s="264" t="s">
        <v>777</v>
      </c>
      <c r="L162" s="264">
        <v>1440</v>
      </c>
    </row>
    <row r="163" spans="1:12" ht="14.5">
      <c r="A163" s="277" t="s">
        <v>188</v>
      </c>
      <c r="B163" s="274">
        <v>2</v>
      </c>
      <c r="C163" s="263">
        <v>45744</v>
      </c>
      <c r="D163" s="262">
        <v>12</v>
      </c>
      <c r="E163" s="262">
        <v>23</v>
      </c>
      <c r="F163" s="262" t="s">
        <v>158</v>
      </c>
      <c r="G163" s="262" t="s">
        <v>242</v>
      </c>
      <c r="H163" s="262" t="s">
        <v>255</v>
      </c>
      <c r="I163" s="262" t="s">
        <v>445</v>
      </c>
      <c r="J163" s="262">
        <v>1424</v>
      </c>
      <c r="K163" s="264" t="s">
        <v>777</v>
      </c>
      <c r="L163" s="264">
        <v>1424</v>
      </c>
    </row>
    <row r="164" spans="1:12" ht="14.5">
      <c r="A164" s="277" t="s">
        <v>188</v>
      </c>
      <c r="B164" s="274">
        <v>2</v>
      </c>
      <c r="C164" s="263">
        <v>45744</v>
      </c>
      <c r="D164" s="262">
        <v>12</v>
      </c>
      <c r="E164" s="262">
        <v>23</v>
      </c>
      <c r="F164" s="262" t="s">
        <v>135</v>
      </c>
      <c r="G164" s="262" t="s">
        <v>256</v>
      </c>
      <c r="H164" s="262" t="s">
        <v>451</v>
      </c>
      <c r="I164" s="262" t="s">
        <v>452</v>
      </c>
      <c r="J164" s="262">
        <v>7000</v>
      </c>
      <c r="K164" s="264" t="s">
        <v>777</v>
      </c>
      <c r="L164" s="264">
        <v>7000</v>
      </c>
    </row>
    <row r="165" spans="1:12" ht="14.5">
      <c r="A165" s="277" t="s">
        <v>552</v>
      </c>
      <c r="B165" s="274" t="s">
        <v>806</v>
      </c>
      <c r="C165" s="263">
        <v>45746</v>
      </c>
      <c r="D165" s="262">
        <v>13</v>
      </c>
      <c r="E165" s="262">
        <v>25</v>
      </c>
      <c r="F165" s="262" t="s">
        <v>807</v>
      </c>
      <c r="G165" s="262" t="s">
        <v>799</v>
      </c>
      <c r="H165" s="262" t="s">
        <v>155</v>
      </c>
      <c r="I165" s="262" t="s">
        <v>558</v>
      </c>
      <c r="J165" s="262">
        <v>3000</v>
      </c>
      <c r="K165" s="264">
        <v>3000</v>
      </c>
      <c r="L165" s="265">
        <v>0</v>
      </c>
    </row>
    <row r="166" spans="1:12" ht="14.5">
      <c r="A166" s="277" t="s">
        <v>552</v>
      </c>
      <c r="B166" s="274" t="s">
        <v>806</v>
      </c>
      <c r="C166" s="263">
        <v>45746</v>
      </c>
      <c r="D166" s="262">
        <v>13</v>
      </c>
      <c r="E166" s="262">
        <v>25</v>
      </c>
      <c r="F166" s="262" t="s">
        <v>808</v>
      </c>
      <c r="G166" s="262" t="s">
        <v>799</v>
      </c>
      <c r="H166" s="262" t="s">
        <v>156</v>
      </c>
      <c r="I166" s="262" t="s">
        <v>809</v>
      </c>
      <c r="J166" s="262">
        <v>3000</v>
      </c>
      <c r="K166" s="264">
        <v>3000</v>
      </c>
      <c r="L166" s="265">
        <v>0</v>
      </c>
    </row>
    <row r="167" spans="1:12" ht="14.5">
      <c r="A167" s="277" t="s">
        <v>552</v>
      </c>
      <c r="B167" s="274" t="s">
        <v>806</v>
      </c>
      <c r="C167" s="263">
        <v>45746</v>
      </c>
      <c r="D167" s="262">
        <v>13</v>
      </c>
      <c r="E167" s="262">
        <v>25</v>
      </c>
      <c r="F167" s="262" t="s">
        <v>810</v>
      </c>
      <c r="G167" s="262" t="s">
        <v>554</v>
      </c>
      <c r="H167" s="262" t="s">
        <v>155</v>
      </c>
      <c r="I167" s="262" t="s">
        <v>809</v>
      </c>
      <c r="J167" s="262">
        <v>3000</v>
      </c>
      <c r="K167" s="264">
        <v>3000</v>
      </c>
      <c r="L167" s="265">
        <v>0</v>
      </c>
    </row>
    <row r="168" spans="1:12" ht="14.5">
      <c r="A168" s="277" t="s">
        <v>400</v>
      </c>
      <c r="B168" s="274">
        <v>16</v>
      </c>
      <c r="C168" s="263">
        <v>45746</v>
      </c>
      <c r="D168" s="262">
        <v>13</v>
      </c>
      <c r="E168" s="262">
        <v>25</v>
      </c>
      <c r="F168" s="262" t="s">
        <v>811</v>
      </c>
      <c r="G168" s="262" t="s">
        <v>308</v>
      </c>
      <c r="H168" s="262" t="s">
        <v>163</v>
      </c>
      <c r="I168" s="262" t="s">
        <v>812</v>
      </c>
      <c r="J168" s="262">
        <v>6000</v>
      </c>
      <c r="K168" s="264" t="s">
        <v>777</v>
      </c>
      <c r="L168" s="264">
        <v>6000</v>
      </c>
    </row>
    <row r="169" spans="1:12" ht="14.5">
      <c r="A169" s="277" t="s">
        <v>400</v>
      </c>
      <c r="B169" s="274">
        <v>16</v>
      </c>
      <c r="C169" s="263">
        <v>45746</v>
      </c>
      <c r="D169" s="262">
        <v>13</v>
      </c>
      <c r="E169" s="262">
        <v>25</v>
      </c>
      <c r="F169" s="262" t="s">
        <v>811</v>
      </c>
      <c r="G169" s="262" t="s">
        <v>308</v>
      </c>
      <c r="H169" s="262" t="s">
        <v>163</v>
      </c>
      <c r="I169" s="262" t="s">
        <v>812</v>
      </c>
      <c r="J169" s="262">
        <v>6000</v>
      </c>
      <c r="K169" s="264" t="s">
        <v>777</v>
      </c>
      <c r="L169" s="264">
        <v>6000</v>
      </c>
    </row>
    <row r="170" spans="1:12" ht="14.5">
      <c r="A170" s="277" t="s">
        <v>400</v>
      </c>
      <c r="B170" s="274">
        <v>16</v>
      </c>
      <c r="C170" s="263">
        <v>45746</v>
      </c>
      <c r="D170" s="262">
        <v>13</v>
      </c>
      <c r="E170" s="262">
        <v>25</v>
      </c>
      <c r="F170" s="262" t="s">
        <v>510</v>
      </c>
      <c r="G170" s="262" t="s">
        <v>468</v>
      </c>
      <c r="H170" s="262" t="s">
        <v>155</v>
      </c>
      <c r="I170" s="262" t="s">
        <v>813</v>
      </c>
      <c r="J170" s="262">
        <v>612</v>
      </c>
      <c r="K170" s="264" t="s">
        <v>777</v>
      </c>
      <c r="L170" s="264">
        <v>612</v>
      </c>
    </row>
    <row r="171" spans="1:12" ht="14.5">
      <c r="A171" s="277" t="s">
        <v>400</v>
      </c>
      <c r="B171" s="274">
        <v>404</v>
      </c>
      <c r="C171" s="263">
        <v>45751</v>
      </c>
      <c r="D171" s="262">
        <v>13</v>
      </c>
      <c r="E171" s="262">
        <v>30</v>
      </c>
      <c r="F171" s="262" t="s">
        <v>409</v>
      </c>
      <c r="G171" s="262" t="s">
        <v>308</v>
      </c>
      <c r="H171" s="262" t="s">
        <v>244</v>
      </c>
      <c r="I171" s="262" t="s">
        <v>488</v>
      </c>
      <c r="J171" s="262">
        <v>6000</v>
      </c>
      <c r="K171" s="264" t="s">
        <v>777</v>
      </c>
      <c r="L171" s="264">
        <v>6000</v>
      </c>
    </row>
    <row r="172" spans="1:12" ht="14.5">
      <c r="A172" s="277" t="s">
        <v>400</v>
      </c>
      <c r="B172" s="274">
        <v>404</v>
      </c>
      <c r="C172" s="263">
        <v>45751</v>
      </c>
      <c r="D172" s="262">
        <v>13</v>
      </c>
      <c r="E172" s="262">
        <v>30</v>
      </c>
      <c r="F172" s="262" t="s">
        <v>510</v>
      </c>
      <c r="G172" s="262" t="s">
        <v>468</v>
      </c>
      <c r="H172" s="262" t="s">
        <v>164</v>
      </c>
      <c r="I172" s="262" t="s">
        <v>588</v>
      </c>
      <c r="J172" s="262">
        <v>220</v>
      </c>
      <c r="K172" s="264">
        <v>220</v>
      </c>
      <c r="L172" s="265">
        <v>0</v>
      </c>
    </row>
    <row r="173" spans="1:12" ht="14.5">
      <c r="A173" s="277" t="s">
        <v>188</v>
      </c>
      <c r="B173" s="274">
        <v>1</v>
      </c>
      <c r="C173" s="263">
        <v>45758</v>
      </c>
      <c r="D173" s="262">
        <v>14</v>
      </c>
      <c r="E173" s="262">
        <v>37</v>
      </c>
      <c r="F173" s="262" t="s">
        <v>390</v>
      </c>
      <c r="G173" s="262" t="s">
        <v>242</v>
      </c>
      <c r="H173" s="262" t="s">
        <v>162</v>
      </c>
      <c r="I173" s="262" t="s">
        <v>430</v>
      </c>
      <c r="J173" s="262">
        <v>2100</v>
      </c>
      <c r="K173" s="264" t="s">
        <v>777</v>
      </c>
      <c r="L173" s="264">
        <v>2100</v>
      </c>
    </row>
    <row r="174" spans="1:12" ht="14.5">
      <c r="A174" s="277" t="s">
        <v>188</v>
      </c>
      <c r="B174" s="274">
        <v>7</v>
      </c>
      <c r="C174" s="263">
        <v>45758</v>
      </c>
      <c r="D174" s="262">
        <v>14</v>
      </c>
      <c r="E174" s="262">
        <v>37</v>
      </c>
      <c r="F174" s="262" t="s">
        <v>193</v>
      </c>
      <c r="G174" s="262" t="s">
        <v>270</v>
      </c>
      <c r="H174" s="262" t="s">
        <v>162</v>
      </c>
      <c r="I174" s="262" t="s">
        <v>583</v>
      </c>
      <c r="J174" s="262">
        <v>2700</v>
      </c>
      <c r="K174" s="264" t="s">
        <v>777</v>
      </c>
      <c r="L174" s="264">
        <v>2700</v>
      </c>
    </row>
    <row r="175" spans="1:12" ht="14.5">
      <c r="A175" s="277" t="s">
        <v>188</v>
      </c>
      <c r="B175" s="274">
        <v>7</v>
      </c>
      <c r="C175" s="263">
        <v>45758</v>
      </c>
      <c r="D175" s="262">
        <v>14</v>
      </c>
      <c r="E175" s="262">
        <v>37</v>
      </c>
      <c r="F175" s="262" t="s">
        <v>193</v>
      </c>
      <c r="G175" s="262" t="s">
        <v>246</v>
      </c>
      <c r="H175" s="262" t="s">
        <v>162</v>
      </c>
      <c r="I175" s="262" t="s">
        <v>434</v>
      </c>
      <c r="J175" s="262">
        <v>7425</v>
      </c>
      <c r="K175" s="264" t="s">
        <v>777</v>
      </c>
      <c r="L175" s="264">
        <v>7425</v>
      </c>
    </row>
    <row r="176" spans="1:12" ht="14.5">
      <c r="A176" s="277" t="s">
        <v>188</v>
      </c>
      <c r="B176" s="274">
        <v>7</v>
      </c>
      <c r="C176" s="263">
        <v>45758</v>
      </c>
      <c r="D176" s="262">
        <v>14</v>
      </c>
      <c r="E176" s="262">
        <v>37</v>
      </c>
      <c r="F176" s="262" t="s">
        <v>250</v>
      </c>
      <c r="G176" s="262" t="s">
        <v>269</v>
      </c>
      <c r="H176" s="262" t="s">
        <v>162</v>
      </c>
      <c r="I176" s="262" t="s">
        <v>440</v>
      </c>
      <c r="J176" s="262">
        <v>2625</v>
      </c>
      <c r="K176" s="264" t="s">
        <v>777</v>
      </c>
      <c r="L176" s="264">
        <v>2625</v>
      </c>
    </row>
    <row r="177" spans="1:12" ht="14.5">
      <c r="A177" s="277" t="s">
        <v>188</v>
      </c>
      <c r="B177" s="274">
        <v>7</v>
      </c>
      <c r="C177" s="263">
        <v>45758</v>
      </c>
      <c r="D177" s="262">
        <v>14</v>
      </c>
      <c r="E177" s="262">
        <v>37</v>
      </c>
      <c r="F177" s="262" t="s">
        <v>157</v>
      </c>
      <c r="G177" s="262" t="s">
        <v>243</v>
      </c>
      <c r="H177" s="262" t="s">
        <v>162</v>
      </c>
      <c r="I177" s="262" t="s">
        <v>428</v>
      </c>
      <c r="J177" s="262">
        <v>3708</v>
      </c>
      <c r="K177" s="264" t="s">
        <v>777</v>
      </c>
      <c r="L177" s="264">
        <v>3708</v>
      </c>
    </row>
    <row r="178" spans="1:12" ht="14.5">
      <c r="A178" s="277" t="s">
        <v>188</v>
      </c>
      <c r="B178" s="274">
        <v>7</v>
      </c>
      <c r="C178" s="263">
        <v>45758</v>
      </c>
      <c r="D178" s="262">
        <v>14</v>
      </c>
      <c r="E178" s="262">
        <v>37</v>
      </c>
      <c r="F178" s="262" t="s">
        <v>158</v>
      </c>
      <c r="G178" s="262" t="s">
        <v>242</v>
      </c>
      <c r="H178" s="262" t="s">
        <v>154</v>
      </c>
      <c r="I178" s="262" t="s">
        <v>432</v>
      </c>
      <c r="J178" s="262">
        <v>1336</v>
      </c>
      <c r="K178" s="264" t="s">
        <v>777</v>
      </c>
      <c r="L178" s="264">
        <v>1336</v>
      </c>
    </row>
    <row r="179" spans="1:12" ht="14.5">
      <c r="A179" s="277" t="s">
        <v>188</v>
      </c>
      <c r="B179" s="274">
        <v>5</v>
      </c>
      <c r="C179" s="263">
        <v>45765</v>
      </c>
      <c r="D179" s="262">
        <v>15</v>
      </c>
      <c r="E179" s="262">
        <v>44</v>
      </c>
      <c r="F179" s="262" t="s">
        <v>193</v>
      </c>
      <c r="G179" s="262" t="s">
        <v>300</v>
      </c>
      <c r="H179" s="262" t="s">
        <v>162</v>
      </c>
      <c r="I179" s="262" t="s">
        <v>440</v>
      </c>
      <c r="J179" s="262">
        <v>1620</v>
      </c>
      <c r="K179" s="264" t="s">
        <v>777</v>
      </c>
      <c r="L179" s="264">
        <v>1620</v>
      </c>
    </row>
    <row r="180" spans="1:12" ht="14.5">
      <c r="A180" s="277" t="s">
        <v>188</v>
      </c>
      <c r="B180" s="274">
        <v>5</v>
      </c>
      <c r="C180" s="263">
        <v>45765</v>
      </c>
      <c r="D180" s="262">
        <v>15</v>
      </c>
      <c r="E180" s="262">
        <v>44</v>
      </c>
      <c r="F180" s="262" t="s">
        <v>250</v>
      </c>
      <c r="G180" s="262" t="s">
        <v>269</v>
      </c>
      <c r="H180" s="262" t="s">
        <v>162</v>
      </c>
      <c r="I180" s="262" t="s">
        <v>440</v>
      </c>
      <c r="J180" s="262">
        <v>3825</v>
      </c>
      <c r="K180" s="264" t="s">
        <v>777</v>
      </c>
      <c r="L180" s="264">
        <v>3825</v>
      </c>
    </row>
    <row r="181" spans="1:12" ht="14.5">
      <c r="A181" s="277" t="s">
        <v>188</v>
      </c>
      <c r="B181" s="274">
        <v>5</v>
      </c>
      <c r="C181" s="263">
        <v>45765</v>
      </c>
      <c r="D181" s="262">
        <v>15</v>
      </c>
      <c r="E181" s="262">
        <v>44</v>
      </c>
      <c r="F181" s="262" t="s">
        <v>157</v>
      </c>
      <c r="G181" s="262" t="s">
        <v>243</v>
      </c>
      <c r="H181" s="262" t="s">
        <v>162</v>
      </c>
      <c r="I181" s="262" t="s">
        <v>428</v>
      </c>
      <c r="J181" s="262">
        <v>3708</v>
      </c>
      <c r="K181" s="264" t="s">
        <v>777</v>
      </c>
      <c r="L181" s="264">
        <v>3708</v>
      </c>
    </row>
    <row r="182" spans="1:12" ht="14.5">
      <c r="A182" s="277" t="s">
        <v>188</v>
      </c>
      <c r="B182" s="274">
        <v>5</v>
      </c>
      <c r="C182" s="263">
        <v>45765</v>
      </c>
      <c r="D182" s="262">
        <v>15</v>
      </c>
      <c r="E182" s="262">
        <v>44</v>
      </c>
      <c r="F182" s="262" t="s">
        <v>157</v>
      </c>
      <c r="G182" s="262" t="s">
        <v>243</v>
      </c>
      <c r="H182" s="262" t="s">
        <v>155</v>
      </c>
      <c r="I182" s="262" t="s">
        <v>428</v>
      </c>
      <c r="J182" s="262">
        <v>3708</v>
      </c>
      <c r="K182" s="264" t="s">
        <v>777</v>
      </c>
      <c r="L182" s="264">
        <v>3708</v>
      </c>
    </row>
    <row r="183" spans="1:12" ht="14.5">
      <c r="A183" s="277" t="s">
        <v>188</v>
      </c>
      <c r="B183" s="274">
        <v>6</v>
      </c>
      <c r="C183" s="263">
        <v>45765</v>
      </c>
      <c r="D183" s="262">
        <v>15</v>
      </c>
      <c r="E183" s="262">
        <v>44</v>
      </c>
      <c r="F183" s="262" t="s">
        <v>193</v>
      </c>
      <c r="G183" s="262" t="s">
        <v>270</v>
      </c>
      <c r="H183" s="262" t="s">
        <v>162</v>
      </c>
      <c r="I183" s="262" t="s">
        <v>583</v>
      </c>
      <c r="J183" s="262">
        <v>5340</v>
      </c>
      <c r="K183" s="264" t="s">
        <v>777</v>
      </c>
      <c r="L183" s="264">
        <v>5340</v>
      </c>
    </row>
    <row r="184" spans="1:12" ht="14.5">
      <c r="A184" s="277" t="s">
        <v>188</v>
      </c>
      <c r="B184" s="274">
        <v>6</v>
      </c>
      <c r="C184" s="263">
        <v>45765</v>
      </c>
      <c r="D184" s="262">
        <v>15</v>
      </c>
      <c r="E184" s="262">
        <v>44</v>
      </c>
      <c r="F184" s="262" t="s">
        <v>250</v>
      </c>
      <c r="G184" s="262" t="s">
        <v>269</v>
      </c>
      <c r="H184" s="262" t="s">
        <v>162</v>
      </c>
      <c r="I184" s="262" t="s">
        <v>440</v>
      </c>
      <c r="J184" s="262">
        <v>5305</v>
      </c>
      <c r="K184" s="264" t="s">
        <v>777</v>
      </c>
      <c r="L184" s="264">
        <v>5305</v>
      </c>
    </row>
    <row r="185" spans="1:12" ht="14.5">
      <c r="A185" s="277" t="s">
        <v>188</v>
      </c>
      <c r="B185" s="274">
        <v>8</v>
      </c>
      <c r="C185" s="263">
        <v>45765</v>
      </c>
      <c r="D185" s="262">
        <v>15</v>
      </c>
      <c r="E185" s="262">
        <v>44</v>
      </c>
      <c r="F185" s="262" t="s">
        <v>193</v>
      </c>
      <c r="G185" s="262" t="s">
        <v>270</v>
      </c>
      <c r="H185" s="262" t="s">
        <v>162</v>
      </c>
      <c r="I185" s="262" t="s">
        <v>583</v>
      </c>
      <c r="J185" s="262">
        <v>4452</v>
      </c>
      <c r="K185" s="264" t="s">
        <v>777</v>
      </c>
      <c r="L185" s="264">
        <v>4452</v>
      </c>
    </row>
    <row r="186" spans="1:12" ht="14.5">
      <c r="A186" s="277" t="s">
        <v>188</v>
      </c>
      <c r="B186" s="274">
        <v>8</v>
      </c>
      <c r="C186" s="263">
        <v>45765</v>
      </c>
      <c r="D186" s="262">
        <v>15</v>
      </c>
      <c r="E186" s="262">
        <v>44</v>
      </c>
      <c r="F186" s="262" t="s">
        <v>193</v>
      </c>
      <c r="G186" s="262" t="s">
        <v>246</v>
      </c>
      <c r="H186" s="262" t="s">
        <v>162</v>
      </c>
      <c r="I186" s="262" t="s">
        <v>434</v>
      </c>
      <c r="J186" s="262">
        <v>5940</v>
      </c>
      <c r="K186" s="264" t="s">
        <v>777</v>
      </c>
      <c r="L186" s="264">
        <v>5940</v>
      </c>
    </row>
    <row r="187" spans="1:12" ht="14.5">
      <c r="A187" s="277" t="s">
        <v>188</v>
      </c>
      <c r="B187" s="274">
        <v>8</v>
      </c>
      <c r="C187" s="263">
        <v>45765</v>
      </c>
      <c r="D187" s="262">
        <v>15</v>
      </c>
      <c r="E187" s="262">
        <v>44</v>
      </c>
      <c r="F187" s="262" t="s">
        <v>250</v>
      </c>
      <c r="G187" s="262" t="s">
        <v>269</v>
      </c>
      <c r="H187" s="262" t="s">
        <v>162</v>
      </c>
      <c r="I187" s="262" t="s">
        <v>440</v>
      </c>
      <c r="J187" s="262">
        <v>3155</v>
      </c>
      <c r="K187" s="264" t="s">
        <v>777</v>
      </c>
      <c r="L187" s="264">
        <v>3155</v>
      </c>
    </row>
    <row r="188" spans="1:12" ht="14.5">
      <c r="A188" s="277" t="s">
        <v>188</v>
      </c>
      <c r="B188" s="274">
        <v>8</v>
      </c>
      <c r="C188" s="263">
        <v>45765</v>
      </c>
      <c r="D188" s="262">
        <v>15</v>
      </c>
      <c r="E188" s="262">
        <v>44</v>
      </c>
      <c r="F188" s="262" t="s">
        <v>81</v>
      </c>
      <c r="G188" s="262" t="s">
        <v>290</v>
      </c>
      <c r="H188" s="262" t="s">
        <v>291</v>
      </c>
      <c r="I188" s="262" t="s">
        <v>435</v>
      </c>
      <c r="J188" s="262">
        <v>10392</v>
      </c>
      <c r="K188" s="264" t="s">
        <v>777</v>
      </c>
      <c r="L188" s="264">
        <v>10392</v>
      </c>
    </row>
    <row r="189" spans="1:12" ht="14.5">
      <c r="A189" s="277" t="s">
        <v>188</v>
      </c>
      <c r="B189" s="274">
        <v>8</v>
      </c>
      <c r="C189" s="263">
        <v>45765</v>
      </c>
      <c r="D189" s="262">
        <v>15</v>
      </c>
      <c r="E189" s="262">
        <v>44</v>
      </c>
      <c r="F189" s="262" t="s">
        <v>81</v>
      </c>
      <c r="G189" s="262" t="s">
        <v>290</v>
      </c>
      <c r="H189" s="262" t="s">
        <v>293</v>
      </c>
      <c r="I189" s="262" t="s">
        <v>435</v>
      </c>
      <c r="J189" s="262">
        <v>10392</v>
      </c>
      <c r="K189" s="264" t="s">
        <v>777</v>
      </c>
      <c r="L189" s="264">
        <v>10392</v>
      </c>
    </row>
    <row r="190" spans="1:12" ht="14.5">
      <c r="A190" s="277" t="s">
        <v>188</v>
      </c>
      <c r="B190" s="274">
        <v>8</v>
      </c>
      <c r="C190" s="263">
        <v>45765</v>
      </c>
      <c r="D190" s="262">
        <v>15</v>
      </c>
      <c r="E190" s="262">
        <v>44</v>
      </c>
      <c r="F190" s="262" t="s">
        <v>81</v>
      </c>
      <c r="G190" s="262" t="s">
        <v>290</v>
      </c>
      <c r="H190" s="262" t="s">
        <v>294</v>
      </c>
      <c r="I190" s="262" t="s">
        <v>435</v>
      </c>
      <c r="J190" s="262">
        <v>10392</v>
      </c>
      <c r="K190" s="264" t="s">
        <v>777</v>
      </c>
      <c r="L190" s="264">
        <v>10392</v>
      </c>
    </row>
    <row r="191" spans="1:12" ht="14.5">
      <c r="A191" s="277" t="s">
        <v>188</v>
      </c>
      <c r="B191" s="274">
        <v>8</v>
      </c>
      <c r="C191" s="263">
        <v>45765</v>
      </c>
      <c r="D191" s="262">
        <v>15</v>
      </c>
      <c r="E191" s="262">
        <v>44</v>
      </c>
      <c r="F191" s="262" t="s">
        <v>157</v>
      </c>
      <c r="G191" s="262" t="s">
        <v>243</v>
      </c>
      <c r="H191" s="262" t="s">
        <v>162</v>
      </c>
      <c r="I191" s="262" t="s">
        <v>428</v>
      </c>
      <c r="J191" s="262">
        <v>3666</v>
      </c>
      <c r="K191" s="264" t="s">
        <v>777</v>
      </c>
      <c r="L191" s="264">
        <v>3666</v>
      </c>
    </row>
    <row r="192" spans="1:12" ht="14.5">
      <c r="A192" s="277" t="s">
        <v>188</v>
      </c>
      <c r="B192" s="274">
        <v>8</v>
      </c>
      <c r="C192" s="263">
        <v>45765</v>
      </c>
      <c r="D192" s="262">
        <v>15</v>
      </c>
      <c r="E192" s="262">
        <v>44</v>
      </c>
      <c r="F192" s="262" t="s">
        <v>245</v>
      </c>
      <c r="G192" s="262" t="s">
        <v>242</v>
      </c>
      <c r="H192" s="262" t="s">
        <v>244</v>
      </c>
      <c r="I192" s="262" t="s">
        <v>432</v>
      </c>
      <c r="J192" s="262">
        <v>696</v>
      </c>
      <c r="K192" s="264" t="s">
        <v>777</v>
      </c>
      <c r="L192" s="264">
        <v>696</v>
      </c>
    </row>
    <row r="193" spans="1:12" ht="14.5">
      <c r="A193" s="277" t="s">
        <v>188</v>
      </c>
      <c r="B193" s="274">
        <v>9</v>
      </c>
      <c r="C193" s="263">
        <v>45765</v>
      </c>
      <c r="D193" s="262">
        <v>15</v>
      </c>
      <c r="E193" s="262">
        <v>44</v>
      </c>
      <c r="F193" s="262" t="s">
        <v>193</v>
      </c>
      <c r="G193" s="262" t="s">
        <v>270</v>
      </c>
      <c r="H193" s="262" t="s">
        <v>162</v>
      </c>
      <c r="I193" s="262" t="s">
        <v>583</v>
      </c>
      <c r="J193" s="262">
        <v>3336</v>
      </c>
      <c r="K193" s="264" t="s">
        <v>777</v>
      </c>
      <c r="L193" s="264">
        <v>3336</v>
      </c>
    </row>
    <row r="194" spans="1:12" ht="14.5">
      <c r="A194" s="277" t="s">
        <v>188</v>
      </c>
      <c r="B194" s="274">
        <v>9</v>
      </c>
      <c r="C194" s="263">
        <v>45765</v>
      </c>
      <c r="D194" s="262">
        <v>15</v>
      </c>
      <c r="E194" s="262">
        <v>44</v>
      </c>
      <c r="F194" s="262" t="s">
        <v>193</v>
      </c>
      <c r="G194" s="262" t="s">
        <v>246</v>
      </c>
      <c r="H194" s="262" t="s">
        <v>162</v>
      </c>
      <c r="I194" s="262" t="s">
        <v>434</v>
      </c>
      <c r="J194" s="262">
        <v>4800</v>
      </c>
      <c r="K194" s="264" t="s">
        <v>777</v>
      </c>
      <c r="L194" s="264">
        <v>4800</v>
      </c>
    </row>
    <row r="195" spans="1:12" ht="14.5">
      <c r="A195" s="277" t="s">
        <v>188</v>
      </c>
      <c r="B195" s="274">
        <v>9</v>
      </c>
      <c r="C195" s="263">
        <v>45765</v>
      </c>
      <c r="D195" s="262">
        <v>15</v>
      </c>
      <c r="E195" s="262">
        <v>44</v>
      </c>
      <c r="F195" s="262" t="s">
        <v>250</v>
      </c>
      <c r="G195" s="262" t="s">
        <v>269</v>
      </c>
      <c r="H195" s="262" t="s">
        <v>162</v>
      </c>
      <c r="I195" s="262" t="s">
        <v>440</v>
      </c>
      <c r="J195" s="262">
        <v>3390</v>
      </c>
      <c r="K195" s="264" t="s">
        <v>777</v>
      </c>
      <c r="L195" s="264">
        <v>3390</v>
      </c>
    </row>
    <row r="196" spans="1:12" ht="14.5">
      <c r="A196" s="277" t="s">
        <v>188</v>
      </c>
      <c r="B196" s="274">
        <v>9</v>
      </c>
      <c r="C196" s="263">
        <v>45765</v>
      </c>
      <c r="D196" s="262">
        <v>15</v>
      </c>
      <c r="E196" s="262">
        <v>44</v>
      </c>
      <c r="F196" s="262" t="s">
        <v>201</v>
      </c>
      <c r="G196" s="262" t="s">
        <v>247</v>
      </c>
      <c r="H196" s="262" t="s">
        <v>155</v>
      </c>
      <c r="I196" s="262" t="s">
        <v>442</v>
      </c>
      <c r="J196" s="262">
        <v>16128</v>
      </c>
      <c r="K196" s="264" t="s">
        <v>777</v>
      </c>
      <c r="L196" s="264">
        <v>16128</v>
      </c>
    </row>
    <row r="197" spans="1:12" ht="14.5">
      <c r="A197" s="277" t="s">
        <v>55</v>
      </c>
      <c r="B197" s="274">
        <v>4</v>
      </c>
      <c r="C197" s="263">
        <v>45771</v>
      </c>
      <c r="D197" s="262">
        <v>16</v>
      </c>
      <c r="E197" s="262">
        <v>50</v>
      </c>
      <c r="F197" s="262" t="s">
        <v>539</v>
      </c>
      <c r="G197" s="262" t="s">
        <v>784</v>
      </c>
      <c r="H197" s="262" t="s">
        <v>162</v>
      </c>
      <c r="I197" s="262" t="s">
        <v>785</v>
      </c>
      <c r="J197" s="262">
        <v>45900</v>
      </c>
      <c r="K197" s="264" t="s">
        <v>777</v>
      </c>
      <c r="L197" s="264">
        <v>45900</v>
      </c>
    </row>
    <row r="198" spans="1:12" ht="14.5">
      <c r="A198" s="277" t="s">
        <v>55</v>
      </c>
      <c r="B198" s="274">
        <v>4</v>
      </c>
      <c r="C198" s="263">
        <v>45771</v>
      </c>
      <c r="D198" s="262">
        <v>16</v>
      </c>
      <c r="E198" s="262">
        <v>50</v>
      </c>
      <c r="F198" s="262" t="s">
        <v>539</v>
      </c>
      <c r="G198" s="262" t="s">
        <v>784</v>
      </c>
      <c r="H198" s="262" t="s">
        <v>155</v>
      </c>
      <c r="I198" s="262" t="s">
        <v>785</v>
      </c>
      <c r="J198" s="262">
        <v>46920</v>
      </c>
      <c r="K198" s="264" t="s">
        <v>777</v>
      </c>
      <c r="L198" s="264">
        <v>46920</v>
      </c>
    </row>
    <row r="199" spans="1:12" ht="14.5">
      <c r="A199" s="277" t="s">
        <v>188</v>
      </c>
      <c r="B199" s="274">
        <v>10</v>
      </c>
      <c r="C199" s="263">
        <v>45772</v>
      </c>
      <c r="D199" s="262">
        <v>16</v>
      </c>
      <c r="E199" s="262">
        <v>51</v>
      </c>
      <c r="F199" s="262" t="s">
        <v>193</v>
      </c>
      <c r="G199" s="262" t="s">
        <v>300</v>
      </c>
      <c r="H199" s="262" t="s">
        <v>162</v>
      </c>
      <c r="I199" s="262" t="s">
        <v>440</v>
      </c>
      <c r="J199" s="262">
        <v>1280</v>
      </c>
      <c r="K199" s="264" t="s">
        <v>777</v>
      </c>
      <c r="L199" s="264">
        <v>1280</v>
      </c>
    </row>
    <row r="200" spans="1:12" ht="14.5">
      <c r="A200" s="277" t="s">
        <v>188</v>
      </c>
      <c r="B200" s="274">
        <v>10</v>
      </c>
      <c r="C200" s="263">
        <v>45772</v>
      </c>
      <c r="D200" s="262">
        <v>16</v>
      </c>
      <c r="E200" s="262">
        <v>51</v>
      </c>
      <c r="F200" s="262" t="s">
        <v>193</v>
      </c>
      <c r="G200" s="262" t="s">
        <v>270</v>
      </c>
      <c r="H200" s="262" t="s">
        <v>162</v>
      </c>
      <c r="I200" s="262" t="s">
        <v>583</v>
      </c>
      <c r="J200" s="262">
        <v>4464</v>
      </c>
      <c r="K200" s="264" t="s">
        <v>777</v>
      </c>
      <c r="L200" s="264">
        <v>4464</v>
      </c>
    </row>
    <row r="201" spans="1:12" ht="14.5">
      <c r="A201" s="277" t="s">
        <v>188</v>
      </c>
      <c r="B201" s="274">
        <v>10</v>
      </c>
      <c r="C201" s="263">
        <v>45772</v>
      </c>
      <c r="D201" s="262">
        <v>16</v>
      </c>
      <c r="E201" s="262">
        <v>51</v>
      </c>
      <c r="F201" s="262" t="s">
        <v>193</v>
      </c>
      <c r="G201" s="262" t="s">
        <v>300</v>
      </c>
      <c r="H201" s="262" t="s">
        <v>162</v>
      </c>
      <c r="I201" s="262" t="s">
        <v>434</v>
      </c>
      <c r="J201" s="262">
        <v>3600</v>
      </c>
      <c r="K201" s="264" t="s">
        <v>777</v>
      </c>
      <c r="L201" s="264">
        <v>3600</v>
      </c>
    </row>
    <row r="202" spans="1:12" ht="14.5">
      <c r="A202" s="277" t="s">
        <v>188</v>
      </c>
      <c r="B202" s="274">
        <v>10</v>
      </c>
      <c r="C202" s="263">
        <v>45772</v>
      </c>
      <c r="D202" s="262">
        <v>16</v>
      </c>
      <c r="E202" s="262">
        <v>51</v>
      </c>
      <c r="F202" s="262" t="s">
        <v>201</v>
      </c>
      <c r="G202" s="262" t="s">
        <v>247</v>
      </c>
      <c r="H202" s="262" t="s">
        <v>441</v>
      </c>
      <c r="I202" s="262" t="s">
        <v>442</v>
      </c>
      <c r="J202" s="262">
        <v>14256</v>
      </c>
      <c r="K202" s="264" t="s">
        <v>777</v>
      </c>
      <c r="L202" s="264">
        <v>14256</v>
      </c>
    </row>
    <row r="203" spans="1:12" ht="14.5">
      <c r="A203" s="277" t="s">
        <v>188</v>
      </c>
      <c r="B203" s="274">
        <v>10</v>
      </c>
      <c r="C203" s="263">
        <v>45772</v>
      </c>
      <c r="D203" s="262">
        <v>16</v>
      </c>
      <c r="E203" s="262">
        <v>51</v>
      </c>
      <c r="F203" s="262" t="s">
        <v>158</v>
      </c>
      <c r="G203" s="262" t="s">
        <v>242</v>
      </c>
      <c r="H203" s="262" t="s">
        <v>155</v>
      </c>
      <c r="I203" s="262" t="s">
        <v>432</v>
      </c>
      <c r="J203" s="262">
        <v>2564</v>
      </c>
      <c r="K203" s="264" t="s">
        <v>777</v>
      </c>
      <c r="L203" s="264">
        <v>2564</v>
      </c>
    </row>
    <row r="204" spans="1:12" ht="14.5">
      <c r="A204" s="277" t="s">
        <v>188</v>
      </c>
      <c r="B204" s="274">
        <v>11</v>
      </c>
      <c r="C204" s="263">
        <v>45772</v>
      </c>
      <c r="D204" s="262">
        <v>16</v>
      </c>
      <c r="E204" s="262">
        <v>51</v>
      </c>
      <c r="F204" s="262" t="s">
        <v>193</v>
      </c>
      <c r="G204" s="262" t="s">
        <v>270</v>
      </c>
      <c r="H204" s="262" t="s">
        <v>162</v>
      </c>
      <c r="I204" s="262" t="s">
        <v>583</v>
      </c>
      <c r="J204" s="262">
        <v>3120</v>
      </c>
      <c r="K204" s="264" t="s">
        <v>777</v>
      </c>
      <c r="L204" s="264">
        <v>3120</v>
      </c>
    </row>
    <row r="205" spans="1:12" ht="14.5">
      <c r="A205" s="277" t="s">
        <v>188</v>
      </c>
      <c r="B205" s="274">
        <v>11</v>
      </c>
      <c r="C205" s="263">
        <v>45772</v>
      </c>
      <c r="D205" s="262">
        <v>16</v>
      </c>
      <c r="E205" s="262">
        <v>51</v>
      </c>
      <c r="F205" s="262" t="s">
        <v>193</v>
      </c>
      <c r="G205" s="262" t="s">
        <v>246</v>
      </c>
      <c r="H205" s="262" t="s">
        <v>162</v>
      </c>
      <c r="I205" s="262" t="s">
        <v>434</v>
      </c>
      <c r="J205" s="262">
        <v>3300</v>
      </c>
      <c r="K205" s="264" t="s">
        <v>777</v>
      </c>
      <c r="L205" s="264">
        <v>3300</v>
      </c>
    </row>
    <row r="206" spans="1:12" ht="14.5">
      <c r="A206" s="277" t="s">
        <v>188</v>
      </c>
      <c r="B206" s="274">
        <v>11</v>
      </c>
      <c r="C206" s="263">
        <v>45772</v>
      </c>
      <c r="D206" s="262">
        <v>16</v>
      </c>
      <c r="E206" s="262">
        <v>51</v>
      </c>
      <c r="F206" s="262" t="s">
        <v>250</v>
      </c>
      <c r="G206" s="262" t="s">
        <v>269</v>
      </c>
      <c r="H206" s="262" t="s">
        <v>162</v>
      </c>
      <c r="I206" s="262" t="s">
        <v>440</v>
      </c>
      <c r="J206" s="262">
        <v>3040</v>
      </c>
      <c r="K206" s="264" t="s">
        <v>777</v>
      </c>
      <c r="L206" s="264">
        <v>3040</v>
      </c>
    </row>
    <row r="207" spans="1:12" ht="14.5">
      <c r="A207" s="277" t="s">
        <v>188</v>
      </c>
      <c r="B207" s="274">
        <v>11</v>
      </c>
      <c r="C207" s="263">
        <v>45772</v>
      </c>
      <c r="D207" s="262">
        <v>16</v>
      </c>
      <c r="E207" s="262">
        <v>51</v>
      </c>
      <c r="F207" s="262" t="s">
        <v>157</v>
      </c>
      <c r="G207" s="262" t="s">
        <v>243</v>
      </c>
      <c r="H207" s="262" t="s">
        <v>162</v>
      </c>
      <c r="I207" s="262" t="s">
        <v>428</v>
      </c>
      <c r="J207" s="262">
        <v>3708</v>
      </c>
      <c r="K207" s="264" t="s">
        <v>777</v>
      </c>
      <c r="L207" s="264">
        <v>3708</v>
      </c>
    </row>
    <row r="208" spans="1:12" ht="14.5">
      <c r="A208" s="277" t="s">
        <v>188</v>
      </c>
      <c r="B208" s="274">
        <v>11</v>
      </c>
      <c r="C208" s="263">
        <v>45772</v>
      </c>
      <c r="D208" s="262">
        <v>16</v>
      </c>
      <c r="E208" s="262">
        <v>51</v>
      </c>
      <c r="F208" s="262" t="s">
        <v>390</v>
      </c>
      <c r="G208" s="262" t="s">
        <v>242</v>
      </c>
      <c r="H208" s="262" t="s">
        <v>162</v>
      </c>
      <c r="I208" s="262" t="s">
        <v>430</v>
      </c>
      <c r="J208" s="262">
        <v>1938</v>
      </c>
      <c r="K208" s="264" t="s">
        <v>777</v>
      </c>
      <c r="L208" s="264">
        <v>1938</v>
      </c>
    </row>
    <row r="209" spans="1:12" ht="14.5">
      <c r="A209" s="277" t="s">
        <v>188</v>
      </c>
      <c r="B209" s="274">
        <v>18</v>
      </c>
      <c r="C209" s="263">
        <v>45772</v>
      </c>
      <c r="D209" s="262">
        <v>16</v>
      </c>
      <c r="E209" s="262">
        <v>51</v>
      </c>
      <c r="F209" s="262" t="s">
        <v>193</v>
      </c>
      <c r="G209" s="262" t="s">
        <v>270</v>
      </c>
      <c r="H209" s="262" t="s">
        <v>162</v>
      </c>
      <c r="I209" s="262" t="s">
        <v>583</v>
      </c>
      <c r="J209" s="262">
        <v>1176</v>
      </c>
      <c r="K209" s="264" t="s">
        <v>777</v>
      </c>
      <c r="L209" s="264">
        <v>1176</v>
      </c>
    </row>
    <row r="210" spans="1:12" ht="14.5">
      <c r="A210" s="277" t="s">
        <v>188</v>
      </c>
      <c r="B210" s="274">
        <v>18</v>
      </c>
      <c r="C210" s="263">
        <v>45772</v>
      </c>
      <c r="D210" s="262">
        <v>16</v>
      </c>
      <c r="E210" s="262">
        <v>51</v>
      </c>
      <c r="F210" s="262" t="s">
        <v>250</v>
      </c>
      <c r="G210" s="262" t="s">
        <v>269</v>
      </c>
      <c r="H210" s="262" t="s">
        <v>162</v>
      </c>
      <c r="I210" s="262" t="s">
        <v>440</v>
      </c>
      <c r="J210" s="262">
        <v>1115</v>
      </c>
      <c r="K210" s="264" t="s">
        <v>777</v>
      </c>
      <c r="L210" s="264">
        <v>1115</v>
      </c>
    </row>
    <row r="211" spans="1:12" ht="14.5">
      <c r="A211" s="277" t="s">
        <v>188</v>
      </c>
      <c r="B211" s="274">
        <v>18</v>
      </c>
      <c r="C211" s="263">
        <v>45772</v>
      </c>
      <c r="D211" s="262">
        <v>16</v>
      </c>
      <c r="E211" s="262">
        <v>51</v>
      </c>
      <c r="F211" s="262" t="s">
        <v>136</v>
      </c>
      <c r="G211" s="262" t="s">
        <v>247</v>
      </c>
      <c r="H211" s="262" t="s">
        <v>162</v>
      </c>
      <c r="I211" s="262" t="s">
        <v>500</v>
      </c>
      <c r="J211" s="262">
        <v>3712</v>
      </c>
      <c r="K211" s="264" t="s">
        <v>777</v>
      </c>
      <c r="L211" s="264">
        <v>3712</v>
      </c>
    </row>
    <row r="212" spans="1:12" ht="14.5">
      <c r="A212" s="277" t="s">
        <v>188</v>
      </c>
      <c r="B212" s="274">
        <v>18</v>
      </c>
      <c r="C212" s="263">
        <v>45772</v>
      </c>
      <c r="D212" s="262">
        <v>16</v>
      </c>
      <c r="E212" s="262">
        <v>51</v>
      </c>
      <c r="F212" s="262" t="s">
        <v>136</v>
      </c>
      <c r="G212" s="262" t="s">
        <v>247</v>
      </c>
      <c r="H212" s="262" t="s">
        <v>163</v>
      </c>
      <c r="I212" s="262" t="s">
        <v>500</v>
      </c>
      <c r="J212" s="262">
        <v>3712</v>
      </c>
      <c r="K212" s="264" t="s">
        <v>777</v>
      </c>
      <c r="L212" s="264">
        <v>3712</v>
      </c>
    </row>
    <row r="213" spans="1:12" ht="14.5">
      <c r="A213" s="277" t="s">
        <v>188</v>
      </c>
      <c r="B213" s="274">
        <v>18</v>
      </c>
      <c r="C213" s="263">
        <v>45772</v>
      </c>
      <c r="D213" s="262">
        <v>16</v>
      </c>
      <c r="E213" s="262">
        <v>51</v>
      </c>
      <c r="F213" s="262" t="s">
        <v>136</v>
      </c>
      <c r="G213" s="262" t="s">
        <v>247</v>
      </c>
      <c r="H213" s="262" t="s">
        <v>164</v>
      </c>
      <c r="I213" s="262" t="s">
        <v>500</v>
      </c>
      <c r="J213" s="262">
        <v>3712</v>
      </c>
      <c r="K213" s="264" t="s">
        <v>777</v>
      </c>
      <c r="L213" s="264">
        <v>3712</v>
      </c>
    </row>
    <row r="214" spans="1:12" ht="14.5">
      <c r="A214" s="277" t="s">
        <v>188</v>
      </c>
      <c r="B214" s="274">
        <v>18</v>
      </c>
      <c r="C214" s="263">
        <v>45772</v>
      </c>
      <c r="D214" s="262">
        <v>16</v>
      </c>
      <c r="E214" s="262">
        <v>51</v>
      </c>
      <c r="F214" s="262" t="s">
        <v>201</v>
      </c>
      <c r="G214" s="262" t="s">
        <v>247</v>
      </c>
      <c r="H214" s="262" t="s">
        <v>155</v>
      </c>
      <c r="I214" s="262" t="s">
        <v>442</v>
      </c>
      <c r="J214" s="262">
        <v>14256</v>
      </c>
      <c r="K214" s="264" t="s">
        <v>777</v>
      </c>
      <c r="L214" s="264">
        <v>14256</v>
      </c>
    </row>
    <row r="215" spans="1:12" ht="14.5">
      <c r="A215" s="277" t="s">
        <v>188</v>
      </c>
      <c r="B215" s="274">
        <v>18</v>
      </c>
      <c r="C215" s="263">
        <v>45772</v>
      </c>
      <c r="D215" s="262">
        <v>16</v>
      </c>
      <c r="E215" s="262">
        <v>51</v>
      </c>
      <c r="F215" s="262" t="s">
        <v>81</v>
      </c>
      <c r="G215" s="262" t="s">
        <v>290</v>
      </c>
      <c r="H215" s="262" t="s">
        <v>291</v>
      </c>
      <c r="I215" s="262" t="s">
        <v>435</v>
      </c>
      <c r="J215" s="262">
        <v>2976</v>
      </c>
      <c r="K215" s="264" t="s">
        <v>777</v>
      </c>
      <c r="L215" s="264">
        <v>2976</v>
      </c>
    </row>
    <row r="216" spans="1:12" ht="14.5">
      <c r="A216" s="277" t="s">
        <v>188</v>
      </c>
      <c r="B216" s="274">
        <v>18</v>
      </c>
      <c r="C216" s="263">
        <v>45772</v>
      </c>
      <c r="D216" s="262">
        <v>16</v>
      </c>
      <c r="E216" s="262">
        <v>51</v>
      </c>
      <c r="F216" s="262" t="s">
        <v>81</v>
      </c>
      <c r="G216" s="262" t="s">
        <v>290</v>
      </c>
      <c r="H216" s="262" t="s">
        <v>402</v>
      </c>
      <c r="I216" s="262" t="s">
        <v>435</v>
      </c>
      <c r="J216" s="262">
        <v>2976</v>
      </c>
      <c r="K216" s="264" t="s">
        <v>777</v>
      </c>
      <c r="L216" s="264">
        <v>2976</v>
      </c>
    </row>
    <row r="217" spans="1:12" ht="14.5">
      <c r="A217" s="277" t="s">
        <v>188</v>
      </c>
      <c r="B217" s="274">
        <v>18</v>
      </c>
      <c r="C217" s="263">
        <v>45772</v>
      </c>
      <c r="D217" s="262">
        <v>16</v>
      </c>
      <c r="E217" s="262">
        <v>51</v>
      </c>
      <c r="F217" s="262" t="s">
        <v>81</v>
      </c>
      <c r="G217" s="262" t="s">
        <v>290</v>
      </c>
      <c r="H217" s="262" t="s">
        <v>294</v>
      </c>
      <c r="I217" s="262" t="s">
        <v>435</v>
      </c>
      <c r="J217" s="262">
        <v>2976</v>
      </c>
      <c r="K217" s="264" t="s">
        <v>777</v>
      </c>
      <c r="L217" s="264">
        <v>2976</v>
      </c>
    </row>
    <row r="218" spans="1:12" ht="14.5">
      <c r="A218" s="277" t="s">
        <v>188</v>
      </c>
      <c r="B218" s="274">
        <v>18</v>
      </c>
      <c r="C218" s="263">
        <v>45772</v>
      </c>
      <c r="D218" s="262">
        <v>16</v>
      </c>
      <c r="E218" s="262">
        <v>51</v>
      </c>
      <c r="F218" s="262" t="s">
        <v>157</v>
      </c>
      <c r="G218" s="262" t="s">
        <v>243</v>
      </c>
      <c r="H218" s="262" t="s">
        <v>155</v>
      </c>
      <c r="I218" s="262" t="s">
        <v>428</v>
      </c>
      <c r="J218" s="262">
        <v>3708</v>
      </c>
      <c r="K218" s="264" t="s">
        <v>777</v>
      </c>
      <c r="L218" s="264">
        <v>3708</v>
      </c>
    </row>
    <row r="219" spans="1:12" ht="14.5">
      <c r="A219" s="277" t="s">
        <v>188</v>
      </c>
      <c r="B219" s="274">
        <v>18</v>
      </c>
      <c r="C219" s="263">
        <v>45772</v>
      </c>
      <c r="D219" s="262">
        <v>16</v>
      </c>
      <c r="E219" s="262">
        <v>51</v>
      </c>
      <c r="F219" s="262" t="s">
        <v>391</v>
      </c>
      <c r="G219" s="262" t="s">
        <v>392</v>
      </c>
      <c r="H219" s="262" t="s">
        <v>393</v>
      </c>
      <c r="I219" s="262" t="s">
        <v>433</v>
      </c>
      <c r="J219" s="262">
        <v>1326</v>
      </c>
      <c r="K219" s="264" t="s">
        <v>777</v>
      </c>
      <c r="L219" s="264">
        <v>1326</v>
      </c>
    </row>
    <row r="220" spans="1:12" ht="14.5">
      <c r="A220" s="277" t="s">
        <v>188</v>
      </c>
      <c r="B220" s="274">
        <v>18</v>
      </c>
      <c r="C220" s="263">
        <v>45772</v>
      </c>
      <c r="D220" s="262">
        <v>16</v>
      </c>
      <c r="E220" s="262">
        <v>51</v>
      </c>
      <c r="F220" s="262" t="s">
        <v>190</v>
      </c>
      <c r="G220" s="262" t="s">
        <v>242</v>
      </c>
      <c r="H220" s="262" t="s">
        <v>244</v>
      </c>
      <c r="I220" s="262" t="s">
        <v>513</v>
      </c>
      <c r="J220" s="262">
        <v>460</v>
      </c>
      <c r="K220" s="264" t="s">
        <v>777</v>
      </c>
      <c r="L220" s="264">
        <v>460</v>
      </c>
    </row>
    <row r="221" spans="1:12" ht="14.5">
      <c r="A221" s="277" t="s">
        <v>188</v>
      </c>
      <c r="B221" s="274">
        <v>20</v>
      </c>
      <c r="C221" s="263">
        <v>45772</v>
      </c>
      <c r="D221" s="262">
        <v>16</v>
      </c>
      <c r="E221" s="262">
        <v>51</v>
      </c>
      <c r="F221" s="262" t="s">
        <v>190</v>
      </c>
      <c r="G221" s="262" t="s">
        <v>242</v>
      </c>
      <c r="H221" s="262" t="s">
        <v>244</v>
      </c>
      <c r="I221" s="262" t="s">
        <v>513</v>
      </c>
      <c r="J221" s="262">
        <v>1800</v>
      </c>
      <c r="K221" s="264" t="s">
        <v>777</v>
      </c>
      <c r="L221" s="264">
        <v>1800</v>
      </c>
    </row>
    <row r="222" spans="1:12" ht="14.5">
      <c r="A222" s="277" t="s">
        <v>188</v>
      </c>
      <c r="B222" s="274">
        <v>21</v>
      </c>
      <c r="C222" s="263">
        <v>45772</v>
      </c>
      <c r="D222" s="262">
        <v>16</v>
      </c>
      <c r="E222" s="262">
        <v>51</v>
      </c>
      <c r="F222" s="262" t="s">
        <v>268</v>
      </c>
      <c r="G222" s="262" t="s">
        <v>269</v>
      </c>
      <c r="H222" s="262" t="s">
        <v>255</v>
      </c>
      <c r="I222" s="262" t="s">
        <v>440</v>
      </c>
      <c r="J222" s="262">
        <v>19155</v>
      </c>
      <c r="K222" s="264" t="s">
        <v>777</v>
      </c>
      <c r="L222" s="264">
        <v>19155</v>
      </c>
    </row>
    <row r="223" spans="1:12" ht="14.5">
      <c r="A223" s="277" t="s">
        <v>188</v>
      </c>
      <c r="B223" s="274">
        <v>17</v>
      </c>
      <c r="C223" s="263">
        <v>45779</v>
      </c>
      <c r="D223" s="262">
        <v>17</v>
      </c>
      <c r="E223" s="262">
        <v>58</v>
      </c>
      <c r="F223" s="262" t="s">
        <v>157</v>
      </c>
      <c r="G223" s="262" t="s">
        <v>243</v>
      </c>
      <c r="H223" s="262" t="s">
        <v>162</v>
      </c>
      <c r="I223" s="262" t="s">
        <v>549</v>
      </c>
      <c r="J223" s="262">
        <v>990</v>
      </c>
      <c r="K223" s="264" t="s">
        <v>777</v>
      </c>
      <c r="L223" s="264">
        <v>990</v>
      </c>
    </row>
    <row r="224" spans="1:12" ht="14.5">
      <c r="A224" s="277" t="s">
        <v>188</v>
      </c>
      <c r="B224" s="274">
        <v>17</v>
      </c>
      <c r="C224" s="263">
        <v>45779</v>
      </c>
      <c r="D224" s="262">
        <v>17</v>
      </c>
      <c r="E224" s="262">
        <v>58</v>
      </c>
      <c r="F224" s="262" t="s">
        <v>157</v>
      </c>
      <c r="G224" s="262" t="s">
        <v>243</v>
      </c>
      <c r="H224" s="262" t="s">
        <v>155</v>
      </c>
      <c r="I224" s="262" t="s">
        <v>549</v>
      </c>
      <c r="J224" s="262">
        <v>804</v>
      </c>
      <c r="K224" s="264" t="s">
        <v>777</v>
      </c>
      <c r="L224" s="264">
        <v>804</v>
      </c>
    </row>
    <row r="225" spans="1:12" ht="14.5">
      <c r="A225" s="277" t="s">
        <v>188</v>
      </c>
      <c r="B225" s="274">
        <v>17</v>
      </c>
      <c r="C225" s="263">
        <v>45779</v>
      </c>
      <c r="D225" s="262">
        <v>17</v>
      </c>
      <c r="E225" s="262">
        <v>58</v>
      </c>
      <c r="F225" s="262" t="s">
        <v>391</v>
      </c>
      <c r="G225" s="262" t="s">
        <v>392</v>
      </c>
      <c r="H225" s="262" t="s">
        <v>393</v>
      </c>
      <c r="I225" s="262" t="s">
        <v>433</v>
      </c>
      <c r="J225" s="262">
        <v>540</v>
      </c>
      <c r="K225" s="264" t="s">
        <v>777</v>
      </c>
      <c r="L225" s="264">
        <v>540</v>
      </c>
    </row>
    <row r="226" spans="1:12" ht="14.5">
      <c r="A226" s="277" t="s">
        <v>188</v>
      </c>
      <c r="B226" s="274">
        <v>17</v>
      </c>
      <c r="C226" s="263">
        <v>45779</v>
      </c>
      <c r="D226" s="262">
        <v>17</v>
      </c>
      <c r="E226" s="262">
        <v>58</v>
      </c>
      <c r="F226" s="262" t="s">
        <v>390</v>
      </c>
      <c r="G226" s="262" t="s">
        <v>242</v>
      </c>
      <c r="H226" s="262" t="s">
        <v>162</v>
      </c>
      <c r="I226" s="262" t="s">
        <v>430</v>
      </c>
      <c r="J226" s="262">
        <v>1320</v>
      </c>
      <c r="K226" s="264" t="s">
        <v>777</v>
      </c>
      <c r="L226" s="264">
        <v>1320</v>
      </c>
    </row>
    <row r="227" spans="1:12" ht="14.5">
      <c r="A227" s="277" t="s">
        <v>188</v>
      </c>
      <c r="B227" s="274">
        <v>17</v>
      </c>
      <c r="C227" s="263">
        <v>45779</v>
      </c>
      <c r="D227" s="262">
        <v>17</v>
      </c>
      <c r="E227" s="262">
        <v>58</v>
      </c>
      <c r="F227" s="262" t="s">
        <v>158</v>
      </c>
      <c r="G227" s="262" t="s">
        <v>242</v>
      </c>
      <c r="H227" s="262" t="s">
        <v>156</v>
      </c>
      <c r="I227" s="262" t="s">
        <v>432</v>
      </c>
      <c r="J227" s="262">
        <v>824</v>
      </c>
      <c r="K227" s="264" t="s">
        <v>777</v>
      </c>
      <c r="L227" s="264">
        <v>824</v>
      </c>
    </row>
    <row r="228" spans="1:12" ht="14.5">
      <c r="A228" s="277" t="s">
        <v>188</v>
      </c>
      <c r="B228" s="274">
        <v>17</v>
      </c>
      <c r="C228" s="263">
        <v>45779</v>
      </c>
      <c r="D228" s="262">
        <v>17</v>
      </c>
      <c r="E228" s="262">
        <v>58</v>
      </c>
      <c r="F228" s="262" t="s">
        <v>189</v>
      </c>
      <c r="G228" s="262" t="s">
        <v>242</v>
      </c>
      <c r="H228" s="262" t="s">
        <v>162</v>
      </c>
      <c r="I228" s="262" t="s">
        <v>432</v>
      </c>
      <c r="J228" s="262">
        <v>784</v>
      </c>
      <c r="K228" s="264" t="s">
        <v>777</v>
      </c>
      <c r="L228" s="264">
        <v>784</v>
      </c>
    </row>
    <row r="229" spans="1:12" ht="14.5">
      <c r="A229" s="277" t="s">
        <v>188</v>
      </c>
      <c r="B229" s="274">
        <v>17</v>
      </c>
      <c r="C229" s="263">
        <v>45779</v>
      </c>
      <c r="D229" s="262">
        <v>17</v>
      </c>
      <c r="E229" s="262">
        <v>58</v>
      </c>
      <c r="F229" s="262" t="s">
        <v>201</v>
      </c>
      <c r="G229" s="262" t="s">
        <v>247</v>
      </c>
      <c r="H229" s="262" t="s">
        <v>155</v>
      </c>
      <c r="I229" s="262" t="s">
        <v>442</v>
      </c>
      <c r="J229" s="262">
        <v>7416</v>
      </c>
      <c r="K229" s="264" t="s">
        <v>777</v>
      </c>
      <c r="L229" s="264">
        <v>7416</v>
      </c>
    </row>
    <row r="230" spans="1:12" ht="14.5">
      <c r="A230" s="277" t="s">
        <v>188</v>
      </c>
      <c r="B230" s="274">
        <v>17</v>
      </c>
      <c r="C230" s="263">
        <v>45779</v>
      </c>
      <c r="D230" s="262">
        <v>17</v>
      </c>
      <c r="E230" s="262">
        <v>58</v>
      </c>
      <c r="F230" s="262" t="s">
        <v>136</v>
      </c>
      <c r="G230" s="262" t="s">
        <v>247</v>
      </c>
      <c r="H230" s="262" t="s">
        <v>162</v>
      </c>
      <c r="I230" s="262" t="s">
        <v>442</v>
      </c>
      <c r="J230" s="262">
        <v>2064</v>
      </c>
      <c r="K230" s="264" t="s">
        <v>777</v>
      </c>
      <c r="L230" s="264">
        <v>2064</v>
      </c>
    </row>
    <row r="231" spans="1:12" ht="14.5">
      <c r="A231" s="277" t="s">
        <v>188</v>
      </c>
      <c r="B231" s="274">
        <v>17</v>
      </c>
      <c r="C231" s="263">
        <v>45779</v>
      </c>
      <c r="D231" s="262">
        <v>17</v>
      </c>
      <c r="E231" s="262">
        <v>58</v>
      </c>
      <c r="F231" s="262" t="s">
        <v>136</v>
      </c>
      <c r="G231" s="262" t="s">
        <v>247</v>
      </c>
      <c r="H231" s="262" t="s">
        <v>163</v>
      </c>
      <c r="I231" s="262" t="s">
        <v>442</v>
      </c>
      <c r="J231" s="262">
        <v>2064</v>
      </c>
      <c r="K231" s="264" t="s">
        <v>777</v>
      </c>
      <c r="L231" s="264">
        <v>2064</v>
      </c>
    </row>
    <row r="232" spans="1:12" ht="14.5">
      <c r="A232" s="277" t="s">
        <v>188</v>
      </c>
      <c r="B232" s="274">
        <v>17</v>
      </c>
      <c r="C232" s="263">
        <v>45779</v>
      </c>
      <c r="D232" s="262">
        <v>17</v>
      </c>
      <c r="E232" s="262">
        <v>58</v>
      </c>
      <c r="F232" s="262" t="s">
        <v>136</v>
      </c>
      <c r="G232" s="262" t="s">
        <v>247</v>
      </c>
      <c r="H232" s="262" t="s">
        <v>164</v>
      </c>
      <c r="I232" s="262" t="s">
        <v>442</v>
      </c>
      <c r="J232" s="262">
        <v>2064</v>
      </c>
      <c r="K232" s="264" t="s">
        <v>777</v>
      </c>
      <c r="L232" s="264">
        <v>2064</v>
      </c>
    </row>
    <row r="233" spans="1:12" ht="14.5">
      <c r="A233" s="277" t="s">
        <v>188</v>
      </c>
      <c r="B233" s="274">
        <v>22</v>
      </c>
      <c r="C233" s="263">
        <v>45779</v>
      </c>
      <c r="D233" s="262">
        <v>17</v>
      </c>
      <c r="E233" s="262">
        <v>58</v>
      </c>
      <c r="F233" s="262" t="s">
        <v>193</v>
      </c>
      <c r="G233" s="262" t="s">
        <v>270</v>
      </c>
      <c r="H233" s="262" t="s">
        <v>162</v>
      </c>
      <c r="I233" s="262" t="s">
        <v>583</v>
      </c>
      <c r="J233" s="262">
        <v>1926</v>
      </c>
      <c r="K233" s="264" t="s">
        <v>777</v>
      </c>
      <c r="L233" s="264">
        <v>1926</v>
      </c>
    </row>
    <row r="234" spans="1:12" ht="14.5">
      <c r="A234" s="277" t="s">
        <v>188</v>
      </c>
      <c r="B234" s="274">
        <v>22</v>
      </c>
      <c r="C234" s="263">
        <v>45779</v>
      </c>
      <c r="D234" s="262">
        <v>17</v>
      </c>
      <c r="E234" s="262">
        <v>58</v>
      </c>
      <c r="F234" s="262" t="s">
        <v>250</v>
      </c>
      <c r="G234" s="262" t="s">
        <v>269</v>
      </c>
      <c r="H234" s="262" t="s">
        <v>162</v>
      </c>
      <c r="I234" s="262" t="s">
        <v>440</v>
      </c>
      <c r="J234" s="262">
        <v>1985</v>
      </c>
      <c r="K234" s="264" t="s">
        <v>777</v>
      </c>
      <c r="L234" s="264">
        <v>1985</v>
      </c>
    </row>
    <row r="235" spans="1:12" ht="14.5">
      <c r="A235" s="277" t="s">
        <v>188</v>
      </c>
      <c r="B235" s="274">
        <v>22</v>
      </c>
      <c r="C235" s="263">
        <v>45779</v>
      </c>
      <c r="D235" s="262">
        <v>17</v>
      </c>
      <c r="E235" s="262">
        <v>58</v>
      </c>
      <c r="F235" s="262" t="s">
        <v>190</v>
      </c>
      <c r="G235" s="262" t="s">
        <v>242</v>
      </c>
      <c r="H235" s="262" t="s">
        <v>244</v>
      </c>
      <c r="I235" s="262" t="s">
        <v>453</v>
      </c>
      <c r="J235" s="262">
        <v>1396</v>
      </c>
      <c r="K235" s="264" t="s">
        <v>777</v>
      </c>
      <c r="L235" s="264">
        <v>1396</v>
      </c>
    </row>
    <row r="236" spans="1:12" ht="14.5">
      <c r="A236" s="277" t="s">
        <v>188</v>
      </c>
      <c r="B236" s="274">
        <v>22</v>
      </c>
      <c r="C236" s="263">
        <v>45779</v>
      </c>
      <c r="D236" s="262">
        <v>17</v>
      </c>
      <c r="E236" s="262">
        <v>58</v>
      </c>
      <c r="F236" s="262" t="s">
        <v>271</v>
      </c>
      <c r="G236" s="262" t="s">
        <v>242</v>
      </c>
      <c r="H236" s="262" t="s">
        <v>244</v>
      </c>
      <c r="I236" s="262" t="s">
        <v>453</v>
      </c>
      <c r="J236" s="262">
        <v>2068</v>
      </c>
      <c r="K236" s="264" t="s">
        <v>777</v>
      </c>
      <c r="L236" s="264">
        <v>2068</v>
      </c>
    </row>
    <row r="237" spans="1:12" ht="14.5">
      <c r="A237" s="277" t="s">
        <v>188</v>
      </c>
      <c r="B237" s="274">
        <v>25</v>
      </c>
      <c r="C237" s="263">
        <v>45779</v>
      </c>
      <c r="D237" s="262">
        <v>17</v>
      </c>
      <c r="E237" s="262">
        <v>58</v>
      </c>
      <c r="F237" s="262" t="s">
        <v>190</v>
      </c>
      <c r="G237" s="262" t="s">
        <v>242</v>
      </c>
      <c r="H237" s="262" t="s">
        <v>244</v>
      </c>
      <c r="I237" s="262" t="s">
        <v>513</v>
      </c>
      <c r="J237" s="262">
        <v>1800</v>
      </c>
      <c r="K237" s="264" t="s">
        <v>777</v>
      </c>
      <c r="L237" s="264">
        <v>1800</v>
      </c>
    </row>
    <row r="238" spans="1:12" ht="14.5">
      <c r="A238" s="277" t="s">
        <v>188</v>
      </c>
      <c r="B238" s="274">
        <v>30</v>
      </c>
      <c r="C238" s="263">
        <v>45786</v>
      </c>
      <c r="D238" s="262">
        <v>18</v>
      </c>
      <c r="E238" s="262">
        <v>65</v>
      </c>
      <c r="F238" s="262" t="s">
        <v>268</v>
      </c>
      <c r="G238" s="262" t="s">
        <v>274</v>
      </c>
      <c r="H238" s="262" t="s">
        <v>162</v>
      </c>
      <c r="I238" s="262" t="s">
        <v>434</v>
      </c>
      <c r="J238" s="262">
        <v>20880</v>
      </c>
      <c r="K238" s="264" t="s">
        <v>777</v>
      </c>
      <c r="L238" s="264">
        <v>20880</v>
      </c>
    </row>
    <row r="239" spans="1:12" ht="14.5">
      <c r="A239" s="277" t="s">
        <v>188</v>
      </c>
      <c r="B239" s="274">
        <v>30</v>
      </c>
      <c r="C239" s="263">
        <v>45786</v>
      </c>
      <c r="D239" s="262">
        <v>18</v>
      </c>
      <c r="E239" s="262">
        <v>65</v>
      </c>
      <c r="F239" s="262" t="s">
        <v>268</v>
      </c>
      <c r="G239" s="262" t="s">
        <v>274</v>
      </c>
      <c r="H239" s="262" t="s">
        <v>162</v>
      </c>
      <c r="I239" s="262" t="s">
        <v>434</v>
      </c>
      <c r="J239" s="262">
        <v>20880</v>
      </c>
      <c r="K239" s="264" t="s">
        <v>777</v>
      </c>
      <c r="L239" s="264">
        <v>20880</v>
      </c>
    </row>
    <row r="240" spans="1:12" ht="14.5">
      <c r="A240" s="277" t="s">
        <v>188</v>
      </c>
      <c r="B240" s="274">
        <v>30</v>
      </c>
      <c r="C240" s="263">
        <v>45786</v>
      </c>
      <c r="D240" s="262">
        <v>18</v>
      </c>
      <c r="E240" s="262">
        <v>65</v>
      </c>
      <c r="F240" s="262" t="s">
        <v>268</v>
      </c>
      <c r="G240" s="262" t="s">
        <v>269</v>
      </c>
      <c r="H240" s="262" t="s">
        <v>255</v>
      </c>
      <c r="I240" s="262" t="s">
        <v>440</v>
      </c>
      <c r="J240" s="262">
        <v>5400</v>
      </c>
      <c r="K240" s="264" t="s">
        <v>777</v>
      </c>
      <c r="L240" s="264">
        <v>5400</v>
      </c>
    </row>
    <row r="241" spans="1:12" ht="14.5">
      <c r="A241" s="277" t="s">
        <v>188</v>
      </c>
      <c r="B241" s="274">
        <v>30</v>
      </c>
      <c r="C241" s="263">
        <v>45786</v>
      </c>
      <c r="D241" s="262">
        <v>18</v>
      </c>
      <c r="E241" s="262">
        <v>65</v>
      </c>
      <c r="F241" s="262" t="s">
        <v>268</v>
      </c>
      <c r="G241" s="262" t="s">
        <v>276</v>
      </c>
      <c r="H241" s="262" t="s">
        <v>162</v>
      </c>
      <c r="I241" s="262" t="s">
        <v>814</v>
      </c>
      <c r="J241" s="262">
        <v>9936</v>
      </c>
      <c r="K241" s="264" t="s">
        <v>777</v>
      </c>
      <c r="L241" s="264">
        <v>9936</v>
      </c>
    </row>
    <row r="242" spans="1:12" ht="14.5">
      <c r="A242" s="277" t="s">
        <v>188</v>
      </c>
      <c r="B242" s="274">
        <v>30</v>
      </c>
      <c r="C242" s="263">
        <v>45786</v>
      </c>
      <c r="D242" s="262">
        <v>18</v>
      </c>
      <c r="E242" s="262">
        <v>65</v>
      </c>
      <c r="F242" s="262" t="s">
        <v>193</v>
      </c>
      <c r="G242" s="262" t="s">
        <v>270</v>
      </c>
      <c r="H242" s="262" t="s">
        <v>162</v>
      </c>
      <c r="I242" s="262" t="s">
        <v>583</v>
      </c>
      <c r="J242" s="262">
        <v>1782</v>
      </c>
      <c r="K242" s="264" t="s">
        <v>777</v>
      </c>
      <c r="L242" s="264">
        <v>1782</v>
      </c>
    </row>
    <row r="243" spans="1:12" ht="14.5">
      <c r="A243" s="277" t="s">
        <v>188</v>
      </c>
      <c r="B243" s="274">
        <v>30</v>
      </c>
      <c r="C243" s="263">
        <v>45786</v>
      </c>
      <c r="D243" s="262">
        <v>18</v>
      </c>
      <c r="E243" s="262">
        <v>65</v>
      </c>
      <c r="F243" s="262" t="s">
        <v>250</v>
      </c>
      <c r="G243" s="262" t="s">
        <v>269</v>
      </c>
      <c r="H243" s="262" t="s">
        <v>162</v>
      </c>
      <c r="I243" s="262" t="s">
        <v>440</v>
      </c>
      <c r="J243" s="262">
        <v>930</v>
      </c>
      <c r="K243" s="264" t="s">
        <v>777</v>
      </c>
      <c r="L243" s="264">
        <v>930</v>
      </c>
    </row>
    <row r="244" spans="1:12" ht="14.5">
      <c r="A244" s="277" t="s">
        <v>188</v>
      </c>
      <c r="B244" s="274">
        <v>30</v>
      </c>
      <c r="C244" s="263">
        <v>45786</v>
      </c>
      <c r="D244" s="262">
        <v>18</v>
      </c>
      <c r="E244" s="262">
        <v>65</v>
      </c>
      <c r="F244" s="262" t="s">
        <v>390</v>
      </c>
      <c r="G244" s="262" t="s">
        <v>242</v>
      </c>
      <c r="H244" s="262" t="s">
        <v>162</v>
      </c>
      <c r="I244" s="262" t="s">
        <v>430</v>
      </c>
      <c r="J244" s="262">
        <v>1254</v>
      </c>
      <c r="K244" s="264" t="s">
        <v>777</v>
      </c>
      <c r="L244" s="264">
        <v>1254</v>
      </c>
    </row>
    <row r="245" spans="1:12" ht="14.5">
      <c r="A245" s="277" t="s">
        <v>188</v>
      </c>
      <c r="B245" s="274">
        <v>42</v>
      </c>
      <c r="C245" s="263">
        <v>45786</v>
      </c>
      <c r="D245" s="262">
        <v>18</v>
      </c>
      <c r="E245" s="262">
        <v>65</v>
      </c>
      <c r="F245" s="262" t="s">
        <v>190</v>
      </c>
      <c r="G245" s="262" t="s">
        <v>242</v>
      </c>
      <c r="H245" s="262" t="s">
        <v>244</v>
      </c>
      <c r="I245" s="262" t="s">
        <v>513</v>
      </c>
      <c r="J245" s="262">
        <v>4104</v>
      </c>
      <c r="K245" s="264" t="s">
        <v>777</v>
      </c>
      <c r="L245" s="264">
        <v>4104</v>
      </c>
    </row>
    <row r="246" spans="1:12" ht="14.5">
      <c r="A246" s="277" t="s">
        <v>188</v>
      </c>
      <c r="B246" s="274">
        <v>43</v>
      </c>
      <c r="C246" s="263">
        <v>45786</v>
      </c>
      <c r="D246" s="262">
        <v>18</v>
      </c>
      <c r="E246" s="262">
        <v>65</v>
      </c>
      <c r="F246" s="262" t="s">
        <v>81</v>
      </c>
      <c r="G246" s="262" t="s">
        <v>290</v>
      </c>
      <c r="H246" s="262" t="s">
        <v>291</v>
      </c>
      <c r="I246" s="262" t="s">
        <v>435</v>
      </c>
      <c r="J246" s="262">
        <v>1584</v>
      </c>
      <c r="K246" s="264" t="s">
        <v>777</v>
      </c>
      <c r="L246" s="264">
        <v>1584</v>
      </c>
    </row>
    <row r="247" spans="1:12" ht="14.5">
      <c r="A247" s="277" t="s">
        <v>188</v>
      </c>
      <c r="B247" s="274">
        <v>43</v>
      </c>
      <c r="C247" s="263">
        <v>45786</v>
      </c>
      <c r="D247" s="262">
        <v>18</v>
      </c>
      <c r="E247" s="262">
        <v>65</v>
      </c>
      <c r="F247" s="262" t="s">
        <v>81</v>
      </c>
      <c r="G247" s="262" t="s">
        <v>290</v>
      </c>
      <c r="H247" s="262" t="s">
        <v>293</v>
      </c>
      <c r="I247" s="262" t="s">
        <v>435</v>
      </c>
      <c r="J247" s="262">
        <v>1584</v>
      </c>
      <c r="K247" s="264" t="s">
        <v>777</v>
      </c>
      <c r="L247" s="264">
        <v>1584</v>
      </c>
    </row>
    <row r="248" spans="1:12" ht="14.5">
      <c r="A248" s="277" t="s">
        <v>188</v>
      </c>
      <c r="B248" s="274">
        <v>43</v>
      </c>
      <c r="C248" s="263">
        <v>45786</v>
      </c>
      <c r="D248" s="262">
        <v>18</v>
      </c>
      <c r="E248" s="262">
        <v>65</v>
      </c>
      <c r="F248" s="262" t="s">
        <v>81</v>
      </c>
      <c r="G248" s="262" t="s">
        <v>290</v>
      </c>
      <c r="H248" s="262" t="s">
        <v>294</v>
      </c>
      <c r="I248" s="262" t="s">
        <v>435</v>
      </c>
      <c r="J248" s="262">
        <v>1584</v>
      </c>
      <c r="K248" s="264" t="s">
        <v>777</v>
      </c>
      <c r="L248" s="264">
        <v>1584</v>
      </c>
    </row>
    <row r="249" spans="1:12" ht="14.5">
      <c r="A249" s="277" t="s">
        <v>188</v>
      </c>
      <c r="B249" s="274">
        <v>43</v>
      </c>
      <c r="C249" s="263">
        <v>45786</v>
      </c>
      <c r="D249" s="262">
        <v>18</v>
      </c>
      <c r="E249" s="262">
        <v>65</v>
      </c>
      <c r="F249" s="262" t="s">
        <v>157</v>
      </c>
      <c r="G249" s="262" t="s">
        <v>243</v>
      </c>
      <c r="H249" s="262" t="s">
        <v>162</v>
      </c>
      <c r="I249" s="262" t="s">
        <v>428</v>
      </c>
      <c r="J249" s="262">
        <v>1980</v>
      </c>
      <c r="K249" s="264" t="s">
        <v>777</v>
      </c>
      <c r="L249" s="264">
        <v>1980</v>
      </c>
    </row>
    <row r="250" spans="1:12" ht="14.5">
      <c r="A250" s="277" t="s">
        <v>188</v>
      </c>
      <c r="B250" s="274">
        <v>43</v>
      </c>
      <c r="C250" s="263">
        <v>45786</v>
      </c>
      <c r="D250" s="262">
        <v>18</v>
      </c>
      <c r="E250" s="262">
        <v>65</v>
      </c>
      <c r="F250" s="262" t="s">
        <v>158</v>
      </c>
      <c r="G250" s="262" t="s">
        <v>242</v>
      </c>
      <c r="H250" s="262" t="s">
        <v>156</v>
      </c>
      <c r="I250" s="262" t="s">
        <v>432</v>
      </c>
      <c r="J250" s="262">
        <v>1432</v>
      </c>
      <c r="K250" s="264" t="s">
        <v>777</v>
      </c>
      <c r="L250" s="264">
        <v>1432</v>
      </c>
    </row>
    <row r="251" spans="1:12" ht="14.5">
      <c r="A251" s="277" t="s">
        <v>188</v>
      </c>
      <c r="B251" s="274">
        <v>43</v>
      </c>
      <c r="C251" s="263">
        <v>45786</v>
      </c>
      <c r="D251" s="262">
        <v>18</v>
      </c>
      <c r="E251" s="262">
        <v>65</v>
      </c>
      <c r="F251" s="262" t="s">
        <v>190</v>
      </c>
      <c r="G251" s="262" t="s">
        <v>242</v>
      </c>
      <c r="H251" s="262" t="s">
        <v>244</v>
      </c>
      <c r="I251" s="262" t="s">
        <v>438</v>
      </c>
      <c r="J251" s="262">
        <v>1776</v>
      </c>
      <c r="K251" s="264" t="s">
        <v>777</v>
      </c>
      <c r="L251" s="264">
        <v>1776</v>
      </c>
    </row>
    <row r="252" spans="1:12" ht="14.5">
      <c r="A252" s="277" t="s">
        <v>188</v>
      </c>
      <c r="B252" s="274">
        <v>44</v>
      </c>
      <c r="C252" s="263">
        <v>45786</v>
      </c>
      <c r="D252" s="262">
        <v>18</v>
      </c>
      <c r="E252" s="262">
        <v>65</v>
      </c>
      <c r="F252" s="262" t="s">
        <v>81</v>
      </c>
      <c r="G252" s="262" t="s">
        <v>290</v>
      </c>
      <c r="H252" s="262" t="s">
        <v>291</v>
      </c>
      <c r="I252" s="262" t="s">
        <v>435</v>
      </c>
      <c r="J252" s="262">
        <v>1488</v>
      </c>
      <c r="K252" s="264" t="s">
        <v>777</v>
      </c>
      <c r="L252" s="264">
        <v>1488</v>
      </c>
    </row>
    <row r="253" spans="1:12" ht="14.5">
      <c r="A253" s="277" t="s">
        <v>188</v>
      </c>
      <c r="B253" s="274">
        <v>44</v>
      </c>
      <c r="C253" s="263">
        <v>45786</v>
      </c>
      <c r="D253" s="262">
        <v>18</v>
      </c>
      <c r="E253" s="262">
        <v>65</v>
      </c>
      <c r="F253" s="262" t="s">
        <v>81</v>
      </c>
      <c r="G253" s="262" t="s">
        <v>290</v>
      </c>
      <c r="H253" s="262" t="s">
        <v>293</v>
      </c>
      <c r="I253" s="262" t="s">
        <v>435</v>
      </c>
      <c r="J253" s="262">
        <v>1488</v>
      </c>
      <c r="K253" s="264" t="s">
        <v>777</v>
      </c>
      <c r="L253" s="264">
        <v>1488</v>
      </c>
    </row>
    <row r="254" spans="1:12" ht="14.5">
      <c r="A254" s="277" t="s">
        <v>188</v>
      </c>
      <c r="B254" s="274">
        <v>44</v>
      </c>
      <c r="C254" s="263">
        <v>45786</v>
      </c>
      <c r="D254" s="262">
        <v>18</v>
      </c>
      <c r="E254" s="262">
        <v>65</v>
      </c>
      <c r="F254" s="262" t="s">
        <v>81</v>
      </c>
      <c r="G254" s="262" t="s">
        <v>290</v>
      </c>
      <c r="H254" s="262" t="s">
        <v>294</v>
      </c>
      <c r="I254" s="262" t="s">
        <v>435</v>
      </c>
      <c r="J254" s="262">
        <v>1488</v>
      </c>
      <c r="K254" s="264" t="s">
        <v>777</v>
      </c>
      <c r="L254" s="264">
        <v>1488</v>
      </c>
    </row>
    <row r="255" spans="1:12" ht="14.5">
      <c r="A255" s="277" t="s">
        <v>188</v>
      </c>
      <c r="B255" s="274">
        <v>44</v>
      </c>
      <c r="C255" s="263">
        <v>45786</v>
      </c>
      <c r="D255" s="262">
        <v>18</v>
      </c>
      <c r="E255" s="262">
        <v>65</v>
      </c>
      <c r="F255" s="262" t="s">
        <v>190</v>
      </c>
      <c r="G255" s="262" t="s">
        <v>242</v>
      </c>
      <c r="H255" s="262" t="s">
        <v>244</v>
      </c>
      <c r="I255" s="262" t="s">
        <v>513</v>
      </c>
      <c r="J255" s="262">
        <v>4028</v>
      </c>
      <c r="K255" s="264" t="s">
        <v>777</v>
      </c>
      <c r="L255" s="264">
        <v>4028</v>
      </c>
    </row>
    <row r="256" spans="1:12" ht="14.5">
      <c r="A256" s="277" t="s">
        <v>188</v>
      </c>
      <c r="B256" s="274">
        <v>12</v>
      </c>
      <c r="C256" s="263">
        <v>45786</v>
      </c>
      <c r="D256" s="262">
        <v>18</v>
      </c>
      <c r="E256" s="262">
        <v>65</v>
      </c>
      <c r="F256" s="262" t="s">
        <v>193</v>
      </c>
      <c r="G256" s="262" t="s">
        <v>270</v>
      </c>
      <c r="H256" s="262" t="s">
        <v>162</v>
      </c>
      <c r="I256" s="262" t="s">
        <v>583</v>
      </c>
      <c r="J256" s="262">
        <v>1188</v>
      </c>
      <c r="K256" s="264" t="s">
        <v>777</v>
      </c>
      <c r="L256" s="264">
        <v>1188</v>
      </c>
    </row>
    <row r="257" spans="1:12" ht="14.5">
      <c r="A257" s="277" t="s">
        <v>188</v>
      </c>
      <c r="B257" s="274">
        <v>12</v>
      </c>
      <c r="C257" s="263">
        <v>45786</v>
      </c>
      <c r="D257" s="262">
        <v>18</v>
      </c>
      <c r="E257" s="262">
        <v>65</v>
      </c>
      <c r="F257" s="262" t="s">
        <v>193</v>
      </c>
      <c r="G257" s="262" t="s">
        <v>246</v>
      </c>
      <c r="H257" s="262" t="s">
        <v>162</v>
      </c>
      <c r="I257" s="262" t="s">
        <v>434</v>
      </c>
      <c r="J257" s="262">
        <v>3300</v>
      </c>
      <c r="K257" s="264" t="s">
        <v>777</v>
      </c>
      <c r="L257" s="264">
        <v>3300</v>
      </c>
    </row>
    <row r="258" spans="1:12" ht="14.5">
      <c r="A258" s="277" t="s">
        <v>188</v>
      </c>
      <c r="B258" s="274">
        <v>12</v>
      </c>
      <c r="C258" s="263">
        <v>45786</v>
      </c>
      <c r="D258" s="262">
        <v>18</v>
      </c>
      <c r="E258" s="262">
        <v>65</v>
      </c>
      <c r="F258" s="262" t="s">
        <v>250</v>
      </c>
      <c r="G258" s="262" t="s">
        <v>269</v>
      </c>
      <c r="H258" s="262" t="s">
        <v>162</v>
      </c>
      <c r="I258" s="262" t="s">
        <v>440</v>
      </c>
      <c r="J258" s="262">
        <v>930</v>
      </c>
      <c r="K258" s="264" t="s">
        <v>777</v>
      </c>
      <c r="L258" s="264">
        <v>930</v>
      </c>
    </row>
    <row r="259" spans="1:12" ht="14.5">
      <c r="A259" s="277" t="s">
        <v>188</v>
      </c>
      <c r="B259" s="274">
        <v>12</v>
      </c>
      <c r="C259" s="263">
        <v>45786</v>
      </c>
      <c r="D259" s="262">
        <v>18</v>
      </c>
      <c r="E259" s="262">
        <v>65</v>
      </c>
      <c r="F259" s="262" t="s">
        <v>201</v>
      </c>
      <c r="G259" s="262" t="s">
        <v>247</v>
      </c>
      <c r="H259" s="262" t="s">
        <v>155</v>
      </c>
      <c r="I259" s="262" t="s">
        <v>442</v>
      </c>
      <c r="J259" s="262">
        <v>7200</v>
      </c>
      <c r="K259" s="264" t="s">
        <v>777</v>
      </c>
      <c r="L259" s="264">
        <v>7200</v>
      </c>
    </row>
    <row r="260" spans="1:12" ht="14.5">
      <c r="A260" s="277" t="s">
        <v>188</v>
      </c>
      <c r="B260" s="274">
        <v>12</v>
      </c>
      <c r="C260" s="263">
        <v>45786</v>
      </c>
      <c r="D260" s="262">
        <v>18</v>
      </c>
      <c r="E260" s="262">
        <v>65</v>
      </c>
      <c r="F260" s="262" t="s">
        <v>391</v>
      </c>
      <c r="G260" s="262" t="s">
        <v>392</v>
      </c>
      <c r="H260" s="262" t="s">
        <v>393</v>
      </c>
      <c r="I260" s="262" t="s">
        <v>433</v>
      </c>
      <c r="J260" s="262">
        <v>1692</v>
      </c>
      <c r="K260" s="264" t="s">
        <v>777</v>
      </c>
      <c r="L260" s="264">
        <v>1692</v>
      </c>
    </row>
    <row r="261" spans="1:12" ht="14.5">
      <c r="A261" s="277" t="s">
        <v>188</v>
      </c>
      <c r="B261" s="274">
        <v>15</v>
      </c>
      <c r="C261" s="263">
        <v>45786</v>
      </c>
      <c r="D261" s="262">
        <v>18</v>
      </c>
      <c r="E261" s="262">
        <v>65</v>
      </c>
      <c r="F261" s="262" t="s">
        <v>193</v>
      </c>
      <c r="G261" s="262" t="s">
        <v>398</v>
      </c>
      <c r="H261" s="262" t="s">
        <v>162</v>
      </c>
      <c r="I261" s="262" t="s">
        <v>440</v>
      </c>
      <c r="J261" s="262">
        <v>1620</v>
      </c>
      <c r="K261" s="264" t="s">
        <v>777</v>
      </c>
      <c r="L261" s="264">
        <v>1620</v>
      </c>
    </row>
    <row r="262" spans="1:12" ht="14.5">
      <c r="A262" s="277" t="s">
        <v>188</v>
      </c>
      <c r="B262" s="274">
        <v>15</v>
      </c>
      <c r="C262" s="263">
        <v>45786</v>
      </c>
      <c r="D262" s="262">
        <v>18</v>
      </c>
      <c r="E262" s="262">
        <v>65</v>
      </c>
      <c r="F262" s="262" t="s">
        <v>193</v>
      </c>
      <c r="G262" s="262" t="s">
        <v>270</v>
      </c>
      <c r="H262" s="262" t="s">
        <v>162</v>
      </c>
      <c r="I262" s="262" t="s">
        <v>583</v>
      </c>
      <c r="J262" s="262">
        <v>3120</v>
      </c>
      <c r="K262" s="264" t="s">
        <v>777</v>
      </c>
      <c r="L262" s="264">
        <v>3120</v>
      </c>
    </row>
    <row r="263" spans="1:12" ht="14.5">
      <c r="A263" s="277" t="s">
        <v>188</v>
      </c>
      <c r="B263" s="274">
        <v>15</v>
      </c>
      <c r="C263" s="263">
        <v>45786</v>
      </c>
      <c r="D263" s="262">
        <v>18</v>
      </c>
      <c r="E263" s="262">
        <v>65</v>
      </c>
      <c r="F263" s="262" t="s">
        <v>193</v>
      </c>
      <c r="G263" s="262" t="s">
        <v>246</v>
      </c>
      <c r="H263" s="262" t="s">
        <v>162</v>
      </c>
      <c r="I263" s="262" t="s">
        <v>434</v>
      </c>
      <c r="J263" s="262">
        <v>4605</v>
      </c>
      <c r="K263" s="264" t="s">
        <v>777</v>
      </c>
      <c r="L263" s="264">
        <v>4605</v>
      </c>
    </row>
    <row r="264" spans="1:12" ht="14.5">
      <c r="A264" s="277" t="s">
        <v>188</v>
      </c>
      <c r="B264" s="274">
        <v>15</v>
      </c>
      <c r="C264" s="263">
        <v>45786</v>
      </c>
      <c r="D264" s="262">
        <v>18</v>
      </c>
      <c r="E264" s="262">
        <v>65</v>
      </c>
      <c r="F264" s="262" t="s">
        <v>250</v>
      </c>
      <c r="G264" s="262" t="s">
        <v>269</v>
      </c>
      <c r="H264" s="262" t="s">
        <v>162</v>
      </c>
      <c r="I264" s="262" t="s">
        <v>440</v>
      </c>
      <c r="J264" s="262">
        <v>2515</v>
      </c>
      <c r="K264" s="264" t="s">
        <v>777</v>
      </c>
      <c r="L264" s="264">
        <v>2515</v>
      </c>
    </row>
    <row r="265" spans="1:12" ht="14.5">
      <c r="A265" s="277" t="s">
        <v>188</v>
      </c>
      <c r="B265" s="274">
        <v>15</v>
      </c>
      <c r="C265" s="263">
        <v>45786</v>
      </c>
      <c r="D265" s="262">
        <v>18</v>
      </c>
      <c r="E265" s="262">
        <v>65</v>
      </c>
      <c r="F265" s="262" t="s">
        <v>201</v>
      </c>
      <c r="G265" s="262" t="s">
        <v>247</v>
      </c>
      <c r="H265" s="262" t="s">
        <v>155</v>
      </c>
      <c r="I265" s="262" t="s">
        <v>442</v>
      </c>
      <c r="J265" s="262">
        <v>13248</v>
      </c>
      <c r="K265" s="264" t="s">
        <v>777</v>
      </c>
      <c r="L265" s="264">
        <v>13248</v>
      </c>
    </row>
    <row r="266" spans="1:12" ht="14.5">
      <c r="A266" s="277" t="s">
        <v>188</v>
      </c>
      <c r="B266" s="274">
        <v>31</v>
      </c>
      <c r="C266" s="263">
        <v>45793</v>
      </c>
      <c r="D266" s="262">
        <v>19</v>
      </c>
      <c r="E266" s="262">
        <v>72</v>
      </c>
      <c r="F266" s="262" t="s">
        <v>268</v>
      </c>
      <c r="G266" s="262" t="s">
        <v>274</v>
      </c>
      <c r="H266" s="262" t="s">
        <v>255</v>
      </c>
      <c r="I266" s="262" t="s">
        <v>434</v>
      </c>
      <c r="J266" s="262">
        <v>14445</v>
      </c>
      <c r="K266" s="264" t="s">
        <v>777</v>
      </c>
      <c r="L266" s="264">
        <v>14445</v>
      </c>
    </row>
    <row r="267" spans="1:12" ht="14.5">
      <c r="A267" s="277" t="s">
        <v>188</v>
      </c>
      <c r="B267" s="274">
        <v>31</v>
      </c>
      <c r="C267" s="263">
        <v>45793</v>
      </c>
      <c r="D267" s="262">
        <v>19</v>
      </c>
      <c r="E267" s="262">
        <v>72</v>
      </c>
      <c r="F267" s="262" t="s">
        <v>268</v>
      </c>
      <c r="G267" s="262" t="s">
        <v>274</v>
      </c>
      <c r="H267" s="262" t="s">
        <v>255</v>
      </c>
      <c r="I267" s="262" t="s">
        <v>434</v>
      </c>
      <c r="J267" s="262">
        <v>14445</v>
      </c>
      <c r="K267" s="264" t="s">
        <v>777</v>
      </c>
      <c r="L267" s="264">
        <v>14445</v>
      </c>
    </row>
    <row r="268" spans="1:12" ht="14.5">
      <c r="A268" s="277" t="s">
        <v>188</v>
      </c>
      <c r="B268" s="274">
        <v>31</v>
      </c>
      <c r="C268" s="263">
        <v>45793</v>
      </c>
      <c r="D268" s="262">
        <v>19</v>
      </c>
      <c r="E268" s="262">
        <v>72</v>
      </c>
      <c r="F268" s="262" t="s">
        <v>268</v>
      </c>
      <c r="G268" s="262" t="s">
        <v>269</v>
      </c>
      <c r="H268" s="262" t="s">
        <v>255</v>
      </c>
      <c r="I268" s="262" t="s">
        <v>440</v>
      </c>
      <c r="J268" s="262">
        <v>6190</v>
      </c>
      <c r="K268" s="264" t="s">
        <v>777</v>
      </c>
      <c r="L268" s="264">
        <v>6190</v>
      </c>
    </row>
    <row r="269" spans="1:12" ht="14.5">
      <c r="A269" s="277" t="s">
        <v>188</v>
      </c>
      <c r="B269" s="274">
        <v>31</v>
      </c>
      <c r="C269" s="263">
        <v>45793</v>
      </c>
      <c r="D269" s="262">
        <v>19</v>
      </c>
      <c r="E269" s="262">
        <v>72</v>
      </c>
      <c r="F269" s="262" t="s">
        <v>268</v>
      </c>
      <c r="G269" s="262" t="s">
        <v>276</v>
      </c>
      <c r="H269" s="262" t="s">
        <v>255</v>
      </c>
      <c r="I269" s="262" t="s">
        <v>814</v>
      </c>
      <c r="J269" s="262">
        <v>7416</v>
      </c>
      <c r="K269" s="264" t="s">
        <v>777</v>
      </c>
      <c r="L269" s="264">
        <v>7416</v>
      </c>
    </row>
    <row r="270" spans="1:12" ht="14.5">
      <c r="A270" s="277" t="s">
        <v>188</v>
      </c>
      <c r="B270" s="274">
        <v>31</v>
      </c>
      <c r="C270" s="263">
        <v>45793</v>
      </c>
      <c r="D270" s="262">
        <v>19</v>
      </c>
      <c r="E270" s="262">
        <v>72</v>
      </c>
      <c r="F270" s="262" t="s">
        <v>193</v>
      </c>
      <c r="G270" s="262" t="s">
        <v>300</v>
      </c>
      <c r="H270" s="262" t="s">
        <v>162</v>
      </c>
      <c r="I270" s="262" t="s">
        <v>440</v>
      </c>
      <c r="J270" s="262">
        <v>1660</v>
      </c>
      <c r="K270" s="264" t="s">
        <v>777</v>
      </c>
      <c r="L270" s="264">
        <v>1660</v>
      </c>
    </row>
    <row r="271" spans="1:12" ht="14.5">
      <c r="A271" s="277" t="s">
        <v>188</v>
      </c>
      <c r="B271" s="274">
        <v>31</v>
      </c>
      <c r="C271" s="263">
        <v>45793</v>
      </c>
      <c r="D271" s="262">
        <v>19</v>
      </c>
      <c r="E271" s="262">
        <v>72</v>
      </c>
      <c r="F271" s="262" t="s">
        <v>193</v>
      </c>
      <c r="G271" s="262" t="s">
        <v>270</v>
      </c>
      <c r="H271" s="262" t="s">
        <v>162</v>
      </c>
      <c r="I271" s="262" t="s">
        <v>583</v>
      </c>
      <c r="J271" s="262">
        <v>786</v>
      </c>
      <c r="K271" s="264" t="s">
        <v>777</v>
      </c>
      <c r="L271" s="264">
        <v>786</v>
      </c>
    </row>
    <row r="272" spans="1:12" ht="14.5">
      <c r="A272" s="277" t="s">
        <v>188</v>
      </c>
      <c r="B272" s="274">
        <v>31</v>
      </c>
      <c r="C272" s="263">
        <v>45793</v>
      </c>
      <c r="D272" s="262">
        <v>19</v>
      </c>
      <c r="E272" s="262">
        <v>72</v>
      </c>
      <c r="F272" s="262" t="s">
        <v>157</v>
      </c>
      <c r="G272" s="262" t="s">
        <v>243</v>
      </c>
      <c r="H272" s="262" t="s">
        <v>155</v>
      </c>
      <c r="I272" s="262" t="s">
        <v>428</v>
      </c>
      <c r="J272" s="262">
        <v>2940</v>
      </c>
      <c r="K272" s="264" t="s">
        <v>777</v>
      </c>
      <c r="L272" s="264">
        <v>2940</v>
      </c>
    </row>
    <row r="273" spans="1:12" ht="14.5">
      <c r="A273" s="277" t="s">
        <v>188</v>
      </c>
      <c r="B273" s="274">
        <v>32</v>
      </c>
      <c r="C273" s="263">
        <v>45793</v>
      </c>
      <c r="D273" s="262">
        <v>19</v>
      </c>
      <c r="E273" s="262">
        <v>72</v>
      </c>
      <c r="F273" s="262" t="s">
        <v>268</v>
      </c>
      <c r="G273" s="262" t="s">
        <v>274</v>
      </c>
      <c r="H273" s="262" t="s">
        <v>255</v>
      </c>
      <c r="I273" s="262" t="s">
        <v>434</v>
      </c>
      <c r="J273" s="262">
        <v>11130</v>
      </c>
      <c r="K273" s="264" t="s">
        <v>777</v>
      </c>
      <c r="L273" s="264">
        <v>11130</v>
      </c>
    </row>
    <row r="274" spans="1:12" ht="14.5">
      <c r="A274" s="277" t="s">
        <v>188</v>
      </c>
      <c r="B274" s="274">
        <v>32</v>
      </c>
      <c r="C274" s="263">
        <v>45793</v>
      </c>
      <c r="D274" s="262">
        <v>19</v>
      </c>
      <c r="E274" s="262">
        <v>72</v>
      </c>
      <c r="F274" s="262" t="s">
        <v>268</v>
      </c>
      <c r="G274" s="262" t="s">
        <v>274</v>
      </c>
      <c r="H274" s="262" t="s">
        <v>255</v>
      </c>
      <c r="I274" s="262" t="s">
        <v>434</v>
      </c>
      <c r="J274" s="262">
        <v>11130</v>
      </c>
      <c r="K274" s="264" t="s">
        <v>777</v>
      </c>
      <c r="L274" s="264">
        <v>11130</v>
      </c>
    </row>
    <row r="275" spans="1:12" ht="14.5">
      <c r="A275" s="277" t="s">
        <v>188</v>
      </c>
      <c r="B275" s="274">
        <v>32</v>
      </c>
      <c r="C275" s="263">
        <v>45793</v>
      </c>
      <c r="D275" s="262">
        <v>19</v>
      </c>
      <c r="E275" s="262">
        <v>72</v>
      </c>
      <c r="F275" s="262" t="s">
        <v>268</v>
      </c>
      <c r="G275" s="262" t="s">
        <v>276</v>
      </c>
      <c r="H275" s="262" t="s">
        <v>255</v>
      </c>
      <c r="I275" s="262" t="s">
        <v>814</v>
      </c>
      <c r="J275" s="262">
        <v>16920</v>
      </c>
      <c r="K275" s="264" t="s">
        <v>777</v>
      </c>
      <c r="L275" s="264">
        <v>16920</v>
      </c>
    </row>
    <row r="276" spans="1:12" ht="14.5">
      <c r="A276" s="277" t="s">
        <v>188</v>
      </c>
      <c r="B276" s="274">
        <v>32</v>
      </c>
      <c r="C276" s="263">
        <v>45793</v>
      </c>
      <c r="D276" s="262">
        <v>19</v>
      </c>
      <c r="E276" s="262">
        <v>72</v>
      </c>
      <c r="F276" s="262" t="s">
        <v>157</v>
      </c>
      <c r="G276" s="262" t="s">
        <v>243</v>
      </c>
      <c r="H276" s="262" t="s">
        <v>155</v>
      </c>
      <c r="I276" s="262" t="s">
        <v>428</v>
      </c>
      <c r="J276" s="262">
        <v>3708</v>
      </c>
      <c r="K276" s="264" t="s">
        <v>777</v>
      </c>
      <c r="L276" s="264">
        <v>3708</v>
      </c>
    </row>
    <row r="277" spans="1:12" ht="14.5">
      <c r="A277" s="277" t="s">
        <v>188</v>
      </c>
      <c r="B277" s="274">
        <v>32</v>
      </c>
      <c r="C277" s="263">
        <v>45793</v>
      </c>
      <c r="D277" s="262">
        <v>19</v>
      </c>
      <c r="E277" s="262">
        <v>72</v>
      </c>
      <c r="F277" s="262" t="s">
        <v>391</v>
      </c>
      <c r="G277" s="262" t="s">
        <v>392</v>
      </c>
      <c r="H277" s="262" t="s">
        <v>393</v>
      </c>
      <c r="I277" s="262" t="s">
        <v>433</v>
      </c>
      <c r="J277" s="262">
        <v>1596</v>
      </c>
      <c r="K277" s="264" t="s">
        <v>777</v>
      </c>
      <c r="L277" s="264">
        <v>1596</v>
      </c>
    </row>
    <row r="278" spans="1:12" ht="14.5">
      <c r="A278" s="277" t="s">
        <v>188</v>
      </c>
      <c r="B278" s="274">
        <v>39</v>
      </c>
      <c r="C278" s="263">
        <v>45793</v>
      </c>
      <c r="D278" s="262">
        <v>19</v>
      </c>
      <c r="E278" s="262">
        <v>72</v>
      </c>
      <c r="F278" s="262" t="s">
        <v>81</v>
      </c>
      <c r="G278" s="262" t="s">
        <v>290</v>
      </c>
      <c r="H278" s="262" t="s">
        <v>291</v>
      </c>
      <c r="I278" s="262" t="s">
        <v>435</v>
      </c>
      <c r="J278" s="262">
        <v>13440</v>
      </c>
      <c r="K278" s="264" t="s">
        <v>777</v>
      </c>
      <c r="L278" s="264">
        <v>13440</v>
      </c>
    </row>
    <row r="279" spans="1:12" ht="14.5">
      <c r="A279" s="277" t="s">
        <v>188</v>
      </c>
      <c r="B279" s="274">
        <v>39</v>
      </c>
      <c r="C279" s="263">
        <v>45793</v>
      </c>
      <c r="D279" s="262">
        <v>19</v>
      </c>
      <c r="E279" s="262">
        <v>72</v>
      </c>
      <c r="F279" s="262" t="s">
        <v>81</v>
      </c>
      <c r="G279" s="262" t="s">
        <v>290</v>
      </c>
      <c r="H279" s="262" t="s">
        <v>293</v>
      </c>
      <c r="I279" s="262" t="s">
        <v>435</v>
      </c>
      <c r="J279" s="262">
        <v>13440</v>
      </c>
      <c r="K279" s="264" t="s">
        <v>777</v>
      </c>
      <c r="L279" s="264">
        <v>13440</v>
      </c>
    </row>
    <row r="280" spans="1:12" ht="14.5">
      <c r="A280" s="277" t="s">
        <v>188</v>
      </c>
      <c r="B280" s="274">
        <v>39</v>
      </c>
      <c r="C280" s="263">
        <v>45793</v>
      </c>
      <c r="D280" s="262">
        <v>19</v>
      </c>
      <c r="E280" s="262">
        <v>72</v>
      </c>
      <c r="F280" s="262" t="s">
        <v>81</v>
      </c>
      <c r="G280" s="262" t="s">
        <v>290</v>
      </c>
      <c r="H280" s="262" t="s">
        <v>294</v>
      </c>
      <c r="I280" s="262" t="s">
        <v>435</v>
      </c>
      <c r="J280" s="262">
        <v>13440</v>
      </c>
      <c r="K280" s="264" t="s">
        <v>777</v>
      </c>
      <c r="L280" s="264">
        <v>13440</v>
      </c>
    </row>
    <row r="281" spans="1:12" ht="14.5">
      <c r="A281" s="277" t="s">
        <v>188</v>
      </c>
      <c r="B281" s="274">
        <v>39</v>
      </c>
      <c r="C281" s="263">
        <v>45793</v>
      </c>
      <c r="D281" s="262">
        <v>19</v>
      </c>
      <c r="E281" s="262">
        <v>72</v>
      </c>
      <c r="F281" s="262" t="s">
        <v>205</v>
      </c>
      <c r="G281" s="262" t="s">
        <v>243</v>
      </c>
      <c r="H281" s="262" t="s">
        <v>162</v>
      </c>
      <c r="I281" s="262" t="s">
        <v>428</v>
      </c>
      <c r="J281" s="262">
        <v>498</v>
      </c>
      <c r="K281" s="264" t="s">
        <v>777</v>
      </c>
      <c r="L281" s="264">
        <v>498</v>
      </c>
    </row>
    <row r="282" spans="1:12" ht="14.5">
      <c r="A282" s="277" t="s">
        <v>188</v>
      </c>
      <c r="B282" s="274">
        <v>39</v>
      </c>
      <c r="C282" s="263">
        <v>45793</v>
      </c>
      <c r="D282" s="262">
        <v>19</v>
      </c>
      <c r="E282" s="262">
        <v>72</v>
      </c>
      <c r="F282" s="262" t="s">
        <v>158</v>
      </c>
      <c r="G282" s="262" t="s">
        <v>242</v>
      </c>
      <c r="H282" s="262" t="s">
        <v>255</v>
      </c>
      <c r="I282" s="262" t="s">
        <v>432</v>
      </c>
      <c r="J282" s="262">
        <v>632</v>
      </c>
      <c r="K282" s="264" t="s">
        <v>777</v>
      </c>
      <c r="L282" s="264">
        <v>632</v>
      </c>
    </row>
    <row r="283" spans="1:12" ht="14.5">
      <c r="A283" s="277" t="s">
        <v>188</v>
      </c>
      <c r="B283" s="274">
        <v>39</v>
      </c>
      <c r="C283" s="263">
        <v>45793</v>
      </c>
      <c r="D283" s="262">
        <v>19</v>
      </c>
      <c r="E283" s="262">
        <v>72</v>
      </c>
      <c r="F283" s="262" t="s">
        <v>271</v>
      </c>
      <c r="G283" s="262" t="s">
        <v>242</v>
      </c>
      <c r="H283" s="262" t="s">
        <v>244</v>
      </c>
      <c r="I283" s="262" t="s">
        <v>438</v>
      </c>
      <c r="J283" s="262">
        <v>1336</v>
      </c>
      <c r="K283" s="264" t="s">
        <v>777</v>
      </c>
      <c r="L283" s="264">
        <v>1336</v>
      </c>
    </row>
    <row r="284" spans="1:12" ht="14.5">
      <c r="A284" s="277" t="s">
        <v>188</v>
      </c>
      <c r="B284" s="274">
        <v>39</v>
      </c>
      <c r="C284" s="263">
        <v>45793</v>
      </c>
      <c r="D284" s="262">
        <v>19</v>
      </c>
      <c r="E284" s="262">
        <v>72</v>
      </c>
      <c r="F284" s="262" t="s">
        <v>190</v>
      </c>
      <c r="G284" s="262" t="s">
        <v>242</v>
      </c>
      <c r="H284" s="262" t="s">
        <v>244</v>
      </c>
      <c r="I284" s="262" t="s">
        <v>438</v>
      </c>
      <c r="J284" s="262">
        <v>1336</v>
      </c>
      <c r="K284" s="264" t="s">
        <v>777</v>
      </c>
      <c r="L284" s="264">
        <v>1336</v>
      </c>
    </row>
    <row r="285" spans="1:12" ht="14.5">
      <c r="A285" s="277" t="s">
        <v>188</v>
      </c>
      <c r="B285" s="274">
        <v>45</v>
      </c>
      <c r="C285" s="263">
        <v>45793</v>
      </c>
      <c r="D285" s="262">
        <v>19</v>
      </c>
      <c r="E285" s="262">
        <v>72</v>
      </c>
      <c r="F285" s="262" t="s">
        <v>81</v>
      </c>
      <c r="G285" s="262" t="s">
        <v>290</v>
      </c>
      <c r="H285" s="262" t="s">
        <v>291</v>
      </c>
      <c r="I285" s="262" t="s">
        <v>435</v>
      </c>
      <c r="J285" s="262">
        <v>2976</v>
      </c>
      <c r="K285" s="264" t="s">
        <v>777</v>
      </c>
      <c r="L285" s="264">
        <v>2976</v>
      </c>
    </row>
    <row r="286" spans="1:12" ht="14.5">
      <c r="A286" s="277" t="s">
        <v>188</v>
      </c>
      <c r="B286" s="274">
        <v>45</v>
      </c>
      <c r="C286" s="263">
        <v>45793</v>
      </c>
      <c r="D286" s="262">
        <v>19</v>
      </c>
      <c r="E286" s="262">
        <v>72</v>
      </c>
      <c r="F286" s="262" t="s">
        <v>81</v>
      </c>
      <c r="G286" s="262" t="s">
        <v>290</v>
      </c>
      <c r="H286" s="262" t="s">
        <v>293</v>
      </c>
      <c r="I286" s="262" t="s">
        <v>435</v>
      </c>
      <c r="J286" s="262">
        <v>2976</v>
      </c>
      <c r="K286" s="264" t="s">
        <v>777</v>
      </c>
      <c r="L286" s="264">
        <v>2976</v>
      </c>
    </row>
    <row r="287" spans="1:12" ht="14.5">
      <c r="A287" s="277" t="s">
        <v>188</v>
      </c>
      <c r="B287" s="274">
        <v>45</v>
      </c>
      <c r="C287" s="263">
        <v>45793</v>
      </c>
      <c r="D287" s="262">
        <v>19</v>
      </c>
      <c r="E287" s="262">
        <v>72</v>
      </c>
      <c r="F287" s="262" t="s">
        <v>81</v>
      </c>
      <c r="G287" s="262" t="s">
        <v>290</v>
      </c>
      <c r="H287" s="262" t="s">
        <v>294</v>
      </c>
      <c r="I287" s="262" t="s">
        <v>435</v>
      </c>
      <c r="J287" s="262">
        <v>2976</v>
      </c>
      <c r="K287" s="264" t="s">
        <v>777</v>
      </c>
      <c r="L287" s="264">
        <v>2976</v>
      </c>
    </row>
    <row r="288" spans="1:12" ht="14.5">
      <c r="A288" s="277" t="s">
        <v>188</v>
      </c>
      <c r="B288" s="274">
        <v>45</v>
      </c>
      <c r="C288" s="263">
        <v>45793</v>
      </c>
      <c r="D288" s="262">
        <v>19</v>
      </c>
      <c r="E288" s="262">
        <v>72</v>
      </c>
      <c r="F288" s="262" t="s">
        <v>158</v>
      </c>
      <c r="G288" s="262" t="s">
        <v>242</v>
      </c>
      <c r="H288" s="262" t="s">
        <v>154</v>
      </c>
      <c r="I288" s="262" t="s">
        <v>432</v>
      </c>
      <c r="J288" s="262">
        <v>1372</v>
      </c>
      <c r="K288" s="264" t="s">
        <v>777</v>
      </c>
      <c r="L288" s="264">
        <v>1372</v>
      </c>
    </row>
    <row r="289" spans="1:12" ht="14.5">
      <c r="A289" s="277" t="s">
        <v>188</v>
      </c>
      <c r="B289" s="274">
        <v>45</v>
      </c>
      <c r="C289" s="263">
        <v>45793</v>
      </c>
      <c r="D289" s="262">
        <v>19</v>
      </c>
      <c r="E289" s="262">
        <v>72</v>
      </c>
      <c r="F289" s="262" t="s">
        <v>391</v>
      </c>
      <c r="G289" s="262" t="s">
        <v>392</v>
      </c>
      <c r="H289" s="262" t="s">
        <v>393</v>
      </c>
      <c r="I289" s="262" t="s">
        <v>433</v>
      </c>
      <c r="J289" s="262">
        <v>1434</v>
      </c>
      <c r="K289" s="264" t="s">
        <v>777</v>
      </c>
      <c r="L289" s="264">
        <v>1434</v>
      </c>
    </row>
    <row r="290" spans="1:12" ht="14.5">
      <c r="A290" s="277" t="s">
        <v>188</v>
      </c>
      <c r="B290" s="274">
        <v>45</v>
      </c>
      <c r="C290" s="263">
        <v>45793</v>
      </c>
      <c r="D290" s="262">
        <v>19</v>
      </c>
      <c r="E290" s="262">
        <v>72</v>
      </c>
      <c r="F290" s="262" t="s">
        <v>158</v>
      </c>
      <c r="G290" s="262" t="s">
        <v>242</v>
      </c>
      <c r="H290" s="262" t="s">
        <v>156</v>
      </c>
      <c r="I290" s="262" t="s">
        <v>432</v>
      </c>
      <c r="J290" s="262">
        <v>1372</v>
      </c>
      <c r="K290" s="264" t="s">
        <v>777</v>
      </c>
      <c r="L290" s="264">
        <v>1372</v>
      </c>
    </row>
    <row r="291" spans="1:12" ht="14.5">
      <c r="A291" s="277" t="s">
        <v>188</v>
      </c>
      <c r="B291" s="274">
        <v>45</v>
      </c>
      <c r="C291" s="263">
        <v>45793</v>
      </c>
      <c r="D291" s="262">
        <v>19</v>
      </c>
      <c r="E291" s="262">
        <v>72</v>
      </c>
      <c r="F291" s="262" t="s">
        <v>190</v>
      </c>
      <c r="G291" s="262" t="s">
        <v>242</v>
      </c>
      <c r="H291" s="262" t="s">
        <v>244</v>
      </c>
      <c r="I291" s="262" t="s">
        <v>513</v>
      </c>
      <c r="J291" s="262">
        <v>272</v>
      </c>
      <c r="K291" s="264" t="s">
        <v>777</v>
      </c>
      <c r="L291" s="264">
        <v>272</v>
      </c>
    </row>
    <row r="292" spans="1:12" ht="14.5">
      <c r="A292" s="277" t="s">
        <v>188</v>
      </c>
      <c r="B292" s="274">
        <v>13</v>
      </c>
      <c r="C292" s="263">
        <v>45793</v>
      </c>
      <c r="D292" s="262">
        <v>19</v>
      </c>
      <c r="E292" s="262">
        <v>72</v>
      </c>
      <c r="F292" s="262" t="s">
        <v>193</v>
      </c>
      <c r="G292" s="262" t="s">
        <v>270</v>
      </c>
      <c r="H292" s="262" t="s">
        <v>162</v>
      </c>
      <c r="I292" s="262" t="s">
        <v>583</v>
      </c>
      <c r="J292" s="262">
        <v>1200</v>
      </c>
      <c r="K292" s="264" t="s">
        <v>777</v>
      </c>
      <c r="L292" s="264">
        <v>1200</v>
      </c>
    </row>
    <row r="293" spans="1:12" ht="14.5">
      <c r="A293" s="277" t="s">
        <v>188</v>
      </c>
      <c r="B293" s="274">
        <v>13</v>
      </c>
      <c r="C293" s="263">
        <v>45793</v>
      </c>
      <c r="D293" s="262">
        <v>19</v>
      </c>
      <c r="E293" s="262">
        <v>72</v>
      </c>
      <c r="F293" s="262" t="s">
        <v>193</v>
      </c>
      <c r="G293" s="262" t="s">
        <v>398</v>
      </c>
      <c r="H293" s="262" t="s">
        <v>162</v>
      </c>
      <c r="I293" s="262" t="s">
        <v>434</v>
      </c>
      <c r="J293" s="262">
        <v>9000</v>
      </c>
      <c r="K293" s="264" t="s">
        <v>777</v>
      </c>
      <c r="L293" s="264">
        <v>9000</v>
      </c>
    </row>
    <row r="294" spans="1:12" ht="14.5">
      <c r="A294" s="277" t="s">
        <v>188</v>
      </c>
      <c r="B294" s="274">
        <v>13</v>
      </c>
      <c r="C294" s="263">
        <v>45793</v>
      </c>
      <c r="D294" s="262">
        <v>19</v>
      </c>
      <c r="E294" s="262">
        <v>72</v>
      </c>
      <c r="F294" s="262" t="s">
        <v>250</v>
      </c>
      <c r="G294" s="262" t="s">
        <v>269</v>
      </c>
      <c r="H294" s="262" t="s">
        <v>162</v>
      </c>
      <c r="I294" s="262" t="s">
        <v>440</v>
      </c>
      <c r="J294" s="262">
        <v>1160</v>
      </c>
      <c r="K294" s="264" t="s">
        <v>777</v>
      </c>
      <c r="L294" s="264">
        <v>1160</v>
      </c>
    </row>
    <row r="295" spans="1:12" ht="14.5">
      <c r="A295" s="277" t="s">
        <v>188</v>
      </c>
      <c r="B295" s="274">
        <v>13</v>
      </c>
      <c r="C295" s="263">
        <v>45793</v>
      </c>
      <c r="D295" s="262">
        <v>19</v>
      </c>
      <c r="E295" s="262">
        <v>72</v>
      </c>
      <c r="F295" s="262" t="s">
        <v>136</v>
      </c>
      <c r="G295" s="262" t="s">
        <v>247</v>
      </c>
      <c r="H295" s="262" t="s">
        <v>162</v>
      </c>
      <c r="I295" s="262" t="s">
        <v>500</v>
      </c>
      <c r="J295" s="262">
        <v>3712</v>
      </c>
      <c r="K295" s="264" t="s">
        <v>777</v>
      </c>
      <c r="L295" s="264">
        <v>3712</v>
      </c>
    </row>
    <row r="296" spans="1:12" ht="14.5">
      <c r="A296" s="277" t="s">
        <v>188</v>
      </c>
      <c r="B296" s="274">
        <v>13</v>
      </c>
      <c r="C296" s="263">
        <v>45793</v>
      </c>
      <c r="D296" s="262">
        <v>19</v>
      </c>
      <c r="E296" s="262">
        <v>72</v>
      </c>
      <c r="F296" s="262" t="s">
        <v>136</v>
      </c>
      <c r="G296" s="262" t="s">
        <v>247</v>
      </c>
      <c r="H296" s="262" t="s">
        <v>163</v>
      </c>
      <c r="I296" s="262" t="s">
        <v>500</v>
      </c>
      <c r="J296" s="262">
        <v>3712</v>
      </c>
      <c r="K296" s="264" t="s">
        <v>777</v>
      </c>
      <c r="L296" s="264">
        <v>3712</v>
      </c>
    </row>
    <row r="297" spans="1:12" ht="14.5">
      <c r="A297" s="277" t="s">
        <v>188</v>
      </c>
      <c r="B297" s="274">
        <v>13</v>
      </c>
      <c r="C297" s="263">
        <v>45793</v>
      </c>
      <c r="D297" s="262">
        <v>19</v>
      </c>
      <c r="E297" s="262">
        <v>72</v>
      </c>
      <c r="F297" s="262" t="s">
        <v>136</v>
      </c>
      <c r="G297" s="262" t="s">
        <v>247</v>
      </c>
      <c r="H297" s="262" t="s">
        <v>164</v>
      </c>
      <c r="I297" s="262" t="s">
        <v>500</v>
      </c>
      <c r="J297" s="262">
        <v>3712</v>
      </c>
      <c r="K297" s="264" t="s">
        <v>777</v>
      </c>
      <c r="L297" s="264">
        <v>3712</v>
      </c>
    </row>
    <row r="298" spans="1:12" ht="14.5">
      <c r="A298" s="277" t="s">
        <v>188</v>
      </c>
      <c r="B298" s="274">
        <v>13</v>
      </c>
      <c r="C298" s="263">
        <v>45793</v>
      </c>
      <c r="D298" s="262">
        <v>19</v>
      </c>
      <c r="E298" s="262">
        <v>72</v>
      </c>
      <c r="F298" s="262" t="s">
        <v>157</v>
      </c>
      <c r="G298" s="262" t="s">
        <v>243</v>
      </c>
      <c r="H298" s="262" t="s">
        <v>155</v>
      </c>
      <c r="I298" s="262" t="s">
        <v>428</v>
      </c>
      <c r="J298" s="262">
        <v>3708</v>
      </c>
      <c r="K298" s="264" t="s">
        <v>777</v>
      </c>
      <c r="L298" s="264">
        <v>3708</v>
      </c>
    </row>
    <row r="299" spans="1:12" ht="14.5">
      <c r="A299" s="277" t="s">
        <v>188</v>
      </c>
      <c r="B299" s="274">
        <v>13</v>
      </c>
      <c r="C299" s="263">
        <v>45793</v>
      </c>
      <c r="D299" s="262">
        <v>19</v>
      </c>
      <c r="E299" s="262">
        <v>72</v>
      </c>
      <c r="F299" s="262" t="s">
        <v>158</v>
      </c>
      <c r="G299" s="262" t="s">
        <v>242</v>
      </c>
      <c r="H299" s="262" t="s">
        <v>154</v>
      </c>
      <c r="I299" s="262" t="s">
        <v>432</v>
      </c>
      <c r="J299" s="262">
        <v>1516</v>
      </c>
      <c r="K299" s="264" t="s">
        <v>777</v>
      </c>
      <c r="L299" s="264">
        <v>1516</v>
      </c>
    </row>
    <row r="300" spans="1:12" ht="14.5">
      <c r="A300" s="277" t="s">
        <v>188</v>
      </c>
      <c r="B300" s="274">
        <v>29</v>
      </c>
      <c r="C300" s="263">
        <v>45800</v>
      </c>
      <c r="D300" s="262">
        <v>20</v>
      </c>
      <c r="E300" s="262">
        <v>79</v>
      </c>
      <c r="F300" s="262" t="s">
        <v>268</v>
      </c>
      <c r="G300" s="262" t="s">
        <v>274</v>
      </c>
      <c r="H300" s="262" t="s">
        <v>162</v>
      </c>
      <c r="I300" s="262" t="s">
        <v>434</v>
      </c>
      <c r="J300" s="262">
        <v>39570</v>
      </c>
      <c r="K300" s="264" t="s">
        <v>777</v>
      </c>
      <c r="L300" s="264">
        <v>39570</v>
      </c>
    </row>
    <row r="301" spans="1:12" ht="14.5">
      <c r="A301" s="277" t="s">
        <v>188</v>
      </c>
      <c r="B301" s="274">
        <v>29</v>
      </c>
      <c r="C301" s="263">
        <v>45800</v>
      </c>
      <c r="D301" s="262">
        <v>20</v>
      </c>
      <c r="E301" s="262">
        <v>79</v>
      </c>
      <c r="F301" s="262" t="s">
        <v>268</v>
      </c>
      <c r="G301" s="262" t="s">
        <v>269</v>
      </c>
      <c r="H301" s="262" t="s">
        <v>255</v>
      </c>
      <c r="I301" s="262" t="s">
        <v>440</v>
      </c>
      <c r="J301" s="262">
        <v>15790</v>
      </c>
      <c r="K301" s="264" t="s">
        <v>777</v>
      </c>
      <c r="L301" s="264">
        <v>15790</v>
      </c>
    </row>
    <row r="302" spans="1:12" ht="14.5">
      <c r="A302" s="277" t="s">
        <v>188</v>
      </c>
      <c r="B302" s="274">
        <v>33</v>
      </c>
      <c r="C302" s="263">
        <v>45800</v>
      </c>
      <c r="D302" s="262">
        <v>20</v>
      </c>
      <c r="E302" s="262">
        <v>79</v>
      </c>
      <c r="F302" s="262" t="s">
        <v>268</v>
      </c>
      <c r="G302" s="262" t="s">
        <v>274</v>
      </c>
      <c r="H302" s="262" t="s">
        <v>255</v>
      </c>
      <c r="I302" s="262" t="s">
        <v>434</v>
      </c>
      <c r="J302" s="262">
        <v>11235</v>
      </c>
      <c r="K302" s="264" t="s">
        <v>777</v>
      </c>
      <c r="L302" s="264">
        <v>11235</v>
      </c>
    </row>
    <row r="303" spans="1:12" ht="14.5">
      <c r="A303" s="277" t="s">
        <v>188</v>
      </c>
      <c r="B303" s="274">
        <v>33</v>
      </c>
      <c r="C303" s="263">
        <v>45800</v>
      </c>
      <c r="D303" s="262">
        <v>20</v>
      </c>
      <c r="E303" s="262">
        <v>79</v>
      </c>
      <c r="F303" s="262" t="s">
        <v>268</v>
      </c>
      <c r="G303" s="262" t="s">
        <v>274</v>
      </c>
      <c r="H303" s="262" t="s">
        <v>255</v>
      </c>
      <c r="I303" s="262" t="s">
        <v>434</v>
      </c>
      <c r="J303" s="262">
        <v>11235</v>
      </c>
      <c r="K303" s="264" t="s">
        <v>777</v>
      </c>
      <c r="L303" s="264">
        <v>11235</v>
      </c>
    </row>
    <row r="304" spans="1:12" ht="14.5">
      <c r="A304" s="277" t="s">
        <v>188</v>
      </c>
      <c r="B304" s="274">
        <v>33</v>
      </c>
      <c r="C304" s="263">
        <v>45800</v>
      </c>
      <c r="D304" s="262">
        <v>20</v>
      </c>
      <c r="E304" s="262">
        <v>79</v>
      </c>
      <c r="F304" s="262" t="s">
        <v>268</v>
      </c>
      <c r="G304" s="262" t="s">
        <v>269</v>
      </c>
      <c r="H304" s="262" t="s">
        <v>255</v>
      </c>
      <c r="I304" s="262" t="s">
        <v>440</v>
      </c>
      <c r="J304" s="262">
        <v>6470</v>
      </c>
      <c r="K304" s="264" t="s">
        <v>777</v>
      </c>
      <c r="L304" s="264">
        <v>6470</v>
      </c>
    </row>
    <row r="305" spans="1:12" ht="14.5">
      <c r="A305" s="277" t="s">
        <v>188</v>
      </c>
      <c r="B305" s="274">
        <v>33</v>
      </c>
      <c r="C305" s="263">
        <v>45800</v>
      </c>
      <c r="D305" s="262">
        <v>20</v>
      </c>
      <c r="E305" s="262">
        <v>79</v>
      </c>
      <c r="F305" s="262" t="s">
        <v>268</v>
      </c>
      <c r="G305" s="262" t="s">
        <v>276</v>
      </c>
      <c r="H305" s="262" t="s">
        <v>255</v>
      </c>
      <c r="I305" s="262" t="s">
        <v>814</v>
      </c>
      <c r="J305" s="262">
        <v>5778</v>
      </c>
      <c r="K305" s="264" t="s">
        <v>777</v>
      </c>
      <c r="L305" s="264">
        <v>5778</v>
      </c>
    </row>
    <row r="306" spans="1:12" ht="14.5">
      <c r="A306" s="277" t="s">
        <v>188</v>
      </c>
      <c r="B306" s="274">
        <v>33</v>
      </c>
      <c r="C306" s="263">
        <v>45800</v>
      </c>
      <c r="D306" s="262">
        <v>20</v>
      </c>
      <c r="E306" s="262">
        <v>79</v>
      </c>
      <c r="F306" s="262" t="s">
        <v>268</v>
      </c>
      <c r="G306" s="262" t="s">
        <v>815</v>
      </c>
      <c r="H306" s="262" t="s">
        <v>255</v>
      </c>
      <c r="I306" s="262" t="s">
        <v>816</v>
      </c>
      <c r="J306" s="262">
        <v>6180</v>
      </c>
      <c r="K306" s="264" t="s">
        <v>777</v>
      </c>
      <c r="L306" s="264">
        <v>6180</v>
      </c>
    </row>
    <row r="307" spans="1:12" ht="14.5">
      <c r="A307" s="277" t="s">
        <v>188</v>
      </c>
      <c r="B307" s="274">
        <v>33</v>
      </c>
      <c r="C307" s="263">
        <v>45800</v>
      </c>
      <c r="D307" s="262">
        <v>20</v>
      </c>
      <c r="E307" s="262">
        <v>79</v>
      </c>
      <c r="F307" s="262" t="s">
        <v>250</v>
      </c>
      <c r="G307" s="262" t="s">
        <v>269</v>
      </c>
      <c r="H307" s="262" t="s">
        <v>162</v>
      </c>
      <c r="I307" s="262" t="s">
        <v>440</v>
      </c>
      <c r="J307" s="262">
        <v>600</v>
      </c>
      <c r="K307" s="264" t="s">
        <v>777</v>
      </c>
      <c r="L307" s="264">
        <v>600</v>
      </c>
    </row>
    <row r="308" spans="1:12" ht="14.5">
      <c r="A308" s="277" t="s">
        <v>188</v>
      </c>
      <c r="B308" s="274">
        <v>33</v>
      </c>
      <c r="C308" s="263">
        <v>45800</v>
      </c>
      <c r="D308" s="262">
        <v>20</v>
      </c>
      <c r="E308" s="262">
        <v>79</v>
      </c>
      <c r="F308" s="262" t="s">
        <v>157</v>
      </c>
      <c r="G308" s="262" t="s">
        <v>243</v>
      </c>
      <c r="H308" s="262" t="s">
        <v>155</v>
      </c>
      <c r="I308" s="262" t="s">
        <v>428</v>
      </c>
      <c r="J308" s="262">
        <v>156</v>
      </c>
      <c r="K308" s="264" t="s">
        <v>777</v>
      </c>
      <c r="L308" s="264">
        <v>156</v>
      </c>
    </row>
    <row r="309" spans="1:12" ht="14.5">
      <c r="A309" s="277" t="s">
        <v>188</v>
      </c>
      <c r="B309" s="274">
        <v>34</v>
      </c>
      <c r="C309" s="263">
        <v>45800</v>
      </c>
      <c r="D309" s="262">
        <v>20</v>
      </c>
      <c r="E309" s="262">
        <v>79</v>
      </c>
      <c r="F309" s="262" t="s">
        <v>268</v>
      </c>
      <c r="G309" s="262" t="s">
        <v>274</v>
      </c>
      <c r="H309" s="262" t="s">
        <v>255</v>
      </c>
      <c r="I309" s="262" t="s">
        <v>434</v>
      </c>
      <c r="J309" s="262">
        <v>19200</v>
      </c>
      <c r="K309" s="264" t="s">
        <v>777</v>
      </c>
      <c r="L309" s="264">
        <v>19200</v>
      </c>
    </row>
    <row r="310" spans="1:12" ht="14.5">
      <c r="A310" s="277" t="s">
        <v>188</v>
      </c>
      <c r="B310" s="274">
        <v>34</v>
      </c>
      <c r="C310" s="263">
        <v>45800</v>
      </c>
      <c r="D310" s="262">
        <v>20</v>
      </c>
      <c r="E310" s="262">
        <v>79</v>
      </c>
      <c r="F310" s="262" t="s">
        <v>268</v>
      </c>
      <c r="G310" s="262" t="s">
        <v>274</v>
      </c>
      <c r="H310" s="262" t="s">
        <v>255</v>
      </c>
      <c r="I310" s="262" t="s">
        <v>434</v>
      </c>
      <c r="J310" s="262">
        <v>19200</v>
      </c>
      <c r="K310" s="264" t="s">
        <v>777</v>
      </c>
      <c r="L310" s="264">
        <v>19200</v>
      </c>
    </row>
    <row r="311" spans="1:12" ht="14.5">
      <c r="A311" s="277" t="s">
        <v>188</v>
      </c>
      <c r="B311" s="274">
        <v>34</v>
      </c>
      <c r="C311" s="263">
        <v>45800</v>
      </c>
      <c r="D311" s="262">
        <v>20</v>
      </c>
      <c r="E311" s="262">
        <v>79</v>
      </c>
      <c r="F311" s="262" t="s">
        <v>268</v>
      </c>
      <c r="G311" s="262" t="s">
        <v>269</v>
      </c>
      <c r="H311" s="262" t="s">
        <v>255</v>
      </c>
      <c r="I311" s="262" t="s">
        <v>440</v>
      </c>
      <c r="J311" s="262">
        <v>5330</v>
      </c>
      <c r="K311" s="264" t="s">
        <v>777</v>
      </c>
      <c r="L311" s="264">
        <v>5330</v>
      </c>
    </row>
    <row r="312" spans="1:12" ht="14.5">
      <c r="A312" s="277" t="s">
        <v>188</v>
      </c>
      <c r="B312" s="274">
        <v>34</v>
      </c>
      <c r="C312" s="263">
        <v>45800</v>
      </c>
      <c r="D312" s="262">
        <v>20</v>
      </c>
      <c r="E312" s="262">
        <v>79</v>
      </c>
      <c r="F312" s="262" t="s">
        <v>268</v>
      </c>
      <c r="G312" s="262" t="s">
        <v>276</v>
      </c>
      <c r="H312" s="262" t="s">
        <v>255</v>
      </c>
      <c r="I312" s="262" t="s">
        <v>814</v>
      </c>
      <c r="J312" s="262">
        <v>9072</v>
      </c>
      <c r="K312" s="264" t="s">
        <v>777</v>
      </c>
      <c r="L312" s="264">
        <v>9072</v>
      </c>
    </row>
    <row r="313" spans="1:12" ht="14.5">
      <c r="A313" s="277" t="s">
        <v>188</v>
      </c>
      <c r="B313" s="274">
        <v>34</v>
      </c>
      <c r="C313" s="263">
        <v>45800</v>
      </c>
      <c r="D313" s="262">
        <v>20</v>
      </c>
      <c r="E313" s="262">
        <v>79</v>
      </c>
      <c r="F313" s="262" t="s">
        <v>157</v>
      </c>
      <c r="G313" s="262" t="s">
        <v>243</v>
      </c>
      <c r="H313" s="262" t="s">
        <v>162</v>
      </c>
      <c r="I313" s="262" t="s">
        <v>428</v>
      </c>
      <c r="J313" s="262">
        <v>3516</v>
      </c>
      <c r="K313" s="264" t="s">
        <v>777</v>
      </c>
      <c r="L313" s="264">
        <v>3516</v>
      </c>
    </row>
    <row r="314" spans="1:12" ht="14.5">
      <c r="A314" s="277" t="s">
        <v>188</v>
      </c>
      <c r="B314" s="274">
        <v>35</v>
      </c>
      <c r="C314" s="263">
        <v>45800</v>
      </c>
      <c r="D314" s="262">
        <v>20</v>
      </c>
      <c r="E314" s="262">
        <v>79</v>
      </c>
      <c r="F314" s="262" t="s">
        <v>193</v>
      </c>
      <c r="G314" s="262" t="s">
        <v>270</v>
      </c>
      <c r="H314" s="262" t="s">
        <v>162</v>
      </c>
      <c r="I314" s="262" t="s">
        <v>583</v>
      </c>
      <c r="J314" s="262">
        <v>18198</v>
      </c>
      <c r="K314" s="264" t="s">
        <v>777</v>
      </c>
      <c r="L314" s="264">
        <v>18198</v>
      </c>
    </row>
    <row r="315" spans="1:12" ht="14.5">
      <c r="A315" s="277" t="s">
        <v>188</v>
      </c>
      <c r="B315" s="274">
        <v>35</v>
      </c>
      <c r="C315" s="263">
        <v>45800</v>
      </c>
      <c r="D315" s="262">
        <v>20</v>
      </c>
      <c r="E315" s="262">
        <v>79</v>
      </c>
      <c r="F315" s="262" t="s">
        <v>250</v>
      </c>
      <c r="G315" s="262" t="s">
        <v>269</v>
      </c>
      <c r="H315" s="262" t="s">
        <v>162</v>
      </c>
      <c r="I315" s="262" t="s">
        <v>440</v>
      </c>
      <c r="J315" s="262">
        <v>1780</v>
      </c>
      <c r="K315" s="264" t="s">
        <v>777</v>
      </c>
      <c r="L315" s="264">
        <v>1780</v>
      </c>
    </row>
    <row r="316" spans="1:12" ht="14.5">
      <c r="A316" s="277" t="s">
        <v>188</v>
      </c>
      <c r="B316" s="274">
        <v>35</v>
      </c>
      <c r="C316" s="263">
        <v>45800</v>
      </c>
      <c r="D316" s="262">
        <v>20</v>
      </c>
      <c r="E316" s="262">
        <v>79</v>
      </c>
      <c r="F316" s="262" t="s">
        <v>268</v>
      </c>
      <c r="G316" s="262" t="s">
        <v>269</v>
      </c>
      <c r="H316" s="262" t="s">
        <v>255</v>
      </c>
      <c r="I316" s="262" t="s">
        <v>440</v>
      </c>
      <c r="J316" s="262">
        <v>1020</v>
      </c>
      <c r="K316" s="264" t="s">
        <v>777</v>
      </c>
      <c r="L316" s="264">
        <v>1020</v>
      </c>
    </row>
    <row r="317" spans="1:12" ht="14.5">
      <c r="A317" s="277" t="s">
        <v>188</v>
      </c>
      <c r="B317" s="274">
        <v>40</v>
      </c>
      <c r="C317" s="263">
        <v>45800</v>
      </c>
      <c r="D317" s="262">
        <v>20</v>
      </c>
      <c r="E317" s="262">
        <v>79</v>
      </c>
      <c r="F317" s="262" t="s">
        <v>81</v>
      </c>
      <c r="G317" s="262" t="s">
        <v>290</v>
      </c>
      <c r="H317" s="262" t="s">
        <v>291</v>
      </c>
      <c r="I317" s="262" t="s">
        <v>435</v>
      </c>
      <c r="J317" s="262">
        <v>1752</v>
      </c>
      <c r="K317" s="264" t="s">
        <v>777</v>
      </c>
      <c r="L317" s="264">
        <v>1752</v>
      </c>
    </row>
    <row r="318" spans="1:12" ht="14.5">
      <c r="A318" s="277" t="s">
        <v>188</v>
      </c>
      <c r="B318" s="274">
        <v>40</v>
      </c>
      <c r="C318" s="263">
        <v>45800</v>
      </c>
      <c r="D318" s="262">
        <v>20</v>
      </c>
      <c r="E318" s="262">
        <v>79</v>
      </c>
      <c r="F318" s="262" t="s">
        <v>81</v>
      </c>
      <c r="G318" s="262" t="s">
        <v>290</v>
      </c>
      <c r="H318" s="262" t="s">
        <v>293</v>
      </c>
      <c r="I318" s="262" t="s">
        <v>435</v>
      </c>
      <c r="J318" s="262">
        <v>1752</v>
      </c>
      <c r="K318" s="264" t="s">
        <v>777</v>
      </c>
      <c r="L318" s="264">
        <v>1752</v>
      </c>
    </row>
    <row r="319" spans="1:12" ht="14.5">
      <c r="A319" s="277" t="s">
        <v>188</v>
      </c>
      <c r="B319" s="274">
        <v>40</v>
      </c>
      <c r="C319" s="263">
        <v>45800</v>
      </c>
      <c r="D319" s="262">
        <v>20</v>
      </c>
      <c r="E319" s="262">
        <v>79</v>
      </c>
      <c r="F319" s="262" t="s">
        <v>81</v>
      </c>
      <c r="G319" s="262" t="s">
        <v>290</v>
      </c>
      <c r="H319" s="262" t="s">
        <v>294</v>
      </c>
      <c r="I319" s="262" t="s">
        <v>435</v>
      </c>
      <c r="J319" s="262">
        <v>1752</v>
      </c>
      <c r="K319" s="264" t="s">
        <v>777</v>
      </c>
      <c r="L319" s="264">
        <v>1752</v>
      </c>
    </row>
    <row r="320" spans="1:12" ht="14.5">
      <c r="A320" s="277" t="s">
        <v>188</v>
      </c>
      <c r="B320" s="274">
        <v>40</v>
      </c>
      <c r="C320" s="263">
        <v>45800</v>
      </c>
      <c r="D320" s="262">
        <v>20</v>
      </c>
      <c r="E320" s="262">
        <v>79</v>
      </c>
      <c r="F320" s="262" t="s">
        <v>157</v>
      </c>
      <c r="G320" s="262" t="s">
        <v>243</v>
      </c>
      <c r="H320" s="262" t="s">
        <v>162</v>
      </c>
      <c r="I320" s="262" t="s">
        <v>428</v>
      </c>
      <c r="J320" s="262">
        <v>3030</v>
      </c>
      <c r="K320" s="264" t="s">
        <v>777</v>
      </c>
      <c r="L320" s="264">
        <v>3030</v>
      </c>
    </row>
    <row r="321" spans="1:12" ht="14.5">
      <c r="A321" s="277" t="s">
        <v>188</v>
      </c>
      <c r="B321" s="274">
        <v>40</v>
      </c>
      <c r="C321" s="263">
        <v>45800</v>
      </c>
      <c r="D321" s="262">
        <v>20</v>
      </c>
      <c r="E321" s="262">
        <v>79</v>
      </c>
      <c r="F321" s="262" t="s">
        <v>158</v>
      </c>
      <c r="G321" s="262" t="s">
        <v>242</v>
      </c>
      <c r="H321" s="262" t="s">
        <v>154</v>
      </c>
      <c r="I321" s="262" t="s">
        <v>432</v>
      </c>
      <c r="J321" s="262">
        <v>1336</v>
      </c>
      <c r="K321" s="264" t="s">
        <v>777</v>
      </c>
      <c r="L321" s="264">
        <v>1336</v>
      </c>
    </row>
    <row r="322" spans="1:12" ht="14.5">
      <c r="A322" s="277" t="s">
        <v>188</v>
      </c>
      <c r="B322" s="274">
        <v>40</v>
      </c>
      <c r="C322" s="263">
        <v>45800</v>
      </c>
      <c r="D322" s="262">
        <v>20</v>
      </c>
      <c r="E322" s="262">
        <v>79</v>
      </c>
      <c r="F322" s="262" t="s">
        <v>158</v>
      </c>
      <c r="G322" s="262" t="s">
        <v>242</v>
      </c>
      <c r="H322" s="262" t="s">
        <v>156</v>
      </c>
      <c r="I322" s="262" t="s">
        <v>432</v>
      </c>
      <c r="J322" s="262">
        <v>844</v>
      </c>
      <c r="K322" s="264" t="s">
        <v>777</v>
      </c>
      <c r="L322" s="264">
        <v>844</v>
      </c>
    </row>
    <row r="323" spans="1:12" ht="14.5">
      <c r="A323" s="277" t="s">
        <v>188</v>
      </c>
      <c r="B323" s="274">
        <v>40</v>
      </c>
      <c r="C323" s="263">
        <v>45800</v>
      </c>
      <c r="D323" s="262">
        <v>20</v>
      </c>
      <c r="E323" s="262">
        <v>79</v>
      </c>
      <c r="F323" s="262" t="s">
        <v>190</v>
      </c>
      <c r="G323" s="262" t="s">
        <v>242</v>
      </c>
      <c r="H323" s="262" t="s">
        <v>244</v>
      </c>
      <c r="I323" s="262" t="s">
        <v>438</v>
      </c>
      <c r="J323" s="262">
        <v>556</v>
      </c>
      <c r="K323" s="264" t="s">
        <v>777</v>
      </c>
      <c r="L323" s="264">
        <v>556</v>
      </c>
    </row>
    <row r="324" spans="1:12" ht="14.5">
      <c r="A324" s="277" t="s">
        <v>188</v>
      </c>
      <c r="B324" s="274">
        <v>27</v>
      </c>
      <c r="C324" s="263">
        <v>45807</v>
      </c>
      <c r="D324" s="262">
        <v>21</v>
      </c>
      <c r="E324" s="262">
        <v>86</v>
      </c>
      <c r="F324" s="262" t="s">
        <v>268</v>
      </c>
      <c r="G324" s="262" t="s">
        <v>269</v>
      </c>
      <c r="H324" s="262" t="s">
        <v>255</v>
      </c>
      <c r="I324" s="262" t="s">
        <v>440</v>
      </c>
      <c r="J324" s="262">
        <v>19155</v>
      </c>
      <c r="K324" s="264" t="s">
        <v>777</v>
      </c>
      <c r="L324" s="264">
        <v>19155</v>
      </c>
    </row>
    <row r="325" spans="1:12" ht="14.5">
      <c r="A325" s="277" t="s">
        <v>188</v>
      </c>
      <c r="B325" s="274">
        <v>36</v>
      </c>
      <c r="C325" s="263">
        <v>45807</v>
      </c>
      <c r="D325" s="262">
        <v>21</v>
      </c>
      <c r="E325" s="262">
        <v>86</v>
      </c>
      <c r="F325" s="262" t="s">
        <v>268</v>
      </c>
      <c r="G325" s="262" t="s">
        <v>274</v>
      </c>
      <c r="H325" s="262" t="s">
        <v>255</v>
      </c>
      <c r="I325" s="262" t="s">
        <v>434</v>
      </c>
      <c r="J325" s="262">
        <v>16200</v>
      </c>
      <c r="K325" s="264" t="s">
        <v>777</v>
      </c>
      <c r="L325" s="264">
        <v>16200</v>
      </c>
    </row>
    <row r="326" spans="1:12" ht="14.5">
      <c r="A326" s="277" t="s">
        <v>188</v>
      </c>
      <c r="B326" s="274">
        <v>36</v>
      </c>
      <c r="C326" s="263">
        <v>45807</v>
      </c>
      <c r="D326" s="262">
        <v>21</v>
      </c>
      <c r="E326" s="262">
        <v>86</v>
      </c>
      <c r="F326" s="262" t="s">
        <v>268</v>
      </c>
      <c r="G326" s="262" t="s">
        <v>274</v>
      </c>
      <c r="H326" s="262" t="s">
        <v>255</v>
      </c>
      <c r="I326" s="262" t="s">
        <v>434</v>
      </c>
      <c r="J326" s="262">
        <v>16200</v>
      </c>
      <c r="K326" s="264" t="s">
        <v>777</v>
      </c>
      <c r="L326" s="264">
        <v>16200</v>
      </c>
    </row>
    <row r="327" spans="1:12" ht="14.5">
      <c r="A327" s="277" t="s">
        <v>188</v>
      </c>
      <c r="B327" s="274">
        <v>36</v>
      </c>
      <c r="C327" s="263">
        <v>45807</v>
      </c>
      <c r="D327" s="262">
        <v>21</v>
      </c>
      <c r="E327" s="262">
        <v>86</v>
      </c>
      <c r="F327" s="262" t="s">
        <v>268</v>
      </c>
      <c r="G327" s="262" t="s">
        <v>276</v>
      </c>
      <c r="H327" s="262" t="s">
        <v>255</v>
      </c>
      <c r="I327" s="262" t="s">
        <v>814</v>
      </c>
      <c r="J327" s="262">
        <v>8442</v>
      </c>
      <c r="K327" s="264" t="s">
        <v>777</v>
      </c>
      <c r="L327" s="264">
        <v>8442</v>
      </c>
    </row>
    <row r="328" spans="1:12" ht="14.5">
      <c r="A328" s="277" t="s">
        <v>188</v>
      </c>
      <c r="B328" s="274">
        <v>36</v>
      </c>
      <c r="C328" s="263">
        <v>45807</v>
      </c>
      <c r="D328" s="262">
        <v>21</v>
      </c>
      <c r="E328" s="262">
        <v>86</v>
      </c>
      <c r="F328" s="262" t="s">
        <v>391</v>
      </c>
      <c r="G328" s="262" t="s">
        <v>392</v>
      </c>
      <c r="H328" s="262" t="s">
        <v>393</v>
      </c>
      <c r="I328" s="262" t="s">
        <v>433</v>
      </c>
      <c r="J328" s="262">
        <v>792</v>
      </c>
      <c r="K328" s="264" t="s">
        <v>777</v>
      </c>
      <c r="L328" s="264">
        <v>792</v>
      </c>
    </row>
    <row r="329" spans="1:12" ht="14.5">
      <c r="A329" s="277" t="s">
        <v>188</v>
      </c>
      <c r="B329" s="274">
        <v>37</v>
      </c>
      <c r="C329" s="263">
        <v>45807</v>
      </c>
      <c r="D329" s="262">
        <v>21</v>
      </c>
      <c r="E329" s="262">
        <v>86</v>
      </c>
      <c r="F329" s="262" t="s">
        <v>268</v>
      </c>
      <c r="G329" s="262" t="s">
        <v>274</v>
      </c>
      <c r="H329" s="262" t="s">
        <v>255</v>
      </c>
      <c r="I329" s="262" t="s">
        <v>434</v>
      </c>
      <c r="J329" s="262">
        <v>17715</v>
      </c>
      <c r="K329" s="264" t="s">
        <v>777</v>
      </c>
      <c r="L329" s="264">
        <v>17715</v>
      </c>
    </row>
    <row r="330" spans="1:12" ht="14.5">
      <c r="A330" s="277" t="s">
        <v>188</v>
      </c>
      <c r="B330" s="274">
        <v>37</v>
      </c>
      <c r="C330" s="263">
        <v>45807</v>
      </c>
      <c r="D330" s="262">
        <v>21</v>
      </c>
      <c r="E330" s="262">
        <v>86</v>
      </c>
      <c r="F330" s="262" t="s">
        <v>268</v>
      </c>
      <c r="G330" s="262" t="s">
        <v>274</v>
      </c>
      <c r="H330" s="262" t="s">
        <v>255</v>
      </c>
      <c r="I330" s="262" t="s">
        <v>434</v>
      </c>
      <c r="J330" s="262">
        <v>17715</v>
      </c>
      <c r="K330" s="264" t="s">
        <v>777</v>
      </c>
      <c r="L330" s="264">
        <v>17715</v>
      </c>
    </row>
    <row r="331" spans="1:12" ht="14.5">
      <c r="A331" s="277" t="s">
        <v>188</v>
      </c>
      <c r="B331" s="274">
        <v>37</v>
      </c>
      <c r="C331" s="263">
        <v>45807</v>
      </c>
      <c r="D331" s="262">
        <v>21</v>
      </c>
      <c r="E331" s="262">
        <v>86</v>
      </c>
      <c r="F331" s="262" t="s">
        <v>268</v>
      </c>
      <c r="G331" s="262" t="s">
        <v>276</v>
      </c>
      <c r="H331" s="262" t="s">
        <v>255</v>
      </c>
      <c r="I331" s="262" t="s">
        <v>814</v>
      </c>
      <c r="J331" s="262">
        <v>9072</v>
      </c>
      <c r="K331" s="264" t="s">
        <v>777</v>
      </c>
      <c r="L331" s="264">
        <v>9072</v>
      </c>
    </row>
    <row r="332" spans="1:12" ht="14.5">
      <c r="A332" s="277" t="s">
        <v>188</v>
      </c>
      <c r="B332" s="274">
        <v>37</v>
      </c>
      <c r="C332" s="263">
        <v>45807</v>
      </c>
      <c r="D332" s="262">
        <v>21</v>
      </c>
      <c r="E332" s="262">
        <v>86</v>
      </c>
      <c r="F332" s="262" t="s">
        <v>158</v>
      </c>
      <c r="G332" s="262" t="s">
        <v>242</v>
      </c>
      <c r="H332" s="262" t="s">
        <v>154</v>
      </c>
      <c r="I332" s="262" t="s">
        <v>432</v>
      </c>
      <c r="J332" s="262">
        <v>1296</v>
      </c>
      <c r="K332" s="264" t="s">
        <v>777</v>
      </c>
      <c r="L332" s="264">
        <v>1296</v>
      </c>
    </row>
    <row r="333" spans="1:12" ht="14.5">
      <c r="A333" s="277" t="s">
        <v>188</v>
      </c>
      <c r="B333" s="274">
        <v>37</v>
      </c>
      <c r="C333" s="263">
        <v>45807</v>
      </c>
      <c r="D333" s="262">
        <v>21</v>
      </c>
      <c r="E333" s="262">
        <v>86</v>
      </c>
      <c r="F333" s="262" t="s">
        <v>195</v>
      </c>
      <c r="G333" s="262" t="s">
        <v>286</v>
      </c>
      <c r="H333" s="262" t="s">
        <v>162</v>
      </c>
      <c r="I333" s="262" t="s">
        <v>434</v>
      </c>
      <c r="J333" s="262">
        <v>4464</v>
      </c>
      <c r="K333" s="264" t="s">
        <v>777</v>
      </c>
      <c r="L333" s="264">
        <v>4464</v>
      </c>
    </row>
    <row r="334" spans="1:12" ht="14.5">
      <c r="A334" s="277" t="s">
        <v>188</v>
      </c>
      <c r="B334" s="274">
        <v>37</v>
      </c>
      <c r="C334" s="263">
        <v>45807</v>
      </c>
      <c r="D334" s="262">
        <v>21</v>
      </c>
      <c r="E334" s="262">
        <v>86</v>
      </c>
      <c r="F334" s="262" t="s">
        <v>190</v>
      </c>
      <c r="G334" s="262" t="s">
        <v>242</v>
      </c>
      <c r="H334" s="262" t="s">
        <v>244</v>
      </c>
      <c r="I334" s="262" t="s">
        <v>438</v>
      </c>
      <c r="J334" s="262">
        <v>1336</v>
      </c>
      <c r="K334" s="264" t="s">
        <v>777</v>
      </c>
      <c r="L334" s="264">
        <v>1336</v>
      </c>
    </row>
    <row r="335" spans="1:12" ht="14.5">
      <c r="A335" s="277" t="s">
        <v>188</v>
      </c>
      <c r="B335" s="274">
        <v>38</v>
      </c>
      <c r="C335" s="263">
        <v>45807</v>
      </c>
      <c r="D335" s="262">
        <v>21</v>
      </c>
      <c r="E335" s="262">
        <v>86</v>
      </c>
      <c r="F335" s="262" t="s">
        <v>268</v>
      </c>
      <c r="G335" s="262" t="s">
        <v>274</v>
      </c>
      <c r="H335" s="262" t="s">
        <v>255</v>
      </c>
      <c r="I335" s="262" t="s">
        <v>434</v>
      </c>
      <c r="J335" s="262">
        <v>9600</v>
      </c>
      <c r="K335" s="264" t="s">
        <v>777</v>
      </c>
      <c r="L335" s="264">
        <v>9600</v>
      </c>
    </row>
    <row r="336" spans="1:12" ht="14.5">
      <c r="A336" s="277" t="s">
        <v>188</v>
      </c>
      <c r="B336" s="274">
        <v>38</v>
      </c>
      <c r="C336" s="263">
        <v>45807</v>
      </c>
      <c r="D336" s="262">
        <v>21</v>
      </c>
      <c r="E336" s="262">
        <v>86</v>
      </c>
      <c r="F336" s="262" t="s">
        <v>268</v>
      </c>
      <c r="G336" s="262" t="s">
        <v>274</v>
      </c>
      <c r="H336" s="262" t="s">
        <v>255</v>
      </c>
      <c r="I336" s="262" t="s">
        <v>434</v>
      </c>
      <c r="J336" s="262">
        <v>9600</v>
      </c>
      <c r="K336" s="264" t="s">
        <v>777</v>
      </c>
      <c r="L336" s="264">
        <v>9600</v>
      </c>
    </row>
    <row r="337" spans="1:12" ht="14.5">
      <c r="A337" s="277" t="s">
        <v>188</v>
      </c>
      <c r="B337" s="274">
        <v>38</v>
      </c>
      <c r="C337" s="263">
        <v>45807</v>
      </c>
      <c r="D337" s="262">
        <v>21</v>
      </c>
      <c r="E337" s="262">
        <v>86</v>
      </c>
      <c r="F337" s="262" t="s">
        <v>268</v>
      </c>
      <c r="G337" s="262" t="s">
        <v>269</v>
      </c>
      <c r="H337" s="262" t="s">
        <v>255</v>
      </c>
      <c r="I337" s="262" t="s">
        <v>440</v>
      </c>
      <c r="J337" s="262">
        <v>4405</v>
      </c>
      <c r="K337" s="264" t="s">
        <v>777</v>
      </c>
      <c r="L337" s="264">
        <v>4405</v>
      </c>
    </row>
    <row r="338" spans="1:12" ht="14.5">
      <c r="A338" s="277" t="s">
        <v>188</v>
      </c>
      <c r="B338" s="274">
        <v>38</v>
      </c>
      <c r="C338" s="263">
        <v>45807</v>
      </c>
      <c r="D338" s="262">
        <v>21</v>
      </c>
      <c r="E338" s="262">
        <v>86</v>
      </c>
      <c r="F338" s="262" t="s">
        <v>268</v>
      </c>
      <c r="G338" s="262" t="s">
        <v>276</v>
      </c>
      <c r="H338" s="262" t="s">
        <v>255</v>
      </c>
      <c r="I338" s="262" t="s">
        <v>814</v>
      </c>
      <c r="J338" s="262">
        <v>4122</v>
      </c>
      <c r="K338" s="264" t="s">
        <v>777</v>
      </c>
      <c r="L338" s="264">
        <v>4122</v>
      </c>
    </row>
    <row r="339" spans="1:12" ht="14.5">
      <c r="A339" s="277" t="s">
        <v>188</v>
      </c>
      <c r="B339" s="274">
        <v>38</v>
      </c>
      <c r="C339" s="263">
        <v>45807</v>
      </c>
      <c r="D339" s="262">
        <v>21</v>
      </c>
      <c r="E339" s="262">
        <v>86</v>
      </c>
      <c r="F339" s="262" t="s">
        <v>391</v>
      </c>
      <c r="G339" s="262" t="s">
        <v>392</v>
      </c>
      <c r="H339" s="262" t="s">
        <v>393</v>
      </c>
      <c r="I339" s="262" t="s">
        <v>433</v>
      </c>
      <c r="J339" s="262">
        <v>240</v>
      </c>
      <c r="K339" s="264" t="s">
        <v>777</v>
      </c>
      <c r="L339" s="264">
        <v>240</v>
      </c>
    </row>
    <row r="340" spans="1:12" ht="14.5">
      <c r="A340" s="277" t="s">
        <v>188</v>
      </c>
      <c r="B340" s="274">
        <v>46</v>
      </c>
      <c r="C340" s="263">
        <v>45807</v>
      </c>
      <c r="D340" s="262">
        <v>21</v>
      </c>
      <c r="E340" s="262">
        <v>86</v>
      </c>
      <c r="F340" s="262" t="s">
        <v>157</v>
      </c>
      <c r="G340" s="262" t="s">
        <v>243</v>
      </c>
      <c r="H340" s="262" t="s">
        <v>155</v>
      </c>
      <c r="I340" s="262" t="s">
        <v>428</v>
      </c>
      <c r="J340" s="262">
        <v>1980</v>
      </c>
      <c r="K340" s="264" t="s">
        <v>777</v>
      </c>
      <c r="L340" s="264">
        <v>1980</v>
      </c>
    </row>
    <row r="341" spans="1:12" ht="14.5">
      <c r="A341" s="277" t="s">
        <v>188</v>
      </c>
      <c r="B341" s="274">
        <v>46</v>
      </c>
      <c r="C341" s="263">
        <v>45807</v>
      </c>
      <c r="D341" s="262">
        <v>21</v>
      </c>
      <c r="E341" s="262">
        <v>86</v>
      </c>
      <c r="F341" s="262" t="s">
        <v>391</v>
      </c>
      <c r="G341" s="262" t="s">
        <v>392</v>
      </c>
      <c r="H341" s="262" t="s">
        <v>393</v>
      </c>
      <c r="I341" s="262" t="s">
        <v>433</v>
      </c>
      <c r="J341" s="262">
        <v>1266</v>
      </c>
      <c r="K341" s="264" t="s">
        <v>777</v>
      </c>
      <c r="L341" s="264">
        <v>1266</v>
      </c>
    </row>
    <row r="342" spans="1:12" ht="14.5">
      <c r="A342" s="277" t="s">
        <v>188</v>
      </c>
      <c r="B342" s="274">
        <v>28</v>
      </c>
      <c r="C342" s="263">
        <v>45814</v>
      </c>
      <c r="D342" s="262">
        <v>22</v>
      </c>
      <c r="E342" s="262">
        <v>93</v>
      </c>
      <c r="F342" s="262" t="s">
        <v>268</v>
      </c>
      <c r="G342" s="262" t="s">
        <v>274</v>
      </c>
      <c r="H342" s="262" t="s">
        <v>162</v>
      </c>
      <c r="I342" s="262" t="s">
        <v>434</v>
      </c>
      <c r="J342" s="262">
        <v>22260</v>
      </c>
      <c r="K342" s="264" t="s">
        <v>777</v>
      </c>
      <c r="L342" s="264">
        <v>22260</v>
      </c>
    </row>
    <row r="343" spans="1:12" ht="14.5">
      <c r="A343" s="277" t="s">
        <v>188</v>
      </c>
      <c r="B343" s="274">
        <v>28</v>
      </c>
      <c r="C343" s="263">
        <v>45814</v>
      </c>
      <c r="D343" s="262">
        <v>22</v>
      </c>
      <c r="E343" s="262">
        <v>93</v>
      </c>
      <c r="F343" s="262" t="s">
        <v>268</v>
      </c>
      <c r="G343" s="262" t="s">
        <v>274</v>
      </c>
      <c r="H343" s="262" t="s">
        <v>162</v>
      </c>
      <c r="I343" s="262" t="s">
        <v>434</v>
      </c>
      <c r="J343" s="262">
        <v>22260</v>
      </c>
      <c r="K343" s="264" t="s">
        <v>777</v>
      </c>
      <c r="L343" s="264">
        <v>22260</v>
      </c>
    </row>
    <row r="344" spans="1:12" ht="14.5">
      <c r="A344" s="277" t="s">
        <v>188</v>
      </c>
      <c r="B344" s="274">
        <v>28</v>
      </c>
      <c r="C344" s="263">
        <v>45814</v>
      </c>
      <c r="D344" s="262">
        <v>22</v>
      </c>
      <c r="E344" s="262">
        <v>93</v>
      </c>
      <c r="F344" s="262" t="s">
        <v>268</v>
      </c>
      <c r="G344" s="262" t="s">
        <v>815</v>
      </c>
      <c r="H344" s="262" t="s">
        <v>255</v>
      </c>
      <c r="I344" s="262" t="s">
        <v>816</v>
      </c>
      <c r="J344" s="262">
        <v>12460</v>
      </c>
      <c r="K344" s="264" t="s">
        <v>777</v>
      </c>
      <c r="L344" s="264">
        <v>12460</v>
      </c>
    </row>
    <row r="345" spans="1:12" ht="14.5">
      <c r="A345" s="277" t="s">
        <v>188</v>
      </c>
      <c r="B345" s="274">
        <v>28</v>
      </c>
      <c r="C345" s="263">
        <v>45814</v>
      </c>
      <c r="D345" s="262">
        <v>22</v>
      </c>
      <c r="E345" s="262">
        <v>93</v>
      </c>
      <c r="F345" s="262" t="s">
        <v>268</v>
      </c>
      <c r="G345" s="262" t="s">
        <v>276</v>
      </c>
      <c r="H345" s="262" t="s">
        <v>162</v>
      </c>
      <c r="I345" s="262" t="s">
        <v>814</v>
      </c>
      <c r="J345" s="262">
        <v>8766</v>
      </c>
      <c r="K345" s="264" t="s">
        <v>777</v>
      </c>
      <c r="L345" s="264">
        <v>8766</v>
      </c>
    </row>
    <row r="346" spans="1:12" ht="14.5">
      <c r="A346" s="277" t="s">
        <v>188</v>
      </c>
      <c r="B346" s="274">
        <v>41</v>
      </c>
      <c r="C346" s="263">
        <v>45814</v>
      </c>
      <c r="D346" s="262">
        <v>22</v>
      </c>
      <c r="E346" s="262">
        <v>93</v>
      </c>
      <c r="F346" s="262" t="s">
        <v>136</v>
      </c>
      <c r="G346" s="262" t="s">
        <v>247</v>
      </c>
      <c r="H346" s="262" t="s">
        <v>162</v>
      </c>
      <c r="I346" s="262" t="s">
        <v>500</v>
      </c>
      <c r="J346" s="262">
        <v>3712</v>
      </c>
      <c r="K346" s="264" t="s">
        <v>777</v>
      </c>
      <c r="L346" s="264">
        <v>3712</v>
      </c>
    </row>
    <row r="347" spans="1:12" ht="14.5">
      <c r="A347" s="277" t="s">
        <v>188</v>
      </c>
      <c r="B347" s="274">
        <v>41</v>
      </c>
      <c r="C347" s="263">
        <v>45814</v>
      </c>
      <c r="D347" s="262">
        <v>22</v>
      </c>
      <c r="E347" s="262">
        <v>93</v>
      </c>
      <c r="F347" s="262" t="s">
        <v>136</v>
      </c>
      <c r="G347" s="262" t="s">
        <v>247</v>
      </c>
      <c r="H347" s="262" t="s">
        <v>163</v>
      </c>
      <c r="I347" s="262" t="s">
        <v>500</v>
      </c>
      <c r="J347" s="262">
        <v>3712</v>
      </c>
      <c r="K347" s="264" t="s">
        <v>777</v>
      </c>
      <c r="L347" s="264">
        <v>3712</v>
      </c>
    </row>
    <row r="348" spans="1:12" ht="14.5">
      <c r="A348" s="277" t="s">
        <v>188</v>
      </c>
      <c r="B348" s="274">
        <v>41</v>
      </c>
      <c r="C348" s="263">
        <v>45814</v>
      </c>
      <c r="D348" s="262">
        <v>22</v>
      </c>
      <c r="E348" s="262">
        <v>93</v>
      </c>
      <c r="F348" s="262" t="s">
        <v>136</v>
      </c>
      <c r="G348" s="262" t="s">
        <v>247</v>
      </c>
      <c r="H348" s="262" t="s">
        <v>164</v>
      </c>
      <c r="I348" s="262" t="s">
        <v>500</v>
      </c>
      <c r="J348" s="262">
        <v>3712</v>
      </c>
      <c r="K348" s="264" t="s">
        <v>777</v>
      </c>
      <c r="L348" s="264">
        <v>3712</v>
      </c>
    </row>
    <row r="349" spans="1:12" ht="14.5">
      <c r="A349" s="277" t="s">
        <v>188</v>
      </c>
      <c r="B349" s="274">
        <v>41</v>
      </c>
      <c r="C349" s="263">
        <v>45814</v>
      </c>
      <c r="D349" s="262">
        <v>22</v>
      </c>
      <c r="E349" s="262">
        <v>93</v>
      </c>
      <c r="F349" s="262" t="s">
        <v>81</v>
      </c>
      <c r="G349" s="262" t="s">
        <v>290</v>
      </c>
      <c r="H349" s="262" t="s">
        <v>291</v>
      </c>
      <c r="I349" s="262" t="s">
        <v>435</v>
      </c>
      <c r="J349" s="262">
        <v>7704</v>
      </c>
      <c r="K349" s="264" t="s">
        <v>777</v>
      </c>
      <c r="L349" s="264">
        <v>7704</v>
      </c>
    </row>
    <row r="350" spans="1:12" ht="14.5">
      <c r="A350" s="277" t="s">
        <v>188</v>
      </c>
      <c r="B350" s="274">
        <v>41</v>
      </c>
      <c r="C350" s="263">
        <v>45814</v>
      </c>
      <c r="D350" s="262">
        <v>22</v>
      </c>
      <c r="E350" s="262">
        <v>93</v>
      </c>
      <c r="F350" s="262" t="s">
        <v>81</v>
      </c>
      <c r="G350" s="262" t="s">
        <v>290</v>
      </c>
      <c r="H350" s="262" t="s">
        <v>293</v>
      </c>
      <c r="I350" s="262" t="s">
        <v>435</v>
      </c>
      <c r="J350" s="262">
        <v>7704</v>
      </c>
      <c r="K350" s="264" t="s">
        <v>777</v>
      </c>
      <c r="L350" s="264">
        <v>7704</v>
      </c>
    </row>
    <row r="351" spans="1:12" ht="14.5">
      <c r="A351" s="277" t="s">
        <v>188</v>
      </c>
      <c r="B351" s="274">
        <v>41</v>
      </c>
      <c r="C351" s="263">
        <v>45814</v>
      </c>
      <c r="D351" s="262">
        <v>22</v>
      </c>
      <c r="E351" s="262">
        <v>93</v>
      </c>
      <c r="F351" s="262" t="s">
        <v>81</v>
      </c>
      <c r="G351" s="262" t="s">
        <v>290</v>
      </c>
      <c r="H351" s="262" t="s">
        <v>294</v>
      </c>
      <c r="I351" s="262" t="s">
        <v>435</v>
      </c>
      <c r="J351" s="262">
        <v>7704</v>
      </c>
      <c r="K351" s="264" t="s">
        <v>777</v>
      </c>
      <c r="L351" s="264">
        <v>7704</v>
      </c>
    </row>
    <row r="352" spans="1:12" ht="14.5">
      <c r="A352" s="277" t="s">
        <v>188</v>
      </c>
      <c r="B352" s="274">
        <v>41</v>
      </c>
      <c r="C352" s="263">
        <v>45814</v>
      </c>
      <c r="D352" s="262">
        <v>22</v>
      </c>
      <c r="E352" s="262">
        <v>93</v>
      </c>
      <c r="F352" s="262" t="s">
        <v>195</v>
      </c>
      <c r="G352" s="262" t="s">
        <v>286</v>
      </c>
      <c r="H352" s="262" t="s">
        <v>162</v>
      </c>
      <c r="I352" s="262" t="s">
        <v>508</v>
      </c>
      <c r="J352" s="262">
        <v>4500</v>
      </c>
      <c r="K352" s="264" t="s">
        <v>777</v>
      </c>
      <c r="L352" s="264">
        <v>4500</v>
      </c>
    </row>
    <row r="353" spans="1:12" ht="14.5">
      <c r="A353" s="277" t="s">
        <v>188</v>
      </c>
      <c r="B353" s="274">
        <v>41</v>
      </c>
      <c r="C353" s="263">
        <v>45814</v>
      </c>
      <c r="D353" s="262">
        <v>22</v>
      </c>
      <c r="E353" s="262">
        <v>93</v>
      </c>
      <c r="F353" s="262" t="s">
        <v>190</v>
      </c>
      <c r="G353" s="262" t="s">
        <v>242</v>
      </c>
      <c r="H353" s="262" t="s">
        <v>244</v>
      </c>
      <c r="I353" s="262" t="s">
        <v>513</v>
      </c>
      <c r="J353" s="262">
        <v>3308</v>
      </c>
      <c r="K353" s="264" t="s">
        <v>777</v>
      </c>
      <c r="L353" s="264">
        <v>3308</v>
      </c>
    </row>
    <row r="354" spans="1:12" ht="14.5">
      <c r="A354" s="277" t="s">
        <v>188</v>
      </c>
      <c r="B354" s="274">
        <v>47</v>
      </c>
      <c r="C354" s="263">
        <v>45821</v>
      </c>
      <c r="D354" s="262">
        <v>23</v>
      </c>
      <c r="E354" s="262">
        <v>100</v>
      </c>
      <c r="F354" s="262" t="s">
        <v>193</v>
      </c>
      <c r="G354" s="262" t="s">
        <v>270</v>
      </c>
      <c r="H354" s="262" t="s">
        <v>162</v>
      </c>
      <c r="I354" s="262" t="s">
        <v>583</v>
      </c>
      <c r="J354" s="262">
        <v>1206</v>
      </c>
      <c r="K354" s="264" t="s">
        <v>777</v>
      </c>
      <c r="L354" s="264">
        <v>1206</v>
      </c>
    </row>
    <row r="355" spans="1:12" ht="14.5">
      <c r="A355" s="277" t="s">
        <v>188</v>
      </c>
      <c r="B355" s="274">
        <v>47</v>
      </c>
      <c r="C355" s="263">
        <v>45821</v>
      </c>
      <c r="D355" s="262">
        <v>23</v>
      </c>
      <c r="E355" s="262">
        <v>100</v>
      </c>
      <c r="F355" s="262" t="s">
        <v>250</v>
      </c>
      <c r="G355" s="262" t="s">
        <v>269</v>
      </c>
      <c r="H355" s="262" t="s">
        <v>162</v>
      </c>
      <c r="I355" s="262" t="s">
        <v>440</v>
      </c>
      <c r="J355" s="262">
        <v>210</v>
      </c>
      <c r="K355" s="264" t="s">
        <v>777</v>
      </c>
      <c r="L355" s="264">
        <v>210</v>
      </c>
    </row>
    <row r="356" spans="1:12" ht="14.5">
      <c r="A356" s="277" t="s">
        <v>188</v>
      </c>
      <c r="B356" s="274">
        <v>47</v>
      </c>
      <c r="C356" s="263">
        <v>45821</v>
      </c>
      <c r="D356" s="262">
        <v>23</v>
      </c>
      <c r="E356" s="262">
        <v>100</v>
      </c>
      <c r="F356" s="262" t="s">
        <v>136</v>
      </c>
      <c r="G356" s="262" t="s">
        <v>247</v>
      </c>
      <c r="H356" s="262" t="s">
        <v>162</v>
      </c>
      <c r="I356" s="262" t="s">
        <v>500</v>
      </c>
      <c r="J356" s="262">
        <v>2232</v>
      </c>
      <c r="K356" s="264" t="s">
        <v>777</v>
      </c>
      <c r="L356" s="264">
        <v>2232</v>
      </c>
    </row>
    <row r="357" spans="1:12" ht="14.5">
      <c r="A357" s="277" t="s">
        <v>188</v>
      </c>
      <c r="B357" s="274">
        <v>47</v>
      </c>
      <c r="C357" s="263">
        <v>45821</v>
      </c>
      <c r="D357" s="262">
        <v>23</v>
      </c>
      <c r="E357" s="262">
        <v>100</v>
      </c>
      <c r="F357" s="262" t="s">
        <v>136</v>
      </c>
      <c r="G357" s="262" t="s">
        <v>247</v>
      </c>
      <c r="H357" s="262" t="s">
        <v>163</v>
      </c>
      <c r="I357" s="262" t="s">
        <v>500</v>
      </c>
      <c r="J357" s="262">
        <v>2232</v>
      </c>
      <c r="K357" s="264" t="s">
        <v>777</v>
      </c>
      <c r="L357" s="264">
        <v>2232</v>
      </c>
    </row>
    <row r="358" spans="1:12" ht="14.5">
      <c r="A358" s="277" t="s">
        <v>188</v>
      </c>
      <c r="B358" s="274">
        <v>47</v>
      </c>
      <c r="C358" s="263">
        <v>45821</v>
      </c>
      <c r="D358" s="262">
        <v>23</v>
      </c>
      <c r="E358" s="262">
        <v>100</v>
      </c>
      <c r="F358" s="262" t="s">
        <v>136</v>
      </c>
      <c r="G358" s="262" t="s">
        <v>247</v>
      </c>
      <c r="H358" s="262" t="s">
        <v>164</v>
      </c>
      <c r="I358" s="262" t="s">
        <v>500</v>
      </c>
      <c r="J358" s="262">
        <v>2232</v>
      </c>
      <c r="K358" s="264" t="s">
        <v>777</v>
      </c>
      <c r="L358" s="264">
        <v>2232</v>
      </c>
    </row>
    <row r="359" spans="1:12" ht="14.5">
      <c r="A359" s="277" t="s">
        <v>188</v>
      </c>
      <c r="B359" s="274">
        <v>47</v>
      </c>
      <c r="C359" s="263">
        <v>45821</v>
      </c>
      <c r="D359" s="262">
        <v>23</v>
      </c>
      <c r="E359" s="262">
        <v>100</v>
      </c>
      <c r="F359" s="262" t="s">
        <v>391</v>
      </c>
      <c r="G359" s="262" t="s">
        <v>392</v>
      </c>
      <c r="H359" s="262" t="s">
        <v>393</v>
      </c>
      <c r="I359" s="262" t="s">
        <v>433</v>
      </c>
      <c r="J359" s="262">
        <v>1428</v>
      </c>
      <c r="K359" s="264" t="s">
        <v>777</v>
      </c>
      <c r="L359" s="264">
        <v>1428</v>
      </c>
    </row>
    <row r="360" spans="1:12" ht="14.5">
      <c r="A360" s="277" t="s">
        <v>188</v>
      </c>
      <c r="B360" s="274">
        <v>47</v>
      </c>
      <c r="C360" s="263">
        <v>45821</v>
      </c>
      <c r="D360" s="262">
        <v>23</v>
      </c>
      <c r="E360" s="262">
        <v>100</v>
      </c>
      <c r="F360" s="262" t="s">
        <v>158</v>
      </c>
      <c r="G360" s="262" t="s">
        <v>242</v>
      </c>
      <c r="H360" s="262" t="s">
        <v>156</v>
      </c>
      <c r="I360" s="262" t="s">
        <v>432</v>
      </c>
      <c r="J360" s="262">
        <v>1408</v>
      </c>
      <c r="K360" s="264" t="s">
        <v>777</v>
      </c>
      <c r="L360" s="264">
        <v>1408</v>
      </c>
    </row>
    <row r="361" spans="1:12" ht="14.5">
      <c r="A361" s="277" t="s">
        <v>188</v>
      </c>
      <c r="B361" s="274">
        <v>47</v>
      </c>
      <c r="C361" s="263">
        <v>45821</v>
      </c>
      <c r="D361" s="262">
        <v>23</v>
      </c>
      <c r="E361" s="262">
        <v>100</v>
      </c>
      <c r="F361" s="262" t="s">
        <v>190</v>
      </c>
      <c r="G361" s="262" t="s">
        <v>242</v>
      </c>
      <c r="H361" s="262" t="s">
        <v>244</v>
      </c>
      <c r="I361" s="262" t="s">
        <v>513</v>
      </c>
      <c r="J361" s="262">
        <v>1412</v>
      </c>
      <c r="K361" s="264" t="s">
        <v>777</v>
      </c>
      <c r="L361" s="264">
        <v>1412</v>
      </c>
    </row>
    <row r="362" spans="1:12" ht="14.5">
      <c r="A362" s="277" t="s">
        <v>188</v>
      </c>
      <c r="B362" s="274">
        <v>14</v>
      </c>
      <c r="C362" s="263">
        <v>45821</v>
      </c>
      <c r="D362" s="262">
        <v>23</v>
      </c>
      <c r="E362" s="262">
        <v>100</v>
      </c>
      <c r="F362" s="262" t="s">
        <v>206</v>
      </c>
      <c r="G362" s="262" t="s">
        <v>242</v>
      </c>
      <c r="H362" s="262" t="s">
        <v>162</v>
      </c>
      <c r="I362" s="262" t="s">
        <v>432</v>
      </c>
      <c r="J362" s="262">
        <v>1660</v>
      </c>
      <c r="K362" s="264" t="s">
        <v>777</v>
      </c>
      <c r="L362" s="264">
        <v>1660</v>
      </c>
    </row>
  </sheetData>
  <autoFilter ref="A3:L362"/>
  <mergeCells count="1">
    <mergeCell ref="A2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Grey yarn</vt:lpstr>
      <vt:lpstr>Grey Fabric</vt:lpstr>
      <vt:lpstr>Yarn dyeing</vt:lpstr>
      <vt:lpstr>Yarn dying Monthly Required</vt:lpstr>
      <vt:lpstr>Weaving Monthly Plan IH &amp; OS</vt:lpstr>
      <vt:lpstr>Weaving Monthly Plan 2</vt:lpstr>
      <vt:lpstr>Weaving.</vt:lpstr>
      <vt:lpstr>Weaving Monthly Req Pivot</vt:lpstr>
      <vt:lpstr>Processing.</vt:lpstr>
      <vt:lpstr>Processing Monthly req Pivot</vt:lpstr>
      <vt:lpstr>1</vt:lpstr>
      <vt:lpstr>Emb</vt:lpstr>
      <vt:lpstr>405-&amp;431 1&amp; 2 nd Planning</vt:lpstr>
      <vt:lpstr>Cut to Pack Wk wise Plan_</vt:lpstr>
      <vt:lpstr>Sheet2</vt:lpstr>
      <vt:lpstr>Nelike YF </vt:lpstr>
      <vt:lpstr>Nelike YF Plan</vt:lpstr>
      <vt:lpstr>Sheet1</vt:lpstr>
      <vt:lpstr>Sheet3</vt:lpstr>
      <vt:lpstr>cutting</vt:lpstr>
      <vt:lpstr>'Grey yarn'!Print_Area</vt:lpstr>
      <vt:lpstr>'Yarn dyeing'!Print_Area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ppc</dc:creator>
  <cp:keywords/>
  <dc:description/>
  <cp:lastModifiedBy>Rahul</cp:lastModifiedBy>
  <cp:revision/>
  <cp:lastPrinted>2025-05-29T07:08:18Z</cp:lastPrinted>
  <dcterms:created xsi:type="dcterms:W3CDTF">2024-12-03T09:42:53Z</dcterms:created>
  <dcterms:modified xsi:type="dcterms:W3CDTF">2025-07-02T08:17:27Z</dcterms:modified>
  <cp:category/>
  <cp:contentStatus/>
</cp:coreProperties>
</file>